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hessoit-my.sharepoint.com/personal/thomas_jusselme_hes-so_ch/Documents/03.Projets Recherche/12_BioLoop/06.WP2/Code_en_travail/actuel/database/"/>
    </mc:Choice>
  </mc:AlternateContent>
  <xr:revisionPtr revIDLastSave="5845" documentId="8_{7D4C7BFD-ED26-4E2E-8705-C0476F361CC2}" xr6:coauthVersionLast="47" xr6:coauthVersionMax="47" xr10:uidLastSave="{FE78EA5B-2C74-42CC-BFD1-F9F69654E7F0}"/>
  <bookViews>
    <workbookView xWindow="-120" yWindow="-120" windowWidth="29040" windowHeight="15720" tabRatio="573" firstSheet="3" activeTab="16" xr2:uid="{00000000-000D-0000-FFFF-FFFF00000000}"/>
  </bookViews>
  <sheets>
    <sheet name="Info" sheetId="24" state="hidden" r:id="rId1"/>
    <sheet name="Imprimer" sheetId="33" state="hidden" r:id="rId2"/>
    <sheet name="Inputs" sheetId="29" state="hidden" r:id="rId3"/>
    <sheet name="Métrés" sheetId="46" r:id="rId4"/>
    <sheet name="Standard" sheetId="31" r:id="rId5"/>
    <sheet name="Graphes_Background" sheetId="32" state="hidden" r:id="rId6"/>
    <sheet name="List of materials_st" sheetId="37" state="hidden" r:id="rId7"/>
    <sheet name="BillQuantities" sheetId="30" state="hidden" r:id="rId8"/>
    <sheet name="Exploitation" sheetId="34" state="hidden" r:id="rId9"/>
    <sheet name="Calcul ACV" sheetId="2" state="hidden" r:id="rId10"/>
    <sheet name="Tabelle1" sheetId="12" state="hidden" r:id="rId11"/>
    <sheet name="Tabelle11" sheetId="22" state="hidden" r:id="rId12"/>
    <sheet name="Tabelle12" sheetId="23" state="hidden" r:id="rId13"/>
    <sheet name="Travaux préparatoires" sheetId="11" state="hidden" r:id="rId14"/>
    <sheet name="Réaliste" sheetId="38" r:id="rId15"/>
    <sheet name="List of materials_Re" sheetId="42" state="hidden" r:id="rId16"/>
    <sheet name="Engagé" sheetId="39" r:id="rId17"/>
    <sheet name="List of materials_En" sheetId="44" state="hidden" r:id="rId18"/>
    <sheet name="Graphes" sheetId="40" state="hidden" r:id="rId19"/>
    <sheet name="Graphes_BIO" sheetId="45" state="hidden" r:id="rId20"/>
    <sheet name="Component_Level" sheetId="41" state="hidden" r:id="rId21"/>
    <sheet name="Graphs_Materials" sheetId="43" state="hidden" r:id="rId22"/>
    <sheet name="Enveloppe du bâtiment sout." sheetId="5" state="hidden" r:id="rId23"/>
    <sheet name="Enveloppe du bâtiment hors terr" sheetId="7" state="hidden" r:id="rId24"/>
    <sheet name="Eléments de constr. inté. et ex" sheetId="8" state="hidden" r:id="rId25"/>
    <sheet name="Installations" sheetId="10" state="hidden" r:id="rId26"/>
    <sheet name="Baumaterialien Matériaux" sheetId="3" r:id="rId27"/>
    <sheet name="Gebäudetechnik Technique du bât" sheetId="4" state="hidden" r:id="rId28"/>
    <sheet name="Transporte Transports" sheetId="6" state="hidden" r:id="rId29"/>
    <sheet name="Energie Energie" sheetId="36" state="hidden" r:id="rId30"/>
  </sheets>
  <externalReferences>
    <externalReference r:id="rId31"/>
  </externalReferences>
  <definedNames>
    <definedName name="_xlnm._FilterDatabase" localSheetId="26" hidden="1">#REF!</definedName>
    <definedName name="_xlnm._FilterDatabase" localSheetId="23" hidden="1">#REF!</definedName>
    <definedName name="_xlnm._FilterDatabase" localSheetId="27" hidden="1">#REF!</definedName>
    <definedName name="_xlnm._FilterDatabase" localSheetId="17" hidden="1">'List of materials_En'!$B$2:$C$32</definedName>
    <definedName name="_xlnm._FilterDatabase" localSheetId="15" hidden="1">'List of materials_Re'!$B$2:$C$32</definedName>
    <definedName name="_xlnm._FilterDatabase" localSheetId="6" hidden="1">'List of materials_st'!$B$2:$C$32</definedName>
    <definedName name="_xlnm._FilterDatabase" localSheetId="28" hidden="1">#REF!</definedName>
    <definedName name="_xlnm._FilterDatabase" hidden="1">#REF!</definedName>
    <definedName name="_xlchart.v1.0" hidden="1">Graphes_Background!$B$12:$C$37</definedName>
    <definedName name="_xlchart.v1.1" hidden="1">Graphes_Background!$D$12:$D$37</definedName>
    <definedName name="Z_0111E7B5_3E0B_11D4_8303_000102284B93_.wvu.PrintArea" localSheetId="26" hidden="1">#REF!</definedName>
    <definedName name="Z_0111E7B5_3E0B_11D4_8303_000102284B93_.wvu.PrintArea" localSheetId="23" hidden="1">#REF!</definedName>
    <definedName name="Z_0111E7B5_3E0B_11D4_8303_000102284B93_.wvu.PrintArea" localSheetId="27" hidden="1">#REF!</definedName>
    <definedName name="Z_0111E7B5_3E0B_11D4_8303_000102284B93_.wvu.PrintArea" localSheetId="28" hidden="1">#REF!</definedName>
    <definedName name="Z_0111E7B5_3E0B_11D4_8303_000102284B93_.wvu.PrintArea" hidden="1">#REF!</definedName>
    <definedName name="Z_011E7B5_3E0B_11D4_8303_000102284B94" localSheetId="26" hidden="1">#REF!</definedName>
    <definedName name="Z_011E7B5_3E0B_11D4_8303_000102284B94" localSheetId="23" hidden="1">#REF!</definedName>
    <definedName name="Z_011E7B5_3E0B_11D4_8303_000102284B94" localSheetId="27" hidden="1">#REF!</definedName>
    <definedName name="Z_011E7B5_3E0B_11D4_8303_000102284B94" localSheetId="28" hidden="1">#REF!</definedName>
    <definedName name="Z_011E7B5_3E0B_11D4_8303_000102284B94" hidden="1">#REF!</definedName>
    <definedName name="Z_9FA74287_E657_475B_BF4B_3C8C757714AE_.wvu.Cols" localSheetId="26" hidden="1">'Baumaterialien Matériaux'!$C:$D</definedName>
    <definedName name="Z_9FA74287_E657_475B_BF4B_3C8C757714AE_.wvu.Cols" localSheetId="9" hidden="1">'Calcul ACV'!$G:$G</definedName>
    <definedName name="Z_9FA74287_E657_475B_BF4B_3C8C757714AE_.wvu.Cols" localSheetId="16" hidden="1">Engagé!#REF!</definedName>
    <definedName name="Z_9FA74287_E657_475B_BF4B_3C8C757714AE_.wvu.Cols" localSheetId="27" hidden="1">'Gebäudetechnik Technique du bât'!$C:$D</definedName>
    <definedName name="Z_9FA74287_E657_475B_BF4B_3C8C757714AE_.wvu.Cols" localSheetId="14" hidden="1">Réaliste!#REF!</definedName>
    <definedName name="Z_9FA74287_E657_475B_BF4B_3C8C757714AE_.wvu.Cols" localSheetId="4" hidden="1">Standard!#REF!</definedName>
    <definedName name="Z_9FA74287_E657_475B_BF4B_3C8C757714AE_.wvu.PrintArea" localSheetId="1" hidden="1">Imprimer!$A$1:$M$31</definedName>
    <definedName name="Z_9FA74287_E657_475B_BF4B_3C8C757714AE_.wvu.Rows" localSheetId="26" hidden="1">'Baumaterialien Matériaux'!$3:$3</definedName>
    <definedName name="Z_9FA74287_E657_475B_BF4B_3C8C757714AE_.wvu.Rows" localSheetId="27" hidden="1">'Gebäudetechnik Technique du bât'!$3:$3</definedName>
    <definedName name="Z_9FA74287_E657_475B_BF4B_3C8C757714AE_.wvu.Rows" localSheetId="2" hidden="1">Inputs!$11:$16</definedName>
    <definedName name="Z_9FA74287_E657_475B_BF4B_3C8C757714AE_.wvu.Rows" localSheetId="28" hidden="1">'Transporte Transports'!$3:$3</definedName>
    <definedName name="Z_B32447E2_AB5B_4CBB_881B_FF11349CA4D6_.wvu.Cols" localSheetId="26" hidden="1">'Baumaterialien Matériaux'!$C:$D</definedName>
    <definedName name="Z_B32447E2_AB5B_4CBB_881B_FF11349CA4D6_.wvu.Cols" localSheetId="9" hidden="1">'Calcul ACV'!$G:$G</definedName>
    <definedName name="Z_B32447E2_AB5B_4CBB_881B_FF11349CA4D6_.wvu.Cols" localSheetId="16" hidden="1">Engagé!#REF!</definedName>
    <definedName name="Z_B32447E2_AB5B_4CBB_881B_FF11349CA4D6_.wvu.Cols" localSheetId="27" hidden="1">'Gebäudetechnik Technique du bât'!$C:$D</definedName>
    <definedName name="Z_B32447E2_AB5B_4CBB_881B_FF11349CA4D6_.wvu.Cols" localSheetId="14" hidden="1">Réaliste!#REF!</definedName>
    <definedName name="Z_B32447E2_AB5B_4CBB_881B_FF11349CA4D6_.wvu.Cols" localSheetId="4" hidden="1">Standard!#REF!</definedName>
    <definedName name="Z_B32447E2_AB5B_4CBB_881B_FF11349CA4D6_.wvu.PrintArea" localSheetId="1" hidden="1">Imprimer!$A$1:$M$31</definedName>
    <definedName name="Z_B32447E2_AB5B_4CBB_881B_FF11349CA4D6_.wvu.Rows" localSheetId="26" hidden="1">'Baumaterialien Matériaux'!$3:$3</definedName>
    <definedName name="Z_B32447E2_AB5B_4CBB_881B_FF11349CA4D6_.wvu.Rows" localSheetId="27" hidden="1">'Gebäudetechnik Technique du bât'!$3:$3</definedName>
    <definedName name="Z_B32447E2_AB5B_4CBB_881B_FF11349CA4D6_.wvu.Rows" localSheetId="2" hidden="1">Inputs!$11:$16</definedName>
    <definedName name="Z_B32447E2_AB5B_4CBB_881B_FF11349CA4D6_.wvu.Rows" localSheetId="28" hidden="1">'Transporte Transports'!$3:$3</definedName>
    <definedName name="Z_EC51EC7F_3C0B_4CF9_8F20_C7FD08174DA8_.wvu.PrintArea" localSheetId="26" hidden="1">'Baumaterialien Matériaux'!$B$1:$AD$304</definedName>
    <definedName name="Z_EC51EC7F_3C0B_4CF9_8F20_C7FD08174DA8_.wvu.PrintArea" localSheetId="27" hidden="1">'Gebäudetechnik Technique du bât'!$B$1:$W$52</definedName>
    <definedName name="Z_EC51EC7F_3C0B_4CF9_8F20_C7FD08174DA8_.wvu.PrintArea" localSheetId="28" hidden="1">'Transporte Transports'!$B$1:$Z$79</definedName>
    <definedName name="Z_EC51EC7F_3C0B_4CF9_8F20_C7FD08174DA8_.wvu.PrintTitles" localSheetId="26" hidden="1">'Baumaterialien Matériaux'!$1:$9</definedName>
    <definedName name="Z_EC51EC7F_3C0B_4CF9_8F20_C7FD08174DA8_.wvu.PrintTitles" localSheetId="27" hidden="1">'Gebäudetechnik Technique du bât'!$1:$9</definedName>
    <definedName name="Z_EC51EC7F_3C0B_4CF9_8F20_C7FD08174DA8_.wvu.PrintTitles" localSheetId="28" hidden="1">'Transporte Transports'!$1:$9</definedName>
    <definedName name="_xlnm.Print_Area" localSheetId="16">Engagé!$A$2:$K$95</definedName>
    <definedName name="_xlnm.Print_Area" localSheetId="1">Imprimer!$B$1:$E$46</definedName>
    <definedName name="_xlnm.Print_Area" localSheetId="2">Inputs!$A$2:$P$44</definedName>
    <definedName name="_xlnm.Print_Area" localSheetId="14">Réaliste!$A$2:$K$101</definedName>
    <definedName name="_xlnm.Print_Area" localSheetId="4">Standard!$A$2:$K$109</definedName>
  </definedNames>
  <calcPr calcId="191028"/>
  <customWorkbookViews>
    <customWorkbookView name="Imprimer" guid="{B32447E2-AB5B-4CBB-881B-FF11349CA4D6}" maximized="1" xWindow="-2569" yWindow="-120" windowWidth="2578" windowHeight="1408" tabRatio="573" activeSheetId="33"/>
    <customWorkbookView name="x" guid="{9FA74287-E657-475B-BF4B-3C8C757714AE}" maximized="1" xWindow="-2569" yWindow="-120" windowWidth="2578" windowHeight="1408" tabRatio="573" activeSheetId="33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8" i="39" l="1"/>
  <c r="AF48" i="39"/>
  <c r="AG48" i="39"/>
  <c r="AH48" i="39"/>
  <c r="AI48" i="39"/>
  <c r="AE49" i="39"/>
  <c r="AF49" i="39"/>
  <c r="AG49" i="39"/>
  <c r="AH49" i="39"/>
  <c r="AI49" i="39"/>
  <c r="X48" i="39"/>
  <c r="Z48" i="39"/>
  <c r="Y48" i="38"/>
  <c r="Z48" i="38"/>
  <c r="AE48" i="38"/>
  <c r="AF48" i="38"/>
  <c r="AG48" i="38"/>
  <c r="AH48" i="38"/>
  <c r="AI48" i="38"/>
  <c r="Z43" i="31"/>
  <c r="AE43" i="31"/>
  <c r="AF43" i="31"/>
  <c r="AG43" i="31"/>
  <c r="AH43" i="31"/>
  <c r="AI43" i="31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4" i="3"/>
  <c r="AI303" i="3"/>
  <c r="AI302" i="3"/>
  <c r="AI301" i="3"/>
  <c r="AI300" i="3"/>
  <c r="AI298" i="3"/>
  <c r="AI297" i="3"/>
  <c r="AI296" i="3"/>
  <c r="AI295" i="3"/>
  <c r="AI294" i="3"/>
  <c r="AI293" i="3"/>
  <c r="AI292" i="3"/>
  <c r="AI291" i="3"/>
  <c r="AI289" i="3"/>
  <c r="AI288" i="3"/>
  <c r="AI287" i="3"/>
  <c r="AI286" i="3"/>
  <c r="AI285" i="3"/>
  <c r="AF283" i="3"/>
  <c r="AF282" i="3"/>
  <c r="AF281" i="3"/>
  <c r="AF280" i="3"/>
  <c r="AI280" i="3" s="1"/>
  <c r="AF279" i="3"/>
  <c r="AF278" i="3"/>
  <c r="AI278" i="3" s="1"/>
  <c r="AF277" i="3"/>
  <c r="AF276" i="3"/>
  <c r="AI276" i="3" s="1"/>
  <c r="AF275" i="3"/>
  <c r="AI275" i="3" s="1"/>
  <c r="AF274" i="3"/>
  <c r="AF273" i="3"/>
  <c r="AF272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F257" i="3"/>
  <c r="AF258" i="3" s="1"/>
  <c r="AI258" i="3" s="1"/>
  <c r="AI256" i="3"/>
  <c r="AH256" i="3"/>
  <c r="AH257" i="3" s="1"/>
  <c r="AH258" i="3" s="1"/>
  <c r="AG256" i="3"/>
  <c r="AG257" i="3" s="1"/>
  <c r="AG258" i="3" s="1"/>
  <c r="AF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H239" i="3"/>
  <c r="AG239" i="3"/>
  <c r="AF239" i="3"/>
  <c r="AH238" i="3"/>
  <c r="AG238" i="3"/>
  <c r="AF238" i="3"/>
  <c r="AH237" i="3"/>
  <c r="AG237" i="3"/>
  <c r="AF237" i="3"/>
  <c r="AI237" i="3" s="1"/>
  <c r="AI236" i="3"/>
  <c r="AF235" i="3"/>
  <c r="AI234" i="3"/>
  <c r="AI233" i="3"/>
  <c r="AI231" i="3"/>
  <c r="AI229" i="3"/>
  <c r="AI227" i="3"/>
  <c r="AI225" i="3"/>
  <c r="AI223" i="3"/>
  <c r="AI219" i="3"/>
  <c r="AI218" i="3"/>
  <c r="AI217" i="3"/>
  <c r="AI213" i="3"/>
  <c r="AI211" i="3"/>
  <c r="AI209" i="3"/>
  <c r="AI208" i="3"/>
  <c r="AI207" i="3"/>
  <c r="AI206" i="3"/>
  <c r="AI204" i="3"/>
  <c r="AI203" i="3"/>
  <c r="AI202" i="3"/>
  <c r="AI201" i="3"/>
  <c r="AI200" i="3"/>
  <c r="AI188" i="3"/>
  <c r="AI187" i="3"/>
  <c r="AI186" i="3"/>
  <c r="AI184" i="3"/>
  <c r="AI183" i="3"/>
  <c r="AI182" i="3"/>
  <c r="AI181" i="3"/>
  <c r="AI180" i="3"/>
  <c r="AI176" i="3"/>
  <c r="AI175" i="3"/>
  <c r="AI174" i="3"/>
  <c r="AI173" i="3"/>
  <c r="AI172" i="3"/>
  <c r="AI170" i="3"/>
  <c r="AI169" i="3"/>
  <c r="AI167" i="3"/>
  <c r="AI165" i="3"/>
  <c r="AI162" i="3"/>
  <c r="AI160" i="3"/>
  <c r="AI158" i="3"/>
  <c r="AI156" i="3"/>
  <c r="AI155" i="3"/>
  <c r="AI154" i="3"/>
  <c r="AI153" i="3"/>
  <c r="AG152" i="3"/>
  <c r="AG151" i="3"/>
  <c r="AG150" i="3"/>
  <c r="AI149" i="3"/>
  <c r="AI148" i="3"/>
  <c r="AI147" i="3"/>
  <c r="AI146" i="3"/>
  <c r="AI144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29" i="3"/>
  <c r="AI128" i="3"/>
  <c r="AI126" i="3"/>
  <c r="AI125" i="3"/>
  <c r="AI124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6" i="3"/>
  <c r="AI104" i="3"/>
  <c r="AI102" i="3"/>
  <c r="AI101" i="3"/>
  <c r="AI100" i="3"/>
  <c r="AI99" i="3"/>
  <c r="AI98" i="3"/>
  <c r="AI97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7" i="3"/>
  <c r="AI76" i="3"/>
  <c r="AI75" i="3"/>
  <c r="AI74" i="3"/>
  <c r="AI73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4" i="3"/>
  <c r="AI53" i="3"/>
  <c r="AI52" i="3"/>
  <c r="AI51" i="3"/>
  <c r="AI50" i="3"/>
  <c r="AI47" i="3"/>
  <c r="AI45" i="3"/>
  <c r="AI42" i="3"/>
  <c r="AI41" i="3"/>
  <c r="AI40" i="3"/>
  <c r="AI39" i="3"/>
  <c r="AI38" i="3"/>
  <c r="AI37" i="3"/>
  <c r="AI36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H18" i="39"/>
  <c r="AH19" i="39"/>
  <c r="AH21" i="39"/>
  <c r="AH27" i="39"/>
  <c r="AH28" i="39"/>
  <c r="AH29" i="39"/>
  <c r="AH30" i="39"/>
  <c r="AH31" i="39"/>
  <c r="AH32" i="39"/>
  <c r="AH33" i="39"/>
  <c r="AH34" i="39"/>
  <c r="AH35" i="39"/>
  <c r="AH36" i="39"/>
  <c r="AH37" i="39"/>
  <c r="AH57" i="39"/>
  <c r="AH62" i="39"/>
  <c r="AH63" i="39"/>
  <c r="AH64" i="39"/>
  <c r="AH71" i="39"/>
  <c r="AH72" i="39"/>
  <c r="AH73" i="39"/>
  <c r="AH74" i="39"/>
  <c r="AH75" i="39"/>
  <c r="AH84" i="39"/>
  <c r="AH85" i="39"/>
  <c r="AH86" i="39"/>
  <c r="AH93" i="39"/>
  <c r="AH94" i="39"/>
  <c r="AH102" i="39"/>
  <c r="AH103" i="39"/>
  <c r="AH104" i="39"/>
  <c r="AH106" i="39"/>
  <c r="AH116" i="39"/>
  <c r="AH117" i="39"/>
  <c r="AH157" i="39"/>
  <c r="AH165" i="39"/>
  <c r="AH166" i="39"/>
  <c r="AH167" i="39"/>
  <c r="AH172" i="39"/>
  <c r="AH173" i="39"/>
  <c r="AH174" i="39"/>
  <c r="AH175" i="39"/>
  <c r="AH176" i="39"/>
  <c r="AH177" i="39"/>
  <c r="AH178" i="39"/>
  <c r="AH179" i="39"/>
  <c r="AH180" i="39"/>
  <c r="AH181" i="39"/>
  <c r="AH182" i="39"/>
  <c r="AH183" i="39"/>
  <c r="AH184" i="39"/>
  <c r="AH185" i="39"/>
  <c r="AH193" i="39"/>
  <c r="AH194" i="39"/>
  <c r="AH197" i="39"/>
  <c r="AH203" i="39"/>
  <c r="AH204" i="39"/>
  <c r="AH210" i="39"/>
  <c r="AH211" i="39"/>
  <c r="AH212" i="39"/>
  <c r="AH227" i="39"/>
  <c r="AH228" i="39"/>
  <c r="AH229" i="39"/>
  <c r="AH230" i="39"/>
  <c r="AH231" i="39"/>
  <c r="AH239" i="39"/>
  <c r="AH245" i="39"/>
  <c r="AH246" i="39"/>
  <c r="AH247" i="39"/>
  <c r="AH248" i="39"/>
  <c r="AH249" i="39"/>
  <c r="AH250" i="39"/>
  <c r="AH251" i="39"/>
  <c r="AH252" i="39"/>
  <c r="AH253" i="39"/>
  <c r="AH254" i="39"/>
  <c r="AH255" i="39"/>
  <c r="AH256" i="39"/>
  <c r="AH257" i="39"/>
  <c r="AH258" i="39"/>
  <c r="AH259" i="39"/>
  <c r="AH260" i="39"/>
  <c r="AF6" i="39"/>
  <c r="AF18" i="39"/>
  <c r="AF19" i="39"/>
  <c r="AF21" i="39"/>
  <c r="AF27" i="39"/>
  <c r="AF28" i="39"/>
  <c r="AF29" i="39"/>
  <c r="AF30" i="39"/>
  <c r="AF31" i="39"/>
  <c r="AF32" i="39"/>
  <c r="AF33" i="39"/>
  <c r="AF34" i="39"/>
  <c r="AF35" i="39"/>
  <c r="AF36" i="39"/>
  <c r="AF37" i="39"/>
  <c r="AF62" i="39"/>
  <c r="AF63" i="39"/>
  <c r="AF64" i="39"/>
  <c r="AF71" i="39"/>
  <c r="AF72" i="39"/>
  <c r="AF73" i="39"/>
  <c r="AF74" i="39"/>
  <c r="AF75" i="39"/>
  <c r="AF84" i="39"/>
  <c r="AF85" i="39"/>
  <c r="AF86" i="39"/>
  <c r="AF102" i="39"/>
  <c r="AF103" i="39"/>
  <c r="AF104" i="39"/>
  <c r="AF106" i="39"/>
  <c r="AF116" i="39"/>
  <c r="AF117" i="39"/>
  <c r="AF165" i="39"/>
  <c r="AF166" i="39"/>
  <c r="AF167" i="39"/>
  <c r="AF172" i="39"/>
  <c r="AF173" i="39"/>
  <c r="AF174" i="39"/>
  <c r="AF175" i="39"/>
  <c r="AF176" i="39"/>
  <c r="AF177" i="39"/>
  <c r="AF178" i="39"/>
  <c r="AF179" i="39"/>
  <c r="AF180" i="39"/>
  <c r="AF181" i="39"/>
  <c r="AF182" i="39"/>
  <c r="AF183" i="39"/>
  <c r="AF184" i="39"/>
  <c r="AF185" i="39"/>
  <c r="AF193" i="39"/>
  <c r="AF194" i="39"/>
  <c r="AF197" i="39"/>
  <c r="AF203" i="39"/>
  <c r="AF204" i="39"/>
  <c r="AF210" i="39"/>
  <c r="AF211" i="39"/>
  <c r="AF212" i="39"/>
  <c r="AF227" i="39"/>
  <c r="AF228" i="39"/>
  <c r="AF229" i="39"/>
  <c r="AF230" i="39"/>
  <c r="AF231" i="39"/>
  <c r="AF239" i="39"/>
  <c r="AF245" i="39"/>
  <c r="AF246" i="39"/>
  <c r="AF247" i="39"/>
  <c r="AF248" i="39"/>
  <c r="AF249" i="39"/>
  <c r="AF250" i="39"/>
  <c r="AF251" i="39"/>
  <c r="AF252" i="39"/>
  <c r="AF253" i="39"/>
  <c r="AF254" i="39"/>
  <c r="AF255" i="39"/>
  <c r="AF256" i="39"/>
  <c r="AF257" i="39"/>
  <c r="AF258" i="39"/>
  <c r="AF259" i="39"/>
  <c r="AF260" i="39"/>
  <c r="AH18" i="38"/>
  <c r="AH20" i="38"/>
  <c r="AH21" i="38"/>
  <c r="AH37" i="38"/>
  <c r="AH57" i="38"/>
  <c r="AH63" i="38"/>
  <c r="AH64" i="38"/>
  <c r="AH65" i="38"/>
  <c r="AH74" i="38"/>
  <c r="AH75" i="38"/>
  <c r="AH95" i="38"/>
  <c r="AH101" i="38"/>
  <c r="AH102" i="38"/>
  <c r="AH103" i="38"/>
  <c r="AH104" i="38"/>
  <c r="AH105" i="38"/>
  <c r="AH132" i="38"/>
  <c r="AH165" i="38"/>
  <c r="AH166" i="38"/>
  <c r="AH167" i="38"/>
  <c r="AH168" i="38"/>
  <c r="AH173" i="38"/>
  <c r="AH174" i="38"/>
  <c r="AH175" i="38"/>
  <c r="AH176" i="38"/>
  <c r="AH177" i="38"/>
  <c r="AH178" i="38"/>
  <c r="AH179" i="38"/>
  <c r="AH180" i="38"/>
  <c r="AH181" i="38"/>
  <c r="AH182" i="38"/>
  <c r="AH183" i="38"/>
  <c r="AH184" i="38"/>
  <c r="AH185" i="38"/>
  <c r="AH186" i="38"/>
  <c r="AH194" i="38"/>
  <c r="AH195" i="38"/>
  <c r="AH198" i="38"/>
  <c r="AH203" i="38"/>
  <c r="AH204" i="38"/>
  <c r="AH205" i="38"/>
  <c r="AH206" i="38"/>
  <c r="AH209" i="38"/>
  <c r="AH210" i="38"/>
  <c r="AH211" i="38"/>
  <c r="AH212" i="38"/>
  <c r="AH213" i="38"/>
  <c r="AH214" i="38"/>
  <c r="AH226" i="38"/>
  <c r="AH228" i="38"/>
  <c r="AH229" i="38"/>
  <c r="AH230" i="38"/>
  <c r="AH231" i="38"/>
  <c r="AH232" i="38"/>
  <c r="AH240" i="38"/>
  <c r="AH246" i="38"/>
  <c r="AH247" i="38"/>
  <c r="AH248" i="38"/>
  <c r="AH249" i="38"/>
  <c r="AH250" i="38"/>
  <c r="AH251" i="38"/>
  <c r="AH252" i="38"/>
  <c r="AH253" i="38"/>
  <c r="AH254" i="38"/>
  <c r="AH255" i="38"/>
  <c r="AH256" i="38"/>
  <c r="AH257" i="38"/>
  <c r="AH258" i="38"/>
  <c r="AH259" i="38"/>
  <c r="AH260" i="38"/>
  <c r="AH261" i="38"/>
  <c r="AF6" i="38"/>
  <c r="AF7" i="38"/>
  <c r="AF8" i="38"/>
  <c r="AF9" i="38"/>
  <c r="AF10" i="38"/>
  <c r="AF18" i="38"/>
  <c r="AF20" i="38"/>
  <c r="AF21" i="38"/>
  <c r="AF37" i="38"/>
  <c r="AF57" i="38"/>
  <c r="AF63" i="38"/>
  <c r="AF64" i="38"/>
  <c r="AF65" i="38"/>
  <c r="AF74" i="38"/>
  <c r="AF75" i="38"/>
  <c r="AF101" i="38"/>
  <c r="AF102" i="38"/>
  <c r="AF103" i="38"/>
  <c r="AF104" i="38"/>
  <c r="AF105" i="38"/>
  <c r="AF131" i="38"/>
  <c r="AF132" i="38"/>
  <c r="AF165" i="38"/>
  <c r="AF166" i="38"/>
  <c r="AF167" i="38"/>
  <c r="AF168" i="38"/>
  <c r="AF173" i="38"/>
  <c r="AF174" i="38"/>
  <c r="AF175" i="38"/>
  <c r="AF176" i="38"/>
  <c r="AF177" i="38"/>
  <c r="AF178" i="38"/>
  <c r="AF179" i="38"/>
  <c r="AF180" i="38"/>
  <c r="AF181" i="38"/>
  <c r="AF182" i="38"/>
  <c r="AF183" i="38"/>
  <c r="AF184" i="38"/>
  <c r="AF185" i="38"/>
  <c r="AF186" i="38"/>
  <c r="AF194" i="38"/>
  <c r="AF195" i="38"/>
  <c r="AF198" i="38"/>
  <c r="AF203" i="38"/>
  <c r="AF204" i="38"/>
  <c r="AF205" i="38"/>
  <c r="AF206" i="38"/>
  <c r="AF211" i="38"/>
  <c r="AF212" i="38"/>
  <c r="AF213" i="38"/>
  <c r="AF214" i="38"/>
  <c r="AF226" i="38"/>
  <c r="AF228" i="38"/>
  <c r="AF229" i="38"/>
  <c r="AF230" i="38"/>
  <c r="AF231" i="38"/>
  <c r="AF232" i="38"/>
  <c r="AF240" i="38"/>
  <c r="AF245" i="38"/>
  <c r="AF246" i="38"/>
  <c r="AF247" i="38"/>
  <c r="AF248" i="38"/>
  <c r="AF249" i="38"/>
  <c r="AF250" i="38"/>
  <c r="AF251" i="38"/>
  <c r="AF252" i="38"/>
  <c r="AF253" i="38"/>
  <c r="AF254" i="38"/>
  <c r="AF255" i="38"/>
  <c r="AF256" i="38"/>
  <c r="AF257" i="38"/>
  <c r="AF258" i="38"/>
  <c r="AF259" i="38"/>
  <c r="AF260" i="38"/>
  <c r="AF261" i="38"/>
  <c r="AH6" i="31"/>
  <c r="AH7" i="31"/>
  <c r="AH8" i="31"/>
  <c r="AH9" i="31"/>
  <c r="AH10" i="31"/>
  <c r="AH18" i="31"/>
  <c r="AH19" i="31"/>
  <c r="AH21" i="31"/>
  <c r="AH29" i="31"/>
  <c r="AH30" i="31"/>
  <c r="AH31" i="31"/>
  <c r="AH32" i="31"/>
  <c r="AH53" i="31"/>
  <c r="AH60" i="31"/>
  <c r="AH61" i="31"/>
  <c r="AH66" i="31"/>
  <c r="AH67" i="31"/>
  <c r="AH68" i="31"/>
  <c r="AH69" i="31"/>
  <c r="AH70" i="31"/>
  <c r="AH71" i="31"/>
  <c r="AH79" i="31"/>
  <c r="AH80" i="31"/>
  <c r="AH88" i="31"/>
  <c r="AH89" i="31"/>
  <c r="AH96" i="31"/>
  <c r="AH97" i="31"/>
  <c r="AH98" i="31"/>
  <c r="AH99" i="31"/>
  <c r="AH120" i="31"/>
  <c r="AH146" i="31"/>
  <c r="AH153" i="31"/>
  <c r="AH154" i="31"/>
  <c r="AH155" i="31"/>
  <c r="AH156" i="31"/>
  <c r="AH161" i="31"/>
  <c r="AH162" i="31"/>
  <c r="AH163" i="31"/>
  <c r="AH164" i="31"/>
  <c r="AH165" i="31"/>
  <c r="AH166" i="31"/>
  <c r="AH167" i="31"/>
  <c r="AH168" i="31"/>
  <c r="AH169" i="31"/>
  <c r="AH170" i="31"/>
  <c r="AH171" i="31"/>
  <c r="AH172" i="31"/>
  <c r="AH173" i="31"/>
  <c r="AH174" i="31"/>
  <c r="AH181" i="31"/>
  <c r="AH182" i="31"/>
  <c r="AH183" i="31"/>
  <c r="AH186" i="31"/>
  <c r="AH191" i="31"/>
  <c r="AH192" i="31"/>
  <c r="AH193" i="31"/>
  <c r="AH194" i="31"/>
  <c r="AH196" i="31"/>
  <c r="AH200" i="31"/>
  <c r="AH201" i="31"/>
  <c r="AH202" i="31"/>
  <c r="AH214" i="31"/>
  <c r="AH215" i="31"/>
  <c r="AH216" i="31"/>
  <c r="AH217" i="31"/>
  <c r="AH218" i="31"/>
  <c r="AH231" i="31"/>
  <c r="AH232" i="31"/>
  <c r="AH233" i="31"/>
  <c r="AH234" i="31"/>
  <c r="AH235" i="31"/>
  <c r="AH236" i="31"/>
  <c r="AH237" i="31"/>
  <c r="AH238" i="31"/>
  <c r="AH239" i="31"/>
  <c r="AH240" i="31"/>
  <c r="AH241" i="31"/>
  <c r="AH242" i="31"/>
  <c r="AH243" i="31"/>
  <c r="AH244" i="31"/>
  <c r="AH245" i="31"/>
  <c r="AH246" i="31"/>
  <c r="AH247" i="31"/>
  <c r="AH248" i="31"/>
  <c r="AF6" i="31"/>
  <c r="AF7" i="31"/>
  <c r="AF8" i="31"/>
  <c r="AF9" i="31"/>
  <c r="AF10" i="31"/>
  <c r="AF18" i="31"/>
  <c r="AF19" i="31"/>
  <c r="AF21" i="31"/>
  <c r="AF29" i="31"/>
  <c r="AF30" i="31"/>
  <c r="AF31" i="31"/>
  <c r="AF32" i="31"/>
  <c r="AF53" i="31"/>
  <c r="AF60" i="31"/>
  <c r="AF66" i="31"/>
  <c r="AF67" i="31"/>
  <c r="AF68" i="31"/>
  <c r="AF69" i="31"/>
  <c r="AF70" i="31"/>
  <c r="AF71" i="31"/>
  <c r="AF79" i="31"/>
  <c r="AF80" i="31"/>
  <c r="AF96" i="31"/>
  <c r="AF97" i="31"/>
  <c r="AF98" i="31"/>
  <c r="AF99" i="31"/>
  <c r="AF153" i="31"/>
  <c r="AF154" i="31"/>
  <c r="AF155" i="31"/>
  <c r="AF156" i="31"/>
  <c r="AF161" i="31"/>
  <c r="AF162" i="31"/>
  <c r="AF163" i="31"/>
  <c r="AF164" i="31"/>
  <c r="AF165" i="31"/>
  <c r="AF166" i="31"/>
  <c r="AF167" i="31"/>
  <c r="AF168" i="31"/>
  <c r="AF169" i="31"/>
  <c r="AF170" i="31"/>
  <c r="AF171" i="31"/>
  <c r="AF172" i="31"/>
  <c r="AF173" i="31"/>
  <c r="AF174" i="31"/>
  <c r="AF181" i="31"/>
  <c r="AF182" i="31"/>
  <c r="AF183" i="31"/>
  <c r="AF186" i="31"/>
  <c r="AF191" i="31"/>
  <c r="AF192" i="31"/>
  <c r="AF193" i="31"/>
  <c r="AF194" i="31"/>
  <c r="AF200" i="31"/>
  <c r="AF201" i="31"/>
  <c r="AF202" i="31"/>
  <c r="AF214" i="31"/>
  <c r="AF215" i="31"/>
  <c r="AF216" i="31"/>
  <c r="AF217" i="31"/>
  <c r="AF218" i="31"/>
  <c r="AF231" i="31"/>
  <c r="AF232" i="31"/>
  <c r="AF233" i="31"/>
  <c r="AF234" i="31"/>
  <c r="AF235" i="31"/>
  <c r="AF236" i="31"/>
  <c r="AF237" i="31"/>
  <c r="AF238" i="31"/>
  <c r="AF239" i="31"/>
  <c r="AF240" i="31"/>
  <c r="AF241" i="31"/>
  <c r="AF242" i="31"/>
  <c r="AF243" i="31"/>
  <c r="AF244" i="31"/>
  <c r="AF245" i="31"/>
  <c r="AF246" i="31"/>
  <c r="AF247" i="31"/>
  <c r="AF248" i="31"/>
  <c r="AE248" i="31"/>
  <c r="AE174" i="31"/>
  <c r="AE173" i="31"/>
  <c r="AE172" i="31"/>
  <c r="AE171" i="31"/>
  <c r="AE170" i="31"/>
  <c r="AE169" i="31"/>
  <c r="AE168" i="31"/>
  <c r="AE167" i="31"/>
  <c r="R244" i="39"/>
  <c r="AH244" i="39" s="1"/>
  <c r="Q244" i="39"/>
  <c r="O244" i="39"/>
  <c r="AF244" i="39" s="1"/>
  <c r="N244" i="39"/>
  <c r="R209" i="39"/>
  <c r="AH209" i="39" s="1"/>
  <c r="Q209" i="39"/>
  <c r="O209" i="39"/>
  <c r="AF209" i="39" s="1"/>
  <c r="N209" i="39"/>
  <c r="R208" i="39"/>
  <c r="AH208" i="39" s="1"/>
  <c r="Q208" i="39"/>
  <c r="O208" i="39"/>
  <c r="AF208" i="39" s="1"/>
  <c r="N208" i="39"/>
  <c r="R207" i="39"/>
  <c r="AH207" i="39" s="1"/>
  <c r="Q207" i="39"/>
  <c r="O207" i="39"/>
  <c r="AF207" i="39" s="1"/>
  <c r="N207" i="39"/>
  <c r="R206" i="39"/>
  <c r="AH206" i="39" s="1"/>
  <c r="Q206" i="39"/>
  <c r="O206" i="39"/>
  <c r="AF206" i="39" s="1"/>
  <c r="N206" i="39"/>
  <c r="R157" i="39"/>
  <c r="Q157" i="39"/>
  <c r="O157" i="39"/>
  <c r="AF157" i="39" s="1"/>
  <c r="N157" i="39"/>
  <c r="R131" i="39"/>
  <c r="AH131" i="39" s="1"/>
  <c r="Q131" i="39"/>
  <c r="O131" i="39"/>
  <c r="AF131" i="39" s="1"/>
  <c r="N131" i="39"/>
  <c r="R130" i="39"/>
  <c r="AH130" i="39" s="1"/>
  <c r="Q130" i="39"/>
  <c r="O130" i="39"/>
  <c r="AF130" i="39" s="1"/>
  <c r="N130" i="39"/>
  <c r="R95" i="39"/>
  <c r="AH95" i="39" s="1"/>
  <c r="Q95" i="39"/>
  <c r="O95" i="39"/>
  <c r="AF95" i="39" s="1"/>
  <c r="N95" i="39"/>
  <c r="R94" i="39"/>
  <c r="Q94" i="39"/>
  <c r="O94" i="39"/>
  <c r="AF94" i="39" s="1"/>
  <c r="N94" i="39"/>
  <c r="R93" i="39"/>
  <c r="Q93" i="39"/>
  <c r="O93" i="39"/>
  <c r="AF93" i="39" s="1"/>
  <c r="N93" i="39"/>
  <c r="R65" i="39"/>
  <c r="AH65" i="39" s="1"/>
  <c r="Q65" i="39"/>
  <c r="O65" i="39"/>
  <c r="AF65" i="39" s="1"/>
  <c r="N65" i="39"/>
  <c r="R57" i="39"/>
  <c r="Q57" i="39"/>
  <c r="O57" i="39"/>
  <c r="AF57" i="39" s="1"/>
  <c r="N57" i="39"/>
  <c r="Q8" i="39"/>
  <c r="R8" i="39" s="1"/>
  <c r="AH8" i="39" s="1"/>
  <c r="N8" i="39"/>
  <c r="O8" i="39" s="1"/>
  <c r="AF8" i="39" s="1"/>
  <c r="R245" i="38"/>
  <c r="AH245" i="38" s="1"/>
  <c r="Q245" i="38"/>
  <c r="O245" i="38"/>
  <c r="R211" i="38"/>
  <c r="Q211" i="38"/>
  <c r="O211" i="38"/>
  <c r="R210" i="38"/>
  <c r="Q210" i="38"/>
  <c r="O210" i="38"/>
  <c r="AF210" i="38" s="1"/>
  <c r="R209" i="38"/>
  <c r="Q209" i="38"/>
  <c r="O209" i="38"/>
  <c r="AF209" i="38" s="1"/>
  <c r="R208" i="38"/>
  <c r="AH208" i="38" s="1"/>
  <c r="Q208" i="38"/>
  <c r="O208" i="38"/>
  <c r="AF208" i="38" s="1"/>
  <c r="R198" i="38"/>
  <c r="Q198" i="38"/>
  <c r="O198" i="38"/>
  <c r="R158" i="38"/>
  <c r="AH158" i="38" s="1"/>
  <c r="Q158" i="38"/>
  <c r="O158" i="38"/>
  <c r="AF158" i="38" s="1"/>
  <c r="R132" i="38"/>
  <c r="Q132" i="38"/>
  <c r="O132" i="38"/>
  <c r="R131" i="38"/>
  <c r="AH131" i="38" s="1"/>
  <c r="Q131" i="38"/>
  <c r="O131" i="38"/>
  <c r="R95" i="38"/>
  <c r="Q95" i="38"/>
  <c r="O95" i="38"/>
  <c r="AF95" i="38" s="1"/>
  <c r="R94" i="38"/>
  <c r="AH94" i="38" s="1"/>
  <c r="Q94" i="38"/>
  <c r="O94" i="38"/>
  <c r="AF94" i="38" s="1"/>
  <c r="R93" i="38"/>
  <c r="AH93" i="38" s="1"/>
  <c r="Q93" i="38"/>
  <c r="O93" i="38"/>
  <c r="AF93" i="38" s="1"/>
  <c r="Q8" i="38"/>
  <c r="R8" i="38" s="1"/>
  <c r="AH8" i="38" s="1"/>
  <c r="R231" i="31"/>
  <c r="R199" i="31"/>
  <c r="AH199" i="31" s="1"/>
  <c r="R198" i="31"/>
  <c r="AH198" i="31" s="1"/>
  <c r="R197" i="31"/>
  <c r="AH197" i="31" s="1"/>
  <c r="R196" i="31"/>
  <c r="R146" i="31"/>
  <c r="R120" i="31"/>
  <c r="R119" i="31"/>
  <c r="AH119" i="31" s="1"/>
  <c r="R89" i="31"/>
  <c r="R88" i="31"/>
  <c r="R87" i="31"/>
  <c r="AH87" i="31" s="1"/>
  <c r="R61" i="31"/>
  <c r="O231" i="31"/>
  <c r="O199" i="31"/>
  <c r="AF199" i="31" s="1"/>
  <c r="O198" i="31"/>
  <c r="AF198" i="31" s="1"/>
  <c r="O197" i="31"/>
  <c r="AF197" i="31" s="1"/>
  <c r="O196" i="31"/>
  <c r="AF196" i="31" s="1"/>
  <c r="O146" i="31"/>
  <c r="AF146" i="31" s="1"/>
  <c r="O120" i="31"/>
  <c r="AF120" i="31" s="1"/>
  <c r="O119" i="31"/>
  <c r="AF119" i="31" s="1"/>
  <c r="O89" i="31"/>
  <c r="AF89" i="31" s="1"/>
  <c r="O88" i="31"/>
  <c r="AF88" i="31" s="1"/>
  <c r="O87" i="31"/>
  <c r="AF87" i="31" s="1"/>
  <c r="O61" i="31"/>
  <c r="AF61" i="31" s="1"/>
  <c r="AI257" i="3" l="1"/>
  <c r="R205" i="39"/>
  <c r="AH205" i="39" s="1"/>
  <c r="R129" i="39"/>
  <c r="AH129" i="39" s="1"/>
  <c r="R7" i="39"/>
  <c r="AH7" i="39" s="1"/>
  <c r="R207" i="38"/>
  <c r="AH207" i="38" s="1"/>
  <c r="R130" i="38"/>
  <c r="AH130" i="38" s="1"/>
  <c r="R118" i="31"/>
  <c r="AH118" i="31" s="1"/>
  <c r="R86" i="31"/>
  <c r="AH86" i="31" s="1"/>
  <c r="O243" i="39"/>
  <c r="AF243" i="39" s="1"/>
  <c r="O205" i="39"/>
  <c r="AF205" i="39" s="1"/>
  <c r="O129" i="39"/>
  <c r="AF129" i="39" s="1"/>
  <c r="O92" i="39"/>
  <c r="AF92" i="39" s="1"/>
  <c r="R27" i="39"/>
  <c r="R34" i="39"/>
  <c r="R92" i="39"/>
  <c r="AH92" i="39" s="1"/>
  <c r="R102" i="39"/>
  <c r="R177" i="39"/>
  <c r="R227" i="39"/>
  <c r="R243" i="39"/>
  <c r="AH243" i="39" s="1"/>
  <c r="O7" i="39"/>
  <c r="AF7" i="39" s="1"/>
  <c r="O27" i="39"/>
  <c r="O34" i="39"/>
  <c r="O102" i="39"/>
  <c r="O177" i="39"/>
  <c r="O227" i="39"/>
  <c r="O207" i="38"/>
  <c r="AF207" i="38" s="1"/>
  <c r="O130" i="38"/>
  <c r="AF130" i="38" s="1"/>
  <c r="R7" i="38"/>
  <c r="AH7" i="38" s="1"/>
  <c r="R92" i="38"/>
  <c r="AH92" i="38" s="1"/>
  <c r="R101" i="38"/>
  <c r="R178" i="38"/>
  <c r="R228" i="38"/>
  <c r="R244" i="38"/>
  <c r="AH244" i="38" s="1"/>
  <c r="O92" i="38"/>
  <c r="AF92" i="38" s="1"/>
  <c r="O101" i="38"/>
  <c r="O178" i="38"/>
  <c r="O228" i="38"/>
  <c r="O244" i="38"/>
  <c r="AF244" i="38" s="1"/>
  <c r="O230" i="31"/>
  <c r="AF230" i="31" s="1"/>
  <c r="O118" i="31"/>
  <c r="AF118" i="31" s="1"/>
  <c r="R29" i="31"/>
  <c r="R166" i="31"/>
  <c r="R214" i="31"/>
  <c r="R230" i="31"/>
  <c r="AH230" i="31" s="1"/>
  <c r="O29" i="31"/>
  <c r="O166" i="31"/>
  <c r="O214" i="31"/>
  <c r="Q255" i="39"/>
  <c r="R255" i="39" s="1"/>
  <c r="N255" i="39"/>
  <c r="O255" i="39" s="1"/>
  <c r="Q251" i="39"/>
  <c r="R251" i="39" s="1"/>
  <c r="N251" i="39"/>
  <c r="O251" i="39" s="1"/>
  <c r="Q256" i="38"/>
  <c r="R256" i="38" s="1"/>
  <c r="N256" i="38"/>
  <c r="O256" i="38" s="1"/>
  <c r="Q252" i="38"/>
  <c r="R252" i="38" s="1"/>
  <c r="N252" i="38"/>
  <c r="O252" i="38" s="1"/>
  <c r="N245" i="38"/>
  <c r="N211" i="38"/>
  <c r="N210" i="38"/>
  <c r="N209" i="38"/>
  <c r="N208" i="38"/>
  <c r="N198" i="38"/>
  <c r="N158" i="38"/>
  <c r="N132" i="38"/>
  <c r="N131" i="38"/>
  <c r="N95" i="38"/>
  <c r="N94" i="38"/>
  <c r="N93" i="38"/>
  <c r="N8" i="38"/>
  <c r="O8" i="38" s="1"/>
  <c r="O7" i="38" s="1"/>
  <c r="Q242" i="31"/>
  <c r="R242" i="31" s="1"/>
  <c r="N242" i="31"/>
  <c r="Q238" i="31"/>
  <c r="R238" i="31" s="1"/>
  <c r="N238" i="31"/>
  <c r="Q231" i="31"/>
  <c r="N231" i="31"/>
  <c r="Q199" i="31"/>
  <c r="N199" i="31"/>
  <c r="Q198" i="31"/>
  <c r="N198" i="31"/>
  <c r="Q197" i="31"/>
  <c r="N197" i="31"/>
  <c r="Q196" i="31"/>
  <c r="N196" i="31"/>
  <c r="Q146" i="31"/>
  <c r="N146" i="31"/>
  <c r="Q120" i="31"/>
  <c r="N120" i="31"/>
  <c r="Q119" i="31"/>
  <c r="N119" i="31"/>
  <c r="Q89" i="31"/>
  <c r="N89" i="31"/>
  <c r="Q88" i="31"/>
  <c r="N88" i="31"/>
  <c r="Q87" i="31"/>
  <c r="N87" i="31"/>
  <c r="Q61" i="31"/>
  <c r="N61" i="31"/>
  <c r="Q8" i="31"/>
  <c r="R8" i="31" s="1"/>
  <c r="N8" i="31"/>
  <c r="AC229" i="39" a="1"/>
  <c r="AC229" i="39" s="1"/>
  <c r="AC230" i="39" a="1"/>
  <c r="AC230" i="39" s="1"/>
  <c r="AC231" i="39" a="1"/>
  <c r="AC231" i="39" s="1"/>
  <c r="AC232" i="39" a="1"/>
  <c r="AC232" i="39" s="1"/>
  <c r="AC233" i="39" a="1"/>
  <c r="AC233" i="39" s="1"/>
  <c r="AC239" i="39" a="1"/>
  <c r="AC239" i="39" s="1"/>
  <c r="AC240" i="39" a="1"/>
  <c r="AC240" i="39" s="1"/>
  <c r="AC243" i="39" a="1"/>
  <c r="AC243" i="39" s="1"/>
  <c r="AC245" i="39" a="1"/>
  <c r="AC245" i="39" s="1"/>
  <c r="AC246" i="39" a="1"/>
  <c r="AC246" i="39" s="1"/>
  <c r="AC247" i="39" a="1"/>
  <c r="AC247" i="39" s="1"/>
  <c r="AC250" i="39" a="1"/>
  <c r="AC250" i="39" s="1"/>
  <c r="AC256" i="39" a="1"/>
  <c r="AC256" i="39" s="1"/>
  <c r="AC259" i="39" a="1"/>
  <c r="AC259" i="39" s="1"/>
  <c r="AC227" i="39" a="1"/>
  <c r="AC227" i="39" s="1"/>
  <c r="AC228" i="39" a="1"/>
  <c r="AC228" i="39" s="1"/>
  <c r="I225" i="39"/>
  <c r="AC225" i="39" s="1" a="1"/>
  <c r="AC225" i="39" s="1"/>
  <c r="I226" i="39"/>
  <c r="AC226" i="39" s="1" a="1"/>
  <c r="AC226" i="39" s="1"/>
  <c r="AC212" i="39" a="1"/>
  <c r="AC212" i="39" s="1"/>
  <c r="AC213" i="39" a="1"/>
  <c r="AC213" i="39" s="1"/>
  <c r="AC214" i="39" a="1"/>
  <c r="AC214" i="39" s="1"/>
  <c r="AC220" i="39" a="1"/>
  <c r="AC220" i="39" s="1"/>
  <c r="AC97" i="39" a="1"/>
  <c r="AC97" i="39" s="1"/>
  <c r="AC102" i="39" a="1"/>
  <c r="AC102" i="39" s="1"/>
  <c r="AC103" i="39" a="1"/>
  <c r="AC103" i="39" s="1"/>
  <c r="AC104" i="39" a="1"/>
  <c r="AC104" i="39" s="1"/>
  <c r="AC105" i="39" a="1"/>
  <c r="AC105" i="39" s="1"/>
  <c r="AC106" i="39" a="1"/>
  <c r="AC106" i="39" s="1"/>
  <c r="AC107" i="39" a="1"/>
  <c r="AC107" i="39" s="1"/>
  <c r="AC108" i="39" a="1"/>
  <c r="AC108" i="39" s="1"/>
  <c r="AC116" i="39" a="1"/>
  <c r="AC116" i="39" s="1"/>
  <c r="AC117" i="39" a="1"/>
  <c r="AC117" i="39" s="1"/>
  <c r="AC120" i="39" a="1"/>
  <c r="AC120" i="39" s="1"/>
  <c r="AC121" i="39" a="1"/>
  <c r="AC121" i="39" s="1"/>
  <c r="AC125" i="39" a="1"/>
  <c r="AC125" i="39" s="1"/>
  <c r="AC129" i="39" a="1"/>
  <c r="AC129" i="39" s="1"/>
  <c r="AC132" i="39" a="1"/>
  <c r="AC132" i="39" s="1"/>
  <c r="AC136" i="39" a="1"/>
  <c r="AC136" i="39" s="1"/>
  <c r="AC141" i="39" a="1"/>
  <c r="AC141" i="39" s="1"/>
  <c r="AC144" i="39" a="1"/>
  <c r="AC144" i="39"/>
  <c r="AC147" i="39" a="1"/>
  <c r="AC147" i="39" s="1"/>
  <c r="AC152" i="39" a="1"/>
  <c r="AC152" i="39" s="1"/>
  <c r="AC155" i="39" a="1"/>
  <c r="AC155" i="39" s="1"/>
  <c r="AC158" i="39" a="1"/>
  <c r="AC158" i="39" s="1"/>
  <c r="AC159" i="39" a="1"/>
  <c r="AC159" i="39" s="1"/>
  <c r="AC165" i="39" a="1"/>
  <c r="AC165" i="39" s="1"/>
  <c r="AC166" i="39" a="1"/>
  <c r="AC166" i="39" s="1"/>
  <c r="AC167" i="39" a="1"/>
  <c r="AC167" i="39" s="1"/>
  <c r="AC168" i="39" a="1"/>
  <c r="AC168" i="39" s="1"/>
  <c r="AC172" i="39" a="1"/>
  <c r="AC172" i="39" s="1"/>
  <c r="AC173" i="39" a="1"/>
  <c r="AC173" i="39" s="1"/>
  <c r="AC174" i="39" a="1"/>
  <c r="AC174" i="39" s="1"/>
  <c r="AC175" i="39" a="1"/>
  <c r="AC175" i="39" s="1"/>
  <c r="AC176" i="39" a="1"/>
  <c r="AC176" i="39" s="1"/>
  <c r="AC177" i="39" a="1"/>
  <c r="AC177" i="39" s="1"/>
  <c r="AC178" i="39" a="1"/>
  <c r="AC178" i="39" s="1"/>
  <c r="AC179" i="39" a="1"/>
  <c r="AC179" i="39" s="1"/>
  <c r="AC180" i="39" a="1"/>
  <c r="AC180" i="39" s="1"/>
  <c r="AC181" i="39" a="1"/>
  <c r="AC181" i="39" s="1"/>
  <c r="AC182" i="39" a="1"/>
  <c r="AC182" i="39" s="1"/>
  <c r="AC183" i="39" a="1"/>
  <c r="AC183" i="39" s="1"/>
  <c r="AC184" i="39" a="1"/>
  <c r="AC184" i="39" s="1"/>
  <c r="AC185" i="39" a="1"/>
  <c r="AC185" i="39" s="1"/>
  <c r="AC186" i="39" a="1"/>
  <c r="AC186" i="39" s="1"/>
  <c r="AC187" i="39" a="1"/>
  <c r="AC187" i="39" s="1"/>
  <c r="AC193" i="39" a="1"/>
  <c r="AC193" i="39" s="1"/>
  <c r="AC194" i="39" a="1"/>
  <c r="AC194" i="39" s="1"/>
  <c r="AC195" i="39" a="1"/>
  <c r="AC195" i="39" s="1"/>
  <c r="AC197" i="39" a="1"/>
  <c r="AC197" i="39" s="1"/>
  <c r="AC198" i="39" a="1"/>
  <c r="AC198" i="39" s="1"/>
  <c r="AC203" i="39" a="1"/>
  <c r="AC203" i="39" s="1"/>
  <c r="AC204" i="39" a="1"/>
  <c r="AC204" i="39" s="1"/>
  <c r="AC205" i="39" a="1"/>
  <c r="AC205" i="39" s="1"/>
  <c r="AC210" i="39" a="1"/>
  <c r="AC210" i="39" s="1"/>
  <c r="AC211" i="39" a="1"/>
  <c r="AC211" i="39" s="1"/>
  <c r="AC12" i="39" a="1"/>
  <c r="AC12" i="39" s="1"/>
  <c r="AC18" i="39" a="1"/>
  <c r="AC18" i="39" s="1"/>
  <c r="AC19" i="39" a="1"/>
  <c r="AC19" i="39" s="1"/>
  <c r="AC20" i="39" a="1"/>
  <c r="AC20" i="39" s="1"/>
  <c r="AC21" i="39" a="1"/>
  <c r="AC21" i="39" s="1"/>
  <c r="AC22" i="39" a="1"/>
  <c r="AC22" i="39" s="1"/>
  <c r="AC23" i="39" a="1"/>
  <c r="AC23" i="39" s="1"/>
  <c r="AC27" i="39" a="1"/>
  <c r="AC27" i="39" s="1"/>
  <c r="AC28" i="39" a="1"/>
  <c r="AC28" i="39" s="1"/>
  <c r="AC29" i="39" a="1"/>
  <c r="AC29" i="39" s="1"/>
  <c r="AC30" i="39" a="1"/>
  <c r="AC30" i="39" s="1"/>
  <c r="AC31" i="39" a="1"/>
  <c r="AC31" i="39" s="1"/>
  <c r="AC32" i="39" a="1"/>
  <c r="AC32" i="39" s="1"/>
  <c r="AC33" i="39" a="1"/>
  <c r="AC33" i="39" s="1"/>
  <c r="AC34" i="39" a="1"/>
  <c r="AC34" i="39" s="1"/>
  <c r="AC35" i="39" a="1"/>
  <c r="AC35" i="39" s="1"/>
  <c r="AC36" i="39" a="1"/>
  <c r="AC36" i="39" s="1"/>
  <c r="AC37" i="39" a="1"/>
  <c r="AC37" i="39" s="1"/>
  <c r="AC38" i="39" a="1"/>
  <c r="AC38" i="39" s="1"/>
  <c r="AC39" i="39" a="1"/>
  <c r="AC39" i="39" s="1"/>
  <c r="AC46" i="39" a="1"/>
  <c r="AC46" i="39" s="1"/>
  <c r="AC50" i="39" a="1"/>
  <c r="AC50" i="39" s="1"/>
  <c r="AC51" i="39" a="1"/>
  <c r="AC51" i="39" s="1"/>
  <c r="AC54" i="39" a="1"/>
  <c r="AC54" i="39" s="1"/>
  <c r="AC58" i="39" a="1"/>
  <c r="AC58" i="39" s="1"/>
  <c r="AC62" i="39" a="1"/>
  <c r="AC62" i="39" s="1"/>
  <c r="AC63" i="39" a="1"/>
  <c r="AC63" i="39" s="1"/>
  <c r="AC64" i="39" a="1"/>
  <c r="AC64" i="39" s="1"/>
  <c r="AC66" i="39" a="1"/>
  <c r="AC66" i="39" s="1"/>
  <c r="AC67" i="39" a="1"/>
  <c r="AC67" i="39" s="1"/>
  <c r="AC71" i="39" a="1"/>
  <c r="AC71" i="39" s="1"/>
  <c r="AC72" i="39" a="1"/>
  <c r="AC72" i="39" s="1"/>
  <c r="AC73" i="39" a="1"/>
  <c r="AC73" i="39" s="1"/>
  <c r="AC74" i="39" a="1"/>
  <c r="AC74" i="39" s="1"/>
  <c r="AC75" i="39" a="1"/>
  <c r="AC75" i="39" s="1"/>
  <c r="AC76" i="39" a="1"/>
  <c r="AC76" i="39" s="1"/>
  <c r="AC80" i="39" a="1"/>
  <c r="AC80" i="39" s="1"/>
  <c r="AC84" i="39" a="1"/>
  <c r="AC84" i="39" s="1"/>
  <c r="AC85" i="39" a="1"/>
  <c r="AC85" i="39" s="1"/>
  <c r="AC86" i="39" a="1"/>
  <c r="AC86" i="39" s="1"/>
  <c r="AC87" i="39" a="1"/>
  <c r="AC87" i="39" s="1"/>
  <c r="AC88" i="39" a="1"/>
  <c r="AC88" i="39" s="1"/>
  <c r="AC92" i="39" a="1"/>
  <c r="AC92" i="39" s="1"/>
  <c r="AC96" i="39" a="1"/>
  <c r="AC96" i="39" s="1"/>
  <c r="AC11" i="39" a="1"/>
  <c r="AC11" i="39" s="1"/>
  <c r="AC212" i="38" a="1"/>
  <c r="AC212" i="38" s="1"/>
  <c r="AC213" i="38" a="1"/>
  <c r="AC213" i="38" s="1"/>
  <c r="AC214" i="38" a="1"/>
  <c r="AC214" i="38" s="1"/>
  <c r="AC215" i="38" a="1"/>
  <c r="AC215" i="38" s="1"/>
  <c r="AC216" i="38" a="1"/>
  <c r="AC216" i="38" s="1"/>
  <c r="AC222" i="38" a="1"/>
  <c r="AC222" i="38" s="1"/>
  <c r="AC226" i="38" a="1"/>
  <c r="AC226" i="38" s="1"/>
  <c r="AC228" i="38" a="1"/>
  <c r="AC228" i="38" s="1"/>
  <c r="AC229" i="38" a="1"/>
  <c r="AC229" i="38" s="1"/>
  <c r="AC230" i="38" a="1"/>
  <c r="AC230" i="38" s="1"/>
  <c r="AC231" i="38" a="1"/>
  <c r="AC231" i="38" s="1"/>
  <c r="AC232" i="38" a="1"/>
  <c r="AC232" i="38" s="1"/>
  <c r="AC233" i="38" a="1"/>
  <c r="AC233" i="38" s="1"/>
  <c r="AC234" i="38" a="1"/>
  <c r="AC234" i="38" s="1"/>
  <c r="AC240" i="38" a="1"/>
  <c r="AC240" i="38" s="1"/>
  <c r="AC241" i="38" a="1"/>
  <c r="AC241" i="38" s="1"/>
  <c r="AC244" i="38" a="1"/>
  <c r="AC244" i="38" s="1"/>
  <c r="AC246" i="38" a="1"/>
  <c r="AC246" i="38" s="1"/>
  <c r="AC247" i="38" a="1"/>
  <c r="AC247" i="38" s="1"/>
  <c r="AC248" i="38" a="1"/>
  <c r="AC248" i="38" s="1"/>
  <c r="AC251" i="38" a="1"/>
  <c r="AC251" i="38" s="1"/>
  <c r="AC257" i="38" a="1"/>
  <c r="AC257" i="38" s="1"/>
  <c r="AC260" i="38" a="1"/>
  <c r="AC260" i="38" s="1"/>
  <c r="AC137" i="38" a="1"/>
  <c r="AC137" i="38" s="1"/>
  <c r="AC142" i="38" a="1"/>
  <c r="AC142" i="38" s="1"/>
  <c r="AC145" i="38" a="1"/>
  <c r="AC145" i="38" s="1"/>
  <c r="AC148" i="38" a="1"/>
  <c r="AC148" i="38" s="1"/>
  <c r="AC153" i="38" a="1"/>
  <c r="AC153" i="38" s="1"/>
  <c r="AC156" i="38" a="1"/>
  <c r="AC156" i="38" s="1"/>
  <c r="AC159" i="38" a="1"/>
  <c r="AC159" i="38" s="1"/>
  <c r="AC160" i="38" a="1"/>
  <c r="AC160" i="38" s="1"/>
  <c r="AC165" i="38" a="1"/>
  <c r="AC165" i="38" s="1"/>
  <c r="AC166" i="38" a="1"/>
  <c r="AC166" i="38" s="1"/>
  <c r="AC167" i="38" a="1"/>
  <c r="AC167" i="38" s="1"/>
  <c r="AC168" i="38" a="1"/>
  <c r="AC168" i="38" s="1"/>
  <c r="AC169" i="38" a="1"/>
  <c r="AC169" i="38" s="1"/>
  <c r="AC173" i="38" a="1"/>
  <c r="AC173" i="38" s="1"/>
  <c r="AC174" i="38" a="1"/>
  <c r="AC174" i="38"/>
  <c r="AC175" i="38" a="1"/>
  <c r="AC175" i="38" s="1"/>
  <c r="AC176" i="38" a="1"/>
  <c r="AC176" i="38" s="1"/>
  <c r="AC177" i="38" a="1"/>
  <c r="AC177" i="38" s="1"/>
  <c r="AC178" i="38" a="1"/>
  <c r="AC178" i="38" s="1"/>
  <c r="AC179" i="38" a="1"/>
  <c r="AC179" i="38" s="1"/>
  <c r="AC180" i="38" a="1"/>
  <c r="AC180" i="38" s="1"/>
  <c r="AC181" i="38" a="1"/>
  <c r="AC181" i="38" s="1"/>
  <c r="AC182" i="38" a="1"/>
  <c r="AC182" i="38" s="1"/>
  <c r="AC183" i="38" a="1"/>
  <c r="AC183" i="38" s="1"/>
  <c r="AC184" i="38" a="1"/>
  <c r="AC184" i="38" s="1"/>
  <c r="AC185" i="38" a="1"/>
  <c r="AC185" i="38" s="1"/>
  <c r="AC186" i="38" a="1"/>
  <c r="AC186" i="38" s="1"/>
  <c r="AC187" i="38" a="1"/>
  <c r="AC187" i="38" s="1"/>
  <c r="AC188" i="38" a="1"/>
  <c r="AC188" i="38" s="1"/>
  <c r="AC194" i="38" a="1"/>
  <c r="AC194" i="38" s="1"/>
  <c r="AC195" i="38" a="1"/>
  <c r="AC195" i="38" s="1"/>
  <c r="AC196" i="38" a="1"/>
  <c r="AC196" i="38" s="1"/>
  <c r="AC199" i="38" a="1"/>
  <c r="AC199" i="38" s="1"/>
  <c r="AC203" i="38" a="1"/>
  <c r="AC203" i="38" s="1"/>
  <c r="AC204" i="38" a="1"/>
  <c r="AC204" i="38" s="1"/>
  <c r="AC205" i="38" a="1"/>
  <c r="AC205" i="38" s="1"/>
  <c r="AC206" i="38" a="1"/>
  <c r="AC206" i="38" s="1"/>
  <c r="AC207" i="38" a="1"/>
  <c r="AC207" i="38" s="1"/>
  <c r="AC96" i="38" a="1"/>
  <c r="AC96" i="38" s="1"/>
  <c r="AC97" i="38" a="1"/>
  <c r="AC97" i="38" s="1"/>
  <c r="AC101" i="38" a="1"/>
  <c r="AC101" i="38" s="1"/>
  <c r="AC102" i="38" a="1"/>
  <c r="AC102" i="38" s="1"/>
  <c r="AC103" i="38" a="1"/>
  <c r="AC103" i="38" s="1"/>
  <c r="AC104" i="38" a="1"/>
  <c r="AC104" i="38" s="1"/>
  <c r="AC105" i="38" a="1"/>
  <c r="AC105" i="38" s="1"/>
  <c r="AC106" i="38" a="1"/>
  <c r="AC106" i="38" s="1"/>
  <c r="AC107" i="38" a="1"/>
  <c r="AC107" i="38" s="1"/>
  <c r="AC119" i="38" a="1"/>
  <c r="AC119" i="38" s="1"/>
  <c r="AC120" i="38" a="1"/>
  <c r="AC120" i="38" s="1"/>
  <c r="AC125" i="38" a="1"/>
  <c r="AC125" i="38" s="1"/>
  <c r="AC130" i="38" a="1"/>
  <c r="AC130" i="38" s="1"/>
  <c r="AC133" i="38" a="1"/>
  <c r="AC133" i="38" s="1"/>
  <c r="AC92" i="38" a="1"/>
  <c r="AC92" i="38" s="1"/>
  <c r="AC12" i="38" a="1"/>
  <c r="AC12" i="38" s="1"/>
  <c r="AC18" i="38" a="1"/>
  <c r="AC18" i="38" s="1"/>
  <c r="AC19" i="38" a="1"/>
  <c r="AC19" i="38" s="1"/>
  <c r="AC20" i="38" a="1"/>
  <c r="AC20" i="38" s="1"/>
  <c r="AC21" i="38" a="1"/>
  <c r="AC21" i="38" s="1"/>
  <c r="AC22" i="38" a="1"/>
  <c r="AC22" i="38" s="1"/>
  <c r="AC23" i="38" a="1"/>
  <c r="AC23" i="38" s="1"/>
  <c r="AC27" i="38" a="1"/>
  <c r="AC27" i="38" s="1"/>
  <c r="AC34" i="38" a="1"/>
  <c r="AC34" i="38" s="1"/>
  <c r="AC37" i="38" a="1"/>
  <c r="AC37" i="38" s="1"/>
  <c r="AC38" i="38" a="1"/>
  <c r="AC38" i="38" s="1"/>
  <c r="AC39" i="38" a="1"/>
  <c r="AC39" i="38" s="1"/>
  <c r="AC46" i="38" a="1"/>
  <c r="AC46" i="38" s="1"/>
  <c r="AC50" i="38" a="1"/>
  <c r="AC50" i="38" s="1"/>
  <c r="AC51" i="38" a="1"/>
  <c r="AC51" i="38" s="1"/>
  <c r="AC54" i="38" a="1"/>
  <c r="AC54" i="38" s="1"/>
  <c r="AC57" i="38" a="1"/>
  <c r="AC57" i="38" s="1"/>
  <c r="AC58" i="38" a="1"/>
  <c r="AC58" i="38" s="1"/>
  <c r="AC63" i="38" a="1"/>
  <c r="AC63" i="38" s="1"/>
  <c r="AC64" i="38" a="1"/>
  <c r="AC64" i="38" s="1"/>
  <c r="AC65" i="38" a="1"/>
  <c r="AC65" i="38" s="1"/>
  <c r="AC66" i="38" a="1"/>
  <c r="AC66" i="38" s="1"/>
  <c r="AC67" i="38" a="1"/>
  <c r="AC67" i="38" s="1"/>
  <c r="AC74" i="38" a="1"/>
  <c r="AC74" i="38" s="1"/>
  <c r="AC75" i="38" a="1"/>
  <c r="AC75" i="38" s="1"/>
  <c r="AC76" i="38" a="1"/>
  <c r="AC76" i="38" s="1"/>
  <c r="AC80" i="38" a="1"/>
  <c r="AC80" i="38" s="1"/>
  <c r="AC87" i="38" a="1"/>
  <c r="AC87" i="38" s="1"/>
  <c r="AC88" i="38" a="1"/>
  <c r="AC88" i="38" s="1"/>
  <c r="AC11" i="38" a="1"/>
  <c r="AC11" i="38" s="1"/>
  <c r="AC234" i="31" a="1"/>
  <c r="AC234" i="31" s="1"/>
  <c r="AC237" i="31" a="1"/>
  <c r="AC237" i="31" s="1"/>
  <c r="AC243" i="31" a="1"/>
  <c r="AC243" i="31" s="1"/>
  <c r="AC246" i="31" a="1"/>
  <c r="AC246" i="31" s="1"/>
  <c r="AC200" i="31" a="1"/>
  <c r="AC200" i="31" s="1"/>
  <c r="AC201" i="31" a="1"/>
  <c r="AC201" i="31" s="1"/>
  <c r="AC202" i="31" a="1"/>
  <c r="AC202" i="31" s="1"/>
  <c r="AC203" i="31" a="1"/>
  <c r="AC203" i="31" s="1"/>
  <c r="AC204" i="31" a="1"/>
  <c r="AC204" i="31" s="1"/>
  <c r="AC209" i="31" a="1"/>
  <c r="AC209" i="31" s="1"/>
  <c r="AC214" i="31" a="1"/>
  <c r="AC214" i="31" s="1"/>
  <c r="AC215" i="31" a="1"/>
  <c r="AC215" i="31" s="1"/>
  <c r="AC216" i="31" a="1"/>
  <c r="AC216" i="31" s="1"/>
  <c r="AC217" i="31" a="1"/>
  <c r="AC217" i="31" s="1"/>
  <c r="AC218" i="31" a="1"/>
  <c r="AC218" i="31" s="1"/>
  <c r="AC219" i="31" a="1"/>
  <c r="AC219" i="31" s="1"/>
  <c r="AC220" i="31" a="1"/>
  <c r="AC220" i="31" s="1"/>
  <c r="AC227" i="31" a="1"/>
  <c r="AC227" i="31" s="1"/>
  <c r="AC230" i="31" a="1"/>
  <c r="AC230" i="31" s="1"/>
  <c r="AC232" i="31" a="1"/>
  <c r="AC232" i="31" s="1"/>
  <c r="AC233" i="31" a="1"/>
  <c r="AC233" i="31" s="1"/>
  <c r="AC125" i="31" a="1"/>
  <c r="AC125" i="31" s="1"/>
  <c r="AC130" i="31" a="1"/>
  <c r="AC130" i="31" s="1"/>
  <c r="AC133" i="31" a="1"/>
  <c r="AC133" i="31" s="1"/>
  <c r="AC136" i="31" a="1"/>
  <c r="AC136" i="31" s="1"/>
  <c r="AC141" i="31" a="1"/>
  <c r="AC141" i="31" s="1"/>
  <c r="AC144" i="31" a="1"/>
  <c r="AC144" i="31" s="1"/>
  <c r="AC147" i="31" a="1"/>
  <c r="AC147" i="31" s="1"/>
  <c r="AC148" i="31" a="1"/>
  <c r="AC148" i="31" s="1"/>
  <c r="AC153" i="31" a="1"/>
  <c r="AC153" i="31" s="1"/>
  <c r="AC154" i="31" a="1"/>
  <c r="AC154" i="31" s="1"/>
  <c r="AC155" i="31" a="1"/>
  <c r="AC155" i="31" s="1"/>
  <c r="AC156" i="31" a="1"/>
  <c r="AC156" i="31" s="1"/>
  <c r="AC157" i="31" a="1"/>
  <c r="AC157" i="31" s="1"/>
  <c r="AC161" i="31" a="1"/>
  <c r="AC161" i="31" s="1"/>
  <c r="AC162" i="31" a="1"/>
  <c r="AC162" i="31" s="1"/>
  <c r="AC163" i="31" a="1"/>
  <c r="AC163" i="31" s="1"/>
  <c r="AC164" i="31" a="1"/>
  <c r="AC164" i="31" s="1"/>
  <c r="AC165" i="31" a="1"/>
  <c r="AC165" i="31" s="1"/>
  <c r="AC166" i="31" a="1"/>
  <c r="AC166" i="31" s="1"/>
  <c r="AC167" i="31" a="1"/>
  <c r="AC167" i="31" s="1"/>
  <c r="AC168" i="31" a="1"/>
  <c r="AC168" i="31" s="1"/>
  <c r="AC169" i="31" a="1"/>
  <c r="AC169" i="31" s="1"/>
  <c r="AC170" i="31" a="1"/>
  <c r="AC170" i="31" s="1"/>
  <c r="AC171" i="31" a="1"/>
  <c r="AC171" i="31" s="1"/>
  <c r="AC172" i="31" a="1"/>
  <c r="AC172" i="31" s="1"/>
  <c r="AC173" i="31" a="1"/>
  <c r="AC173" i="31" s="1"/>
  <c r="AC174" i="31" a="1"/>
  <c r="AC174" i="31" s="1"/>
  <c r="AC175" i="31" a="1"/>
  <c r="AC175" i="31" s="1"/>
  <c r="AC176" i="31" a="1"/>
  <c r="AC176" i="31" s="1"/>
  <c r="AC181" i="31" a="1"/>
  <c r="AC181" i="31" s="1"/>
  <c r="AC182" i="31" a="1"/>
  <c r="AC182" i="31" s="1"/>
  <c r="AC183" i="31" a="1"/>
  <c r="AC183" i="31" s="1"/>
  <c r="AC184" i="31" a="1"/>
  <c r="AC184" i="31" s="1"/>
  <c r="AC186" i="31" a="1"/>
  <c r="AC186" i="31" s="1"/>
  <c r="AC187" i="31" a="1"/>
  <c r="AC187" i="31" s="1"/>
  <c r="AC191" i="31" a="1"/>
  <c r="AC191" i="31" s="1"/>
  <c r="AC192" i="31" a="1"/>
  <c r="AC192" i="31" s="1"/>
  <c r="AC193" i="31" a="1"/>
  <c r="AC193" i="31" s="1"/>
  <c r="AC194" i="31" a="1"/>
  <c r="AC194" i="31" s="1"/>
  <c r="AC195" i="31" a="1"/>
  <c r="AC195" i="31" s="1"/>
  <c r="AC112" i="31" a="1"/>
  <c r="AC112" i="31" s="1"/>
  <c r="AC113" i="31" a="1"/>
  <c r="AC113" i="31" s="1"/>
  <c r="AC118" i="31" a="1"/>
  <c r="AC118" i="31" s="1"/>
  <c r="AC121" i="31" a="1"/>
  <c r="AC121" i="31" s="1"/>
  <c r="AC90" i="31" a="1"/>
  <c r="AC90" i="31" s="1"/>
  <c r="AC91" i="31" a="1"/>
  <c r="AC91" i="31" s="1"/>
  <c r="AC96" i="31" a="1"/>
  <c r="AC96" i="31" s="1"/>
  <c r="AC97" i="31" a="1"/>
  <c r="AC97" i="31" s="1"/>
  <c r="AC98" i="31" a="1"/>
  <c r="AC98" i="31" s="1"/>
  <c r="AC99" i="31" a="1"/>
  <c r="AC99" i="31" s="1"/>
  <c r="AC100" i="31" a="1"/>
  <c r="AC100" i="31" s="1"/>
  <c r="AC101" i="31" a="1"/>
  <c r="AC101" i="31" s="1"/>
  <c r="AC86" i="31" a="1"/>
  <c r="AC86" i="31" s="1"/>
  <c r="AC12" i="31" a="1"/>
  <c r="AC12" i="31" s="1"/>
  <c r="AC18" i="31" a="1"/>
  <c r="AC18" i="31" s="1"/>
  <c r="AC19" i="31" a="1"/>
  <c r="AC19" i="31" s="1"/>
  <c r="AC20" i="31" a="1"/>
  <c r="AC20" i="31" s="1"/>
  <c r="AC21" i="31" a="1"/>
  <c r="AC21" i="31" s="1"/>
  <c r="AC22" i="31" a="1"/>
  <c r="AC22" i="31" s="1"/>
  <c r="AC23" i="31" a="1"/>
  <c r="AC23" i="31" s="1"/>
  <c r="AC27" i="31" a="1"/>
  <c r="AC27" i="31" s="1"/>
  <c r="AC29" i="31" a="1"/>
  <c r="AC29" i="31" s="1"/>
  <c r="AC32" i="31" a="1"/>
  <c r="AC32" i="31" s="1"/>
  <c r="AC33" i="31" a="1"/>
  <c r="AC33" i="31" s="1"/>
  <c r="AC34" i="31" a="1"/>
  <c r="AC34" i="31" s="1"/>
  <c r="AC41" i="31" a="1"/>
  <c r="AC41" i="31" s="1"/>
  <c r="AC45" i="31" a="1"/>
  <c r="AC45" i="31" s="1"/>
  <c r="AC46" i="31" a="1"/>
  <c r="AC46" i="31" s="1"/>
  <c r="AC50" i="31" a="1"/>
  <c r="AC50" i="31" s="1"/>
  <c r="AC53" i="31" a="1"/>
  <c r="AC53" i="31" s="1"/>
  <c r="AC54" i="31" a="1"/>
  <c r="AC54" i="31" s="1"/>
  <c r="AC60" i="31" a="1"/>
  <c r="AC60" i="31" s="1"/>
  <c r="AC62" i="31" a="1"/>
  <c r="AC62" i="31" s="1"/>
  <c r="AC63" i="31" a="1"/>
  <c r="AC63" i="31" s="1"/>
  <c r="AC66" i="31" a="1"/>
  <c r="AC66" i="31" s="1"/>
  <c r="AC67" i="31" a="1"/>
  <c r="AC67" i="31" s="1"/>
  <c r="AC68" i="31" a="1"/>
  <c r="AC68" i="31" s="1"/>
  <c r="AC69" i="31" a="1"/>
  <c r="AC69" i="31" s="1"/>
  <c r="AC70" i="31" a="1"/>
  <c r="AC70" i="31" s="1"/>
  <c r="AC71" i="31" a="1"/>
  <c r="AC71" i="31" s="1"/>
  <c r="AC72" i="31" a="1"/>
  <c r="AC72" i="31" s="1"/>
  <c r="AC76" i="31" a="1"/>
  <c r="AC76" i="31" s="1"/>
  <c r="AC79" i="31" a="1"/>
  <c r="AC79" i="31" s="1"/>
  <c r="AC80" i="31" a="1"/>
  <c r="AC80" i="31" s="1"/>
  <c r="AC81" i="31" a="1"/>
  <c r="AC81" i="31" s="1"/>
  <c r="AC82" i="31" a="1"/>
  <c r="AC82" i="31" s="1"/>
  <c r="AC11" i="31" a="1"/>
  <c r="AC11" i="31" s="1"/>
  <c r="H2" i="46"/>
  <c r="H3" i="46"/>
  <c r="H4" i="46"/>
  <c r="H5" i="46"/>
  <c r="H6" i="46"/>
  <c r="H7" i="46"/>
  <c r="H8" i="46"/>
  <c r="H9" i="46"/>
  <c r="H10" i="46"/>
  <c r="H11" i="46"/>
  <c r="H12" i="46"/>
  <c r="H13" i="46"/>
  <c r="H14" i="46"/>
  <c r="H16" i="46"/>
  <c r="H17" i="46"/>
  <c r="H15" i="46"/>
  <c r="O238" i="31" l="1"/>
  <c r="O242" i="31"/>
  <c r="O8" i="31"/>
  <c r="O7" i="31" s="1"/>
  <c r="R7" i="31"/>
  <c r="O195" i="31"/>
  <c r="AF195" i="31" s="1"/>
  <c r="O86" i="31"/>
  <c r="AF86" i="31" s="1"/>
  <c r="R195" i="31"/>
  <c r="AH195" i="31" s="1"/>
  <c r="AB8" i="39"/>
  <c r="AB9" i="39"/>
  <c r="AB11" i="39"/>
  <c r="AB12" i="39"/>
  <c r="AB13" i="39"/>
  <c r="AB14" i="39"/>
  <c r="AB15" i="39"/>
  <c r="AB16" i="39"/>
  <c r="AB17" i="39"/>
  <c r="AB18" i="39"/>
  <c r="AB19" i="39"/>
  <c r="AB20" i="39"/>
  <c r="AB21" i="39"/>
  <c r="AB22" i="39"/>
  <c r="AB23" i="39"/>
  <c r="AB24" i="39"/>
  <c r="AB25" i="39"/>
  <c r="AB26" i="39"/>
  <c r="AB27" i="39"/>
  <c r="AB28" i="39"/>
  <c r="AB29" i="39"/>
  <c r="AB30" i="39"/>
  <c r="AB31" i="39"/>
  <c r="AB32" i="39"/>
  <c r="AB33" i="39"/>
  <c r="AB34" i="39"/>
  <c r="AB35" i="39"/>
  <c r="AB36" i="39"/>
  <c r="AB37" i="39"/>
  <c r="AB38" i="39"/>
  <c r="AB39" i="39"/>
  <c r="AB40" i="39"/>
  <c r="AB41" i="39"/>
  <c r="AB42" i="39"/>
  <c r="AB43" i="39"/>
  <c r="AB44" i="39"/>
  <c r="AB45" i="39"/>
  <c r="AB46" i="39"/>
  <c r="AB47" i="39"/>
  <c r="AB48" i="39"/>
  <c r="AB49" i="39"/>
  <c r="AB50" i="39"/>
  <c r="AB51" i="39"/>
  <c r="AB52" i="39"/>
  <c r="AB53" i="39"/>
  <c r="AB54" i="39"/>
  <c r="AB55" i="39"/>
  <c r="AB56" i="39"/>
  <c r="AB57" i="39"/>
  <c r="AB58" i="39"/>
  <c r="AB59" i="39"/>
  <c r="AB60" i="39"/>
  <c r="AB61" i="39"/>
  <c r="AB62" i="39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B75" i="39"/>
  <c r="AB76" i="39"/>
  <c r="AB77" i="39"/>
  <c r="AB78" i="39"/>
  <c r="AB79" i="39"/>
  <c r="AB80" i="39"/>
  <c r="AB81" i="39"/>
  <c r="AB82" i="39"/>
  <c r="AB83" i="39"/>
  <c r="AB84" i="39"/>
  <c r="AB85" i="39"/>
  <c r="AB86" i="39"/>
  <c r="AB87" i="39"/>
  <c r="AB88" i="39"/>
  <c r="AB89" i="39"/>
  <c r="AB90" i="39"/>
  <c r="AB91" i="39"/>
  <c r="AB92" i="39"/>
  <c r="AB93" i="39"/>
  <c r="AB94" i="39"/>
  <c r="AB95" i="39"/>
  <c r="AB96" i="39"/>
  <c r="AB97" i="39"/>
  <c r="AB98" i="39"/>
  <c r="AB99" i="39"/>
  <c r="AB100" i="39"/>
  <c r="AB101" i="39"/>
  <c r="AB102" i="39"/>
  <c r="AB103" i="39"/>
  <c r="AB104" i="39"/>
  <c r="AB105" i="39"/>
  <c r="AB106" i="39"/>
  <c r="AB107" i="39"/>
  <c r="AB108" i="39"/>
  <c r="AB109" i="39"/>
  <c r="AB110" i="39"/>
  <c r="AB111" i="39"/>
  <c r="AB112" i="39"/>
  <c r="AB113" i="39"/>
  <c r="AB114" i="39"/>
  <c r="AB115" i="39"/>
  <c r="AB116" i="39"/>
  <c r="AB117" i="39"/>
  <c r="AB118" i="39"/>
  <c r="AB119" i="39"/>
  <c r="AB120" i="39"/>
  <c r="AB121" i="39"/>
  <c r="AB122" i="39"/>
  <c r="AB123" i="39"/>
  <c r="AB124" i="39"/>
  <c r="AB125" i="39"/>
  <c r="AB126" i="39"/>
  <c r="AB127" i="39"/>
  <c r="AB128" i="39"/>
  <c r="AB129" i="39"/>
  <c r="AB130" i="39"/>
  <c r="AB131" i="39"/>
  <c r="AB132" i="39"/>
  <c r="AB133" i="39"/>
  <c r="AB134" i="39"/>
  <c r="AB135" i="39"/>
  <c r="AB136" i="39"/>
  <c r="AB137" i="39"/>
  <c r="AB138" i="39"/>
  <c r="AB139" i="39"/>
  <c r="AB140" i="39"/>
  <c r="AB141" i="39"/>
  <c r="AB142" i="39"/>
  <c r="AB143" i="39"/>
  <c r="AB144" i="39"/>
  <c r="AB145" i="39"/>
  <c r="AB146" i="39"/>
  <c r="AB147" i="39"/>
  <c r="AB148" i="39"/>
  <c r="AB149" i="39"/>
  <c r="AB150" i="39"/>
  <c r="AB151" i="39"/>
  <c r="AB152" i="39"/>
  <c r="AB153" i="39"/>
  <c r="AB154" i="39"/>
  <c r="AB155" i="39"/>
  <c r="AB156" i="39"/>
  <c r="AB157" i="39"/>
  <c r="AB158" i="39"/>
  <c r="AB159" i="39"/>
  <c r="AB160" i="39"/>
  <c r="AB161" i="39"/>
  <c r="AB162" i="39"/>
  <c r="AB163" i="39"/>
  <c r="AB164" i="39"/>
  <c r="AB165" i="39"/>
  <c r="AB166" i="39"/>
  <c r="AB167" i="39"/>
  <c r="AB168" i="39"/>
  <c r="AB169" i="39"/>
  <c r="AB170" i="39"/>
  <c r="AB171" i="39"/>
  <c r="AB172" i="39"/>
  <c r="AB173" i="39"/>
  <c r="AB174" i="39"/>
  <c r="AB175" i="39"/>
  <c r="AB176" i="39"/>
  <c r="AB177" i="39"/>
  <c r="AB178" i="39"/>
  <c r="AB179" i="39"/>
  <c r="AB180" i="39"/>
  <c r="AB181" i="39"/>
  <c r="AB182" i="39"/>
  <c r="AB183" i="39"/>
  <c r="AB184" i="39"/>
  <c r="AB185" i="39"/>
  <c r="AB186" i="39"/>
  <c r="AB187" i="39"/>
  <c r="AB188" i="39"/>
  <c r="AB189" i="39"/>
  <c r="AB190" i="39"/>
  <c r="AB191" i="39"/>
  <c r="AB192" i="39"/>
  <c r="AB193" i="39"/>
  <c r="AB194" i="39"/>
  <c r="AB195" i="39"/>
  <c r="AB196" i="39"/>
  <c r="AB197" i="39"/>
  <c r="AB198" i="39"/>
  <c r="AB199" i="39"/>
  <c r="AB200" i="39"/>
  <c r="AB201" i="39"/>
  <c r="AB202" i="39"/>
  <c r="AB203" i="39"/>
  <c r="AB204" i="39"/>
  <c r="AB205" i="39"/>
  <c r="AB206" i="39"/>
  <c r="AB207" i="39"/>
  <c r="AB208" i="39"/>
  <c r="AB209" i="39"/>
  <c r="AB210" i="39"/>
  <c r="AB211" i="39"/>
  <c r="AB212" i="39"/>
  <c r="AB213" i="39"/>
  <c r="AB214" i="39"/>
  <c r="AB215" i="39"/>
  <c r="AB216" i="39"/>
  <c r="AB217" i="39"/>
  <c r="AB218" i="39"/>
  <c r="AB219" i="39"/>
  <c r="AB220" i="39"/>
  <c r="AB221" i="39"/>
  <c r="AB222" i="39"/>
  <c r="AB223" i="39"/>
  <c r="AB224" i="39"/>
  <c r="AB225" i="39"/>
  <c r="AB226" i="39"/>
  <c r="AB227" i="39"/>
  <c r="AB228" i="39"/>
  <c r="AB229" i="39"/>
  <c r="AB230" i="39"/>
  <c r="AB231" i="39"/>
  <c r="AB232" i="39"/>
  <c r="AB233" i="39"/>
  <c r="AB234" i="39"/>
  <c r="AB235" i="39"/>
  <c r="AB236" i="39"/>
  <c r="AB237" i="39"/>
  <c r="AB238" i="39"/>
  <c r="AB239" i="39"/>
  <c r="AB240" i="39"/>
  <c r="AB241" i="39"/>
  <c r="AB242" i="39"/>
  <c r="AB243" i="39"/>
  <c r="AB244" i="39"/>
  <c r="AB245" i="39"/>
  <c r="AB246" i="39"/>
  <c r="AB247" i="39"/>
  <c r="AB248" i="39"/>
  <c r="AB249" i="39"/>
  <c r="AB250" i="39"/>
  <c r="AB251" i="39"/>
  <c r="AB252" i="39"/>
  <c r="AB254" i="39"/>
  <c r="AB255" i="39"/>
  <c r="AB256" i="39"/>
  <c r="AB257" i="39"/>
  <c r="AB258" i="39"/>
  <c r="AB259" i="39"/>
  <c r="AB260" i="39"/>
  <c r="AB8" i="38"/>
  <c r="AB9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2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8" i="38"/>
  <c r="AB109" i="38"/>
  <c r="AB110" i="38"/>
  <c r="AB111" i="38"/>
  <c r="AB112" i="38"/>
  <c r="AB113" i="38"/>
  <c r="AB114" i="38"/>
  <c r="AB115" i="38"/>
  <c r="AB116" i="38"/>
  <c r="AB117" i="38"/>
  <c r="AB118" i="38"/>
  <c r="AB119" i="38"/>
  <c r="AB120" i="38"/>
  <c r="AB121" i="38"/>
  <c r="AB122" i="38"/>
  <c r="AB123" i="38"/>
  <c r="AB124" i="38"/>
  <c r="AB125" i="38"/>
  <c r="AB126" i="38"/>
  <c r="AB127" i="38"/>
  <c r="AB128" i="38"/>
  <c r="AB129" i="38"/>
  <c r="AB130" i="38"/>
  <c r="AB131" i="38"/>
  <c r="AB132" i="38"/>
  <c r="AB133" i="38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89" i="38"/>
  <c r="AB190" i="38"/>
  <c r="AB191" i="38"/>
  <c r="AB192" i="38"/>
  <c r="AB193" i="38"/>
  <c r="AB194" i="38"/>
  <c r="AB195" i="38"/>
  <c r="AB196" i="38"/>
  <c r="AB197" i="38"/>
  <c r="AB198" i="38"/>
  <c r="AB199" i="38"/>
  <c r="AB200" i="38"/>
  <c r="AB201" i="38"/>
  <c r="AB202" i="38"/>
  <c r="AB203" i="38"/>
  <c r="AB204" i="38"/>
  <c r="AB205" i="38"/>
  <c r="AB206" i="38"/>
  <c r="AB207" i="38"/>
  <c r="AB208" i="38"/>
  <c r="AB209" i="38"/>
  <c r="AB210" i="38"/>
  <c r="AB211" i="38"/>
  <c r="AB212" i="38"/>
  <c r="AB213" i="38"/>
  <c r="AB214" i="38"/>
  <c r="AB215" i="38"/>
  <c r="AB216" i="38"/>
  <c r="AB217" i="38"/>
  <c r="AB218" i="38"/>
  <c r="AB219" i="38"/>
  <c r="AB220" i="38"/>
  <c r="AB221" i="38"/>
  <c r="AB222" i="38"/>
  <c r="AB223" i="38"/>
  <c r="AB224" i="38"/>
  <c r="AB225" i="38"/>
  <c r="AB226" i="38"/>
  <c r="AB227" i="38"/>
  <c r="AB228" i="38"/>
  <c r="AB229" i="38"/>
  <c r="AB230" i="38"/>
  <c r="AB231" i="38"/>
  <c r="AB232" i="38"/>
  <c r="AB233" i="38"/>
  <c r="AB234" i="38"/>
  <c r="AB235" i="38"/>
  <c r="AB236" i="38"/>
  <c r="AB237" i="38"/>
  <c r="AB238" i="38"/>
  <c r="AB239" i="38"/>
  <c r="AB240" i="38"/>
  <c r="AB241" i="38"/>
  <c r="AB242" i="38"/>
  <c r="AB243" i="38"/>
  <c r="AB244" i="38"/>
  <c r="AB245" i="38"/>
  <c r="AB246" i="38"/>
  <c r="AB247" i="38"/>
  <c r="AB248" i="38"/>
  <c r="AB249" i="38"/>
  <c r="AB250" i="38"/>
  <c r="AB251" i="38"/>
  <c r="AB252" i="38"/>
  <c r="AB253" i="38"/>
  <c r="AB255" i="38"/>
  <c r="AB256" i="38"/>
  <c r="AB257" i="38"/>
  <c r="AB258" i="38"/>
  <c r="AB259" i="38"/>
  <c r="AB260" i="38"/>
  <c r="AB261" i="38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7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2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201" i="31"/>
  <c r="AB202" i="31"/>
  <c r="AB203" i="31"/>
  <c r="AB204" i="31"/>
  <c r="AB205" i="31"/>
  <c r="AB206" i="31"/>
  <c r="AB207" i="31"/>
  <c r="AB208" i="31"/>
  <c r="AB209" i="31"/>
  <c r="AB210" i="31"/>
  <c r="AB211" i="31"/>
  <c r="AB212" i="31"/>
  <c r="AB213" i="31"/>
  <c r="AB214" i="31"/>
  <c r="AB215" i="31"/>
  <c r="AB216" i="31"/>
  <c r="AB217" i="31"/>
  <c r="AB218" i="31"/>
  <c r="AB219" i="31"/>
  <c r="AB220" i="31"/>
  <c r="AB221" i="31"/>
  <c r="AB222" i="31"/>
  <c r="AB223" i="31"/>
  <c r="AB224" i="31"/>
  <c r="AB225" i="31"/>
  <c r="AB226" i="31"/>
  <c r="AB227" i="31"/>
  <c r="AB228" i="31"/>
  <c r="AB229" i="31"/>
  <c r="AB230" i="31"/>
  <c r="AB231" i="31"/>
  <c r="AB232" i="31"/>
  <c r="AB233" i="31"/>
  <c r="AB234" i="31"/>
  <c r="AB235" i="31"/>
  <c r="AB236" i="31"/>
  <c r="AB237" i="31"/>
  <c r="AB238" i="31"/>
  <c r="AB239" i="31"/>
  <c r="AB241" i="31"/>
  <c r="AB242" i="31"/>
  <c r="AB243" i="31"/>
  <c r="AB244" i="31"/>
  <c r="AB245" i="31"/>
  <c r="AB246" i="31"/>
  <c r="AB247" i="31"/>
  <c r="AB8" i="31"/>
  <c r="AB9" i="31"/>
  <c r="AB11" i="31"/>
  <c r="AB12" i="31"/>
  <c r="AB13" i="31"/>
  <c r="AB14" i="31"/>
  <c r="AB15" i="31"/>
  <c r="AB16" i="31"/>
  <c r="AB17" i="31"/>
  <c r="AB18" i="31"/>
  <c r="AB19" i="31"/>
  <c r="AD20" i="39" a="1"/>
  <c r="AD20" i="39" s="1"/>
  <c r="AD22" i="39" a="1"/>
  <c r="AD22" i="39" s="1"/>
  <c r="AD38" i="39" a="1"/>
  <c r="AD38" i="39" s="1"/>
  <c r="AD50" i="39" a="1"/>
  <c r="AD50" i="39" s="1"/>
  <c r="AD66" i="39" a="1"/>
  <c r="AD66" i="39" s="1"/>
  <c r="AD87" i="39" a="1"/>
  <c r="AD87" i="39" s="1"/>
  <c r="AD92" i="39" a="1"/>
  <c r="AD92" i="39" s="1"/>
  <c r="AD96" i="39" a="1"/>
  <c r="AD96" i="39" s="1"/>
  <c r="AD105" i="39" a="1"/>
  <c r="AD105" i="39" s="1"/>
  <c r="AD107" i="39" a="1"/>
  <c r="AD107" i="39" s="1"/>
  <c r="AD120" i="39" a="1"/>
  <c r="AD120" i="39" s="1"/>
  <c r="AD147" i="39" a="1"/>
  <c r="AD147" i="39" s="1"/>
  <c r="AD158" i="39" a="1"/>
  <c r="AD158" i="39" s="1"/>
  <c r="AD159" i="39" a="1"/>
  <c r="AD159" i="39" s="1"/>
  <c r="AD168" i="39" a="1"/>
  <c r="AD168" i="39" s="1"/>
  <c r="AD177" i="39" a="1"/>
  <c r="AD177" i="39" s="1"/>
  <c r="AD178" i="39" a="1"/>
  <c r="AD178" i="39" s="1"/>
  <c r="AD179" i="39" a="1"/>
  <c r="AD179" i="39" s="1"/>
  <c r="AD180" i="39" a="1"/>
  <c r="AD180" i="39" s="1"/>
  <c r="AD181" i="39" a="1"/>
  <c r="AD181" i="39" s="1"/>
  <c r="AD182" i="39" a="1"/>
  <c r="AD182" i="39" s="1"/>
  <c r="AD183" i="39" a="1"/>
  <c r="AD183" i="39" s="1"/>
  <c r="AD184" i="39" a="1"/>
  <c r="AD184" i="39" s="1"/>
  <c r="AD185" i="39" a="1"/>
  <c r="AD185" i="39" s="1"/>
  <c r="AD186" i="39" a="1"/>
  <c r="AD186" i="39" s="1"/>
  <c r="AD187" i="39" a="1"/>
  <c r="AD187" i="39" s="1"/>
  <c r="AD195" i="39" a="1"/>
  <c r="AD195" i="39" s="1"/>
  <c r="AD198" i="39" a="1"/>
  <c r="AD198" i="39"/>
  <c r="AD214" i="39" a="1"/>
  <c r="AD214" i="39" s="1"/>
  <c r="AD232" i="39" a="1"/>
  <c r="AD232" i="39" s="1"/>
  <c r="AD247" i="39" a="1"/>
  <c r="AD247" i="39" s="1"/>
  <c r="AD250" i="39" a="1"/>
  <c r="AD250" i="39" s="1"/>
  <c r="AD256" i="39" a="1"/>
  <c r="AD256" i="39" s="1"/>
  <c r="AD259" i="39" a="1"/>
  <c r="AD259" i="39" s="1"/>
  <c r="AD7" i="39" a="1"/>
  <c r="AD7" i="39" s="1"/>
  <c r="AD9" i="39" a="1"/>
  <c r="AD9" i="39" s="1"/>
  <c r="AD11" i="39" a="1"/>
  <c r="AD11" i="39" s="1"/>
  <c r="AD12" i="39" a="1"/>
  <c r="AD12" i="39" s="1"/>
  <c r="AD19" i="38" a="1"/>
  <c r="AD19" i="38" s="1"/>
  <c r="AD22" i="38" a="1"/>
  <c r="AD22" i="38" s="1"/>
  <c r="AD38" i="38" a="1"/>
  <c r="AD38" i="38" s="1"/>
  <c r="AD50" i="38" a="1"/>
  <c r="AD50" i="38" s="1"/>
  <c r="AD66" i="38" a="1"/>
  <c r="AD66" i="38" s="1"/>
  <c r="AD87" i="38" a="1"/>
  <c r="AD87" i="38" s="1"/>
  <c r="AD96" i="38" a="1"/>
  <c r="AD96" i="38" s="1"/>
  <c r="AD106" i="38" a="1"/>
  <c r="AD106" i="38" s="1"/>
  <c r="AD119" i="38" a="1"/>
  <c r="AD119" i="38" s="1"/>
  <c r="AD148" i="38" a="1"/>
  <c r="AD148" i="38" s="1"/>
  <c r="AD159" i="38" a="1"/>
  <c r="AD159" i="38" s="1"/>
  <c r="AD160" i="38" a="1"/>
  <c r="AD160" i="38" s="1"/>
  <c r="AD169" i="38" a="1"/>
  <c r="AD169" i="38" s="1"/>
  <c r="AD178" i="38" a="1"/>
  <c r="AD178" i="38" s="1"/>
  <c r="AD179" i="38" a="1"/>
  <c r="AD179" i="38" s="1"/>
  <c r="AD180" i="38" a="1"/>
  <c r="AD180" i="38" s="1"/>
  <c r="AD181" i="38" a="1"/>
  <c r="AD181" i="38" s="1"/>
  <c r="AD182" i="38" a="1"/>
  <c r="AD182" i="38" s="1"/>
  <c r="AD183" i="38" a="1"/>
  <c r="AD183" i="38" s="1"/>
  <c r="AD184" i="38" a="1"/>
  <c r="AD184" i="38" s="1"/>
  <c r="AD185" i="38" a="1"/>
  <c r="AD185" i="38" s="1"/>
  <c r="AD186" i="38" a="1"/>
  <c r="AD186" i="38" s="1"/>
  <c r="AD187" i="38" a="1"/>
  <c r="AD187" i="38" s="1"/>
  <c r="AD188" i="38" a="1"/>
  <c r="AD188" i="38" s="1"/>
  <c r="AD196" i="38" a="1"/>
  <c r="AD196" i="38" s="1"/>
  <c r="AD199" i="38" a="1"/>
  <c r="AD199" i="38" s="1"/>
  <c r="AD207" i="38" a="1"/>
  <c r="AD207" i="38" s="1"/>
  <c r="AD215" i="38" a="1"/>
  <c r="AD215" i="38" s="1"/>
  <c r="AD233" i="38" a="1"/>
  <c r="AD233" i="38" s="1"/>
  <c r="AD248" i="38" a="1"/>
  <c r="AD248" i="38" s="1"/>
  <c r="AD251" i="38" a="1"/>
  <c r="AD251" i="38" s="1"/>
  <c r="AD257" i="38" a="1"/>
  <c r="AD257" i="38" s="1"/>
  <c r="AD260" i="38" a="1"/>
  <c r="AD260" i="38" s="1"/>
  <c r="AD7" i="38" a="1"/>
  <c r="AD7" i="38" s="1"/>
  <c r="AD9" i="38" a="1"/>
  <c r="AD9" i="38" s="1"/>
  <c r="AD11" i="38" a="1"/>
  <c r="AD11" i="38" s="1"/>
  <c r="AD12" i="38" a="1"/>
  <c r="AD12" i="38" s="1"/>
  <c r="AD20" i="31" a="1"/>
  <c r="AD20" i="31" s="1"/>
  <c r="AD22" i="31" a="1"/>
  <c r="AD22" i="31" s="1"/>
  <c r="AD33" i="31" a="1"/>
  <c r="AD33" i="31" s="1"/>
  <c r="AD45" i="31" a="1"/>
  <c r="AD45" i="31" s="1"/>
  <c r="AD62" i="31" a="1"/>
  <c r="AD62" i="31" s="1"/>
  <c r="AD81" i="31" a="1"/>
  <c r="AD81" i="31" s="1"/>
  <c r="AD86" i="31" a="1"/>
  <c r="AD86" i="31" s="1"/>
  <c r="AD90" i="31" a="1"/>
  <c r="AD90" i="31" s="1"/>
  <c r="AD100" i="31" a="1"/>
  <c r="AD100" i="31" s="1"/>
  <c r="AD112" i="31" a="1"/>
  <c r="AD112" i="31" s="1"/>
  <c r="AD136" i="31" a="1"/>
  <c r="AD136" i="31" s="1"/>
  <c r="AD147" i="31" a="1"/>
  <c r="AD147" i="31" s="1"/>
  <c r="AD148" i="31" a="1"/>
  <c r="AD148" i="31" s="1"/>
  <c r="AD157" i="31" a="1"/>
  <c r="AD157" i="31" s="1"/>
  <c r="AD166" i="31" a="1"/>
  <c r="AD166" i="31" s="1"/>
  <c r="AD167" i="31" a="1"/>
  <c r="AD167" i="31" s="1"/>
  <c r="AD168" i="31" a="1"/>
  <c r="AD168" i="31" s="1"/>
  <c r="AD169" i="31" a="1"/>
  <c r="AD169" i="31" s="1"/>
  <c r="AD170" i="31" a="1"/>
  <c r="AD170" i="31" s="1"/>
  <c r="AD171" i="31" a="1"/>
  <c r="AD171" i="31" s="1"/>
  <c r="AD172" i="31" a="1"/>
  <c r="AD172" i="31" s="1"/>
  <c r="AD173" i="31" a="1"/>
  <c r="AD173" i="31" s="1"/>
  <c r="AD174" i="31" a="1"/>
  <c r="AD174" i="31" s="1"/>
  <c r="AD175" i="31" a="1"/>
  <c r="AD175" i="31" s="1"/>
  <c r="AD176" i="31" a="1"/>
  <c r="AD176" i="31" s="1"/>
  <c r="AD184" i="31" a="1"/>
  <c r="AD184" i="31" s="1"/>
  <c r="AD187" i="31" a="1"/>
  <c r="AD187" i="31" s="1"/>
  <c r="AD195" i="31" a="1"/>
  <c r="AD195" i="31" s="1"/>
  <c r="AD203" i="31" a="1"/>
  <c r="AD203" i="31" s="1"/>
  <c r="AD204" i="31" a="1"/>
  <c r="AD204" i="31" s="1"/>
  <c r="AD219" i="31" a="1"/>
  <c r="AD219" i="31" s="1"/>
  <c r="AD234" i="31" a="1"/>
  <c r="AD234" i="31" s="1"/>
  <c r="AD237" i="31" a="1"/>
  <c r="AD237" i="31" s="1"/>
  <c r="AD243" i="31" a="1"/>
  <c r="AD243" i="31"/>
  <c r="AD246" i="31" a="1"/>
  <c r="AD246" i="31" s="1"/>
  <c r="AD7" i="31" a="1"/>
  <c r="AD7" i="31" s="1"/>
  <c r="AD9" i="31" a="1"/>
  <c r="AD9" i="31"/>
  <c r="AD11" i="31" a="1"/>
  <c r="AD11" i="31" s="1"/>
  <c r="AD12" i="31" a="1"/>
  <c r="AD12" i="31" s="1"/>
  <c r="AI259" i="39" l="1"/>
  <c r="AI256" i="39"/>
  <c r="AI250" i="39"/>
  <c r="AI247" i="39"/>
  <c r="AI185" i="39"/>
  <c r="AG185" i="39"/>
  <c r="AE185" i="39"/>
  <c r="AI184" i="39"/>
  <c r="AG184" i="39"/>
  <c r="AE184" i="39"/>
  <c r="AI183" i="39"/>
  <c r="AG183" i="39"/>
  <c r="AE183" i="39"/>
  <c r="AI182" i="39"/>
  <c r="AG182" i="39"/>
  <c r="AE182" i="39"/>
  <c r="AI181" i="39"/>
  <c r="AG181" i="39"/>
  <c r="AE181" i="39"/>
  <c r="AI180" i="39"/>
  <c r="AG180" i="39"/>
  <c r="AE180" i="39"/>
  <c r="AI179" i="39"/>
  <c r="AG179" i="39"/>
  <c r="AE179" i="39"/>
  <c r="AI178" i="39"/>
  <c r="AG178" i="39"/>
  <c r="AE178" i="39"/>
  <c r="AI260" i="38"/>
  <c r="AI257" i="38"/>
  <c r="AI251" i="38"/>
  <c r="AI248" i="38"/>
  <c r="AI186" i="38"/>
  <c r="AG186" i="38"/>
  <c r="AE186" i="38"/>
  <c r="AI185" i="38"/>
  <c r="AG185" i="38"/>
  <c r="AE185" i="38"/>
  <c r="AI184" i="38"/>
  <c r="AG184" i="38"/>
  <c r="AE184" i="38"/>
  <c r="AI183" i="38"/>
  <c r="AG183" i="38"/>
  <c r="AE183" i="38"/>
  <c r="AI182" i="38"/>
  <c r="AG182" i="38"/>
  <c r="AE182" i="38"/>
  <c r="AI181" i="38"/>
  <c r="AG181" i="38"/>
  <c r="AE181" i="38"/>
  <c r="AI180" i="38"/>
  <c r="AG180" i="38"/>
  <c r="AE180" i="38"/>
  <c r="AI179" i="38"/>
  <c r="AG179" i="38"/>
  <c r="AE179" i="38"/>
  <c r="AI248" i="31"/>
  <c r="AG248" i="31"/>
  <c r="AI246" i="31"/>
  <c r="AI243" i="31"/>
  <c r="AI237" i="31"/>
  <c r="AI234" i="31"/>
  <c r="AI174" i="31"/>
  <c r="AG174" i="31"/>
  <c r="AI173" i="31"/>
  <c r="AG173" i="31"/>
  <c r="AI172" i="31"/>
  <c r="AG172" i="31"/>
  <c r="AI171" i="31"/>
  <c r="AG171" i="31"/>
  <c r="AI170" i="31"/>
  <c r="AG170" i="31"/>
  <c r="AI169" i="31"/>
  <c r="AG169" i="31"/>
  <c r="AI168" i="31"/>
  <c r="AG168" i="31"/>
  <c r="AI167" i="31"/>
  <c r="AG167" i="31"/>
  <c r="Z260" i="39"/>
  <c r="Z259" i="39"/>
  <c r="X259" i="39"/>
  <c r="Z258" i="39"/>
  <c r="Z257" i="39"/>
  <c r="Z256" i="39"/>
  <c r="X256" i="39"/>
  <c r="Z255" i="39"/>
  <c r="X255" i="39"/>
  <c r="Z254" i="39"/>
  <c r="Z253" i="39"/>
  <c r="Z252" i="39"/>
  <c r="Z251" i="39"/>
  <c r="Z250" i="39"/>
  <c r="X250" i="39"/>
  <c r="Z249" i="39"/>
  <c r="Z248" i="39"/>
  <c r="Z247" i="39"/>
  <c r="X247" i="39"/>
  <c r="Z246" i="39"/>
  <c r="Z245" i="39"/>
  <c r="W245" i="39"/>
  <c r="Z244" i="39"/>
  <c r="W244" i="39"/>
  <c r="V244" i="39"/>
  <c r="Z243" i="39"/>
  <c r="Z242" i="39"/>
  <c r="W242" i="39"/>
  <c r="V242" i="39"/>
  <c r="Z241" i="39"/>
  <c r="W241" i="39"/>
  <c r="V241" i="39"/>
  <c r="Z240" i="39"/>
  <c r="Z239" i="39"/>
  <c r="W239" i="39"/>
  <c r="Z238" i="39"/>
  <c r="W238" i="39"/>
  <c r="V238" i="39"/>
  <c r="Z237" i="39"/>
  <c r="W237" i="39"/>
  <c r="V237" i="39"/>
  <c r="Z236" i="39"/>
  <c r="Z235" i="39"/>
  <c r="Z234" i="39"/>
  <c r="Z233" i="39"/>
  <c r="Z232" i="39"/>
  <c r="Z231" i="39"/>
  <c r="W231" i="39"/>
  <c r="Z230" i="39"/>
  <c r="W230" i="39"/>
  <c r="Z229" i="39"/>
  <c r="W229" i="39"/>
  <c r="Z228" i="39"/>
  <c r="W228" i="39"/>
  <c r="Z227" i="39"/>
  <c r="Z226" i="39"/>
  <c r="Z225" i="39"/>
  <c r="Z224" i="39"/>
  <c r="Z223" i="39"/>
  <c r="Z222" i="39"/>
  <c r="Z221" i="39"/>
  <c r="Z220" i="39"/>
  <c r="Z219" i="39"/>
  <c r="Z218" i="39"/>
  <c r="Z217" i="39"/>
  <c r="Z216" i="39"/>
  <c r="Z215" i="39"/>
  <c r="X215" i="39"/>
  <c r="Z214" i="39"/>
  <c r="X214" i="39"/>
  <c r="Z213" i="39"/>
  <c r="X213" i="39"/>
  <c r="Z212" i="39"/>
  <c r="X212" i="39"/>
  <c r="W212" i="39"/>
  <c r="Z211" i="39"/>
  <c r="X211" i="39"/>
  <c r="W211" i="39"/>
  <c r="Z210" i="39"/>
  <c r="X210" i="39"/>
  <c r="W210" i="39"/>
  <c r="Z205" i="39"/>
  <c r="X205" i="39"/>
  <c r="Z204" i="39"/>
  <c r="X204" i="39"/>
  <c r="W204" i="39"/>
  <c r="Z203" i="39"/>
  <c r="X203" i="39"/>
  <c r="W203" i="39"/>
  <c r="Z198" i="39"/>
  <c r="X198" i="39"/>
  <c r="Z197" i="39"/>
  <c r="X197" i="39"/>
  <c r="W197" i="39"/>
  <c r="Z195" i="39"/>
  <c r="X195" i="39"/>
  <c r="Z194" i="39"/>
  <c r="X194" i="39"/>
  <c r="W194" i="39"/>
  <c r="Z193" i="39"/>
  <c r="X193" i="39"/>
  <c r="W193" i="39"/>
  <c r="Z187" i="39"/>
  <c r="X187" i="39"/>
  <c r="Z186" i="39"/>
  <c r="X186" i="39"/>
  <c r="Z185" i="39"/>
  <c r="X185" i="39"/>
  <c r="W185" i="39"/>
  <c r="V185" i="39"/>
  <c r="Z184" i="39"/>
  <c r="X184" i="39"/>
  <c r="W184" i="39"/>
  <c r="V184" i="39"/>
  <c r="Z183" i="39"/>
  <c r="X183" i="39"/>
  <c r="W183" i="39"/>
  <c r="V183" i="39"/>
  <c r="Z182" i="39"/>
  <c r="X182" i="39"/>
  <c r="W182" i="39"/>
  <c r="V182" i="39"/>
  <c r="Z181" i="39"/>
  <c r="X181" i="39"/>
  <c r="W181" i="39"/>
  <c r="V181" i="39"/>
  <c r="Z180" i="39"/>
  <c r="X180" i="39"/>
  <c r="W180" i="39"/>
  <c r="V180" i="39"/>
  <c r="Z179" i="39"/>
  <c r="X179" i="39"/>
  <c r="W179" i="39"/>
  <c r="V179" i="39"/>
  <c r="Z178" i="39"/>
  <c r="X178" i="39"/>
  <c r="W178" i="39"/>
  <c r="V178" i="39"/>
  <c r="Z177" i="39"/>
  <c r="X177" i="39"/>
  <c r="Z176" i="39"/>
  <c r="X176" i="39"/>
  <c r="W176" i="39"/>
  <c r="Z175" i="39"/>
  <c r="X175" i="39"/>
  <c r="W175" i="39"/>
  <c r="Z174" i="39"/>
  <c r="X174" i="39"/>
  <c r="W174" i="39"/>
  <c r="Z173" i="39"/>
  <c r="X173" i="39"/>
  <c r="W173" i="39"/>
  <c r="Z172" i="39"/>
  <c r="X172" i="39"/>
  <c r="W172" i="39"/>
  <c r="Z171" i="39"/>
  <c r="X171" i="39"/>
  <c r="W171" i="39"/>
  <c r="V171" i="39"/>
  <c r="Z168" i="39"/>
  <c r="X168" i="39"/>
  <c r="Z167" i="39"/>
  <c r="X167" i="39"/>
  <c r="W167" i="39"/>
  <c r="Z166" i="39"/>
  <c r="X166" i="39"/>
  <c r="W166" i="39"/>
  <c r="Z165" i="39"/>
  <c r="X165" i="39"/>
  <c r="W165" i="39"/>
  <c r="Z164" i="39"/>
  <c r="X164" i="39"/>
  <c r="W164" i="39"/>
  <c r="V164" i="39"/>
  <c r="Z163" i="39"/>
  <c r="X163" i="39"/>
  <c r="W163" i="39"/>
  <c r="V163" i="39"/>
  <c r="Z162" i="39"/>
  <c r="X162" i="39"/>
  <c r="W162" i="39"/>
  <c r="V162" i="39"/>
  <c r="Z161" i="39"/>
  <c r="X161" i="39"/>
  <c r="W161" i="39"/>
  <c r="V161" i="39"/>
  <c r="Z160" i="39"/>
  <c r="X160" i="39"/>
  <c r="W160" i="39"/>
  <c r="V160" i="39"/>
  <c r="Z159" i="39"/>
  <c r="X159" i="39"/>
  <c r="Z158" i="39"/>
  <c r="X158" i="39"/>
  <c r="Z157" i="39"/>
  <c r="Z156" i="39"/>
  <c r="X156" i="39"/>
  <c r="Z155" i="39"/>
  <c r="X155" i="39"/>
  <c r="Z152" i="39"/>
  <c r="X152" i="39"/>
  <c r="Z151" i="39"/>
  <c r="Z147" i="39"/>
  <c r="X147" i="39"/>
  <c r="Z146" i="39"/>
  <c r="W146" i="39"/>
  <c r="V146" i="39"/>
  <c r="Z145" i="39"/>
  <c r="W145" i="39"/>
  <c r="V145" i="39"/>
  <c r="Z144" i="39"/>
  <c r="Z143" i="39"/>
  <c r="W143" i="39"/>
  <c r="V143" i="39"/>
  <c r="Z142" i="39"/>
  <c r="W142" i="39"/>
  <c r="V142" i="39"/>
  <c r="Z141" i="39"/>
  <c r="X141" i="39"/>
  <c r="Z140" i="39"/>
  <c r="Z139" i="39"/>
  <c r="Z138" i="39"/>
  <c r="W138" i="39"/>
  <c r="V138" i="39"/>
  <c r="Z137" i="39"/>
  <c r="W137" i="39"/>
  <c r="V137" i="39"/>
  <c r="Z136" i="39"/>
  <c r="Z135" i="39"/>
  <c r="Z134" i="39"/>
  <c r="W134" i="39"/>
  <c r="V134" i="39"/>
  <c r="Z133" i="39"/>
  <c r="W133" i="39"/>
  <c r="V133" i="39"/>
  <c r="Z132" i="39"/>
  <c r="Z131" i="39"/>
  <c r="X131" i="39"/>
  <c r="Z129" i="39"/>
  <c r="X129" i="39"/>
  <c r="Z128" i="39"/>
  <c r="Z127" i="39"/>
  <c r="Z126" i="39"/>
  <c r="Z125" i="39"/>
  <c r="X125" i="39"/>
  <c r="Z122" i="39"/>
  <c r="X122" i="39"/>
  <c r="Z121" i="39"/>
  <c r="X121" i="39"/>
  <c r="Z120" i="39"/>
  <c r="X120" i="39"/>
  <c r="Z119" i="39"/>
  <c r="Z118" i="39"/>
  <c r="Z117" i="39"/>
  <c r="X117" i="39"/>
  <c r="W117" i="39"/>
  <c r="Z116" i="39"/>
  <c r="X116" i="39"/>
  <c r="W116" i="39"/>
  <c r="Z115" i="39"/>
  <c r="X115" i="39"/>
  <c r="Z114" i="39"/>
  <c r="X114" i="39"/>
  <c r="Z113" i="39"/>
  <c r="X113" i="39"/>
  <c r="Z112" i="39"/>
  <c r="X112" i="39"/>
  <c r="Z111" i="39"/>
  <c r="X111" i="39"/>
  <c r="Z110" i="39"/>
  <c r="X110" i="39"/>
  <c r="Z109" i="39"/>
  <c r="X109" i="39"/>
  <c r="Z108" i="39"/>
  <c r="X108" i="39"/>
  <c r="Z107" i="39"/>
  <c r="X107" i="39"/>
  <c r="Z106" i="39"/>
  <c r="X106" i="39"/>
  <c r="W106" i="39"/>
  <c r="Z104" i="39"/>
  <c r="X104" i="39"/>
  <c r="W104" i="39"/>
  <c r="Z103" i="39"/>
  <c r="X103" i="39"/>
  <c r="W103" i="39"/>
  <c r="Z102" i="39"/>
  <c r="X102" i="39"/>
  <c r="V102" i="39"/>
  <c r="Z101" i="39"/>
  <c r="X101" i="39"/>
  <c r="Z97" i="39"/>
  <c r="X97" i="39"/>
  <c r="Z96" i="39"/>
  <c r="X96" i="39"/>
  <c r="Z95" i="39"/>
  <c r="Z94" i="39"/>
  <c r="Z93" i="39"/>
  <c r="Z92" i="39"/>
  <c r="Z88" i="39"/>
  <c r="X88" i="39"/>
  <c r="Z87" i="39"/>
  <c r="X87" i="39"/>
  <c r="Z86" i="39"/>
  <c r="X86" i="39"/>
  <c r="W86" i="39"/>
  <c r="Z85" i="39"/>
  <c r="W85" i="39"/>
  <c r="Z84" i="39"/>
  <c r="W84" i="39"/>
  <c r="Z83" i="39"/>
  <c r="X83" i="39"/>
  <c r="Z82" i="39"/>
  <c r="X82" i="39"/>
  <c r="Z81" i="39"/>
  <c r="X81" i="39"/>
  <c r="Z80" i="39"/>
  <c r="X80" i="39"/>
  <c r="Z79" i="39"/>
  <c r="X79" i="39"/>
  <c r="Z78" i="39"/>
  <c r="X78" i="39"/>
  <c r="Z77" i="39"/>
  <c r="X77" i="39"/>
  <c r="Z76" i="39"/>
  <c r="X76" i="39"/>
  <c r="Z75" i="39"/>
  <c r="X75" i="39"/>
  <c r="W75" i="39"/>
  <c r="Z74" i="39"/>
  <c r="X74" i="39"/>
  <c r="W74" i="39"/>
  <c r="Z73" i="39"/>
  <c r="X73" i="39"/>
  <c r="W73" i="39"/>
  <c r="Z72" i="39"/>
  <c r="X72" i="39"/>
  <c r="W72" i="39"/>
  <c r="Z71" i="39"/>
  <c r="X71" i="39"/>
  <c r="W71" i="39"/>
  <c r="Z67" i="39"/>
  <c r="X67" i="39"/>
  <c r="Z66" i="39"/>
  <c r="X66" i="39"/>
  <c r="Z65" i="39"/>
  <c r="X65" i="39"/>
  <c r="Z64" i="39"/>
  <c r="W64" i="39"/>
  <c r="V64" i="39"/>
  <c r="Z63" i="39"/>
  <c r="W63" i="39"/>
  <c r="Z62" i="39"/>
  <c r="X62" i="39"/>
  <c r="W62" i="39"/>
  <c r="Z61" i="39"/>
  <c r="W61" i="39"/>
  <c r="V61" i="39"/>
  <c r="Z60" i="39"/>
  <c r="W60" i="39"/>
  <c r="V60" i="39"/>
  <c r="Z59" i="39"/>
  <c r="X59" i="39"/>
  <c r="W59" i="39"/>
  <c r="V59" i="39"/>
  <c r="Z58" i="39"/>
  <c r="Z57" i="39"/>
  <c r="W57" i="39"/>
  <c r="V57" i="39"/>
  <c r="Z56" i="39"/>
  <c r="W56" i="39"/>
  <c r="V56" i="39"/>
  <c r="Z55" i="39"/>
  <c r="W55" i="39"/>
  <c r="V55" i="39"/>
  <c r="Z54" i="39"/>
  <c r="Z53" i="39"/>
  <c r="W53" i="39"/>
  <c r="V53" i="39"/>
  <c r="Z52" i="39"/>
  <c r="W52" i="39"/>
  <c r="V52" i="39"/>
  <c r="Z51" i="39"/>
  <c r="X51" i="39"/>
  <c r="Z50" i="39"/>
  <c r="X50" i="39"/>
  <c r="Z49" i="39"/>
  <c r="X49" i="39"/>
  <c r="W49" i="39"/>
  <c r="V49" i="39"/>
  <c r="Z47" i="39"/>
  <c r="X47" i="39"/>
  <c r="W47" i="39"/>
  <c r="V47" i="39"/>
  <c r="Z46" i="39"/>
  <c r="X46" i="39"/>
  <c r="Z45" i="39"/>
  <c r="X45" i="39"/>
  <c r="W45" i="39"/>
  <c r="V45" i="39"/>
  <c r="Z44" i="39"/>
  <c r="X44" i="39"/>
  <c r="W44" i="39"/>
  <c r="V44" i="39"/>
  <c r="Z43" i="39"/>
  <c r="X43" i="39"/>
  <c r="W43" i="39"/>
  <c r="V43" i="39"/>
  <c r="Z42" i="39"/>
  <c r="X42" i="39"/>
  <c r="W42" i="39"/>
  <c r="V42" i="39"/>
  <c r="Z41" i="39"/>
  <c r="X41" i="39"/>
  <c r="W41" i="39"/>
  <c r="V41" i="39"/>
  <c r="Z40" i="39"/>
  <c r="X40" i="39"/>
  <c r="W40" i="39"/>
  <c r="V40" i="39"/>
  <c r="Z39" i="39"/>
  <c r="X39" i="39"/>
  <c r="Z38" i="39"/>
  <c r="X38" i="39"/>
  <c r="Z37" i="39"/>
  <c r="X37" i="39"/>
  <c r="W37" i="39"/>
  <c r="Z36" i="39"/>
  <c r="X36" i="39"/>
  <c r="W36" i="39"/>
  <c r="Z35" i="39"/>
  <c r="X35" i="39"/>
  <c r="W35" i="39"/>
  <c r="Z34" i="39"/>
  <c r="X34" i="39"/>
  <c r="Z33" i="39"/>
  <c r="W33" i="39"/>
  <c r="Z32" i="39"/>
  <c r="W32" i="39"/>
  <c r="Z31" i="39"/>
  <c r="W31" i="39"/>
  <c r="Z30" i="39"/>
  <c r="W30" i="39"/>
  <c r="Z29" i="39"/>
  <c r="W29" i="39"/>
  <c r="Z28" i="39"/>
  <c r="X28" i="39"/>
  <c r="W28" i="39"/>
  <c r="Z27" i="39"/>
  <c r="X27" i="39"/>
  <c r="Z26" i="39"/>
  <c r="W26" i="39"/>
  <c r="V26" i="39"/>
  <c r="Z25" i="39"/>
  <c r="X25" i="39"/>
  <c r="W25" i="39"/>
  <c r="V25" i="39"/>
  <c r="Z24" i="39"/>
  <c r="X24" i="39"/>
  <c r="W24" i="39"/>
  <c r="V24" i="39"/>
  <c r="Z23" i="39"/>
  <c r="X23" i="39"/>
  <c r="Z22" i="39"/>
  <c r="X22" i="39"/>
  <c r="Z21" i="39"/>
  <c r="X21" i="39"/>
  <c r="W21" i="39"/>
  <c r="Z19" i="39"/>
  <c r="X19" i="39"/>
  <c r="W19" i="39"/>
  <c r="Z18" i="39"/>
  <c r="X18" i="39"/>
  <c r="W18" i="39"/>
  <c r="V18" i="39"/>
  <c r="Z17" i="39"/>
  <c r="X17" i="39"/>
  <c r="W17" i="39"/>
  <c r="V17" i="39"/>
  <c r="Z16" i="39"/>
  <c r="X16" i="39"/>
  <c r="W16" i="39"/>
  <c r="V16" i="39"/>
  <c r="Z15" i="39"/>
  <c r="X15" i="39"/>
  <c r="W15" i="39"/>
  <c r="V15" i="39"/>
  <c r="Z14" i="39"/>
  <c r="X14" i="39"/>
  <c r="W14" i="39"/>
  <c r="V14" i="39"/>
  <c r="Z13" i="39"/>
  <c r="X13" i="39"/>
  <c r="W13" i="39"/>
  <c r="V13" i="39"/>
  <c r="Z12" i="39"/>
  <c r="X12" i="39"/>
  <c r="Z11" i="39"/>
  <c r="X11" i="39"/>
  <c r="Z10" i="39"/>
  <c r="X10" i="39"/>
  <c r="W10" i="39"/>
  <c r="V10" i="39"/>
  <c r="Z9" i="39"/>
  <c r="X9" i="39"/>
  <c r="V9" i="39"/>
  <c r="Z8" i="39"/>
  <c r="X8" i="39"/>
  <c r="W8" i="39"/>
  <c r="V8" i="39"/>
  <c r="AB7" i="39"/>
  <c r="Z7" i="39"/>
  <c r="X7" i="39"/>
  <c r="V7" i="39"/>
  <c r="Z6" i="39"/>
  <c r="X6" i="39"/>
  <c r="W6" i="39"/>
  <c r="V6" i="39"/>
  <c r="V5" i="39"/>
  <c r="W4" i="39"/>
  <c r="V4" i="39"/>
  <c r="J144" i="31"/>
  <c r="K120" i="31"/>
  <c r="K119" i="31"/>
  <c r="Z261" i="38"/>
  <c r="Z260" i="38"/>
  <c r="Y260" i="38"/>
  <c r="Z259" i="38"/>
  <c r="Z258" i="38"/>
  <c r="Z257" i="38"/>
  <c r="Y257" i="38"/>
  <c r="Z256" i="38"/>
  <c r="Y256" i="38"/>
  <c r="Z255" i="38"/>
  <c r="Z254" i="38"/>
  <c r="Z253" i="38"/>
  <c r="Z252" i="38"/>
  <c r="Z251" i="38"/>
  <c r="Y251" i="38"/>
  <c r="Z250" i="38"/>
  <c r="Z249" i="38"/>
  <c r="Z248" i="38"/>
  <c r="Y248" i="38"/>
  <c r="Z247" i="38"/>
  <c r="Z246" i="38"/>
  <c r="W246" i="38"/>
  <c r="Z245" i="38"/>
  <c r="W245" i="38"/>
  <c r="V245" i="38"/>
  <c r="Z244" i="38"/>
  <c r="Z243" i="38"/>
  <c r="W243" i="38"/>
  <c r="V243" i="38"/>
  <c r="Z242" i="38"/>
  <c r="W242" i="38"/>
  <c r="V242" i="38"/>
  <c r="Z241" i="38"/>
  <c r="Z240" i="38"/>
  <c r="W240" i="38"/>
  <c r="Z239" i="38"/>
  <c r="W239" i="38"/>
  <c r="V239" i="38"/>
  <c r="Z238" i="38"/>
  <c r="W238" i="38"/>
  <c r="V238" i="38"/>
  <c r="Z237" i="38"/>
  <c r="Z236" i="38"/>
  <c r="Z235" i="38"/>
  <c r="Z234" i="38"/>
  <c r="Z233" i="38"/>
  <c r="Z232" i="38"/>
  <c r="W232" i="38"/>
  <c r="Z231" i="38"/>
  <c r="W231" i="38"/>
  <c r="Z230" i="38"/>
  <c r="W230" i="38"/>
  <c r="Z229" i="38"/>
  <c r="W229" i="38"/>
  <c r="Z228" i="38"/>
  <c r="Z227" i="38"/>
  <c r="Z226" i="38"/>
  <c r="Z225" i="38"/>
  <c r="Z224" i="38"/>
  <c r="Z223" i="38"/>
  <c r="W223" i="38"/>
  <c r="V223" i="38"/>
  <c r="Z222" i="38"/>
  <c r="Z221" i="38"/>
  <c r="W221" i="38"/>
  <c r="V221" i="38"/>
  <c r="Z220" i="38"/>
  <c r="Z219" i="38"/>
  <c r="Z218" i="38"/>
  <c r="Z217" i="38"/>
  <c r="Z216" i="38"/>
  <c r="Y216" i="38"/>
  <c r="Z215" i="38"/>
  <c r="Y215" i="38"/>
  <c r="Z214" i="38"/>
  <c r="Y214" i="38"/>
  <c r="W214" i="38"/>
  <c r="Z213" i="38"/>
  <c r="Y213" i="38"/>
  <c r="W213" i="38"/>
  <c r="Z212" i="38"/>
  <c r="Y212" i="38"/>
  <c r="W212" i="38"/>
  <c r="Z211" i="38"/>
  <c r="Y211" i="38"/>
  <c r="Z207" i="38"/>
  <c r="Y207" i="38"/>
  <c r="Z206" i="38"/>
  <c r="Y206" i="38"/>
  <c r="W206" i="38"/>
  <c r="Z205" i="38"/>
  <c r="Y205" i="38"/>
  <c r="W205" i="38"/>
  <c r="Z204" i="38"/>
  <c r="Y204" i="38"/>
  <c r="W204" i="38"/>
  <c r="Z203" i="38"/>
  <c r="Y203" i="38"/>
  <c r="W203" i="38"/>
  <c r="Z199" i="38"/>
  <c r="Y199" i="38"/>
  <c r="Z196" i="38"/>
  <c r="Y196" i="38"/>
  <c r="Z195" i="38"/>
  <c r="Y195" i="38"/>
  <c r="W195" i="38"/>
  <c r="Z194" i="38"/>
  <c r="Y194" i="38"/>
  <c r="W194" i="38"/>
  <c r="Z188" i="38"/>
  <c r="Y188" i="38"/>
  <c r="Z187" i="38"/>
  <c r="Y187" i="38"/>
  <c r="Z186" i="38"/>
  <c r="Y186" i="38"/>
  <c r="W186" i="38"/>
  <c r="V186" i="38"/>
  <c r="Z185" i="38"/>
  <c r="Y185" i="38"/>
  <c r="W185" i="38"/>
  <c r="V185" i="38"/>
  <c r="Z184" i="38"/>
  <c r="Y184" i="38"/>
  <c r="W184" i="38"/>
  <c r="V184" i="38"/>
  <c r="Z183" i="38"/>
  <c r="Y183" i="38"/>
  <c r="W183" i="38"/>
  <c r="V183" i="38"/>
  <c r="Z182" i="38"/>
  <c r="Y182" i="38"/>
  <c r="W182" i="38"/>
  <c r="V182" i="38"/>
  <c r="Z181" i="38"/>
  <c r="Y181" i="38"/>
  <c r="W181" i="38"/>
  <c r="V181" i="38"/>
  <c r="Z180" i="38"/>
  <c r="Y180" i="38"/>
  <c r="W180" i="38"/>
  <c r="V180" i="38"/>
  <c r="Z179" i="38"/>
  <c r="Y179" i="38"/>
  <c r="W179" i="38"/>
  <c r="V179" i="38"/>
  <c r="Z178" i="38"/>
  <c r="Y178" i="38"/>
  <c r="Z177" i="38"/>
  <c r="Y177" i="38"/>
  <c r="W177" i="38"/>
  <c r="Z176" i="38"/>
  <c r="Y176" i="38"/>
  <c r="W176" i="38"/>
  <c r="Z175" i="38"/>
  <c r="Y175" i="38"/>
  <c r="W175" i="38"/>
  <c r="Z174" i="38"/>
  <c r="Y174" i="38"/>
  <c r="W174" i="38"/>
  <c r="Z173" i="38"/>
  <c r="Y173" i="38"/>
  <c r="W173" i="38"/>
  <c r="Z172" i="38"/>
  <c r="Y172" i="38"/>
  <c r="W172" i="38"/>
  <c r="V172" i="38"/>
  <c r="Z169" i="38"/>
  <c r="Y169" i="38"/>
  <c r="Z168" i="38"/>
  <c r="Y168" i="38"/>
  <c r="W168" i="38"/>
  <c r="Z167" i="38"/>
  <c r="Y167" i="38"/>
  <c r="W167" i="38"/>
  <c r="Z166" i="38"/>
  <c r="Y166" i="38"/>
  <c r="W166" i="38"/>
  <c r="Z165" i="38"/>
  <c r="Y165" i="38"/>
  <c r="W165" i="38"/>
  <c r="Z164" i="38"/>
  <c r="Y164" i="38"/>
  <c r="W164" i="38"/>
  <c r="V164" i="38"/>
  <c r="Z163" i="38"/>
  <c r="Y163" i="38"/>
  <c r="W163" i="38"/>
  <c r="V163" i="38"/>
  <c r="Z162" i="38"/>
  <c r="Y162" i="38"/>
  <c r="W162" i="38"/>
  <c r="V162" i="38"/>
  <c r="Z161" i="38"/>
  <c r="Y161" i="38"/>
  <c r="W161" i="38"/>
  <c r="V161" i="38"/>
  <c r="Z160" i="38"/>
  <c r="Y160" i="38"/>
  <c r="Z159" i="38"/>
  <c r="Y159" i="38"/>
  <c r="Z158" i="38"/>
  <c r="Z157" i="38"/>
  <c r="Y157" i="38"/>
  <c r="Z156" i="38"/>
  <c r="Y156" i="38"/>
  <c r="Z153" i="38"/>
  <c r="Y153" i="38"/>
  <c r="Z152" i="38"/>
  <c r="Z148" i="38"/>
  <c r="Y148" i="38"/>
  <c r="Z147" i="38"/>
  <c r="W147" i="38"/>
  <c r="V147" i="38"/>
  <c r="Z146" i="38"/>
  <c r="W146" i="38"/>
  <c r="V146" i="38"/>
  <c r="Z145" i="38"/>
  <c r="Z144" i="38"/>
  <c r="W144" i="38"/>
  <c r="V144" i="38"/>
  <c r="Z143" i="38"/>
  <c r="W143" i="38"/>
  <c r="V143" i="38"/>
  <c r="Z142" i="38"/>
  <c r="Y142" i="38"/>
  <c r="Z141" i="38"/>
  <c r="Z140" i="38"/>
  <c r="Z139" i="38"/>
  <c r="W139" i="38"/>
  <c r="V139" i="38"/>
  <c r="Z138" i="38"/>
  <c r="W138" i="38"/>
  <c r="V138" i="38"/>
  <c r="Z137" i="38"/>
  <c r="Z136" i="38"/>
  <c r="Z135" i="38"/>
  <c r="W135" i="38"/>
  <c r="V135" i="38"/>
  <c r="Z134" i="38"/>
  <c r="W134" i="38"/>
  <c r="V134" i="38"/>
  <c r="Z133" i="38"/>
  <c r="Z132" i="38"/>
  <c r="Y132" i="38"/>
  <c r="Z130" i="38"/>
  <c r="Y130" i="38"/>
  <c r="Z129" i="38"/>
  <c r="Z128" i="38"/>
  <c r="Z127" i="38"/>
  <c r="Z126" i="38"/>
  <c r="Z125" i="38"/>
  <c r="Z123" i="38"/>
  <c r="Y123" i="38"/>
  <c r="Z121" i="38"/>
  <c r="Y121" i="38"/>
  <c r="Z120" i="38"/>
  <c r="Y120" i="38"/>
  <c r="Z119" i="38"/>
  <c r="Y119" i="38"/>
  <c r="Z118" i="38"/>
  <c r="Z117" i="38"/>
  <c r="Z116" i="38"/>
  <c r="Z115" i="38"/>
  <c r="Y115" i="38"/>
  <c r="Z114" i="38"/>
  <c r="Y114" i="38"/>
  <c r="Z113" i="38"/>
  <c r="Y113" i="38"/>
  <c r="Z112" i="38"/>
  <c r="Y112" i="38"/>
  <c r="Z111" i="38"/>
  <c r="Y111" i="38"/>
  <c r="Z110" i="38"/>
  <c r="Y110" i="38"/>
  <c r="Z109" i="38"/>
  <c r="Y109" i="38"/>
  <c r="Z108" i="38"/>
  <c r="Y108" i="38"/>
  <c r="Z107" i="38"/>
  <c r="Y107" i="38"/>
  <c r="Z106" i="38"/>
  <c r="Y106" i="38"/>
  <c r="Z105" i="38"/>
  <c r="Y105" i="38"/>
  <c r="W105" i="38"/>
  <c r="Z104" i="38"/>
  <c r="Y104" i="38"/>
  <c r="W104" i="38"/>
  <c r="Z103" i="38"/>
  <c r="Y103" i="38"/>
  <c r="W103" i="38"/>
  <c r="Z102" i="38"/>
  <c r="Y102" i="38"/>
  <c r="W102" i="38"/>
  <c r="Z101" i="38"/>
  <c r="Y101" i="38"/>
  <c r="Z100" i="38"/>
  <c r="Y100" i="38"/>
  <c r="W100" i="38"/>
  <c r="V100" i="38"/>
  <c r="Z97" i="38"/>
  <c r="Y97" i="38"/>
  <c r="Z96" i="38"/>
  <c r="Y96" i="38"/>
  <c r="Z95" i="38"/>
  <c r="Z94" i="38"/>
  <c r="Z93" i="38"/>
  <c r="Z92" i="38"/>
  <c r="Z88" i="38"/>
  <c r="Y88" i="38"/>
  <c r="Z87" i="38"/>
  <c r="Y87" i="38"/>
  <c r="Z86" i="38"/>
  <c r="Y86" i="38"/>
  <c r="Z85" i="38"/>
  <c r="Z84" i="38"/>
  <c r="Z83" i="38"/>
  <c r="Y83" i="38"/>
  <c r="Z82" i="38"/>
  <c r="Y82" i="38"/>
  <c r="Z81" i="38"/>
  <c r="Y81" i="38"/>
  <c r="Z80" i="38"/>
  <c r="Y80" i="38"/>
  <c r="Z79" i="38"/>
  <c r="Y79" i="38"/>
  <c r="Z78" i="38"/>
  <c r="Y78" i="38"/>
  <c r="Z77" i="38"/>
  <c r="Y77" i="38"/>
  <c r="Z76" i="38"/>
  <c r="Y76" i="38"/>
  <c r="Z75" i="38"/>
  <c r="Y75" i="38"/>
  <c r="W75" i="38"/>
  <c r="Z74" i="38"/>
  <c r="Y74" i="38"/>
  <c r="W74" i="38"/>
  <c r="Z67" i="38"/>
  <c r="Y67" i="38"/>
  <c r="Z66" i="38"/>
  <c r="Y66" i="38"/>
  <c r="Z65" i="38"/>
  <c r="Y65" i="38"/>
  <c r="W65" i="38"/>
  <c r="Z64" i="38"/>
  <c r="W64" i="38"/>
  <c r="V64" i="38"/>
  <c r="Z63" i="38"/>
  <c r="W63" i="38"/>
  <c r="Z62" i="38"/>
  <c r="Y62" i="38"/>
  <c r="Z61" i="38"/>
  <c r="W61" i="38"/>
  <c r="V61" i="38"/>
  <c r="Z60" i="38"/>
  <c r="W60" i="38"/>
  <c r="V60" i="38"/>
  <c r="Z59" i="38"/>
  <c r="Y59" i="38"/>
  <c r="W59" i="38"/>
  <c r="V59" i="38"/>
  <c r="Z58" i="38"/>
  <c r="Z57" i="38"/>
  <c r="W57" i="38"/>
  <c r="Z56" i="38"/>
  <c r="W56" i="38"/>
  <c r="V56" i="38"/>
  <c r="Z55" i="38"/>
  <c r="W55" i="38"/>
  <c r="V55" i="38"/>
  <c r="Z54" i="38"/>
  <c r="Z53" i="38"/>
  <c r="Z52" i="38"/>
  <c r="W52" i="38"/>
  <c r="V52" i="38"/>
  <c r="Z51" i="38"/>
  <c r="Y51" i="38"/>
  <c r="Z50" i="38"/>
  <c r="Y50" i="38"/>
  <c r="Z49" i="38"/>
  <c r="Y49" i="38"/>
  <c r="W49" i="38"/>
  <c r="V49" i="38"/>
  <c r="Z47" i="38"/>
  <c r="Y47" i="38"/>
  <c r="W47" i="38"/>
  <c r="V47" i="38"/>
  <c r="Z46" i="38"/>
  <c r="Y46" i="38"/>
  <c r="Z45" i="38"/>
  <c r="Y45" i="38"/>
  <c r="W45" i="38"/>
  <c r="V45" i="38"/>
  <c r="Z44" i="38"/>
  <c r="Y44" i="38"/>
  <c r="W44" i="38"/>
  <c r="V44" i="38"/>
  <c r="Z43" i="38"/>
  <c r="Y43" i="38"/>
  <c r="W43" i="38"/>
  <c r="V43" i="38"/>
  <c r="Z42" i="38"/>
  <c r="Y42" i="38"/>
  <c r="W42" i="38"/>
  <c r="V42" i="38"/>
  <c r="Z41" i="38"/>
  <c r="Y41" i="38"/>
  <c r="W41" i="38"/>
  <c r="V41" i="38"/>
  <c r="Z40" i="38"/>
  <c r="Y40" i="38"/>
  <c r="W40" i="38"/>
  <c r="V40" i="38"/>
  <c r="Z39" i="38"/>
  <c r="Y39" i="38"/>
  <c r="Z38" i="38"/>
  <c r="Y38" i="38"/>
  <c r="Z37" i="38"/>
  <c r="Y37" i="38"/>
  <c r="W37" i="38"/>
  <c r="Z36" i="38"/>
  <c r="Y36" i="38"/>
  <c r="Z35" i="38"/>
  <c r="Y35" i="38"/>
  <c r="W35" i="38"/>
  <c r="V35" i="38"/>
  <c r="Z34" i="38"/>
  <c r="Y34" i="38"/>
  <c r="Z33" i="38"/>
  <c r="Z32" i="38"/>
  <c r="Z31" i="38"/>
  <c r="Z30" i="38"/>
  <c r="Z29" i="38"/>
  <c r="Z28" i="38"/>
  <c r="Y28" i="38"/>
  <c r="Z27" i="38"/>
  <c r="Y27" i="38"/>
  <c r="Z26" i="38"/>
  <c r="W26" i="38"/>
  <c r="V26" i="38"/>
  <c r="Z25" i="38"/>
  <c r="Y25" i="38"/>
  <c r="W25" i="38"/>
  <c r="V25" i="38"/>
  <c r="Z24" i="38"/>
  <c r="Y24" i="38"/>
  <c r="W24" i="38"/>
  <c r="V24" i="38"/>
  <c r="Z23" i="38"/>
  <c r="Y23" i="38"/>
  <c r="Z22" i="38"/>
  <c r="Y22" i="38"/>
  <c r="Z21" i="38"/>
  <c r="Y21" i="38"/>
  <c r="W21" i="38"/>
  <c r="Z20" i="38"/>
  <c r="Y20" i="38"/>
  <c r="W20" i="38"/>
  <c r="Z18" i="38"/>
  <c r="Y18" i="38"/>
  <c r="W18" i="38"/>
  <c r="V18" i="38"/>
  <c r="Z17" i="38"/>
  <c r="Y17" i="38"/>
  <c r="W17" i="38"/>
  <c r="V17" i="38"/>
  <c r="Z16" i="38"/>
  <c r="Y16" i="38"/>
  <c r="W16" i="38"/>
  <c r="V16" i="38"/>
  <c r="Z15" i="38"/>
  <c r="Y15" i="38"/>
  <c r="W15" i="38"/>
  <c r="V15" i="38"/>
  <c r="Z14" i="38"/>
  <c r="Y14" i="38"/>
  <c r="W14" i="38"/>
  <c r="V14" i="38"/>
  <c r="Z13" i="38"/>
  <c r="Y13" i="38"/>
  <c r="W13" i="38"/>
  <c r="V13" i="38"/>
  <c r="Z12" i="38"/>
  <c r="Y12" i="38"/>
  <c r="Z11" i="38"/>
  <c r="Y11" i="38"/>
  <c r="Z10" i="38"/>
  <c r="Y10" i="38"/>
  <c r="W10" i="38"/>
  <c r="V10" i="38"/>
  <c r="Z9" i="38"/>
  <c r="Y9" i="38"/>
  <c r="V9" i="38"/>
  <c r="Z8" i="38"/>
  <c r="Y8" i="38"/>
  <c r="W8" i="38"/>
  <c r="V8" i="38"/>
  <c r="AB7" i="38"/>
  <c r="Z7" i="38"/>
  <c r="Y7" i="38"/>
  <c r="V7" i="38"/>
  <c r="Z6" i="38"/>
  <c r="Y6" i="38"/>
  <c r="W6" i="38"/>
  <c r="V6" i="38"/>
  <c r="V5" i="38"/>
  <c r="W4" i="38"/>
  <c r="V4" i="38"/>
  <c r="AD248" i="31" l="1"/>
  <c r="Z247" i="31"/>
  <c r="Z246" i="31"/>
  <c r="X246" i="31"/>
  <c r="Z245" i="31"/>
  <c r="Z244" i="31"/>
  <c r="Z243" i="31"/>
  <c r="X243" i="31"/>
  <c r="Z242" i="31"/>
  <c r="X242" i="31"/>
  <c r="Z241" i="31"/>
  <c r="Z240" i="31"/>
  <c r="Z239" i="31"/>
  <c r="Z238" i="31"/>
  <c r="Z237" i="31"/>
  <c r="X237" i="31"/>
  <c r="Z236" i="31"/>
  <c r="Z235" i="31"/>
  <c r="Z234" i="31"/>
  <c r="Z233" i="31"/>
  <c r="Z232" i="31"/>
  <c r="W232" i="31"/>
  <c r="V232" i="31"/>
  <c r="Z231" i="31"/>
  <c r="W231" i="31"/>
  <c r="V231" i="31"/>
  <c r="Z230" i="31"/>
  <c r="Z229" i="31"/>
  <c r="W229" i="31"/>
  <c r="V229" i="31"/>
  <c r="Z228" i="31"/>
  <c r="W228" i="31"/>
  <c r="V228" i="31"/>
  <c r="Z227" i="31"/>
  <c r="Z226" i="31"/>
  <c r="Z225" i="31"/>
  <c r="W225" i="31"/>
  <c r="V225" i="31"/>
  <c r="Z224" i="31"/>
  <c r="W224" i="31"/>
  <c r="V224" i="31"/>
  <c r="Z223" i="31"/>
  <c r="V223" i="31"/>
  <c r="Z222" i="31"/>
  <c r="V222" i="31"/>
  <c r="Z221" i="31"/>
  <c r="V221" i="31"/>
  <c r="Z220" i="31"/>
  <c r="Z219" i="31"/>
  <c r="Z218" i="31"/>
  <c r="W218" i="31"/>
  <c r="V218" i="31"/>
  <c r="Z217" i="31"/>
  <c r="W217" i="31"/>
  <c r="V217" i="31"/>
  <c r="Z216" i="31"/>
  <c r="W216" i="31"/>
  <c r="V216" i="31"/>
  <c r="Z215" i="31"/>
  <c r="W215" i="31"/>
  <c r="V215" i="31"/>
  <c r="Z214" i="31"/>
  <c r="Z213" i="31"/>
  <c r="Z212" i="31"/>
  <c r="V212" i="31"/>
  <c r="Z211" i="31"/>
  <c r="W211" i="31"/>
  <c r="V211" i="31"/>
  <c r="Z210" i="31"/>
  <c r="W210" i="31"/>
  <c r="V210" i="31"/>
  <c r="Z209" i="31"/>
  <c r="Z208" i="31"/>
  <c r="W208" i="31"/>
  <c r="V208" i="31"/>
  <c r="Z207" i="31"/>
  <c r="W207" i="31"/>
  <c r="V207" i="31"/>
  <c r="Z204" i="31"/>
  <c r="X204" i="31"/>
  <c r="Z203" i="31"/>
  <c r="Z202" i="31"/>
  <c r="X202" i="31"/>
  <c r="W202" i="31"/>
  <c r="V202" i="31"/>
  <c r="Z201" i="31"/>
  <c r="X201" i="31"/>
  <c r="W201" i="31"/>
  <c r="V201" i="31"/>
  <c r="Z200" i="31"/>
  <c r="X200" i="31"/>
  <c r="W200" i="31"/>
  <c r="V200" i="31"/>
  <c r="Z199" i="31"/>
  <c r="X199" i="31"/>
  <c r="V199" i="31"/>
  <c r="Z195" i="31"/>
  <c r="X195" i="31"/>
  <c r="Z194" i="31"/>
  <c r="X194" i="31"/>
  <c r="W194" i="31"/>
  <c r="V194" i="31"/>
  <c r="Z193" i="31"/>
  <c r="X193" i="31"/>
  <c r="W193" i="31"/>
  <c r="V193" i="31"/>
  <c r="Z192" i="31"/>
  <c r="X192" i="31"/>
  <c r="W192" i="31"/>
  <c r="V192" i="31"/>
  <c r="Z191" i="31"/>
  <c r="X191" i="31"/>
  <c r="W191" i="31"/>
  <c r="V191" i="31"/>
  <c r="Z187" i="31"/>
  <c r="X187" i="31"/>
  <c r="Z186" i="31"/>
  <c r="X186" i="31"/>
  <c r="W186" i="31"/>
  <c r="V186" i="31"/>
  <c r="Z184" i="31"/>
  <c r="X184" i="31"/>
  <c r="Z183" i="31"/>
  <c r="X183" i="31"/>
  <c r="W183" i="31"/>
  <c r="V183" i="31"/>
  <c r="Z182" i="31"/>
  <c r="X182" i="31"/>
  <c r="W182" i="31"/>
  <c r="V182" i="31"/>
  <c r="Z181" i="31"/>
  <c r="X181" i="31"/>
  <c r="W181" i="31"/>
  <c r="V181" i="31"/>
  <c r="Z176" i="31"/>
  <c r="X176" i="31"/>
  <c r="Z175" i="31"/>
  <c r="Z174" i="31"/>
  <c r="X174" i="31"/>
  <c r="W174" i="31"/>
  <c r="V174" i="31"/>
  <c r="Z173" i="31"/>
  <c r="X173" i="31"/>
  <c r="W173" i="31"/>
  <c r="V173" i="31"/>
  <c r="Z172" i="31"/>
  <c r="X172" i="31"/>
  <c r="W172" i="31"/>
  <c r="V172" i="31"/>
  <c r="Z171" i="31"/>
  <c r="X171" i="31"/>
  <c r="W171" i="31"/>
  <c r="V171" i="31"/>
  <c r="Z170" i="31"/>
  <c r="X170" i="31"/>
  <c r="W170" i="31"/>
  <c r="V170" i="31"/>
  <c r="Z169" i="31"/>
  <c r="X169" i="31"/>
  <c r="W169" i="31"/>
  <c r="V169" i="31"/>
  <c r="Z168" i="31"/>
  <c r="X168" i="31"/>
  <c r="W168" i="31"/>
  <c r="V168" i="31"/>
  <c r="Z167" i="31"/>
  <c r="X167" i="31"/>
  <c r="W167" i="31"/>
  <c r="V167" i="31"/>
  <c r="Z166" i="31"/>
  <c r="X166" i="31"/>
  <c r="Z165" i="31"/>
  <c r="X165" i="31"/>
  <c r="W165" i="31"/>
  <c r="V165" i="31"/>
  <c r="Z164" i="31"/>
  <c r="X164" i="31"/>
  <c r="W164" i="31"/>
  <c r="V164" i="31"/>
  <c r="Z163" i="31"/>
  <c r="X163" i="31"/>
  <c r="W163" i="31"/>
  <c r="V163" i="31"/>
  <c r="Z162" i="31"/>
  <c r="X162" i="31"/>
  <c r="W162" i="31"/>
  <c r="V162" i="31"/>
  <c r="Z161" i="31"/>
  <c r="X161" i="31"/>
  <c r="W161" i="31"/>
  <c r="V161" i="31"/>
  <c r="Z160" i="31"/>
  <c r="X160" i="31"/>
  <c r="Z157" i="31"/>
  <c r="X157" i="31"/>
  <c r="Z156" i="31"/>
  <c r="X156" i="31"/>
  <c r="W156" i="31"/>
  <c r="V156" i="31"/>
  <c r="Z155" i="31"/>
  <c r="X155" i="31"/>
  <c r="W155" i="31"/>
  <c r="V155" i="31"/>
  <c r="Z154" i="31"/>
  <c r="X154" i="31"/>
  <c r="W154" i="31"/>
  <c r="V154" i="31"/>
  <c r="Z153" i="31"/>
  <c r="X153" i="31"/>
  <c r="W153" i="31"/>
  <c r="V153" i="31"/>
  <c r="Z152" i="31"/>
  <c r="X152" i="31"/>
  <c r="W152" i="31"/>
  <c r="V152" i="31"/>
  <c r="Z151" i="31"/>
  <c r="X151" i="31"/>
  <c r="W151" i="31"/>
  <c r="V151" i="31"/>
  <c r="Z150" i="31"/>
  <c r="X150" i="31"/>
  <c r="W150" i="31"/>
  <c r="V150" i="31"/>
  <c r="Z149" i="31"/>
  <c r="X149" i="31"/>
  <c r="W149" i="31"/>
  <c r="V149" i="31"/>
  <c r="Z148" i="31"/>
  <c r="X148" i="31"/>
  <c r="Z147" i="31"/>
  <c r="X147" i="31"/>
  <c r="Z146" i="31"/>
  <c r="V146" i="31"/>
  <c r="Z145" i="31"/>
  <c r="X145" i="31"/>
  <c r="Z144" i="31"/>
  <c r="X144" i="31"/>
  <c r="Z141" i="31"/>
  <c r="X141" i="31"/>
  <c r="Z140" i="31"/>
  <c r="Z136" i="31"/>
  <c r="X136" i="31"/>
  <c r="Z135" i="31"/>
  <c r="W135" i="31"/>
  <c r="V135" i="31"/>
  <c r="Z134" i="31"/>
  <c r="W134" i="31"/>
  <c r="V134" i="31"/>
  <c r="Z133" i="31"/>
  <c r="Z132" i="31"/>
  <c r="W132" i="31"/>
  <c r="V132" i="31"/>
  <c r="Z131" i="31"/>
  <c r="W131" i="31"/>
  <c r="V131" i="31"/>
  <c r="Z130" i="31"/>
  <c r="X130" i="31"/>
  <c r="Z129" i="31"/>
  <c r="Z128" i="31"/>
  <c r="V128" i="31"/>
  <c r="Z127" i="31"/>
  <c r="W127" i="31"/>
  <c r="V127" i="31"/>
  <c r="Z126" i="31"/>
  <c r="W126" i="31"/>
  <c r="V126" i="31"/>
  <c r="Z125" i="31"/>
  <c r="Z124" i="31"/>
  <c r="Z123" i="31"/>
  <c r="W123" i="31"/>
  <c r="V123" i="31"/>
  <c r="Z122" i="31"/>
  <c r="W122" i="31"/>
  <c r="V122" i="31"/>
  <c r="Z121" i="31"/>
  <c r="Z120" i="31"/>
  <c r="X120" i="31"/>
  <c r="V120" i="31"/>
  <c r="Z118" i="31"/>
  <c r="X118" i="31"/>
  <c r="Z114" i="31"/>
  <c r="X114" i="31"/>
  <c r="Z113" i="31"/>
  <c r="X113" i="31"/>
  <c r="Z112" i="31"/>
  <c r="X112" i="31"/>
  <c r="Z111" i="31"/>
  <c r="X111" i="31"/>
  <c r="V111" i="31"/>
  <c r="Z110" i="31"/>
  <c r="X110" i="31"/>
  <c r="V110" i="31"/>
  <c r="Z109" i="31"/>
  <c r="X109" i="31"/>
  <c r="V109" i="31"/>
  <c r="Z108" i="31"/>
  <c r="X108" i="31"/>
  <c r="V108" i="31"/>
  <c r="Z107" i="31"/>
  <c r="X107" i="31"/>
  <c r="V107" i="31"/>
  <c r="Z106" i="31"/>
  <c r="X106" i="31"/>
  <c r="V106" i="31"/>
  <c r="Z105" i="31"/>
  <c r="X105" i="31"/>
  <c r="V105" i="31"/>
  <c r="Z104" i="31"/>
  <c r="X104" i="31"/>
  <c r="V104" i="31"/>
  <c r="Z103" i="31"/>
  <c r="X103" i="31"/>
  <c r="V103" i="31"/>
  <c r="Z102" i="31"/>
  <c r="X102" i="31"/>
  <c r="V102" i="31"/>
  <c r="Z101" i="31"/>
  <c r="X101" i="31"/>
  <c r="Z100" i="31"/>
  <c r="X100" i="31"/>
  <c r="Z99" i="31"/>
  <c r="X99" i="31"/>
  <c r="W99" i="31"/>
  <c r="V99" i="31"/>
  <c r="Z98" i="31"/>
  <c r="X98" i="31"/>
  <c r="W98" i="31"/>
  <c r="V98" i="31"/>
  <c r="Z97" i="31"/>
  <c r="X97" i="31"/>
  <c r="W97" i="31"/>
  <c r="V97" i="31"/>
  <c r="Z96" i="31"/>
  <c r="X96" i="31"/>
  <c r="W96" i="31"/>
  <c r="V96" i="31"/>
  <c r="Z95" i="31"/>
  <c r="X95" i="31"/>
  <c r="Z94" i="31"/>
  <c r="X94" i="31"/>
  <c r="Z91" i="31"/>
  <c r="X91" i="31"/>
  <c r="Z90" i="31"/>
  <c r="X90" i="31"/>
  <c r="Z89" i="31"/>
  <c r="Z88" i="31"/>
  <c r="Z87" i="31"/>
  <c r="Z86" i="31"/>
  <c r="Z82" i="31"/>
  <c r="X82" i="31"/>
  <c r="Z81" i="31"/>
  <c r="X81" i="31"/>
  <c r="Z80" i="31"/>
  <c r="X80" i="31"/>
  <c r="W80" i="31"/>
  <c r="V80" i="31"/>
  <c r="Z79" i="31"/>
  <c r="X79" i="31"/>
  <c r="W79" i="31"/>
  <c r="V79" i="31"/>
  <c r="Z78" i="31"/>
  <c r="X78" i="31"/>
  <c r="V78" i="31"/>
  <c r="Z77" i="31"/>
  <c r="X77" i="31"/>
  <c r="V77" i="31"/>
  <c r="Z76" i="31"/>
  <c r="X76" i="31"/>
  <c r="Z75" i="31"/>
  <c r="X75" i="31"/>
  <c r="V75" i="31"/>
  <c r="Z74" i="31"/>
  <c r="X74" i="31"/>
  <c r="V74" i="31"/>
  <c r="Z73" i="31"/>
  <c r="X73" i="31"/>
  <c r="V73" i="31"/>
  <c r="Z72" i="31"/>
  <c r="X72" i="31"/>
  <c r="Z71" i="31"/>
  <c r="X71" i="31"/>
  <c r="W71" i="31"/>
  <c r="V71" i="31"/>
  <c r="Z70" i="31"/>
  <c r="X70" i="31"/>
  <c r="W70" i="31"/>
  <c r="V70" i="31"/>
  <c r="Z69" i="31"/>
  <c r="X69" i="31"/>
  <c r="W69" i="31"/>
  <c r="V69" i="31"/>
  <c r="Z68" i="31"/>
  <c r="X68" i="31"/>
  <c r="W68" i="31"/>
  <c r="V68" i="31"/>
  <c r="Z67" i="31"/>
  <c r="X67" i="31"/>
  <c r="W67" i="31"/>
  <c r="V67" i="31"/>
  <c r="Z66" i="31"/>
  <c r="X66" i="31"/>
  <c r="W66" i="31"/>
  <c r="V66" i="31"/>
  <c r="Z63" i="31"/>
  <c r="X63" i="31"/>
  <c r="Z62" i="31"/>
  <c r="X62" i="31"/>
  <c r="Z61" i="31"/>
  <c r="X61" i="31"/>
  <c r="V61" i="31"/>
  <c r="Z60" i="31"/>
  <c r="W60" i="31"/>
  <c r="V60" i="31"/>
  <c r="Z59" i="31"/>
  <c r="V59" i="31"/>
  <c r="Z58" i="31"/>
  <c r="X58" i="31"/>
  <c r="V58" i="31"/>
  <c r="Z57" i="31"/>
  <c r="Z56" i="31"/>
  <c r="W56" i="31"/>
  <c r="V56" i="31"/>
  <c r="Z55" i="31"/>
  <c r="X55" i="31"/>
  <c r="W55" i="31"/>
  <c r="V55" i="31"/>
  <c r="Z54" i="31"/>
  <c r="Z53" i="31"/>
  <c r="W53" i="31"/>
  <c r="V53" i="31"/>
  <c r="Z52" i="31"/>
  <c r="W52" i="31"/>
  <c r="V52" i="31"/>
  <c r="Z51" i="31"/>
  <c r="W51" i="31"/>
  <c r="V51" i="31"/>
  <c r="Z50" i="31"/>
  <c r="Z49" i="31"/>
  <c r="X49" i="31"/>
  <c r="Z48" i="31"/>
  <c r="X48" i="31"/>
  <c r="W48" i="31"/>
  <c r="V48" i="31"/>
  <c r="Z47" i="31"/>
  <c r="X47" i="31"/>
  <c r="W47" i="31"/>
  <c r="V47" i="31"/>
  <c r="Z46" i="31"/>
  <c r="X46" i="31"/>
  <c r="Z45" i="31"/>
  <c r="X45" i="31"/>
  <c r="Z44" i="31"/>
  <c r="X44" i="31"/>
  <c r="W44" i="31"/>
  <c r="V44" i="31"/>
  <c r="Z42" i="31"/>
  <c r="X42" i="31"/>
  <c r="W42" i="31"/>
  <c r="V42" i="31"/>
  <c r="Z41" i="31"/>
  <c r="X41" i="31"/>
  <c r="Z40" i="31"/>
  <c r="X40" i="31"/>
  <c r="W40" i="31"/>
  <c r="V40" i="31"/>
  <c r="Z39" i="31"/>
  <c r="X39" i="31"/>
  <c r="W39" i="31"/>
  <c r="V39" i="31"/>
  <c r="Z38" i="31"/>
  <c r="X38" i="31"/>
  <c r="W38" i="31"/>
  <c r="V38" i="31"/>
  <c r="Z37" i="31"/>
  <c r="X37" i="31"/>
  <c r="W37" i="31"/>
  <c r="V37" i="31"/>
  <c r="Z36" i="31"/>
  <c r="X36" i="31"/>
  <c r="W36" i="31"/>
  <c r="V36" i="31"/>
  <c r="Z35" i="31"/>
  <c r="X35" i="31"/>
  <c r="W35" i="31"/>
  <c r="V35" i="31"/>
  <c r="Z34" i="31"/>
  <c r="X34" i="31"/>
  <c r="Z33" i="31"/>
  <c r="X33" i="31"/>
  <c r="Z32" i="31"/>
  <c r="X32" i="31"/>
  <c r="W32" i="31"/>
  <c r="V32" i="31"/>
  <c r="Z31" i="31"/>
  <c r="X31" i="31"/>
  <c r="W31" i="31"/>
  <c r="V31" i="31"/>
  <c r="Z30" i="31"/>
  <c r="X30" i="31"/>
  <c r="W30" i="31"/>
  <c r="V30" i="31"/>
  <c r="Z29" i="31"/>
  <c r="X29" i="31"/>
  <c r="Z28" i="31"/>
  <c r="X28" i="31"/>
  <c r="W28" i="31"/>
  <c r="V28" i="31"/>
  <c r="Z27" i="31"/>
  <c r="X27" i="31"/>
  <c r="Z26" i="31"/>
  <c r="W26" i="31"/>
  <c r="V26" i="31"/>
  <c r="Z25" i="31"/>
  <c r="X25" i="31"/>
  <c r="W25" i="31"/>
  <c r="V25" i="31"/>
  <c r="Z24" i="31"/>
  <c r="X24" i="31"/>
  <c r="W24" i="31"/>
  <c r="V24" i="31"/>
  <c r="Z23" i="31"/>
  <c r="X23" i="31"/>
  <c r="Z22" i="31"/>
  <c r="X22" i="31"/>
  <c r="Z21" i="31"/>
  <c r="X21" i="31"/>
  <c r="W21" i="31"/>
  <c r="V21" i="31"/>
  <c r="Z19" i="31"/>
  <c r="X19" i="31"/>
  <c r="W19" i="31"/>
  <c r="V19" i="31"/>
  <c r="Z18" i="31"/>
  <c r="X18" i="31"/>
  <c r="W18" i="31"/>
  <c r="V18" i="31"/>
  <c r="Z17" i="31"/>
  <c r="X17" i="31"/>
  <c r="W17" i="31"/>
  <c r="V17" i="31"/>
  <c r="Z16" i="31"/>
  <c r="X16" i="31"/>
  <c r="W16" i="31"/>
  <c r="V16" i="31"/>
  <c r="Z15" i="31"/>
  <c r="X15" i="31"/>
  <c r="W15" i="31"/>
  <c r="V15" i="31"/>
  <c r="Z14" i="31"/>
  <c r="X14" i="31"/>
  <c r="W14" i="31"/>
  <c r="V14" i="31"/>
  <c r="Z13" i="31"/>
  <c r="X13" i="31"/>
  <c r="W13" i="31"/>
  <c r="V13" i="31"/>
  <c r="Z12" i="31"/>
  <c r="X12" i="31"/>
  <c r="Z11" i="31"/>
  <c r="X11" i="31"/>
  <c r="Z10" i="31"/>
  <c r="X10" i="31"/>
  <c r="W10" i="31"/>
  <c r="V10" i="31"/>
  <c r="Z9" i="31"/>
  <c r="X9" i="31"/>
  <c r="V9" i="31"/>
  <c r="Z8" i="31"/>
  <c r="X8" i="31"/>
  <c r="W8" i="31"/>
  <c r="V8" i="31"/>
  <c r="AB7" i="31"/>
  <c r="Z7" i="31"/>
  <c r="X7" i="31"/>
  <c r="V7" i="31"/>
  <c r="Z6" i="31"/>
  <c r="X6" i="31"/>
  <c r="W6" i="31"/>
  <c r="V6" i="31"/>
  <c r="V5" i="31"/>
  <c r="W4" i="31"/>
  <c r="V4" i="31"/>
  <c r="E11" i="46"/>
  <c r="D11" i="46"/>
  <c r="C11" i="46"/>
  <c r="C7" i="46"/>
  <c r="E17" i="46"/>
  <c r="E16" i="46"/>
  <c r="E15" i="46"/>
  <c r="E14" i="46"/>
  <c r="E13" i="46"/>
  <c r="E12" i="46"/>
  <c r="E10" i="46"/>
  <c r="E9" i="46"/>
  <c r="E8" i="46"/>
  <c r="E7" i="46"/>
  <c r="E5" i="46"/>
  <c r="E4" i="46"/>
  <c r="E3" i="46"/>
  <c r="E2" i="46"/>
  <c r="D17" i="46"/>
  <c r="D16" i="46"/>
  <c r="D15" i="46"/>
  <c r="D14" i="46"/>
  <c r="D13" i="46"/>
  <c r="D12" i="46"/>
  <c r="D10" i="46"/>
  <c r="D9" i="46"/>
  <c r="D8" i="46"/>
  <c r="D7" i="46"/>
  <c r="D5" i="46"/>
  <c r="D4" i="46"/>
  <c r="D3" i="46"/>
  <c r="D2" i="46"/>
  <c r="C17" i="46"/>
  <c r="C16" i="46"/>
  <c r="F16" i="46" s="1"/>
  <c r="C15" i="46"/>
  <c r="C14" i="46"/>
  <c r="C13" i="46"/>
  <c r="C12" i="46"/>
  <c r="AE146" i="31" s="1"/>
  <c r="C10" i="46"/>
  <c r="C9" i="46"/>
  <c r="C8" i="46"/>
  <c r="C5" i="46"/>
  <c r="C4" i="46"/>
  <c r="C3" i="46"/>
  <c r="C2" i="46"/>
  <c r="AE8" i="31" s="1"/>
  <c r="AE30" i="31" l="1"/>
  <c r="AE32" i="31"/>
  <c r="AE31" i="31"/>
  <c r="AE99" i="31"/>
  <c r="AE98" i="31"/>
  <c r="AE97" i="31"/>
  <c r="AE96" i="31"/>
  <c r="AE120" i="31"/>
  <c r="AE119" i="31"/>
  <c r="AE165" i="31"/>
  <c r="AE191" i="31"/>
  <c r="AE164" i="31"/>
  <c r="AE193" i="31"/>
  <c r="AE163" i="31"/>
  <c r="AE162" i="31"/>
  <c r="AE161" i="31"/>
  <c r="AE192" i="31"/>
  <c r="AE194" i="31"/>
  <c r="AE200" i="31"/>
  <c r="AE202" i="31"/>
  <c r="AE201" i="31"/>
  <c r="AE196" i="31"/>
  <c r="AE199" i="31"/>
  <c r="AE198" i="31"/>
  <c r="AE197" i="31"/>
  <c r="AE233" i="31"/>
  <c r="AE232" i="31"/>
  <c r="AE231" i="31"/>
  <c r="AE18" i="31"/>
  <c r="AE21" i="31"/>
  <c r="AE19" i="31"/>
  <c r="AE66" i="31"/>
  <c r="AE80" i="31"/>
  <c r="AE60" i="31"/>
  <c r="AE53" i="31"/>
  <c r="AE71" i="31"/>
  <c r="AE69" i="31"/>
  <c r="AE68" i="31"/>
  <c r="AE67" i="31"/>
  <c r="AE79" i="31"/>
  <c r="AE70" i="31"/>
  <c r="AE61" i="31"/>
  <c r="AE238" i="31"/>
  <c r="AE89" i="31"/>
  <c r="AE242" i="31"/>
  <c r="AE186" i="31"/>
  <c r="AE183" i="31"/>
  <c r="AE153" i="31"/>
  <c r="AE182" i="31"/>
  <c r="AE181" i="31"/>
  <c r="AE156" i="31"/>
  <c r="AE155" i="31"/>
  <c r="AE154" i="31"/>
  <c r="AE88" i="31"/>
  <c r="AE87" i="31"/>
  <c r="AE218" i="31"/>
  <c r="AE217" i="31"/>
  <c r="AE216" i="31"/>
  <c r="AE215" i="31"/>
  <c r="F8" i="46"/>
  <c r="AD39" i="39" a="1"/>
  <c r="AD39" i="39" s="1"/>
  <c r="AD46" i="39" a="1"/>
  <c r="AD46" i="39" s="1"/>
  <c r="AD6" i="39" a="1"/>
  <c r="AD6" i="39" s="1"/>
  <c r="AD8" i="39" a="1"/>
  <c r="AD8" i="39" s="1"/>
  <c r="AD30" i="39" a="1"/>
  <c r="AD30" i="39" s="1"/>
  <c r="AD31" i="39" a="1"/>
  <c r="AD31" i="39" s="1"/>
  <c r="AD32" i="39" a="1"/>
  <c r="AD32" i="39" s="1"/>
  <c r="AD33" i="39" a="1"/>
  <c r="AD33" i="39" s="1"/>
  <c r="AD34" i="39" a="1"/>
  <c r="AD34" i="39" s="1"/>
  <c r="AD35" i="39" a="1"/>
  <c r="AD35" i="39" s="1"/>
  <c r="AD36" i="39" a="1"/>
  <c r="AD36" i="39" s="1"/>
  <c r="AD37" i="39" a="1"/>
  <c r="AD37" i="39" s="1"/>
  <c r="AD23" i="39" a="1"/>
  <c r="AD23" i="39" s="1"/>
  <c r="AD27" i="39" a="1"/>
  <c r="AD27" i="39" s="1"/>
  <c r="AD28" i="39" a="1"/>
  <c r="AD28" i="39" s="1"/>
  <c r="AD29" i="39" a="1"/>
  <c r="AD29" i="39" s="1"/>
  <c r="AD21" i="39" a="1"/>
  <c r="AD21" i="39" s="1"/>
  <c r="AD18" i="39" a="1"/>
  <c r="AD18" i="39" s="1"/>
  <c r="AD19" i="39" a="1"/>
  <c r="AD19" i="39" s="1"/>
  <c r="AD51" i="39" a="1"/>
  <c r="AD51" i="39" s="1"/>
  <c r="AD71" i="39" a="1"/>
  <c r="AD71" i="39" s="1"/>
  <c r="AD72" i="39" a="1"/>
  <c r="AD72" i="39" s="1"/>
  <c r="AD73" i="39" a="1"/>
  <c r="AD73" i="39" s="1"/>
  <c r="AD54" i="39" a="1"/>
  <c r="AD54" i="39" s="1"/>
  <c r="AD74" i="39" a="1"/>
  <c r="AD74" i="39" s="1"/>
  <c r="AD75" i="39" a="1"/>
  <c r="AD75" i="39" s="1"/>
  <c r="AD58" i="39" a="1"/>
  <c r="AD58" i="39" s="1"/>
  <c r="AD80" i="39" a="1"/>
  <c r="AD80" i="39" s="1"/>
  <c r="AD62" i="39" a="1"/>
  <c r="AD62" i="39" s="1"/>
  <c r="AD63" i="39" a="1"/>
  <c r="AD63" i="39" s="1"/>
  <c r="AD86" i="39" a="1"/>
  <c r="AD86" i="39" s="1"/>
  <c r="AD67" i="39" a="1"/>
  <c r="AD67" i="39" s="1"/>
  <c r="AD64" i="39" a="1"/>
  <c r="AD64" i="39" s="1"/>
  <c r="AD76" i="39" a="1"/>
  <c r="AD76" i="39" s="1"/>
  <c r="AD85" i="39" a="1"/>
  <c r="AD85" i="39" s="1"/>
  <c r="AD84" i="39" a="1"/>
  <c r="AD84" i="39" s="1"/>
  <c r="AD106" i="39" a="1"/>
  <c r="AD106" i="39" s="1"/>
  <c r="AD108" i="39" a="1"/>
  <c r="AD108" i="39" s="1"/>
  <c r="AD97" i="39" a="1"/>
  <c r="AD97" i="39" s="1"/>
  <c r="AD116" i="39" a="1"/>
  <c r="AD116" i="39" s="1"/>
  <c r="AD117" i="39" a="1"/>
  <c r="AD117" i="39" s="1"/>
  <c r="AD102" i="39" a="1"/>
  <c r="AD102" i="39" s="1"/>
  <c r="AD103" i="39" a="1"/>
  <c r="AD103" i="39" s="1"/>
  <c r="AD104" i="39" a="1"/>
  <c r="AD104" i="39" s="1"/>
  <c r="AD165" i="39" a="1"/>
  <c r="AD165" i="39" s="1"/>
  <c r="AD166" i="39" a="1"/>
  <c r="AD166" i="39" s="1"/>
  <c r="AD197" i="39" a="1"/>
  <c r="AD197" i="39" s="1"/>
  <c r="AD167" i="39" a="1"/>
  <c r="AD167" i="39" s="1"/>
  <c r="AD194" i="39" a="1"/>
  <c r="AD194" i="39" s="1"/>
  <c r="AD193" i="39" a="1"/>
  <c r="AD193" i="39" s="1"/>
  <c r="AD220" i="39" a="1"/>
  <c r="AD220" i="39" s="1"/>
  <c r="AD227" i="39" a="1"/>
  <c r="AD227" i="39" s="1"/>
  <c r="AD231" i="39" a="1"/>
  <c r="AD231" i="39" s="1"/>
  <c r="AD229" i="39" a="1"/>
  <c r="AD229" i="39" s="1"/>
  <c r="AD228" i="39" a="1"/>
  <c r="AD228" i="39" s="1"/>
  <c r="AD230" i="39" a="1"/>
  <c r="AD230" i="39" s="1"/>
  <c r="AD152" i="39" a="1"/>
  <c r="AD152" i="39" s="1"/>
  <c r="AD155" i="39" a="1"/>
  <c r="AD155" i="39" s="1"/>
  <c r="AD125" i="39" a="1"/>
  <c r="AD125" i="39" s="1"/>
  <c r="AD144" i="39" a="1"/>
  <c r="AD144" i="39" s="1"/>
  <c r="AD129" i="39" a="1"/>
  <c r="AD129" i="39" s="1"/>
  <c r="AD136" i="39" a="1"/>
  <c r="AD136" i="39" s="1"/>
  <c r="AD132" i="39" a="1"/>
  <c r="AD132" i="39" s="1"/>
  <c r="AD141" i="39" a="1"/>
  <c r="AD141" i="39" s="1"/>
  <c r="AD121" i="39" a="1"/>
  <c r="AD121" i="39" s="1"/>
  <c r="AD203" i="39" a="1"/>
  <c r="AD203" i="39" s="1"/>
  <c r="AD204" i="39" a="1"/>
  <c r="AD204" i="39" s="1"/>
  <c r="AD205" i="39" a="1"/>
  <c r="AD205" i="39" s="1"/>
  <c r="AD172" i="39" a="1"/>
  <c r="AD172" i="39" s="1"/>
  <c r="AD176" i="39" a="1"/>
  <c r="AD176" i="39" s="1"/>
  <c r="AD173" i="39" a="1"/>
  <c r="AD173" i="39" s="1"/>
  <c r="AD174" i="39" a="1"/>
  <c r="AD174" i="39" s="1"/>
  <c r="AD175" i="39" a="1"/>
  <c r="AD175" i="39" s="1"/>
  <c r="AD212" i="39" a="1"/>
  <c r="AD212" i="39" s="1"/>
  <c r="AD213" i="39" a="1"/>
  <c r="AD213" i="39" s="1"/>
  <c r="AD210" i="39" a="1"/>
  <c r="AD210" i="39" s="1"/>
  <c r="AD211" i="39" a="1"/>
  <c r="AD211" i="39" s="1"/>
  <c r="AD239" i="39" a="1"/>
  <c r="AD239" i="39" s="1"/>
  <c r="AD240" i="39" a="1"/>
  <c r="AD240" i="39" s="1"/>
  <c r="AD243" i="39" a="1"/>
  <c r="AD243" i="39" s="1"/>
  <c r="AD246" i="39" a="1"/>
  <c r="AD246" i="39" s="1"/>
  <c r="AD233" i="39" a="1"/>
  <c r="AD233" i="39" s="1"/>
  <c r="AD245" i="39" a="1"/>
  <c r="AD245" i="39" s="1"/>
  <c r="AD23" i="38" a="1"/>
  <c r="AD23" i="38" s="1"/>
  <c r="AD27" i="38" a="1"/>
  <c r="AD27" i="38" s="1"/>
  <c r="AD34" i="38" a="1"/>
  <c r="AD34" i="38" s="1"/>
  <c r="AD37" i="38" a="1"/>
  <c r="AD37" i="38" s="1"/>
  <c r="AD216" i="38" a="1"/>
  <c r="AD216" i="38" s="1"/>
  <c r="AD222" i="38" a="1"/>
  <c r="AD222" i="38" s="1"/>
  <c r="AD226" i="38" a="1"/>
  <c r="AD226" i="38" s="1"/>
  <c r="AD228" i="38" a="1"/>
  <c r="AD228" i="38" s="1"/>
  <c r="AD229" i="38" a="1"/>
  <c r="AD229" i="38" s="1"/>
  <c r="AD230" i="38" a="1"/>
  <c r="AD230" i="38" s="1"/>
  <c r="AD231" i="38" a="1"/>
  <c r="AD231" i="38" s="1"/>
  <c r="AD232" i="38" a="1"/>
  <c r="AD232" i="38" s="1"/>
  <c r="AD101" i="38" a="1"/>
  <c r="AD101" i="38" s="1"/>
  <c r="AD102" i="38" a="1"/>
  <c r="AD102" i="38" s="1"/>
  <c r="AD104" i="38" a="1"/>
  <c r="AD104" i="38" s="1"/>
  <c r="AD103" i="38" a="1"/>
  <c r="AD103" i="38" s="1"/>
  <c r="AD105" i="38" a="1"/>
  <c r="AD105" i="38" s="1"/>
  <c r="AD107" i="38" a="1"/>
  <c r="AD107" i="38" s="1"/>
  <c r="AD97" i="38" a="1"/>
  <c r="AD97" i="38" s="1"/>
  <c r="AD165" i="38" a="1"/>
  <c r="AD165" i="38" s="1"/>
  <c r="AD166" i="38" a="1"/>
  <c r="AD166" i="38" s="1"/>
  <c r="AD167" i="38" a="1"/>
  <c r="AD167" i="38" s="1"/>
  <c r="AD168" i="38" a="1"/>
  <c r="AD168" i="38" s="1"/>
  <c r="AD194" i="38" a="1"/>
  <c r="AD194" i="38" s="1"/>
  <c r="AD195" i="38" a="1"/>
  <c r="AD195" i="38" s="1"/>
  <c r="AD153" i="38" a="1"/>
  <c r="AD153" i="38" s="1"/>
  <c r="AD156" i="38" a="1"/>
  <c r="AD156" i="38" s="1"/>
  <c r="AD203" i="38" a="1"/>
  <c r="AD203" i="38" s="1"/>
  <c r="AD204" i="38" a="1"/>
  <c r="AD204" i="38" s="1"/>
  <c r="AD205" i="38" a="1"/>
  <c r="AD205" i="38" s="1"/>
  <c r="AD206" i="38" a="1"/>
  <c r="AD206" i="38" s="1"/>
  <c r="AD173" i="38" a="1"/>
  <c r="AD173" i="38" s="1"/>
  <c r="AD174" i="38" a="1"/>
  <c r="AD174" i="38" s="1"/>
  <c r="AD176" i="38" a="1"/>
  <c r="AD176" i="38" s="1"/>
  <c r="AD177" i="38" a="1"/>
  <c r="AD177" i="38" s="1"/>
  <c r="AD175" i="38" a="1"/>
  <c r="AD175" i="38" s="1"/>
  <c r="AD212" i="38" a="1"/>
  <c r="AD212" i="38" s="1"/>
  <c r="AD214" i="38" a="1"/>
  <c r="AD214" i="38" s="1"/>
  <c r="AD213" i="38" a="1"/>
  <c r="AD213" i="38" s="1"/>
  <c r="AD6" i="38" a="1"/>
  <c r="AD6" i="38" s="1"/>
  <c r="AD8" i="38" a="1"/>
  <c r="AD8" i="38" s="1"/>
  <c r="AD21" i="38" a="1"/>
  <c r="AD21" i="38" s="1"/>
  <c r="AD18" i="38" a="1"/>
  <c r="AD18" i="38" s="1"/>
  <c r="AD20" i="38" a="1"/>
  <c r="AD20" i="38" s="1"/>
  <c r="AD64" i="38" a="1"/>
  <c r="AD64" i="38" s="1"/>
  <c r="AD63" i="38" a="1"/>
  <c r="AD63" i="38" s="1"/>
  <c r="AD65" i="38" a="1"/>
  <c r="AD65" i="38" s="1"/>
  <c r="AD67" i="38" a="1"/>
  <c r="AD67" i="38" s="1"/>
  <c r="AD51" i="38" a="1"/>
  <c r="AD51" i="38" s="1"/>
  <c r="AD54" i="38" a="1"/>
  <c r="AD54" i="38" s="1"/>
  <c r="AD74" i="38" a="1"/>
  <c r="AD74" i="38" s="1"/>
  <c r="AD75" i="38" a="1"/>
  <c r="AD75" i="38" s="1"/>
  <c r="AD76" i="38" a="1"/>
  <c r="AD76" i="38" s="1"/>
  <c r="AD57" i="38" a="1"/>
  <c r="AD57" i="38" s="1"/>
  <c r="AD58" i="38" a="1"/>
  <c r="AD58" i="38" s="1"/>
  <c r="AD80" i="38" a="1"/>
  <c r="AD80" i="38" s="1"/>
  <c r="AD120" i="38" a="1"/>
  <c r="AD120" i="38" s="1"/>
  <c r="AD142" i="38" a="1"/>
  <c r="AD142" i="38" s="1"/>
  <c r="AD125" i="38" a="1"/>
  <c r="AD125" i="38" s="1"/>
  <c r="AD145" i="38" a="1"/>
  <c r="AD145" i="38" s="1"/>
  <c r="AD130" i="38" a="1"/>
  <c r="AD130" i="38" s="1"/>
  <c r="AD133" i="38" a="1"/>
  <c r="AD133" i="38" s="1"/>
  <c r="AD137" i="38" a="1"/>
  <c r="AD137" i="38" s="1"/>
  <c r="AD46" i="38" a="1"/>
  <c r="AD46" i="38" s="1"/>
  <c r="AD39" i="38" a="1"/>
  <c r="AD39" i="38" s="1"/>
  <c r="AD240" i="38" a="1"/>
  <c r="AD240" i="38" s="1"/>
  <c r="AD241" i="38" a="1"/>
  <c r="AD241" i="38" s="1"/>
  <c r="AD244" i="38" a="1"/>
  <c r="AD244" i="38" s="1"/>
  <c r="AD246" i="38" a="1"/>
  <c r="AD246" i="38" s="1"/>
  <c r="AD247" i="38" a="1"/>
  <c r="AD247" i="38" s="1"/>
  <c r="AD234" i="38" a="1"/>
  <c r="AD234" i="38" s="1"/>
  <c r="F13" i="46"/>
  <c r="AD130" i="31" a="1"/>
  <c r="AD130" i="31" s="1"/>
  <c r="AD113" i="31" a="1"/>
  <c r="AD113" i="31" s="1"/>
  <c r="AD118" i="31" a="1"/>
  <c r="AD118" i="31" s="1"/>
  <c r="AD133" i="31" a="1"/>
  <c r="AD133" i="31" s="1"/>
  <c r="AD121" i="31" a="1"/>
  <c r="AD121" i="31" s="1"/>
  <c r="AD125" i="31" a="1"/>
  <c r="AD125" i="31" s="1"/>
  <c r="F14" i="46"/>
  <c r="AD163" i="31" a="1"/>
  <c r="AD163" i="31" s="1"/>
  <c r="AD165" i="31" a="1"/>
  <c r="AD165" i="31" s="1"/>
  <c r="AD164" i="31" a="1"/>
  <c r="AD164" i="31" s="1"/>
  <c r="AD191" i="31" a="1"/>
  <c r="AD191" i="31" s="1"/>
  <c r="AD192" i="31" a="1"/>
  <c r="AD192" i="31" s="1"/>
  <c r="AD193" i="31" a="1"/>
  <c r="AD193" i="31" s="1"/>
  <c r="AD194" i="31" a="1"/>
  <c r="AD194" i="31" s="1"/>
  <c r="AD161" i="31" a="1"/>
  <c r="AD161" i="31" s="1"/>
  <c r="AD162" i="31" a="1"/>
  <c r="AD162" i="31" s="1"/>
  <c r="F15" i="46"/>
  <c r="AD200" i="31" a="1"/>
  <c r="AD200" i="31" s="1"/>
  <c r="AD201" i="31" a="1"/>
  <c r="AD201" i="31" s="1"/>
  <c r="AD202" i="31" a="1"/>
  <c r="AD202" i="31" s="1"/>
  <c r="F17" i="46"/>
  <c r="AD220" i="31" a="1"/>
  <c r="AD220" i="31" s="1"/>
  <c r="AD227" i="31" a="1"/>
  <c r="AD227" i="31" s="1"/>
  <c r="AD230" i="31" a="1"/>
  <c r="AD230" i="31" s="1"/>
  <c r="AD232" i="31" a="1"/>
  <c r="AD232" i="31" s="1"/>
  <c r="AD233" i="31" a="1"/>
  <c r="AD233" i="31" s="1"/>
  <c r="AD6" i="31" a="1"/>
  <c r="AD6" i="31" s="1"/>
  <c r="F2" i="46"/>
  <c r="AD8" i="31" a="1"/>
  <c r="AD8" i="31" s="1"/>
  <c r="F3" i="46"/>
  <c r="AD27" i="31" a="1"/>
  <c r="AD27" i="31" s="1"/>
  <c r="AD29" i="31" a="1"/>
  <c r="AD29" i="31" s="1"/>
  <c r="AD23" i="31" a="1"/>
  <c r="AD23" i="31" s="1"/>
  <c r="AD32" i="31" a="1"/>
  <c r="AD32" i="31" s="1"/>
  <c r="AD98" i="31" a="1"/>
  <c r="AD98" i="31" s="1"/>
  <c r="AD91" i="31" a="1"/>
  <c r="AD91" i="31" s="1"/>
  <c r="AD97" i="31" a="1"/>
  <c r="AD97" i="31" s="1"/>
  <c r="AD99" i="31" a="1"/>
  <c r="AD99" i="31" s="1"/>
  <c r="F7" i="46"/>
  <c r="AD96" i="31" a="1"/>
  <c r="AD96" i="31" s="1"/>
  <c r="AD101" i="31" a="1"/>
  <c r="AD101" i="31" s="1"/>
  <c r="F4" i="46"/>
  <c r="AD21" i="31" a="1"/>
  <c r="AD21" i="31" s="1"/>
  <c r="AD18" i="31" a="1"/>
  <c r="AD18" i="31" s="1"/>
  <c r="AD19" i="31" a="1"/>
  <c r="AD19" i="31" s="1"/>
  <c r="F11" i="46"/>
  <c r="AD41" i="31" a="1"/>
  <c r="AD41" i="31" s="1"/>
  <c r="AD34" i="31" a="1"/>
  <c r="AD34" i="31" s="1"/>
  <c r="AD53" i="31" a="1"/>
  <c r="AD53" i="31" s="1"/>
  <c r="AD71" i="31" a="1"/>
  <c r="AD71" i="31" s="1"/>
  <c r="AD76" i="31" a="1"/>
  <c r="AD76" i="31" s="1"/>
  <c r="AD46" i="31" a="1"/>
  <c r="AD46" i="31" s="1"/>
  <c r="AD54" i="31" a="1"/>
  <c r="AD54" i="31" s="1"/>
  <c r="AD72" i="31" a="1"/>
  <c r="AD72" i="31" s="1"/>
  <c r="AD79" i="31" a="1"/>
  <c r="AD79" i="31" s="1"/>
  <c r="AD63" i="31" a="1"/>
  <c r="AD63" i="31" s="1"/>
  <c r="AD80" i="31" a="1"/>
  <c r="AD80" i="31" s="1"/>
  <c r="F5" i="46"/>
  <c r="AD60" i="31" a="1"/>
  <c r="AD60" i="31" s="1"/>
  <c r="AD66" i="31" a="1"/>
  <c r="AD66" i="31" s="1"/>
  <c r="AD67" i="31" a="1"/>
  <c r="AD67" i="31" s="1"/>
  <c r="AD50" i="31" a="1"/>
  <c r="AD50" i="31" s="1"/>
  <c r="AD68" i="31" a="1"/>
  <c r="AD68" i="31" s="1"/>
  <c r="AD69" i="31" a="1"/>
  <c r="AD69" i="31" s="1"/>
  <c r="AD70" i="31" a="1"/>
  <c r="AD70" i="31" s="1"/>
  <c r="AD181" i="31" a="1"/>
  <c r="AD181" i="31" s="1"/>
  <c r="AD183" i="31" a="1"/>
  <c r="AD183" i="31" s="1"/>
  <c r="AD186" i="31" a="1"/>
  <c r="AD186" i="31" s="1"/>
  <c r="AD182" i="31" a="1"/>
  <c r="AD182" i="31" s="1"/>
  <c r="F9" i="46"/>
  <c r="AD153" i="31" a="1"/>
  <c r="AD153" i="31" s="1"/>
  <c r="AD155" i="31" a="1"/>
  <c r="AD155" i="31" s="1"/>
  <c r="AD154" i="31" a="1"/>
  <c r="AD154" i="31" s="1"/>
  <c r="AD156" i="31" a="1"/>
  <c r="AD156" i="31" s="1"/>
  <c r="AD218" i="31" a="1"/>
  <c r="AD218" i="31" s="1"/>
  <c r="AD209" i="31" a="1"/>
  <c r="AD209" i="31" s="1"/>
  <c r="F10" i="46"/>
  <c r="AD214" i="31" a="1"/>
  <c r="AD214" i="31" s="1"/>
  <c r="AD215" i="31" a="1"/>
  <c r="AD215" i="31" s="1"/>
  <c r="AD216" i="31" a="1"/>
  <c r="AD216" i="31" s="1"/>
  <c r="AD217" i="31" a="1"/>
  <c r="AD217" i="31" s="1"/>
  <c r="F12" i="46"/>
  <c r="AD141" i="31" a="1"/>
  <c r="AD141" i="31" s="1"/>
  <c r="AD144" i="31" a="1"/>
  <c r="AD144" i="31" s="1"/>
  <c r="AE18" i="39"/>
  <c r="AI21" i="39"/>
  <c r="AG21" i="39"/>
  <c r="AE21" i="39"/>
  <c r="AI19" i="39"/>
  <c r="AG19" i="39"/>
  <c r="AE19" i="39"/>
  <c r="AI18" i="39"/>
  <c r="AG18" i="39"/>
  <c r="AI10" i="39"/>
  <c r="AG86" i="39"/>
  <c r="AI71" i="39"/>
  <c r="AE86" i="39"/>
  <c r="AG71" i="39"/>
  <c r="AI85" i="39"/>
  <c r="AE71" i="39"/>
  <c r="AI86" i="39"/>
  <c r="AG85" i="39"/>
  <c r="AI64" i="39"/>
  <c r="AE85" i="39"/>
  <c r="AG64" i="39"/>
  <c r="AI84" i="39"/>
  <c r="AE74" i="39"/>
  <c r="AI73" i="39"/>
  <c r="AE73" i="39"/>
  <c r="AE64" i="39"/>
  <c r="AG84" i="39"/>
  <c r="AI63" i="39"/>
  <c r="AE84" i="39"/>
  <c r="AG63" i="39"/>
  <c r="AI75" i="39"/>
  <c r="AE63" i="39"/>
  <c r="AG75" i="39"/>
  <c r="AI62" i="39"/>
  <c r="AE75" i="39"/>
  <c r="AG62" i="39"/>
  <c r="AI74" i="39"/>
  <c r="AE62" i="39"/>
  <c r="AG74" i="39"/>
  <c r="AG73" i="39"/>
  <c r="AI72" i="39"/>
  <c r="AG72" i="39"/>
  <c r="AE72" i="39"/>
  <c r="AI260" i="39"/>
  <c r="AI253" i="39"/>
  <c r="AI248" i="39"/>
  <c r="AI252" i="39"/>
  <c r="AI258" i="39"/>
  <c r="AI254" i="39"/>
  <c r="AI251" i="39"/>
  <c r="AI255" i="39"/>
  <c r="AI257" i="39"/>
  <c r="AI249" i="39"/>
  <c r="AI228" i="39"/>
  <c r="AG229" i="39"/>
  <c r="AE229" i="39"/>
  <c r="AG228" i="39"/>
  <c r="AE228" i="39"/>
  <c r="AI230" i="39"/>
  <c r="AE230" i="39"/>
  <c r="AI231" i="39"/>
  <c r="AG231" i="39"/>
  <c r="AG230" i="39"/>
  <c r="AI229" i="39"/>
  <c r="AE231" i="39"/>
  <c r="AE203" i="39"/>
  <c r="AI175" i="39"/>
  <c r="AG175" i="39"/>
  <c r="AE175" i="39"/>
  <c r="AE176" i="39"/>
  <c r="AI174" i="39"/>
  <c r="AG174" i="39"/>
  <c r="AE174" i="39"/>
  <c r="AG204" i="39"/>
  <c r="AI203" i="39"/>
  <c r="AG203" i="39"/>
  <c r="AI173" i="39"/>
  <c r="AG173" i="39"/>
  <c r="AE173" i="39"/>
  <c r="AI172" i="39"/>
  <c r="AG172" i="39"/>
  <c r="AE172" i="39"/>
  <c r="AI204" i="39"/>
  <c r="AE204" i="39"/>
  <c r="AI176" i="39"/>
  <c r="AG176" i="39"/>
  <c r="AI8" i="39"/>
  <c r="AI6" i="39"/>
  <c r="AE35" i="39"/>
  <c r="AG28" i="39"/>
  <c r="AE28" i="39"/>
  <c r="AE29" i="39"/>
  <c r="AI28" i="39"/>
  <c r="AI33" i="39"/>
  <c r="AG37" i="39"/>
  <c r="AI30" i="39"/>
  <c r="AG30" i="39"/>
  <c r="AG36" i="39"/>
  <c r="AI29" i="39"/>
  <c r="AG33" i="39"/>
  <c r="AE33" i="39"/>
  <c r="AI32" i="39"/>
  <c r="AG32" i="39"/>
  <c r="AE32" i="39"/>
  <c r="AI31" i="39"/>
  <c r="AG31" i="39"/>
  <c r="AI37" i="39"/>
  <c r="AE31" i="39"/>
  <c r="AE37" i="39"/>
  <c r="AI36" i="39"/>
  <c r="AE30" i="39"/>
  <c r="AE36" i="39"/>
  <c r="AG29" i="39"/>
  <c r="AI35" i="39"/>
  <c r="AG35" i="39"/>
  <c r="AI117" i="39"/>
  <c r="AG117" i="39"/>
  <c r="AE117" i="39"/>
  <c r="AI116" i="39"/>
  <c r="AG116" i="39"/>
  <c r="AI103" i="39"/>
  <c r="AE116" i="39"/>
  <c r="AI106" i="39"/>
  <c r="AG106" i="39"/>
  <c r="AE106" i="39"/>
  <c r="AI104" i="39"/>
  <c r="AG104" i="39"/>
  <c r="AE104" i="39"/>
  <c r="AG103" i="39"/>
  <c r="AE103" i="39"/>
  <c r="AE210" i="39"/>
  <c r="AG211" i="39"/>
  <c r="AI212" i="39"/>
  <c r="AG212" i="39"/>
  <c r="AE212" i="39"/>
  <c r="AE211" i="39"/>
  <c r="AI210" i="39"/>
  <c r="AI211" i="39"/>
  <c r="AG210" i="39"/>
  <c r="AE165" i="39"/>
  <c r="AI197" i="39"/>
  <c r="AG197" i="39"/>
  <c r="AE197" i="39"/>
  <c r="AG167" i="39"/>
  <c r="AE167" i="39"/>
  <c r="AG166" i="39"/>
  <c r="AI194" i="39"/>
  <c r="AG194" i="39"/>
  <c r="AE194" i="39"/>
  <c r="AG165" i="39"/>
  <c r="AI193" i="39"/>
  <c r="AG193" i="39"/>
  <c r="AI167" i="39"/>
  <c r="AI166" i="39"/>
  <c r="AE166" i="39"/>
  <c r="AI165" i="39"/>
  <c r="AE193" i="39"/>
  <c r="AI246" i="39"/>
  <c r="AG246" i="39"/>
  <c r="AE246" i="39"/>
  <c r="AI245" i="39"/>
  <c r="AE239" i="39"/>
  <c r="AG245" i="39"/>
  <c r="AE245" i="39"/>
  <c r="AI239" i="39"/>
  <c r="AG239" i="39"/>
  <c r="AE214" i="38"/>
  <c r="AG212" i="38"/>
  <c r="AE213" i="38"/>
  <c r="AI212" i="38"/>
  <c r="AG213" i="38"/>
  <c r="AE212" i="38"/>
  <c r="AI213" i="38"/>
  <c r="AI214" i="38"/>
  <c r="AG214" i="38"/>
  <c r="AI247" i="38"/>
  <c r="AG247" i="38"/>
  <c r="AE247" i="38"/>
  <c r="AI246" i="38"/>
  <c r="AG246" i="38"/>
  <c r="AE246" i="38"/>
  <c r="AI240" i="38"/>
  <c r="AG240" i="38"/>
  <c r="AE240" i="38"/>
  <c r="AI8" i="38"/>
  <c r="AI6" i="38"/>
  <c r="AI37" i="38"/>
  <c r="AG37" i="38"/>
  <c r="AE37" i="38"/>
  <c r="AE206" i="38"/>
  <c r="AE175" i="38"/>
  <c r="AG173" i="38"/>
  <c r="AI205" i="38"/>
  <c r="AG205" i="38"/>
  <c r="AG175" i="38"/>
  <c r="AE205" i="38"/>
  <c r="AI177" i="38"/>
  <c r="AI176" i="38"/>
  <c r="AE174" i="38"/>
  <c r="AI173" i="38"/>
  <c r="AI206" i="38"/>
  <c r="AI204" i="38"/>
  <c r="AG177" i="38"/>
  <c r="AE177" i="38"/>
  <c r="AG176" i="38"/>
  <c r="AE176" i="38"/>
  <c r="AI174" i="38"/>
  <c r="AG174" i="38"/>
  <c r="AE173" i="38"/>
  <c r="AG206" i="38"/>
  <c r="AG204" i="38"/>
  <c r="AE204" i="38"/>
  <c r="AI203" i="38"/>
  <c r="AG203" i="38"/>
  <c r="AE203" i="38"/>
  <c r="AI175" i="38"/>
  <c r="AG102" i="38"/>
  <c r="AE102" i="38"/>
  <c r="AI105" i="38"/>
  <c r="AG104" i="38"/>
  <c r="AE104" i="38"/>
  <c r="AI103" i="38"/>
  <c r="AE103" i="38"/>
  <c r="AI102" i="38"/>
  <c r="AE105" i="38"/>
  <c r="AI104" i="38"/>
  <c r="AG103" i="38"/>
  <c r="AG105" i="38"/>
  <c r="AG20" i="38"/>
  <c r="AI21" i="38"/>
  <c r="AG21" i="38"/>
  <c r="AE18" i="38"/>
  <c r="AI10" i="38"/>
  <c r="AE21" i="38"/>
  <c r="AI18" i="38"/>
  <c r="AG18" i="38"/>
  <c r="AE20" i="38"/>
  <c r="AI20" i="38"/>
  <c r="AI57" i="38"/>
  <c r="AG57" i="38"/>
  <c r="AE57" i="38"/>
  <c r="AI63" i="38"/>
  <c r="AI75" i="38"/>
  <c r="AG75" i="38"/>
  <c r="AI74" i="38"/>
  <c r="AE74" i="38"/>
  <c r="AI64" i="38"/>
  <c r="AG64" i="38"/>
  <c r="AE75" i="38"/>
  <c r="AG65" i="38"/>
  <c r="AE65" i="38"/>
  <c r="AE64" i="38"/>
  <c r="AG63" i="38"/>
  <c r="AE63" i="38"/>
  <c r="AI65" i="38"/>
  <c r="AG74" i="38"/>
  <c r="AI261" i="38"/>
  <c r="AI254" i="38"/>
  <c r="AI256" i="38"/>
  <c r="AI255" i="38"/>
  <c r="AI253" i="38"/>
  <c r="AI250" i="38"/>
  <c r="AI249" i="38"/>
  <c r="AI259" i="38"/>
  <c r="AI252" i="38"/>
  <c r="AI258" i="38"/>
  <c r="AE168" i="38"/>
  <c r="AI167" i="38"/>
  <c r="AG167" i="38"/>
  <c r="AG195" i="38"/>
  <c r="AE167" i="38"/>
  <c r="AI165" i="38"/>
  <c r="AG194" i="38"/>
  <c r="AE194" i="38"/>
  <c r="AI166" i="38"/>
  <c r="AG166" i="38"/>
  <c r="AE166" i="38"/>
  <c r="AG165" i="38"/>
  <c r="AI194" i="38"/>
  <c r="AI168" i="38"/>
  <c r="AG168" i="38"/>
  <c r="AE195" i="38"/>
  <c r="AE165" i="38"/>
  <c r="AI195" i="38"/>
  <c r="AI229" i="38"/>
  <c r="AI232" i="38"/>
  <c r="AG230" i="38"/>
  <c r="AG229" i="38"/>
  <c r="AE229" i="38"/>
  <c r="AI231" i="38"/>
  <c r="AG231" i="38"/>
  <c r="AE232" i="38"/>
  <c r="AE231" i="38"/>
  <c r="AI230" i="38"/>
  <c r="AE230" i="38"/>
  <c r="AI226" i="38"/>
  <c r="AG226" i="38"/>
  <c r="AE226" i="38"/>
  <c r="AG232" i="38"/>
  <c r="AI98" i="31"/>
  <c r="AI96" i="31"/>
  <c r="AG96" i="31"/>
  <c r="AI99" i="31"/>
  <c r="AG99" i="31"/>
  <c r="AI97" i="31"/>
  <c r="AG97" i="31"/>
  <c r="AG98" i="31"/>
  <c r="AI6" i="31"/>
  <c r="AI8" i="31"/>
  <c r="AG155" i="31"/>
  <c r="AI154" i="31"/>
  <c r="AG154" i="31"/>
  <c r="AI181" i="31"/>
  <c r="AG181" i="31"/>
  <c r="AG183" i="31"/>
  <c r="AI156" i="31"/>
  <c r="AG156" i="31"/>
  <c r="AI182" i="31"/>
  <c r="AG182" i="31"/>
  <c r="AI186" i="31"/>
  <c r="AG186" i="31"/>
  <c r="AI183" i="31"/>
  <c r="AI153" i="31"/>
  <c r="AG153" i="31"/>
  <c r="AI155" i="31"/>
  <c r="AG233" i="31"/>
  <c r="AI233" i="31"/>
  <c r="AI232" i="31"/>
  <c r="AG232" i="31"/>
  <c r="AI68" i="31"/>
  <c r="AI67" i="31"/>
  <c r="AG68" i="31"/>
  <c r="AG70" i="31"/>
  <c r="AI60" i="31"/>
  <c r="AI69" i="31"/>
  <c r="AG60" i="31"/>
  <c r="AG69" i="31"/>
  <c r="AG67" i="31"/>
  <c r="AI66" i="31"/>
  <c r="AI79" i="31"/>
  <c r="AG79" i="31"/>
  <c r="AI71" i="31"/>
  <c r="AG71" i="31"/>
  <c r="AI70" i="31"/>
  <c r="AI80" i="31"/>
  <c r="AG53" i="31"/>
  <c r="AG80" i="31"/>
  <c r="AG66" i="31"/>
  <c r="AI53" i="31"/>
  <c r="AG161" i="31"/>
  <c r="AG194" i="31"/>
  <c r="AI161" i="31"/>
  <c r="AI194" i="31"/>
  <c r="AG165" i="31"/>
  <c r="AI191" i="31"/>
  <c r="AI192" i="31"/>
  <c r="AI165" i="31"/>
  <c r="AI164" i="31"/>
  <c r="AG192" i="31"/>
  <c r="AG191" i="31"/>
  <c r="AG164" i="31"/>
  <c r="AG163" i="31"/>
  <c r="AI162" i="31"/>
  <c r="AG162" i="31"/>
  <c r="AI163" i="31"/>
  <c r="AI193" i="31"/>
  <c r="AG193" i="31"/>
  <c r="AI32" i="31"/>
  <c r="AG32" i="31"/>
  <c r="AI30" i="31"/>
  <c r="AG30" i="31"/>
  <c r="AG31" i="31"/>
  <c r="AI31" i="31"/>
  <c r="AG19" i="31"/>
  <c r="AI19" i="31"/>
  <c r="AI18" i="31"/>
  <c r="AI10" i="31"/>
  <c r="AI21" i="31"/>
  <c r="AG18" i="31"/>
  <c r="AG21" i="31"/>
  <c r="AI247" i="31"/>
  <c r="AI241" i="31"/>
  <c r="AI238" i="31"/>
  <c r="AI239" i="31"/>
  <c r="AI236" i="31"/>
  <c r="AI240" i="31"/>
  <c r="AI235" i="31"/>
  <c r="AI245" i="31"/>
  <c r="AI244" i="31"/>
  <c r="AI242" i="31"/>
  <c r="AG215" i="31"/>
  <c r="AI218" i="31"/>
  <c r="AG218" i="31"/>
  <c r="AI217" i="31"/>
  <c r="AG217" i="31"/>
  <c r="AI216" i="31"/>
  <c r="AI215" i="31"/>
  <c r="AG216" i="31"/>
  <c r="AI201" i="31"/>
  <c r="AG201" i="31"/>
  <c r="K198" i="31"/>
  <c r="AI202" i="31"/>
  <c r="AG202" i="31"/>
  <c r="AI200" i="31"/>
  <c r="AG200" i="31"/>
  <c r="K197" i="31"/>
  <c r="K199" i="31"/>
  <c r="K196" i="31"/>
  <c r="K206" i="39"/>
  <c r="K207" i="39"/>
  <c r="K208" i="39"/>
  <c r="K209" i="39"/>
  <c r="K208" i="38"/>
  <c r="K209" i="38"/>
  <c r="K211" i="38"/>
  <c r="K210" i="38"/>
  <c r="J222" i="39" l="1"/>
  <c r="J221" i="39"/>
  <c r="G225" i="39"/>
  <c r="G226" i="39"/>
  <c r="J225" i="39"/>
  <c r="J226" i="39"/>
  <c r="K219" i="39"/>
  <c r="J163" i="39"/>
  <c r="J160" i="39"/>
  <c r="J164" i="39"/>
  <c r="J169" i="39"/>
  <c r="J171" i="39"/>
  <c r="J156" i="39"/>
  <c r="J154" i="39"/>
  <c r="J153" i="39"/>
  <c r="J149" i="39"/>
  <c r="J148" i="39"/>
  <c r="J127" i="39"/>
  <c r="J126" i="39"/>
  <c r="J123" i="39"/>
  <c r="J122" i="39"/>
  <c r="BJ100" i="39"/>
  <c r="J100" i="39"/>
  <c r="I100" i="39"/>
  <c r="G100" i="39"/>
  <c r="J101" i="39"/>
  <c r="J98" i="39"/>
  <c r="J53" i="39"/>
  <c r="I53" i="39"/>
  <c r="G53" i="39"/>
  <c r="J52" i="39"/>
  <c r="Q98" i="39" l="1"/>
  <c r="O98" i="39"/>
  <c r="AF98" i="39" s="1"/>
  <c r="N98" i="39"/>
  <c r="R98" i="39"/>
  <c r="AH98" i="39" s="1"/>
  <c r="R101" i="39"/>
  <c r="AH101" i="39" s="1"/>
  <c r="O101" i="39"/>
  <c r="AF101" i="39" s="1"/>
  <c r="Q101" i="39"/>
  <c r="N101" i="39"/>
  <c r="O226" i="39"/>
  <c r="AF226" i="39" s="1"/>
  <c r="N226" i="39"/>
  <c r="R226" i="39"/>
  <c r="AH226" i="39" s="1"/>
  <c r="Q226" i="39"/>
  <c r="Q225" i="39"/>
  <c r="AG225" i="39" s="1"/>
  <c r="R225" i="39"/>
  <c r="AH225" i="39" s="1"/>
  <c r="O225" i="39"/>
  <c r="AF225" i="39" s="1"/>
  <c r="N225" i="39"/>
  <c r="R123" i="39"/>
  <c r="AH123" i="39" s="1"/>
  <c r="Q123" i="39"/>
  <c r="O123" i="39"/>
  <c r="AF123" i="39" s="1"/>
  <c r="N123" i="39"/>
  <c r="Q126" i="39"/>
  <c r="R126" i="39"/>
  <c r="AH126" i="39" s="1"/>
  <c r="N126" i="39"/>
  <c r="O126" i="39"/>
  <c r="AF126" i="39" s="1"/>
  <c r="O127" i="39"/>
  <c r="AF127" i="39" s="1"/>
  <c r="N127" i="39"/>
  <c r="R127" i="39"/>
  <c r="AH127" i="39" s="1"/>
  <c r="Q127" i="39"/>
  <c r="Q148" i="39"/>
  <c r="O148" i="39"/>
  <c r="AF148" i="39" s="1"/>
  <c r="N148" i="39"/>
  <c r="R148" i="39"/>
  <c r="AH148" i="39" s="1"/>
  <c r="R149" i="39"/>
  <c r="AH149" i="39" s="1"/>
  <c r="O149" i="39"/>
  <c r="AF149" i="39" s="1"/>
  <c r="Q149" i="39"/>
  <c r="N149" i="39"/>
  <c r="R153" i="39"/>
  <c r="AH153" i="39" s="1"/>
  <c r="Q153" i="39"/>
  <c r="O153" i="39"/>
  <c r="N153" i="39"/>
  <c r="O154" i="39"/>
  <c r="AF154" i="39" s="1"/>
  <c r="N154" i="39"/>
  <c r="R154" i="39"/>
  <c r="AH154" i="39" s="1"/>
  <c r="Q154" i="39"/>
  <c r="R156" i="39"/>
  <c r="O156" i="39"/>
  <c r="Q156" i="39"/>
  <c r="N156" i="39"/>
  <c r="O171" i="39"/>
  <c r="AF171" i="39" s="1"/>
  <c r="N171" i="39"/>
  <c r="R171" i="39"/>
  <c r="AH171" i="39" s="1"/>
  <c r="Q171" i="39"/>
  <c r="R52" i="39"/>
  <c r="Q52" i="39"/>
  <c r="O52" i="39"/>
  <c r="AF52" i="39" s="1"/>
  <c r="N52" i="39"/>
  <c r="Q169" i="39"/>
  <c r="O169" i="39"/>
  <c r="AF169" i="39" s="1"/>
  <c r="N169" i="39"/>
  <c r="R169" i="39"/>
  <c r="AH169" i="39" s="1"/>
  <c r="R164" i="39"/>
  <c r="AH164" i="39" s="1"/>
  <c r="Q164" i="39"/>
  <c r="O164" i="39"/>
  <c r="AF164" i="39" s="1"/>
  <c r="N164" i="39"/>
  <c r="Q160" i="39"/>
  <c r="O160" i="39"/>
  <c r="AF160" i="39" s="1"/>
  <c r="N160" i="39"/>
  <c r="R160" i="39"/>
  <c r="AH160" i="39" s="1"/>
  <c r="O53" i="39"/>
  <c r="AF53" i="39" s="1"/>
  <c r="R53" i="39"/>
  <c r="AH53" i="39" s="1"/>
  <c r="Q53" i="39"/>
  <c r="AG53" i="39" s="1"/>
  <c r="N53" i="39"/>
  <c r="R163" i="39"/>
  <c r="AH163" i="39" s="1"/>
  <c r="O163" i="39"/>
  <c r="AF163" i="39" s="1"/>
  <c r="Q163" i="39"/>
  <c r="N163" i="39"/>
  <c r="O100" i="39"/>
  <c r="AF100" i="39" s="1"/>
  <c r="N100" i="39"/>
  <c r="AE100" i="39" s="1"/>
  <c r="R100" i="39"/>
  <c r="AH100" i="39" s="1"/>
  <c r="Q100" i="39"/>
  <c r="AG100" i="39" s="1"/>
  <c r="O221" i="39"/>
  <c r="AF221" i="39" s="1"/>
  <c r="N221" i="39"/>
  <c r="R221" i="39"/>
  <c r="AH221" i="39" s="1"/>
  <c r="Q221" i="39"/>
  <c r="R122" i="39"/>
  <c r="AH122" i="39" s="1"/>
  <c r="O122" i="39"/>
  <c r="AF122" i="39" s="1"/>
  <c r="Q122" i="39"/>
  <c r="N122" i="39"/>
  <c r="O222" i="39"/>
  <c r="AF222" i="39" s="1"/>
  <c r="R222" i="39"/>
  <c r="AH222" i="39" s="1"/>
  <c r="Q222" i="39"/>
  <c r="N222" i="39"/>
  <c r="AC53" i="39" a="1"/>
  <c r="AC53" i="39" s="1"/>
  <c r="AD53" i="39" a="1"/>
  <c r="AD53" i="39" s="1"/>
  <c r="AE53" i="39"/>
  <c r="AG226" i="39"/>
  <c r="AE226" i="39"/>
  <c r="AD226" i="39" a="1"/>
  <c r="AD226" i="39" s="1"/>
  <c r="AE225" i="39"/>
  <c r="AD225" i="39" a="1"/>
  <c r="AD225" i="39" s="1"/>
  <c r="AC100" i="39" a="1"/>
  <c r="AC100" i="39" s="1"/>
  <c r="AD100" i="39" a="1"/>
  <c r="AD100" i="39" s="1"/>
  <c r="S100" i="39"/>
  <c r="AI100" i="39" s="1"/>
  <c r="S226" i="39"/>
  <c r="AI226" i="39" s="1"/>
  <c r="S225" i="39"/>
  <c r="AI225" i="39" s="1"/>
  <c r="S53" i="39"/>
  <c r="AI53" i="39" s="1"/>
  <c r="O155" i="39" l="1"/>
  <c r="AF155" i="39" s="1"/>
  <c r="AF156" i="39"/>
  <c r="O152" i="39"/>
  <c r="AF152" i="39" s="1"/>
  <c r="AF153" i="39"/>
  <c r="R51" i="39"/>
  <c r="AH51" i="39" s="1"/>
  <c r="AH52" i="39"/>
  <c r="R155" i="39"/>
  <c r="AH155" i="39" s="1"/>
  <c r="AH156" i="39"/>
  <c r="O51" i="39"/>
  <c r="AF51" i="39" s="1"/>
  <c r="R152" i="39"/>
  <c r="AH152" i="39" s="1"/>
  <c r="P53" i="39"/>
  <c r="M53" i="39" s="1"/>
  <c r="T53" i="39"/>
  <c r="P225" i="39"/>
  <c r="M225" i="39" s="1"/>
  <c r="P226" i="39"/>
  <c r="M226" i="39" s="1"/>
  <c r="T226" i="39"/>
  <c r="AK226" i="39" s="1"/>
  <c r="T100" i="39"/>
  <c r="AL226" i="39"/>
  <c r="T225" i="39"/>
  <c r="AK225" i="39" s="1"/>
  <c r="AL225" i="39"/>
  <c r="K227" i="38"/>
  <c r="J150" i="38"/>
  <c r="J127" i="38"/>
  <c r="J122" i="38"/>
  <c r="K82" i="38"/>
  <c r="K81" i="38"/>
  <c r="K78" i="38"/>
  <c r="K77" i="38"/>
  <c r="J69" i="38"/>
  <c r="K29" i="38"/>
  <c r="K68" i="38"/>
  <c r="K61" i="38"/>
  <c r="J52" i="38"/>
  <c r="K31" i="38"/>
  <c r="K28" i="38"/>
  <c r="K213" i="31"/>
  <c r="J95" i="31"/>
  <c r="J236" i="31"/>
  <c r="R69" i="38" l="1"/>
  <c r="AH69" i="38" s="1"/>
  <c r="Q69" i="38"/>
  <c r="O69" i="38"/>
  <c r="AF69" i="38" s="1"/>
  <c r="Q122" i="38"/>
  <c r="O122" i="38"/>
  <c r="AF122" i="38" s="1"/>
  <c r="R122" i="38"/>
  <c r="AH122" i="38" s="1"/>
  <c r="Q127" i="38"/>
  <c r="R127" i="38"/>
  <c r="AH127" i="38" s="1"/>
  <c r="O127" i="38"/>
  <c r="AF127" i="38" s="1"/>
  <c r="Q150" i="38"/>
  <c r="O150" i="38"/>
  <c r="AF150" i="38" s="1"/>
  <c r="R150" i="38"/>
  <c r="AH150" i="38" s="1"/>
  <c r="R52" i="38"/>
  <c r="AH52" i="38" s="1"/>
  <c r="Q52" i="38"/>
  <c r="O52" i="38"/>
  <c r="AF52" i="38" s="1"/>
  <c r="R95" i="31"/>
  <c r="AH95" i="31" s="1"/>
  <c r="O95" i="31"/>
  <c r="AF95" i="31" s="1"/>
  <c r="N69" i="38"/>
  <c r="N122" i="38"/>
  <c r="N150" i="38"/>
  <c r="N52" i="38"/>
  <c r="N127" i="38"/>
  <c r="Q236" i="31"/>
  <c r="R236" i="31" s="1"/>
  <c r="N236" i="31"/>
  <c r="K95" i="31"/>
  <c r="Q95" i="31"/>
  <c r="N95" i="31"/>
  <c r="AE95" i="31" s="1"/>
  <c r="T5" i="40"/>
  <c r="AF5" i="40" s="1"/>
  <c r="T19" i="40"/>
  <c r="AF19" i="40" s="1"/>
  <c r="N5" i="40"/>
  <c r="AE5" i="40" s="1"/>
  <c r="N19" i="40"/>
  <c r="AE19" i="40" s="1"/>
  <c r="T177" i="39"/>
  <c r="V177" i="39" s="1"/>
  <c r="T125" i="39"/>
  <c r="V125" i="39" s="1"/>
  <c r="T178" i="38"/>
  <c r="V178" i="38" s="1"/>
  <c r="T230" i="31"/>
  <c r="V230" i="31" s="1"/>
  <c r="T227" i="31"/>
  <c r="V227" i="31" s="1"/>
  <c r="T214" i="31"/>
  <c r="V214" i="31" s="1"/>
  <c r="T187" i="31"/>
  <c r="V187" i="31" s="1"/>
  <c r="T184" i="31"/>
  <c r="V184" i="31" s="1"/>
  <c r="T166" i="31"/>
  <c r="V166" i="31" s="1"/>
  <c r="T176" i="31"/>
  <c r="V176" i="31" s="1"/>
  <c r="T148" i="31"/>
  <c r="V148" i="31" s="1"/>
  <c r="T133" i="31"/>
  <c r="V133" i="31" s="1"/>
  <c r="T130" i="31"/>
  <c r="V130" i="31" s="1"/>
  <c r="T121" i="31"/>
  <c r="V121" i="31" s="1"/>
  <c r="T118" i="31"/>
  <c r="V118" i="31" s="1"/>
  <c r="T101" i="31"/>
  <c r="T82" i="31"/>
  <c r="V82" i="31" s="1"/>
  <c r="T76" i="31"/>
  <c r="V76" i="31" s="1"/>
  <c r="T72" i="31"/>
  <c r="V72" i="31" s="1"/>
  <c r="T63" i="31"/>
  <c r="V63" i="31" s="1"/>
  <c r="T50" i="31"/>
  <c r="V50" i="31" s="1"/>
  <c r="T41" i="31"/>
  <c r="V41" i="31" s="1"/>
  <c r="T34" i="31"/>
  <c r="V34" i="31" s="1"/>
  <c r="T29" i="31"/>
  <c r="V29" i="31" s="1"/>
  <c r="T27" i="31"/>
  <c r="V27" i="31" s="1"/>
  <c r="T23" i="31"/>
  <c r="V23" i="31" s="1"/>
  <c r="H5" i="40"/>
  <c r="AD5" i="40" s="1"/>
  <c r="H19" i="40"/>
  <c r="AD19" i="40" s="1"/>
  <c r="O236" i="31" l="1"/>
  <c r="AE236" i="31"/>
  <c r="T100" i="31"/>
  <c r="V101" i="31"/>
  <c r="T62" i="31"/>
  <c r="T33" i="31"/>
  <c r="T22" i="3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B210" i="41"/>
  <c r="B213" i="41"/>
  <c r="B199" i="41"/>
  <c r="B202" i="41"/>
  <c r="B207" i="41"/>
  <c r="B180" i="41"/>
  <c r="B184" i="41"/>
  <c r="B187" i="41"/>
  <c r="B191" i="41"/>
  <c r="B196" i="41"/>
  <c r="B176" i="41"/>
  <c r="B174" i="41"/>
  <c r="B171" i="41"/>
  <c r="B163" i="41"/>
  <c r="B168" i="41"/>
  <c r="B140" i="41"/>
  <c r="B145" i="41"/>
  <c r="B148" i="41"/>
  <c r="B152" i="41"/>
  <c r="B157" i="41"/>
  <c r="B160" i="41"/>
  <c r="B135" i="41"/>
  <c r="B104" i="41"/>
  <c r="B107" i="41"/>
  <c r="B111" i="41"/>
  <c r="B116" i="41"/>
  <c r="B119" i="41"/>
  <c r="B122" i="41"/>
  <c r="B127" i="41"/>
  <c r="B130" i="41"/>
  <c r="B133" i="41"/>
  <c r="B99" i="41"/>
  <c r="H7" i="40" l="1"/>
  <c r="AD7" i="40" s="1"/>
  <c r="V22" i="31"/>
  <c r="H8" i="40"/>
  <c r="AD8" i="40" s="1"/>
  <c r="V33" i="31"/>
  <c r="H10" i="40"/>
  <c r="AD10" i="40" s="1"/>
  <c r="V62" i="31"/>
  <c r="H13" i="40"/>
  <c r="AD13" i="40" s="1"/>
  <c r="V100" i="31"/>
  <c r="AM47" i="39"/>
  <c r="AM47" i="38"/>
  <c r="AL128" i="38"/>
  <c r="AL127" i="38"/>
  <c r="AK128" i="38"/>
  <c r="AK127" i="38"/>
  <c r="AN167" i="31"/>
  <c r="AX167" i="31" s="1"/>
  <c r="BH167" i="31" s="1"/>
  <c r="AO167" i="31"/>
  <c r="AY167" i="31" s="1"/>
  <c r="BI167" i="31" s="1"/>
  <c r="AP167" i="31"/>
  <c r="AZ167" i="31" s="1"/>
  <c r="BJ167" i="31" s="1"/>
  <c r="AQ167" i="31"/>
  <c r="BA167" i="31" s="1"/>
  <c r="BK167" i="31" s="1"/>
  <c r="AR167" i="31"/>
  <c r="BB167" i="31" s="1"/>
  <c r="BL167" i="31" s="1"/>
  <c r="AS167" i="31"/>
  <c r="BC167" i="31" s="1"/>
  <c r="AT167" i="31"/>
  <c r="BD167" i="31" s="1"/>
  <c r="AN168" i="31"/>
  <c r="AX168" i="31" s="1"/>
  <c r="BH168" i="31" s="1"/>
  <c r="AO168" i="31"/>
  <c r="AY168" i="31" s="1"/>
  <c r="BI168" i="31" s="1"/>
  <c r="AP168" i="31"/>
  <c r="AZ168" i="31" s="1"/>
  <c r="BJ168" i="31" s="1"/>
  <c r="AQ168" i="31"/>
  <c r="BA168" i="31" s="1"/>
  <c r="BK168" i="31" s="1"/>
  <c r="AR168" i="31"/>
  <c r="AS168" i="31"/>
  <c r="BC168" i="31" s="1"/>
  <c r="BM168" i="31" s="1"/>
  <c r="AT168" i="31"/>
  <c r="BD168" i="31" s="1"/>
  <c r="BB168" i="31"/>
  <c r="BL168" i="31" s="1"/>
  <c r="AN169" i="31"/>
  <c r="AX169" i="31" s="1"/>
  <c r="BH169" i="31" s="1"/>
  <c r="AO169" i="31"/>
  <c r="AY169" i="31" s="1"/>
  <c r="BI169" i="31" s="1"/>
  <c r="AP169" i="31"/>
  <c r="AZ169" i="31" s="1"/>
  <c r="BJ169" i="31" s="1"/>
  <c r="AQ169" i="31"/>
  <c r="BA169" i="31" s="1"/>
  <c r="BK169" i="31" s="1"/>
  <c r="AR169" i="31"/>
  <c r="BB169" i="31" s="1"/>
  <c r="BL169" i="31" s="1"/>
  <c r="AS169" i="31"/>
  <c r="BC169" i="31" s="1"/>
  <c r="BM169" i="31" s="1"/>
  <c r="AT169" i="31"/>
  <c r="BD169" i="31" s="1"/>
  <c r="AN170" i="31"/>
  <c r="AX170" i="31" s="1"/>
  <c r="BH170" i="31" s="1"/>
  <c r="AO170" i="31"/>
  <c r="AY170" i="31" s="1"/>
  <c r="BI170" i="31" s="1"/>
  <c r="AP170" i="31"/>
  <c r="AZ170" i="31" s="1"/>
  <c r="BJ170" i="31" s="1"/>
  <c r="AQ170" i="31"/>
  <c r="BA170" i="31" s="1"/>
  <c r="BK170" i="31" s="1"/>
  <c r="AR170" i="31"/>
  <c r="BB170" i="31" s="1"/>
  <c r="BL170" i="31" s="1"/>
  <c r="AS170" i="31"/>
  <c r="BC170" i="31" s="1"/>
  <c r="BM170" i="31" s="1"/>
  <c r="AT170" i="31"/>
  <c r="BD170" i="31" s="1"/>
  <c r="AN171" i="31"/>
  <c r="AX171" i="31" s="1"/>
  <c r="BH171" i="31" s="1"/>
  <c r="AO171" i="31"/>
  <c r="AY171" i="31" s="1"/>
  <c r="BI171" i="31" s="1"/>
  <c r="AP171" i="31"/>
  <c r="AZ171" i="31" s="1"/>
  <c r="BJ171" i="31" s="1"/>
  <c r="AQ171" i="31"/>
  <c r="BA171" i="31" s="1"/>
  <c r="BK171" i="31" s="1"/>
  <c r="AR171" i="31"/>
  <c r="BB171" i="31" s="1"/>
  <c r="BL171" i="31" s="1"/>
  <c r="AS171" i="31"/>
  <c r="BC171" i="31" s="1"/>
  <c r="BM171" i="31" s="1"/>
  <c r="AT171" i="31"/>
  <c r="BD171" i="31" s="1"/>
  <c r="AN172" i="31"/>
  <c r="AX172" i="31" s="1"/>
  <c r="BH172" i="31" s="1"/>
  <c r="AO172" i="31"/>
  <c r="AY172" i="31" s="1"/>
  <c r="BI172" i="31" s="1"/>
  <c r="AP172" i="31"/>
  <c r="AZ172" i="31" s="1"/>
  <c r="BJ172" i="31" s="1"/>
  <c r="AQ172" i="31"/>
  <c r="BA172" i="31" s="1"/>
  <c r="BK172" i="31" s="1"/>
  <c r="AR172" i="31"/>
  <c r="BB172" i="31" s="1"/>
  <c r="BL172" i="31" s="1"/>
  <c r="AS172" i="31"/>
  <c r="BC172" i="31" s="1"/>
  <c r="BM172" i="31" s="1"/>
  <c r="AT172" i="31"/>
  <c r="BD172" i="31" s="1"/>
  <c r="AN173" i="31"/>
  <c r="AX173" i="31" s="1"/>
  <c r="BH173" i="31" s="1"/>
  <c r="AO173" i="31"/>
  <c r="AY173" i="31" s="1"/>
  <c r="BI173" i="31" s="1"/>
  <c r="AP173" i="31"/>
  <c r="AZ173" i="31" s="1"/>
  <c r="BJ173" i="31" s="1"/>
  <c r="AQ173" i="31"/>
  <c r="BA173" i="31" s="1"/>
  <c r="BK173" i="31" s="1"/>
  <c r="AR173" i="31"/>
  <c r="BB173" i="31" s="1"/>
  <c r="BL173" i="31" s="1"/>
  <c r="AS173" i="31"/>
  <c r="BC173" i="31" s="1"/>
  <c r="BM173" i="31" s="1"/>
  <c r="AT173" i="31"/>
  <c r="BD173" i="31" s="1"/>
  <c r="AN174" i="31"/>
  <c r="AX174" i="31" s="1"/>
  <c r="BH174" i="31" s="1"/>
  <c r="AO174" i="31"/>
  <c r="AY174" i="31" s="1"/>
  <c r="BI174" i="31" s="1"/>
  <c r="AP174" i="31"/>
  <c r="AZ174" i="31" s="1"/>
  <c r="BJ174" i="31" s="1"/>
  <c r="AQ174" i="31"/>
  <c r="BA174" i="31" s="1"/>
  <c r="BK174" i="31" s="1"/>
  <c r="AR174" i="31"/>
  <c r="BB174" i="31" s="1"/>
  <c r="BL174" i="31" s="1"/>
  <c r="AS174" i="31"/>
  <c r="BC174" i="31" s="1"/>
  <c r="BM174" i="31" s="1"/>
  <c r="AT174" i="31"/>
  <c r="BD174" i="31" s="1"/>
  <c r="BM167" i="31" l="1"/>
  <c r="AK43" i="31" l="1"/>
  <c r="AL43" i="31"/>
  <c r="AM43" i="31"/>
  <c r="BH43" i="31" s="1"/>
  <c r="BJ8" i="39"/>
  <c r="BJ13" i="39"/>
  <c r="BJ14" i="39"/>
  <c r="BJ15" i="39"/>
  <c r="BJ16" i="39"/>
  <c r="BJ19" i="39"/>
  <c r="BJ20" i="39"/>
  <c r="BJ21" i="39"/>
  <c r="BJ24" i="39"/>
  <c r="BJ25" i="39"/>
  <c r="BJ26" i="39"/>
  <c r="BJ28" i="39"/>
  <c r="BJ29" i="39"/>
  <c r="BJ30" i="39"/>
  <c r="BJ31" i="39"/>
  <c r="BJ32" i="39"/>
  <c r="BJ33" i="39"/>
  <c r="BJ35" i="39"/>
  <c r="BJ36" i="39"/>
  <c r="BJ37" i="39"/>
  <c r="BJ40" i="39"/>
  <c r="BJ41" i="39"/>
  <c r="BJ42" i="39"/>
  <c r="BJ43" i="39"/>
  <c r="BJ44" i="39"/>
  <c r="BJ45" i="39"/>
  <c r="BJ47" i="39"/>
  <c r="BJ48" i="39"/>
  <c r="BJ49" i="39"/>
  <c r="BJ52" i="39"/>
  <c r="BJ53" i="39"/>
  <c r="BJ55" i="39"/>
  <c r="BJ56" i="39"/>
  <c r="BJ57" i="39"/>
  <c r="BJ59" i="39"/>
  <c r="BJ60" i="39"/>
  <c r="BJ61" i="39"/>
  <c r="BJ62" i="39"/>
  <c r="BJ63" i="39"/>
  <c r="BJ65" i="39"/>
  <c r="BJ68" i="39"/>
  <c r="BJ69" i="39"/>
  <c r="BJ70" i="39"/>
  <c r="BJ71" i="39"/>
  <c r="BJ72" i="39"/>
  <c r="BJ73" i="39"/>
  <c r="BJ74" i="39"/>
  <c r="BJ75" i="39"/>
  <c r="BJ77" i="39"/>
  <c r="BJ78" i="39"/>
  <c r="BJ79" i="39"/>
  <c r="BJ81" i="39"/>
  <c r="BJ82" i="39"/>
  <c r="BJ83" i="39"/>
  <c r="BJ84" i="39"/>
  <c r="BJ85" i="39"/>
  <c r="BJ86" i="39"/>
  <c r="BJ89" i="39"/>
  <c r="BJ90" i="39"/>
  <c r="BJ91" i="39"/>
  <c r="BJ93" i="39"/>
  <c r="BJ94" i="39"/>
  <c r="BJ95" i="39"/>
  <c r="BJ98" i="39"/>
  <c r="BJ99" i="39"/>
  <c r="BJ101" i="39"/>
  <c r="BJ103" i="39"/>
  <c r="BJ104" i="39"/>
  <c r="BJ105" i="39"/>
  <c r="BJ106" i="39"/>
  <c r="BJ109" i="39"/>
  <c r="BJ110" i="39"/>
  <c r="BJ111" i="39"/>
  <c r="BJ112" i="39"/>
  <c r="BJ113" i="39"/>
  <c r="BJ114" i="39"/>
  <c r="BJ115" i="39"/>
  <c r="BJ116" i="39"/>
  <c r="BJ117" i="39"/>
  <c r="BJ118" i="39"/>
  <c r="BJ119" i="39"/>
  <c r="BJ122" i="39"/>
  <c r="BJ123" i="39"/>
  <c r="BJ126" i="39"/>
  <c r="BJ127" i="39"/>
  <c r="BJ130" i="39"/>
  <c r="BJ131" i="39"/>
  <c r="BJ133" i="39"/>
  <c r="BJ134" i="39"/>
  <c r="BJ135" i="39"/>
  <c r="BJ137" i="39"/>
  <c r="BJ138" i="39"/>
  <c r="BJ140" i="39"/>
  <c r="BJ142" i="39"/>
  <c r="BJ143" i="39"/>
  <c r="BJ145" i="39"/>
  <c r="BJ146" i="39"/>
  <c r="BJ148" i="39"/>
  <c r="BJ149" i="39"/>
  <c r="BJ150" i="39"/>
  <c r="BJ151" i="39"/>
  <c r="BJ153" i="39"/>
  <c r="BJ154" i="39"/>
  <c r="BJ156" i="39"/>
  <c r="BJ157" i="39"/>
  <c r="BJ160" i="39"/>
  <c r="BJ161" i="39"/>
  <c r="BJ162" i="39"/>
  <c r="BJ163" i="39"/>
  <c r="BJ164" i="39"/>
  <c r="BJ165" i="39"/>
  <c r="BJ166" i="39"/>
  <c r="BJ167" i="39"/>
  <c r="BJ169" i="39"/>
  <c r="BJ170" i="39"/>
  <c r="BJ171" i="39"/>
  <c r="BJ172" i="39"/>
  <c r="BJ173" i="39"/>
  <c r="BJ174" i="39"/>
  <c r="BJ175" i="39"/>
  <c r="BJ176" i="39"/>
  <c r="BJ178" i="39"/>
  <c r="BJ179" i="39"/>
  <c r="BJ180" i="39"/>
  <c r="BJ181" i="39"/>
  <c r="BJ182" i="39"/>
  <c r="BJ183" i="39"/>
  <c r="BJ184" i="39"/>
  <c r="BJ185" i="39"/>
  <c r="BJ188" i="39"/>
  <c r="BJ189" i="39"/>
  <c r="BJ190" i="39"/>
  <c r="BJ191" i="39"/>
  <c r="BJ192" i="39"/>
  <c r="BJ193" i="39"/>
  <c r="BJ194" i="39"/>
  <c r="BJ197" i="39"/>
  <c r="BJ199" i="39"/>
  <c r="BJ200" i="39"/>
  <c r="BJ201" i="39"/>
  <c r="BJ202" i="39"/>
  <c r="BJ203" i="39"/>
  <c r="BJ204" i="39"/>
  <c r="BJ206" i="39"/>
  <c r="BJ207" i="39"/>
  <c r="BJ208" i="39"/>
  <c r="BJ209" i="39"/>
  <c r="BJ210" i="39"/>
  <c r="BJ211" i="39"/>
  <c r="BJ212" i="39"/>
  <c r="BJ215" i="39"/>
  <c r="BJ216" i="39"/>
  <c r="BJ217" i="39"/>
  <c r="BJ218" i="39"/>
  <c r="BJ219" i="39"/>
  <c r="BJ221" i="39"/>
  <c r="BJ222" i="39"/>
  <c r="BJ223" i="39"/>
  <c r="BJ224" i="39"/>
  <c r="BJ225" i="39"/>
  <c r="BJ226" i="39"/>
  <c r="BJ228" i="39"/>
  <c r="BJ229" i="39"/>
  <c r="BJ230" i="39"/>
  <c r="BJ231" i="39"/>
  <c r="BJ234" i="39"/>
  <c r="BJ235" i="39"/>
  <c r="BJ236" i="39"/>
  <c r="BJ237" i="39"/>
  <c r="BJ238" i="39"/>
  <c r="BJ239" i="39"/>
  <c r="BJ241" i="39"/>
  <c r="BJ242" i="39"/>
  <c r="BJ244" i="39"/>
  <c r="BJ245" i="39"/>
  <c r="BJ246" i="39"/>
  <c r="BJ248" i="39"/>
  <c r="BJ249" i="39"/>
  <c r="BJ251" i="39"/>
  <c r="BJ252" i="39"/>
  <c r="BJ254" i="39"/>
  <c r="BJ255" i="39"/>
  <c r="BJ257" i="39"/>
  <c r="BJ258" i="39"/>
  <c r="BJ260" i="39"/>
  <c r="BJ261" i="39"/>
  <c r="BM261" i="39" s="1"/>
  <c r="BJ8" i="38"/>
  <c r="BJ13" i="38"/>
  <c r="BJ14" i="38"/>
  <c r="BJ15" i="38"/>
  <c r="BJ16" i="38"/>
  <c r="BJ19" i="38"/>
  <c r="BJ20" i="38"/>
  <c r="BJ21" i="38"/>
  <c r="BJ24" i="38"/>
  <c r="BJ25" i="38"/>
  <c r="BJ26" i="38"/>
  <c r="BJ28" i="38"/>
  <c r="BJ29" i="38"/>
  <c r="BJ30" i="38"/>
  <c r="BJ31" i="38"/>
  <c r="BJ32" i="38"/>
  <c r="BJ33" i="38"/>
  <c r="BJ36" i="38"/>
  <c r="BJ37" i="38"/>
  <c r="BJ40" i="38"/>
  <c r="BJ41" i="38"/>
  <c r="BJ42" i="38"/>
  <c r="BJ43" i="38"/>
  <c r="BJ44" i="38"/>
  <c r="BJ45" i="38"/>
  <c r="BJ47" i="38"/>
  <c r="BJ48" i="38"/>
  <c r="BJ49" i="38"/>
  <c r="BJ52" i="38"/>
  <c r="BJ53" i="38"/>
  <c r="BJ55" i="38"/>
  <c r="BJ56" i="38"/>
  <c r="BJ57" i="38"/>
  <c r="BJ59" i="38"/>
  <c r="BJ60" i="38"/>
  <c r="BJ61" i="38"/>
  <c r="BJ62" i="38"/>
  <c r="BJ63" i="38"/>
  <c r="BJ65" i="38"/>
  <c r="BJ68" i="38"/>
  <c r="BJ69" i="38"/>
  <c r="BJ70" i="38"/>
  <c r="BJ71" i="38"/>
  <c r="BJ72" i="38"/>
  <c r="BJ73" i="38"/>
  <c r="BJ74" i="38"/>
  <c r="BJ75" i="38"/>
  <c r="BJ77" i="38"/>
  <c r="BJ78" i="38"/>
  <c r="BJ79" i="38"/>
  <c r="BJ81" i="38"/>
  <c r="BJ82" i="38"/>
  <c r="BJ83" i="38"/>
  <c r="BJ84" i="38"/>
  <c r="BJ85" i="38"/>
  <c r="BJ86" i="38"/>
  <c r="BJ89" i="38"/>
  <c r="BJ90" i="38"/>
  <c r="BJ91" i="38"/>
  <c r="BJ93" i="38"/>
  <c r="BJ94" i="38"/>
  <c r="BJ95" i="38"/>
  <c r="BJ98" i="38"/>
  <c r="BJ99" i="38"/>
  <c r="BJ100" i="38"/>
  <c r="BJ102" i="38"/>
  <c r="BJ103" i="38"/>
  <c r="BJ104" i="38"/>
  <c r="BJ105" i="38"/>
  <c r="BJ108" i="38"/>
  <c r="BJ109" i="38"/>
  <c r="BJ110" i="38"/>
  <c r="BJ111" i="38"/>
  <c r="BJ112" i="38"/>
  <c r="BJ113" i="38"/>
  <c r="BJ114" i="38"/>
  <c r="BJ115" i="38"/>
  <c r="BJ116" i="38"/>
  <c r="BJ117" i="38"/>
  <c r="BJ118" i="38"/>
  <c r="BJ121" i="38"/>
  <c r="BJ122" i="38"/>
  <c r="BJ124" i="38"/>
  <c r="BJ126" i="38"/>
  <c r="BJ127" i="38"/>
  <c r="BJ129" i="38"/>
  <c r="BJ131" i="38"/>
  <c r="BJ132" i="38"/>
  <c r="BJ134" i="38"/>
  <c r="BJ135" i="38"/>
  <c r="BJ136" i="38"/>
  <c r="BJ138" i="38"/>
  <c r="BJ139" i="38"/>
  <c r="BJ141" i="38"/>
  <c r="BJ143" i="38"/>
  <c r="BJ144" i="38"/>
  <c r="BJ146" i="38"/>
  <c r="BJ147" i="38"/>
  <c r="BJ149" i="38"/>
  <c r="BJ150" i="38"/>
  <c r="BJ152" i="38"/>
  <c r="BJ154" i="38"/>
  <c r="BJ155" i="38"/>
  <c r="BJ157" i="38"/>
  <c r="BJ158" i="38"/>
  <c r="BJ161" i="38"/>
  <c r="BJ162" i="38"/>
  <c r="BJ163" i="38"/>
  <c r="BJ164" i="38"/>
  <c r="BJ165" i="38"/>
  <c r="BJ166" i="38"/>
  <c r="BJ167" i="38"/>
  <c r="BJ168" i="38"/>
  <c r="BJ170" i="38"/>
  <c r="BJ171" i="38"/>
  <c r="BJ172" i="38"/>
  <c r="BJ173" i="38"/>
  <c r="BJ174" i="38"/>
  <c r="BJ175" i="38"/>
  <c r="BJ176" i="38"/>
  <c r="BJ177" i="38"/>
  <c r="BJ179" i="38"/>
  <c r="BJ180" i="38"/>
  <c r="BJ181" i="38"/>
  <c r="BJ182" i="38"/>
  <c r="BJ183" i="38"/>
  <c r="BJ184" i="38"/>
  <c r="BJ185" i="38"/>
  <c r="BJ186" i="38"/>
  <c r="BJ189" i="38"/>
  <c r="BJ190" i="38"/>
  <c r="BJ191" i="38"/>
  <c r="BJ192" i="38"/>
  <c r="BJ193" i="38"/>
  <c r="BJ194" i="38"/>
  <c r="BJ195" i="38"/>
  <c r="BJ198" i="38"/>
  <c r="BJ200" i="38"/>
  <c r="BJ201" i="38"/>
  <c r="BJ202" i="38"/>
  <c r="BJ203" i="38"/>
  <c r="BJ204" i="38"/>
  <c r="BJ205" i="38"/>
  <c r="BJ206" i="38"/>
  <c r="BJ208" i="38"/>
  <c r="BJ209" i="38"/>
  <c r="BJ210" i="38"/>
  <c r="BJ211" i="38"/>
  <c r="BJ212" i="38"/>
  <c r="BJ213" i="38"/>
  <c r="BJ214" i="38"/>
  <c r="BJ217" i="38"/>
  <c r="BJ218" i="38"/>
  <c r="BJ220" i="38"/>
  <c r="BJ221" i="38"/>
  <c r="BJ223" i="38"/>
  <c r="BJ224" i="38"/>
  <c r="BJ225" i="38"/>
  <c r="BJ226" i="38"/>
  <c r="BJ227" i="38"/>
  <c r="BJ229" i="38"/>
  <c r="BJ230" i="38"/>
  <c r="BJ231" i="38"/>
  <c r="BJ232" i="38"/>
  <c r="BJ235" i="38"/>
  <c r="BJ236" i="38"/>
  <c r="BJ237" i="38"/>
  <c r="BJ238" i="38"/>
  <c r="BJ239" i="38"/>
  <c r="BJ240" i="38"/>
  <c r="BJ242" i="38"/>
  <c r="BJ243" i="38"/>
  <c r="BJ245" i="38"/>
  <c r="BJ246" i="38"/>
  <c r="BJ247" i="38"/>
  <c r="BJ249" i="38"/>
  <c r="BJ250" i="38"/>
  <c r="BJ252" i="38"/>
  <c r="BK252" i="38" s="1"/>
  <c r="BJ253" i="38"/>
  <c r="BJ255" i="38"/>
  <c r="BK255" i="38" s="1"/>
  <c r="BJ256" i="38"/>
  <c r="BJ258" i="38"/>
  <c r="BJ259" i="38"/>
  <c r="BJ261" i="38"/>
  <c r="BK261" i="38" s="1"/>
  <c r="BJ14" i="31"/>
  <c r="BJ15" i="31"/>
  <c r="BJ16" i="31"/>
  <c r="BJ19" i="31"/>
  <c r="BJ20" i="31"/>
  <c r="BJ21" i="31"/>
  <c r="BJ24" i="31"/>
  <c r="BJ25" i="31"/>
  <c r="BJ26" i="31"/>
  <c r="BJ30" i="31"/>
  <c r="BJ31" i="31"/>
  <c r="BJ32" i="31"/>
  <c r="BJ35" i="31"/>
  <c r="BJ36" i="31"/>
  <c r="BJ37" i="31"/>
  <c r="BJ38" i="31"/>
  <c r="BJ39" i="31"/>
  <c r="BJ40" i="31"/>
  <c r="BJ42" i="31"/>
  <c r="BJ43" i="31"/>
  <c r="BJ44" i="31"/>
  <c r="BJ47" i="31"/>
  <c r="BJ48" i="31"/>
  <c r="BJ49" i="31"/>
  <c r="BJ51" i="31"/>
  <c r="BJ52" i="31"/>
  <c r="BJ53" i="31"/>
  <c r="BJ55" i="31"/>
  <c r="BJ56" i="31"/>
  <c r="BJ57" i="31"/>
  <c r="BJ58" i="31"/>
  <c r="BJ59" i="31"/>
  <c r="BJ61" i="31"/>
  <c r="BJ64" i="31"/>
  <c r="BJ66" i="31"/>
  <c r="BJ67" i="31"/>
  <c r="BJ68" i="31"/>
  <c r="BJ69" i="31"/>
  <c r="BJ70" i="31"/>
  <c r="BJ71" i="31"/>
  <c r="BJ73" i="31"/>
  <c r="BJ75" i="31"/>
  <c r="BJ77" i="31"/>
  <c r="BJ79" i="31"/>
  <c r="BJ80" i="31"/>
  <c r="BJ81" i="31"/>
  <c r="BJ82" i="31"/>
  <c r="BJ83" i="31"/>
  <c r="BJ84" i="31"/>
  <c r="BJ85" i="31"/>
  <c r="BJ87" i="31"/>
  <c r="BJ88" i="31"/>
  <c r="BJ89" i="31"/>
  <c r="BJ92" i="31"/>
  <c r="BJ93" i="31"/>
  <c r="BJ94" i="31"/>
  <c r="BJ95" i="31"/>
  <c r="BJ96" i="31"/>
  <c r="BJ97" i="31"/>
  <c r="BJ98" i="31"/>
  <c r="BJ99" i="31"/>
  <c r="BJ102" i="31"/>
  <c r="BJ103" i="31"/>
  <c r="BJ104" i="31"/>
  <c r="BJ105" i="31"/>
  <c r="BJ106" i="31"/>
  <c r="BJ107" i="31"/>
  <c r="BJ109" i="31"/>
  <c r="BJ110" i="31"/>
  <c r="BJ111" i="31"/>
  <c r="BJ114" i="31"/>
  <c r="BJ115" i="31"/>
  <c r="BJ116" i="31"/>
  <c r="BJ117" i="31"/>
  <c r="BJ119" i="31"/>
  <c r="BJ120" i="31"/>
  <c r="BJ122" i="31"/>
  <c r="BJ123" i="31"/>
  <c r="BJ124" i="31"/>
  <c r="BJ126" i="31"/>
  <c r="BJ127" i="31"/>
  <c r="BJ129" i="31"/>
  <c r="BJ131" i="31"/>
  <c r="BJ132" i="31"/>
  <c r="BJ134" i="31"/>
  <c r="BJ135" i="31"/>
  <c r="BJ137" i="31"/>
  <c r="BJ138" i="31"/>
  <c r="BJ140" i="31"/>
  <c r="BJ142" i="31"/>
  <c r="BJ143" i="31"/>
  <c r="BJ145" i="31"/>
  <c r="BJ146" i="31"/>
  <c r="BJ149" i="31"/>
  <c r="BJ150" i="31"/>
  <c r="BJ151" i="31"/>
  <c r="BJ152" i="31"/>
  <c r="BJ153" i="31"/>
  <c r="BJ154" i="31"/>
  <c r="BJ155" i="31"/>
  <c r="BJ156" i="31"/>
  <c r="BJ158" i="31"/>
  <c r="BJ159" i="31"/>
  <c r="BJ160" i="31"/>
  <c r="BJ161" i="31"/>
  <c r="BJ162" i="31"/>
  <c r="BJ163" i="31"/>
  <c r="BJ164" i="31"/>
  <c r="BJ165" i="31"/>
  <c r="BJ177" i="31"/>
  <c r="BJ180" i="31"/>
  <c r="BJ181" i="31"/>
  <c r="BJ182" i="31"/>
  <c r="BJ183" i="31"/>
  <c r="BJ186" i="31"/>
  <c r="BJ188" i="31"/>
  <c r="BJ191" i="31"/>
  <c r="BJ192" i="31"/>
  <c r="BJ193" i="31"/>
  <c r="BJ194" i="31"/>
  <c r="BJ196" i="31"/>
  <c r="BJ197" i="31"/>
  <c r="BJ198" i="31"/>
  <c r="BJ199" i="31"/>
  <c r="BJ200" i="31"/>
  <c r="BJ201" i="31"/>
  <c r="BJ202" i="31"/>
  <c r="BJ205" i="31"/>
  <c r="BJ206" i="31"/>
  <c r="BJ207" i="31"/>
  <c r="BJ208" i="31"/>
  <c r="BJ210" i="31"/>
  <c r="BJ211" i="31"/>
  <c r="BJ212" i="31"/>
  <c r="BJ213" i="31"/>
  <c r="BJ215" i="31"/>
  <c r="BJ216" i="31"/>
  <c r="BJ217" i="31"/>
  <c r="BJ218" i="31"/>
  <c r="BJ221" i="31"/>
  <c r="BJ224" i="31"/>
  <c r="BJ225" i="31"/>
  <c r="BJ226" i="31"/>
  <c r="BJ228" i="31"/>
  <c r="BJ229" i="31"/>
  <c r="BJ231" i="31"/>
  <c r="BJ232" i="31"/>
  <c r="BJ233" i="31"/>
  <c r="BJ235" i="31"/>
  <c r="BJ236" i="31"/>
  <c r="BJ238" i="31"/>
  <c r="BJ239" i="31"/>
  <c r="BJ241" i="31"/>
  <c r="BJ242" i="31"/>
  <c r="BJ244" i="31"/>
  <c r="BL244" i="31" s="1"/>
  <c r="BJ245" i="31"/>
  <c r="BJ247" i="31"/>
  <c r="BJ13" i="31"/>
  <c r="BH47" i="39"/>
  <c r="BI47" i="39"/>
  <c r="BG68" i="39"/>
  <c r="BI68" i="39"/>
  <c r="BM68" i="39" s="1"/>
  <c r="BG78" i="39"/>
  <c r="BI78" i="39"/>
  <c r="BG82" i="39"/>
  <c r="BI82" i="39"/>
  <c r="BG115" i="39"/>
  <c r="BI115" i="39"/>
  <c r="BG124" i="39"/>
  <c r="BI124" i="39"/>
  <c r="BG128" i="39"/>
  <c r="BI128" i="39"/>
  <c r="BG139" i="39"/>
  <c r="BK139" i="39" s="1"/>
  <c r="BI139" i="39"/>
  <c r="BM139" i="39" s="1"/>
  <c r="BG150" i="39"/>
  <c r="BI150" i="39"/>
  <c r="BG189" i="39"/>
  <c r="BI189" i="39"/>
  <c r="BG190" i="39"/>
  <c r="BI190" i="39"/>
  <c r="BG192" i="39"/>
  <c r="BI192" i="39"/>
  <c r="BG196" i="39"/>
  <c r="BI196" i="39"/>
  <c r="BG200" i="39"/>
  <c r="BI200" i="39"/>
  <c r="BG201" i="39"/>
  <c r="BK201" i="39" s="1"/>
  <c r="BI201" i="39"/>
  <c r="BG218" i="39"/>
  <c r="BI218" i="39"/>
  <c r="BG235" i="39"/>
  <c r="BI235" i="39"/>
  <c r="BG236" i="39"/>
  <c r="BI236" i="39"/>
  <c r="BG248" i="39"/>
  <c r="BH248" i="39"/>
  <c r="BI248" i="39"/>
  <c r="BG249" i="39"/>
  <c r="BH249" i="39"/>
  <c r="BI249" i="39"/>
  <c r="BG251" i="39"/>
  <c r="BH251" i="39"/>
  <c r="BI251" i="39"/>
  <c r="BG252" i="39"/>
  <c r="BH252" i="39"/>
  <c r="BI252" i="39"/>
  <c r="BG253" i="39"/>
  <c r="BH253" i="39"/>
  <c r="BI253" i="39"/>
  <c r="BG254" i="39"/>
  <c r="BH254" i="39"/>
  <c r="BI254" i="39"/>
  <c r="BG257" i="39"/>
  <c r="BH257" i="39"/>
  <c r="BI257" i="39"/>
  <c r="BG258" i="39"/>
  <c r="BH258" i="39"/>
  <c r="BI258" i="39"/>
  <c r="BG260" i="39"/>
  <c r="BH260" i="39"/>
  <c r="BI260" i="39"/>
  <c r="BI43" i="31"/>
  <c r="BG65" i="31"/>
  <c r="BK65" i="31" s="1"/>
  <c r="BI65" i="31"/>
  <c r="BM65" i="31" s="1"/>
  <c r="BG74" i="31"/>
  <c r="BK74" i="31" s="1"/>
  <c r="BI74" i="31"/>
  <c r="BM74" i="31" s="1"/>
  <c r="BG78" i="31"/>
  <c r="BK78" i="31" s="1"/>
  <c r="BI78" i="31"/>
  <c r="BM78" i="31" s="1"/>
  <c r="BG108" i="31"/>
  <c r="BK108" i="31" s="1"/>
  <c r="BI108" i="31"/>
  <c r="BM108" i="31" s="1"/>
  <c r="BG128" i="31"/>
  <c r="BK128" i="31" s="1"/>
  <c r="BI128" i="31"/>
  <c r="BM128" i="31" s="1"/>
  <c r="BG178" i="31"/>
  <c r="BK178" i="31" s="1"/>
  <c r="BI178" i="31"/>
  <c r="BM178" i="31" s="1"/>
  <c r="BG179" i="31"/>
  <c r="BK179" i="31" s="1"/>
  <c r="BI179" i="31"/>
  <c r="BM179" i="31" s="1"/>
  <c r="BG180" i="31"/>
  <c r="BI180" i="31"/>
  <c r="BG185" i="31"/>
  <c r="BK185" i="31" s="1"/>
  <c r="BI185" i="31"/>
  <c r="BM185" i="31" s="1"/>
  <c r="BG189" i="31"/>
  <c r="BK189" i="31" s="1"/>
  <c r="BI189" i="31"/>
  <c r="BM189" i="31" s="1"/>
  <c r="BG190" i="31"/>
  <c r="BK190" i="31" s="1"/>
  <c r="BI190" i="31"/>
  <c r="BM190" i="31" s="1"/>
  <c r="BG222" i="31"/>
  <c r="BK222" i="31" s="1"/>
  <c r="BI222" i="31"/>
  <c r="BM222" i="31" s="1"/>
  <c r="BG223" i="31"/>
  <c r="BK223" i="31" s="1"/>
  <c r="BI223" i="31"/>
  <c r="BM223" i="31" s="1"/>
  <c r="BG235" i="31"/>
  <c r="BH235" i="31"/>
  <c r="BI235" i="31"/>
  <c r="BG236" i="31"/>
  <c r="BH236" i="31"/>
  <c r="BI236" i="31"/>
  <c r="BG238" i="31"/>
  <c r="BH238" i="31"/>
  <c r="BI238" i="31"/>
  <c r="BG239" i="31"/>
  <c r="BH239" i="31"/>
  <c r="BI239" i="31"/>
  <c r="BG240" i="31"/>
  <c r="BH240" i="31"/>
  <c r="BI240" i="31"/>
  <c r="BG241" i="31"/>
  <c r="BH241" i="31"/>
  <c r="BI241" i="31"/>
  <c r="BG244" i="31"/>
  <c r="BH244" i="31"/>
  <c r="BI244" i="31"/>
  <c r="BG245" i="31"/>
  <c r="BH245" i="31"/>
  <c r="BI245" i="31"/>
  <c r="BG247" i="31"/>
  <c r="BH247" i="31"/>
  <c r="BI247" i="31"/>
  <c r="BI32" i="38"/>
  <c r="BI47" i="38"/>
  <c r="BI70" i="38"/>
  <c r="BI71" i="38"/>
  <c r="BI72" i="38"/>
  <c r="BI79" i="38"/>
  <c r="BI83" i="38"/>
  <c r="BI84" i="38"/>
  <c r="BI85" i="38"/>
  <c r="BI114" i="38"/>
  <c r="BI123" i="38"/>
  <c r="BI128" i="38"/>
  <c r="BI140" i="38"/>
  <c r="BI151" i="38"/>
  <c r="BI191" i="38"/>
  <c r="BI192" i="38"/>
  <c r="BI193" i="38"/>
  <c r="BI197" i="38"/>
  <c r="BI201" i="38"/>
  <c r="BI202" i="38"/>
  <c r="BI219" i="38"/>
  <c r="BI236" i="38"/>
  <c r="BI237" i="38"/>
  <c r="BI249" i="38"/>
  <c r="BI250" i="38"/>
  <c r="BI252" i="38"/>
  <c r="BI253" i="38"/>
  <c r="BI254" i="38"/>
  <c r="BI255" i="38"/>
  <c r="BI258" i="38"/>
  <c r="BI259" i="38"/>
  <c r="BI261" i="38"/>
  <c r="BH47" i="38"/>
  <c r="BH249" i="38"/>
  <c r="BH250" i="38"/>
  <c r="BH252" i="38"/>
  <c r="BH253" i="38"/>
  <c r="BH254" i="38"/>
  <c r="BH255" i="38"/>
  <c r="BH258" i="38"/>
  <c r="BH259" i="38"/>
  <c r="BH261" i="38"/>
  <c r="BG32" i="38"/>
  <c r="BG70" i="38"/>
  <c r="BG71" i="38"/>
  <c r="BG72" i="38"/>
  <c r="BG79" i="38"/>
  <c r="BG83" i="38"/>
  <c r="BG84" i="38"/>
  <c r="BG85" i="38"/>
  <c r="BG114" i="38"/>
  <c r="BG123" i="38"/>
  <c r="BG128" i="38"/>
  <c r="BG140" i="38"/>
  <c r="BG151" i="38"/>
  <c r="BG191" i="38"/>
  <c r="BG192" i="38"/>
  <c r="BK192" i="38" s="1"/>
  <c r="BG193" i="38"/>
  <c r="BG197" i="38"/>
  <c r="BK197" i="38" s="1"/>
  <c r="BG201" i="38"/>
  <c r="BG202" i="38"/>
  <c r="BG219" i="38"/>
  <c r="BK219" i="38" s="1"/>
  <c r="BG236" i="38"/>
  <c r="BG237" i="38"/>
  <c r="BG249" i="38"/>
  <c r="BG250" i="38"/>
  <c r="BG252" i="38"/>
  <c r="BG253" i="38"/>
  <c r="BG254" i="38"/>
  <c r="BG255" i="38"/>
  <c r="BG258" i="38"/>
  <c r="BG259" i="38"/>
  <c r="BG261" i="38"/>
  <c r="BK78" i="39" l="1"/>
  <c r="BK193" i="38"/>
  <c r="BM241" i="31"/>
  <c r="BK202" i="38"/>
  <c r="BK201" i="38"/>
  <c r="BK189" i="39"/>
  <c r="BK191" i="38"/>
  <c r="BK237" i="38"/>
  <c r="BL258" i="39"/>
  <c r="BM257" i="39"/>
  <c r="BM78" i="39"/>
  <c r="BM249" i="39"/>
  <c r="BM251" i="39"/>
  <c r="BL261" i="39"/>
  <c r="BK249" i="39"/>
  <c r="BK261" i="39"/>
  <c r="BL260" i="39"/>
  <c r="BL248" i="39"/>
  <c r="BL252" i="39"/>
  <c r="BK253" i="38"/>
  <c r="BM239" i="31"/>
  <c r="BM247" i="31"/>
  <c r="BL247" i="31"/>
  <c r="BK247" i="31"/>
  <c r="BK180" i="31"/>
  <c r="BL245" i="31"/>
  <c r="BM245" i="31"/>
  <c r="BM43" i="31"/>
  <c r="BL43" i="31"/>
  <c r="BK236" i="31"/>
  <c r="BL236" i="31"/>
  <c r="BK239" i="31"/>
  <c r="BM238" i="31"/>
  <c r="BM244" i="31"/>
  <c r="BK235" i="31"/>
  <c r="BL238" i="31"/>
  <c r="BM235" i="31"/>
  <c r="BK245" i="31"/>
  <c r="BL235" i="31"/>
  <c r="BK238" i="31"/>
  <c r="BM236" i="31"/>
  <c r="BK244" i="31"/>
  <c r="BL239" i="31"/>
  <c r="BL241" i="31"/>
  <c r="BK241" i="31"/>
  <c r="BM180" i="31"/>
  <c r="BK192" i="39"/>
  <c r="BM201" i="39"/>
  <c r="BK190" i="39"/>
  <c r="BK68" i="39"/>
  <c r="BM235" i="39"/>
  <c r="BM189" i="39"/>
  <c r="BK236" i="38"/>
  <c r="BK254" i="39"/>
  <c r="BM254" i="39"/>
  <c r="BK236" i="39"/>
  <c r="BM236" i="39"/>
  <c r="BM115" i="39"/>
  <c r="BK115" i="39"/>
  <c r="BK260" i="39"/>
  <c r="BM260" i="39"/>
  <c r="BK252" i="39"/>
  <c r="BM252" i="39"/>
  <c r="BK258" i="39"/>
  <c r="BM258" i="39"/>
  <c r="BL251" i="39"/>
  <c r="BK200" i="39"/>
  <c r="BM200" i="39"/>
  <c r="BK196" i="39"/>
  <c r="BM196" i="39"/>
  <c r="BL257" i="39"/>
  <c r="BL254" i="39"/>
  <c r="BK251" i="39"/>
  <c r="BK248" i="39"/>
  <c r="BM248" i="39"/>
  <c r="BK235" i="39"/>
  <c r="BK124" i="39"/>
  <c r="BM124" i="39"/>
  <c r="BM82" i="39"/>
  <c r="BK82" i="39"/>
  <c r="BK257" i="39"/>
  <c r="BK218" i="39"/>
  <c r="BM218" i="39"/>
  <c r="BL249" i="39"/>
  <c r="BK128" i="39"/>
  <c r="BM128" i="39"/>
  <c r="BL47" i="39"/>
  <c r="BM47" i="39"/>
  <c r="BK150" i="39"/>
  <c r="BM150" i="39"/>
  <c r="BM192" i="39"/>
  <c r="BM190" i="39"/>
  <c r="BL250" i="38"/>
  <c r="BM250" i="38"/>
  <c r="BM202" i="38"/>
  <c r="BK140" i="38"/>
  <c r="BM140" i="38"/>
  <c r="BL249" i="38"/>
  <c r="BM249" i="38"/>
  <c r="BM197" i="38"/>
  <c r="BL259" i="38"/>
  <c r="BM259" i="38"/>
  <c r="BL258" i="38"/>
  <c r="BM258" i="38"/>
  <c r="BK249" i="38"/>
  <c r="BL261" i="38"/>
  <c r="BM261" i="38"/>
  <c r="BL253" i="38"/>
  <c r="BM253" i="38"/>
  <c r="BM237" i="38"/>
  <c r="BM201" i="38"/>
  <c r="BK114" i="38"/>
  <c r="BM114" i="38"/>
  <c r="BM236" i="38"/>
  <c r="BM192" i="38"/>
  <c r="BL252" i="38"/>
  <c r="BM252" i="38"/>
  <c r="BK259" i="38"/>
  <c r="BK128" i="38"/>
  <c r="BM128" i="38"/>
  <c r="BM219" i="38"/>
  <c r="BL255" i="38"/>
  <c r="BM255" i="38"/>
  <c r="BK258" i="38"/>
  <c r="BK250" i="38"/>
  <c r="BK85" i="38"/>
  <c r="BM85" i="38"/>
  <c r="BM193" i="38"/>
  <c r="BM191" i="38"/>
  <c r="BM84" i="38"/>
  <c r="BM72" i="38"/>
  <c r="BM32" i="38"/>
  <c r="BK84" i="38"/>
  <c r="BK72" i="38"/>
  <c r="BK32" i="38"/>
  <c r="BK79" i="38"/>
  <c r="BM79" i="38"/>
  <c r="BK151" i="38"/>
  <c r="BM151" i="38"/>
  <c r="BK123" i="38"/>
  <c r="BM123" i="38"/>
  <c r="BK71" i="38"/>
  <c r="BM71" i="38"/>
  <c r="BM70" i="38"/>
  <c r="BK83" i="38"/>
  <c r="BM83" i="38"/>
  <c r="BL47" i="38"/>
  <c r="BM47" i="38"/>
  <c r="BK70" i="38"/>
  <c r="AG255" i="39" l="1"/>
  <c r="AG251" i="39"/>
  <c r="AG256" i="38"/>
  <c r="AG252" i="38"/>
  <c r="F15" i="45" l="1"/>
  <c r="F11" i="45"/>
  <c r="F7" i="45"/>
  <c r="BB43" i="31"/>
  <c r="BB65" i="31"/>
  <c r="BB74" i="31"/>
  <c r="BB78" i="31"/>
  <c r="BB108" i="31"/>
  <c r="BB128" i="31"/>
  <c r="BB178" i="31"/>
  <c r="BB179" i="31"/>
  <c r="BB180" i="31"/>
  <c r="BB185" i="31"/>
  <c r="BB189" i="31"/>
  <c r="BB190" i="31"/>
  <c r="BB222" i="31"/>
  <c r="BB223" i="31"/>
  <c r="BB235" i="31"/>
  <c r="BB236" i="31"/>
  <c r="BB238" i="31"/>
  <c r="BB239" i="31"/>
  <c r="BB240" i="31"/>
  <c r="BB241" i="31"/>
  <c r="BB244" i="31"/>
  <c r="BB245" i="31"/>
  <c r="BB247" i="31"/>
  <c r="AW43" i="31"/>
  <c r="AW65" i="31"/>
  <c r="AW74" i="31"/>
  <c r="AW78" i="31"/>
  <c r="AW108" i="31"/>
  <c r="AW128" i="31"/>
  <c r="AW178" i="31"/>
  <c r="AW179" i="31"/>
  <c r="AW180" i="31"/>
  <c r="AW185" i="31"/>
  <c r="AW189" i="31"/>
  <c r="AW190" i="31"/>
  <c r="AW222" i="31"/>
  <c r="AW223" i="31"/>
  <c r="AW235" i="31"/>
  <c r="AW236" i="31"/>
  <c r="AW238" i="31"/>
  <c r="AW239" i="31"/>
  <c r="AW240" i="31"/>
  <c r="AW241" i="31"/>
  <c r="AW244" i="31"/>
  <c r="AW245" i="31"/>
  <c r="AW247" i="31"/>
  <c r="AR43" i="31"/>
  <c r="AR65" i="31"/>
  <c r="AR74" i="31"/>
  <c r="AR78" i="31"/>
  <c r="AR108" i="31"/>
  <c r="AR128" i="31"/>
  <c r="AR178" i="31"/>
  <c r="AR179" i="31"/>
  <c r="AR180" i="31"/>
  <c r="AR185" i="31"/>
  <c r="AR189" i="31"/>
  <c r="AR190" i="31"/>
  <c r="AR222" i="31"/>
  <c r="AR223" i="31"/>
  <c r="AR235" i="31"/>
  <c r="AR236" i="31"/>
  <c r="AR238" i="31"/>
  <c r="AR239" i="31"/>
  <c r="AR240" i="31"/>
  <c r="AR241" i="31"/>
  <c r="AR244" i="31"/>
  <c r="AR245" i="31"/>
  <c r="AR247" i="31"/>
  <c r="BC32" i="38"/>
  <c r="BD32" i="38"/>
  <c r="BE32" i="38"/>
  <c r="BF32" i="38"/>
  <c r="BC47" i="38"/>
  <c r="BD47" i="38"/>
  <c r="BE47" i="38"/>
  <c r="BF47" i="38"/>
  <c r="BC79" i="38"/>
  <c r="BD79" i="38"/>
  <c r="BE79" i="38"/>
  <c r="BF79" i="38"/>
  <c r="BC83" i="38"/>
  <c r="BD83" i="38"/>
  <c r="BE83" i="38"/>
  <c r="BF83" i="38"/>
  <c r="BC84" i="38"/>
  <c r="BD84" i="38"/>
  <c r="BE84" i="38"/>
  <c r="BF84" i="38"/>
  <c r="BC85" i="38"/>
  <c r="BD85" i="38"/>
  <c r="BE85" i="38"/>
  <c r="BF85" i="38"/>
  <c r="BC114" i="38"/>
  <c r="BD114" i="38"/>
  <c r="BE114" i="38"/>
  <c r="BF114" i="38"/>
  <c r="BC123" i="38"/>
  <c r="BD123" i="38"/>
  <c r="BE123" i="38"/>
  <c r="BF123" i="38"/>
  <c r="BC128" i="38"/>
  <c r="BD128" i="38"/>
  <c r="BE128" i="38"/>
  <c r="BF128" i="38"/>
  <c r="BC140" i="38"/>
  <c r="BD140" i="38"/>
  <c r="BE140" i="38"/>
  <c r="BF140" i="38"/>
  <c r="BC151" i="38"/>
  <c r="BD151" i="38"/>
  <c r="BE151" i="38"/>
  <c r="BF151" i="38"/>
  <c r="BC191" i="38"/>
  <c r="BD191" i="38"/>
  <c r="BE191" i="38"/>
  <c r="BF191" i="38"/>
  <c r="BC192" i="38"/>
  <c r="BD192" i="38"/>
  <c r="BE192" i="38"/>
  <c r="BF192" i="38"/>
  <c r="BC193" i="38"/>
  <c r="BD193" i="38"/>
  <c r="BE193" i="38"/>
  <c r="BF193" i="38"/>
  <c r="BC197" i="38"/>
  <c r="BD197" i="38"/>
  <c r="BE197" i="38"/>
  <c r="BF197" i="38"/>
  <c r="BC201" i="38"/>
  <c r="BD201" i="38"/>
  <c r="BE201" i="38"/>
  <c r="BF201" i="38"/>
  <c r="BC202" i="38"/>
  <c r="BD202" i="38"/>
  <c r="BE202" i="38"/>
  <c r="BF202" i="38"/>
  <c r="BC219" i="38"/>
  <c r="BD219" i="38"/>
  <c r="BE219" i="38"/>
  <c r="BF219" i="38"/>
  <c r="BC236" i="38"/>
  <c r="BD236" i="38"/>
  <c r="BE236" i="38"/>
  <c r="BF236" i="38"/>
  <c r="BC237" i="38"/>
  <c r="BD237" i="38"/>
  <c r="BE237" i="38"/>
  <c r="BF237" i="38"/>
  <c r="BF249" i="38"/>
  <c r="BF250" i="38"/>
  <c r="BE252" i="38"/>
  <c r="BF252" i="38"/>
  <c r="BF253" i="38"/>
  <c r="BF254" i="38"/>
  <c r="BF255" i="38"/>
  <c r="BF258" i="38"/>
  <c r="BF259" i="38"/>
  <c r="BF261" i="38"/>
  <c r="AX32" i="38"/>
  <c r="AY32" i="38"/>
  <c r="AZ32" i="38"/>
  <c r="BA32" i="38"/>
  <c r="BB32" i="38"/>
  <c r="AX47" i="38"/>
  <c r="AY47" i="38"/>
  <c r="AZ47" i="38"/>
  <c r="BA47" i="38"/>
  <c r="BB47" i="38"/>
  <c r="AX79" i="38"/>
  <c r="AY79" i="38"/>
  <c r="AZ79" i="38"/>
  <c r="BA79" i="38"/>
  <c r="BB79" i="38"/>
  <c r="AX83" i="38"/>
  <c r="AY83" i="38"/>
  <c r="AZ83" i="38"/>
  <c r="BA83" i="38"/>
  <c r="BB83" i="38"/>
  <c r="AX84" i="38"/>
  <c r="AY84" i="38"/>
  <c r="AZ84" i="38"/>
  <c r="BA84" i="38"/>
  <c r="BB84" i="38"/>
  <c r="AX85" i="38"/>
  <c r="AY85" i="38"/>
  <c r="AZ85" i="38"/>
  <c r="BA85" i="38"/>
  <c r="BB85" i="38"/>
  <c r="AX114" i="38"/>
  <c r="AY114" i="38"/>
  <c r="AZ114" i="38"/>
  <c r="BA114" i="38"/>
  <c r="BB114" i="38"/>
  <c r="AX123" i="38"/>
  <c r="AY123" i="38"/>
  <c r="AZ123" i="38"/>
  <c r="BA123" i="38"/>
  <c r="BB123" i="38"/>
  <c r="AX128" i="38"/>
  <c r="AY128" i="38"/>
  <c r="AZ128" i="38"/>
  <c r="BA128" i="38"/>
  <c r="BB128" i="38"/>
  <c r="AX140" i="38"/>
  <c r="AY140" i="38"/>
  <c r="AZ140" i="38"/>
  <c r="BA140" i="38"/>
  <c r="BB140" i="38"/>
  <c r="AX151" i="38"/>
  <c r="AY151" i="38"/>
  <c r="AZ151" i="38"/>
  <c r="BA151" i="38"/>
  <c r="BB151" i="38"/>
  <c r="AX191" i="38"/>
  <c r="AY191" i="38"/>
  <c r="AZ191" i="38"/>
  <c r="BA191" i="38"/>
  <c r="BB191" i="38"/>
  <c r="AX192" i="38"/>
  <c r="AY192" i="38"/>
  <c r="AZ192" i="38"/>
  <c r="BA192" i="38"/>
  <c r="BB192" i="38"/>
  <c r="AX193" i="38"/>
  <c r="AY193" i="38"/>
  <c r="AZ193" i="38"/>
  <c r="BA193" i="38"/>
  <c r="BB193" i="38"/>
  <c r="AX197" i="38"/>
  <c r="AY197" i="38"/>
  <c r="AZ197" i="38"/>
  <c r="BA197" i="38"/>
  <c r="BB197" i="38"/>
  <c r="AX201" i="38"/>
  <c r="AY201" i="38"/>
  <c r="AZ201" i="38"/>
  <c r="BA201" i="38"/>
  <c r="BB201" i="38"/>
  <c r="AX202" i="38"/>
  <c r="AY202" i="38"/>
  <c r="AZ202" i="38"/>
  <c r="BA202" i="38"/>
  <c r="BB202" i="38"/>
  <c r="AX219" i="38"/>
  <c r="AY219" i="38"/>
  <c r="AZ219" i="38"/>
  <c r="BA219" i="38"/>
  <c r="BB219" i="38"/>
  <c r="AX236" i="38"/>
  <c r="AY236" i="38"/>
  <c r="AZ236" i="38"/>
  <c r="BA236" i="38"/>
  <c r="BB236" i="38"/>
  <c r="AX237" i="38"/>
  <c r="AY237" i="38"/>
  <c r="AZ237" i="38"/>
  <c r="BA237" i="38"/>
  <c r="BB237" i="38"/>
  <c r="AX249" i="38"/>
  <c r="AY249" i="38"/>
  <c r="AZ249" i="38"/>
  <c r="BA249" i="38"/>
  <c r="BB249" i="38"/>
  <c r="AX250" i="38"/>
  <c r="AY250" i="38"/>
  <c r="AZ250" i="38"/>
  <c r="BA250" i="38"/>
  <c r="BB250" i="38"/>
  <c r="AX252" i="38"/>
  <c r="AY252" i="38"/>
  <c r="AZ252" i="38"/>
  <c r="BA252" i="38"/>
  <c r="BB252" i="38"/>
  <c r="AX253" i="38"/>
  <c r="AY253" i="38"/>
  <c r="AZ253" i="38"/>
  <c r="BA253" i="38"/>
  <c r="BB253" i="38"/>
  <c r="AX254" i="38"/>
  <c r="AY254" i="38"/>
  <c r="AZ254" i="38"/>
  <c r="BA254" i="38"/>
  <c r="BB254" i="38"/>
  <c r="AX255" i="38"/>
  <c r="AY255" i="38"/>
  <c r="AZ255" i="38"/>
  <c r="BA255" i="38"/>
  <c r="BB255" i="38"/>
  <c r="AX258" i="38"/>
  <c r="AY258" i="38"/>
  <c r="AZ258" i="38"/>
  <c r="BA258" i="38"/>
  <c r="BB258" i="38"/>
  <c r="AX259" i="38"/>
  <c r="AY259" i="38"/>
  <c r="AZ259" i="38"/>
  <c r="BA259" i="38"/>
  <c r="BB259" i="38"/>
  <c r="AX261" i="38"/>
  <c r="AY261" i="38"/>
  <c r="AZ261" i="38"/>
  <c r="BA261" i="38"/>
  <c r="BB261" i="38"/>
  <c r="AW47" i="38"/>
  <c r="AW249" i="38"/>
  <c r="AW250" i="38"/>
  <c r="AW252" i="38"/>
  <c r="AW253" i="38"/>
  <c r="AW254" i="38"/>
  <c r="AW255" i="38"/>
  <c r="AW258" i="38"/>
  <c r="AW259" i="38"/>
  <c r="AW261" i="38"/>
  <c r="AS47" i="38"/>
  <c r="AT47" i="38"/>
  <c r="AU47" i="38"/>
  <c r="AV47" i="38"/>
  <c r="AS249" i="38"/>
  <c r="AT249" i="38"/>
  <c r="AU249" i="38"/>
  <c r="AV249" i="38"/>
  <c r="AS250" i="38"/>
  <c r="AT250" i="38"/>
  <c r="AU250" i="38"/>
  <c r="AV250" i="38"/>
  <c r="AS252" i="38"/>
  <c r="AT252" i="38"/>
  <c r="AU252" i="38"/>
  <c r="AV252" i="38"/>
  <c r="AS253" i="38"/>
  <c r="AT253" i="38"/>
  <c r="AU253" i="38"/>
  <c r="AV253" i="38"/>
  <c r="AS254" i="38"/>
  <c r="AT254" i="38"/>
  <c r="AU254" i="38"/>
  <c r="AV254" i="38"/>
  <c r="AS255" i="38"/>
  <c r="AT255" i="38"/>
  <c r="AU255" i="38"/>
  <c r="AV255" i="38"/>
  <c r="AS258" i="38"/>
  <c r="AT258" i="38"/>
  <c r="AU258" i="38"/>
  <c r="AV258" i="38"/>
  <c r="AS259" i="38"/>
  <c r="AT259" i="38"/>
  <c r="AU259" i="38"/>
  <c r="AV259" i="38"/>
  <c r="AS261" i="38"/>
  <c r="AT261" i="38"/>
  <c r="AU261" i="38"/>
  <c r="AV261" i="38"/>
  <c r="AN32" i="38"/>
  <c r="AO32" i="38"/>
  <c r="AP32" i="38"/>
  <c r="AQ32" i="38"/>
  <c r="AR32" i="38"/>
  <c r="AR47" i="38"/>
  <c r="AN79" i="38"/>
  <c r="AO79" i="38"/>
  <c r="AP79" i="38"/>
  <c r="AQ79" i="38"/>
  <c r="AR79" i="38"/>
  <c r="AN83" i="38"/>
  <c r="AO83" i="38"/>
  <c r="AP83" i="38"/>
  <c r="AQ83" i="38"/>
  <c r="AR83" i="38"/>
  <c r="AN84" i="38"/>
  <c r="AO84" i="38"/>
  <c r="AP84" i="38"/>
  <c r="AQ84" i="38"/>
  <c r="AR84" i="38"/>
  <c r="AN85" i="38"/>
  <c r="AO85" i="38"/>
  <c r="AP85" i="38"/>
  <c r="AQ85" i="38"/>
  <c r="AR85" i="38"/>
  <c r="AN114" i="38"/>
  <c r="AO114" i="38"/>
  <c r="AP114" i="38"/>
  <c r="AQ114" i="38"/>
  <c r="AR114" i="38"/>
  <c r="AN123" i="38"/>
  <c r="AO123" i="38"/>
  <c r="AP123" i="38"/>
  <c r="AQ123" i="38"/>
  <c r="AR123" i="38"/>
  <c r="AN128" i="38"/>
  <c r="AO128" i="38"/>
  <c r="AP128" i="38"/>
  <c r="AQ128" i="38"/>
  <c r="AR128" i="38"/>
  <c r="AN140" i="38"/>
  <c r="AO140" i="38"/>
  <c r="AP140" i="38"/>
  <c r="AQ140" i="38"/>
  <c r="AR140" i="38"/>
  <c r="AN151" i="38"/>
  <c r="AO151" i="38"/>
  <c r="AP151" i="38"/>
  <c r="AQ151" i="38"/>
  <c r="AR151" i="38"/>
  <c r="AN191" i="38"/>
  <c r="AO191" i="38"/>
  <c r="AP191" i="38"/>
  <c r="AQ191" i="38"/>
  <c r="AR191" i="38"/>
  <c r="AN192" i="38"/>
  <c r="AO192" i="38"/>
  <c r="AP192" i="38"/>
  <c r="AQ192" i="38"/>
  <c r="AR192" i="38"/>
  <c r="AN193" i="38"/>
  <c r="AO193" i="38"/>
  <c r="AP193" i="38"/>
  <c r="AQ193" i="38"/>
  <c r="AR193" i="38"/>
  <c r="AN197" i="38"/>
  <c r="AO197" i="38"/>
  <c r="AP197" i="38"/>
  <c r="AQ197" i="38"/>
  <c r="AR197" i="38"/>
  <c r="AN201" i="38"/>
  <c r="AO201" i="38"/>
  <c r="AP201" i="38"/>
  <c r="AQ201" i="38"/>
  <c r="AR201" i="38"/>
  <c r="AN202" i="38"/>
  <c r="AO202" i="38"/>
  <c r="AP202" i="38"/>
  <c r="AQ202" i="38"/>
  <c r="AR202" i="38"/>
  <c r="AN219" i="38"/>
  <c r="AO219" i="38"/>
  <c r="AP219" i="38"/>
  <c r="AQ219" i="38"/>
  <c r="AR219" i="38"/>
  <c r="AN236" i="38"/>
  <c r="AO236" i="38"/>
  <c r="AP236" i="38"/>
  <c r="AQ236" i="38"/>
  <c r="AR236" i="38"/>
  <c r="AN237" i="38"/>
  <c r="AO237" i="38"/>
  <c r="AP237" i="38"/>
  <c r="AQ237" i="38"/>
  <c r="AR237" i="38"/>
  <c r="AN249" i="38"/>
  <c r="AO249" i="38"/>
  <c r="AP249" i="38"/>
  <c r="AQ249" i="38"/>
  <c r="AR249" i="38"/>
  <c r="AN250" i="38"/>
  <c r="AO250" i="38"/>
  <c r="AP250" i="38"/>
  <c r="AQ250" i="38"/>
  <c r="AR250" i="38"/>
  <c r="AN252" i="38"/>
  <c r="AO252" i="38"/>
  <c r="AP252" i="38"/>
  <c r="AQ252" i="38"/>
  <c r="AR252" i="38"/>
  <c r="AN253" i="38"/>
  <c r="AO253" i="38"/>
  <c r="AP253" i="38"/>
  <c r="AQ253" i="38"/>
  <c r="AR253" i="38"/>
  <c r="AN254" i="38"/>
  <c r="AO254" i="38"/>
  <c r="AP254" i="38"/>
  <c r="AQ254" i="38"/>
  <c r="AR254" i="38"/>
  <c r="AN255" i="38"/>
  <c r="AO255" i="38"/>
  <c r="AP255" i="38"/>
  <c r="AQ255" i="38"/>
  <c r="AR255" i="38"/>
  <c r="AN258" i="38"/>
  <c r="AO258" i="38"/>
  <c r="AP258" i="38"/>
  <c r="AQ258" i="38"/>
  <c r="AR258" i="38"/>
  <c r="AN259" i="38"/>
  <c r="AO259" i="38"/>
  <c r="AP259" i="38"/>
  <c r="AQ259" i="38"/>
  <c r="AR259" i="38"/>
  <c r="AN261" i="38"/>
  <c r="AO261" i="38"/>
  <c r="AP261" i="38"/>
  <c r="AQ261" i="38"/>
  <c r="AR261" i="38"/>
  <c r="BB47" i="39"/>
  <c r="BB68" i="39"/>
  <c r="BB78" i="39"/>
  <c r="BB82" i="39"/>
  <c r="BB115" i="39"/>
  <c r="BB124" i="39"/>
  <c r="BB128" i="39"/>
  <c r="BB139" i="39"/>
  <c r="BB150" i="39"/>
  <c r="BB189" i="39"/>
  <c r="BB190" i="39"/>
  <c r="BB192" i="39"/>
  <c r="BB196" i="39"/>
  <c r="BB200" i="39"/>
  <c r="BB201" i="39"/>
  <c r="BB218" i="39"/>
  <c r="BB235" i="39"/>
  <c r="BB236" i="39"/>
  <c r="BB248" i="39"/>
  <c r="BB249" i="39"/>
  <c r="BB251" i="39"/>
  <c r="BB252" i="39"/>
  <c r="BB253" i="39"/>
  <c r="BB254" i="39"/>
  <c r="BB257" i="39"/>
  <c r="BB258" i="39"/>
  <c r="BB260" i="39"/>
  <c r="BB261" i="39"/>
  <c r="AW47" i="39"/>
  <c r="AW128" i="39"/>
  <c r="AW248" i="39"/>
  <c r="AW249" i="39"/>
  <c r="AW251" i="39"/>
  <c r="AW252" i="39"/>
  <c r="AW253" i="39"/>
  <c r="AW254" i="39"/>
  <c r="AW257" i="39"/>
  <c r="AW258" i="39"/>
  <c r="AW260" i="39"/>
  <c r="AW261" i="39"/>
  <c r="AR47" i="39"/>
  <c r="AR68" i="39"/>
  <c r="AR78" i="39"/>
  <c r="AR82" i="39"/>
  <c r="AR115" i="39"/>
  <c r="AR124" i="39"/>
  <c r="AR128" i="39"/>
  <c r="AR139" i="39"/>
  <c r="AR150" i="39"/>
  <c r="AR189" i="39"/>
  <c r="AR190" i="39"/>
  <c r="AR192" i="39"/>
  <c r="AR196" i="39"/>
  <c r="AR200" i="39"/>
  <c r="AR201" i="39"/>
  <c r="AR218" i="39"/>
  <c r="AR235" i="39"/>
  <c r="AR236" i="39"/>
  <c r="AR248" i="39"/>
  <c r="AR249" i="39"/>
  <c r="AR251" i="39"/>
  <c r="AR252" i="39"/>
  <c r="AR253" i="39"/>
  <c r="AR254" i="39"/>
  <c r="AR257" i="39"/>
  <c r="AR258" i="39"/>
  <c r="AR260" i="39"/>
  <c r="AR261" i="39"/>
  <c r="BC261" i="39" l="1"/>
  <c r="BD261" i="39"/>
  <c r="BE261" i="39"/>
  <c r="AS47" i="39"/>
  <c r="AT47" i="39"/>
  <c r="AU47" i="39"/>
  <c r="AV47" i="39"/>
  <c r="AX47" i="39"/>
  <c r="AY47" i="39"/>
  <c r="AZ47" i="39"/>
  <c r="BA47" i="39"/>
  <c r="AN78" i="39"/>
  <c r="AO78" i="39"/>
  <c r="AP78" i="39"/>
  <c r="AQ78" i="39"/>
  <c r="AX78" i="39"/>
  <c r="AY78" i="39"/>
  <c r="AZ78" i="39"/>
  <c r="BA78" i="39"/>
  <c r="AN82" i="39"/>
  <c r="AO82" i="39"/>
  <c r="AP82" i="39"/>
  <c r="AQ82" i="39"/>
  <c r="AX82" i="39"/>
  <c r="AY82" i="39"/>
  <c r="AZ82" i="39"/>
  <c r="BA82" i="39"/>
  <c r="AN115" i="39"/>
  <c r="AO115" i="39"/>
  <c r="AP115" i="39"/>
  <c r="AQ115" i="39"/>
  <c r="AX115" i="39"/>
  <c r="AY115" i="39"/>
  <c r="AZ115" i="39"/>
  <c r="BA115" i="39"/>
  <c r="AN124" i="39"/>
  <c r="AO124" i="39"/>
  <c r="AP124" i="39"/>
  <c r="AQ124" i="39"/>
  <c r="AX124" i="39"/>
  <c r="AY124" i="39"/>
  <c r="AZ124" i="39"/>
  <c r="BA124" i="39"/>
  <c r="AN128" i="39"/>
  <c r="AO128" i="39"/>
  <c r="AP128" i="39"/>
  <c r="AQ128" i="39"/>
  <c r="AX128" i="39"/>
  <c r="AY128" i="39"/>
  <c r="AZ128" i="39"/>
  <c r="BA128" i="39"/>
  <c r="AN139" i="39"/>
  <c r="AO139" i="39"/>
  <c r="AP139" i="39"/>
  <c r="AQ139" i="39"/>
  <c r="AX139" i="39"/>
  <c r="AY139" i="39"/>
  <c r="AZ139" i="39"/>
  <c r="BA139" i="39"/>
  <c r="AN150" i="39"/>
  <c r="AO150" i="39"/>
  <c r="AP150" i="39"/>
  <c r="AQ150" i="39"/>
  <c r="AX150" i="39"/>
  <c r="AY150" i="39"/>
  <c r="AZ150" i="39"/>
  <c r="BA150" i="39"/>
  <c r="AN189" i="39"/>
  <c r="AO189" i="39"/>
  <c r="AP189" i="39"/>
  <c r="AQ189" i="39"/>
  <c r="AX189" i="39"/>
  <c r="AY189" i="39"/>
  <c r="AZ189" i="39"/>
  <c r="BA189" i="39"/>
  <c r="AN190" i="39"/>
  <c r="AO190" i="39"/>
  <c r="AP190" i="39"/>
  <c r="AQ190" i="39"/>
  <c r="AX190" i="39"/>
  <c r="AY190" i="39"/>
  <c r="AZ190" i="39"/>
  <c r="BA190" i="39"/>
  <c r="AN192" i="39"/>
  <c r="AO192" i="39"/>
  <c r="AP192" i="39"/>
  <c r="AQ192" i="39"/>
  <c r="AX192" i="39"/>
  <c r="AY192" i="39"/>
  <c r="AZ192" i="39"/>
  <c r="BA192" i="39"/>
  <c r="AN196" i="39"/>
  <c r="AO196" i="39"/>
  <c r="AP196" i="39"/>
  <c r="AQ196" i="39"/>
  <c r="AX196" i="39"/>
  <c r="AY196" i="39"/>
  <c r="AZ196" i="39"/>
  <c r="BA196" i="39"/>
  <c r="AN200" i="39"/>
  <c r="AO200" i="39"/>
  <c r="AP200" i="39"/>
  <c r="AQ200" i="39"/>
  <c r="AX200" i="39"/>
  <c r="AY200" i="39"/>
  <c r="AZ200" i="39"/>
  <c r="BA200" i="39"/>
  <c r="AN201" i="39"/>
  <c r="AO201" i="39"/>
  <c r="AP201" i="39"/>
  <c r="AQ201" i="39"/>
  <c r="AX201" i="39"/>
  <c r="AY201" i="39"/>
  <c r="AZ201" i="39"/>
  <c r="BA201" i="39"/>
  <c r="AN218" i="39"/>
  <c r="AO218" i="39"/>
  <c r="AP218" i="39"/>
  <c r="AQ218" i="39"/>
  <c r="AX218" i="39"/>
  <c r="AY218" i="39"/>
  <c r="AZ218" i="39"/>
  <c r="BA218" i="39"/>
  <c r="AN235" i="39"/>
  <c r="AO235" i="39"/>
  <c r="AP235" i="39"/>
  <c r="AQ235" i="39"/>
  <c r="AX235" i="39"/>
  <c r="AY235" i="39"/>
  <c r="AZ235" i="39"/>
  <c r="BA235" i="39"/>
  <c r="AN236" i="39"/>
  <c r="AO236" i="39"/>
  <c r="AP236" i="39"/>
  <c r="AQ236" i="39"/>
  <c r="AX236" i="39"/>
  <c r="AY236" i="39"/>
  <c r="AZ236" i="39"/>
  <c r="BA236" i="39"/>
  <c r="AN248" i="39"/>
  <c r="AO248" i="39"/>
  <c r="AP248" i="39"/>
  <c r="AQ248" i="39"/>
  <c r="AS248" i="39"/>
  <c r="AT248" i="39"/>
  <c r="AU248" i="39"/>
  <c r="AV248" i="39"/>
  <c r="AX248" i="39"/>
  <c r="AY248" i="39"/>
  <c r="AZ248" i="39"/>
  <c r="BA248" i="39"/>
  <c r="AN249" i="39"/>
  <c r="AO249" i="39"/>
  <c r="AP249" i="39"/>
  <c r="AQ249" i="39"/>
  <c r="AS249" i="39"/>
  <c r="AT249" i="39"/>
  <c r="AU249" i="39"/>
  <c r="AV249" i="39"/>
  <c r="AX249" i="39"/>
  <c r="AY249" i="39"/>
  <c r="AZ249" i="39"/>
  <c r="BA249" i="39"/>
  <c r="AN251" i="39"/>
  <c r="AO251" i="39"/>
  <c r="AP251" i="39"/>
  <c r="AQ251" i="39"/>
  <c r="AS251" i="39"/>
  <c r="AT251" i="39"/>
  <c r="AU251" i="39"/>
  <c r="AV251" i="39"/>
  <c r="AX251" i="39"/>
  <c r="AY251" i="39"/>
  <c r="AZ251" i="39"/>
  <c r="BA251" i="39"/>
  <c r="AN252" i="39"/>
  <c r="AO252" i="39"/>
  <c r="AP252" i="39"/>
  <c r="AQ252" i="39"/>
  <c r="AS252" i="39"/>
  <c r="AT252" i="39"/>
  <c r="AU252" i="39"/>
  <c r="AV252" i="39"/>
  <c r="AX252" i="39"/>
  <c r="AY252" i="39"/>
  <c r="AZ252" i="39"/>
  <c r="BA252" i="39"/>
  <c r="AN253" i="39"/>
  <c r="AO253" i="39"/>
  <c r="AP253" i="39"/>
  <c r="AQ253" i="39"/>
  <c r="AS253" i="39"/>
  <c r="AT253" i="39"/>
  <c r="AU253" i="39"/>
  <c r="AV253" i="39"/>
  <c r="AX253" i="39"/>
  <c r="AY253" i="39"/>
  <c r="AZ253" i="39"/>
  <c r="BA253" i="39"/>
  <c r="AN254" i="39"/>
  <c r="AO254" i="39"/>
  <c r="AP254" i="39"/>
  <c r="AQ254" i="39"/>
  <c r="AS254" i="39"/>
  <c r="AT254" i="39"/>
  <c r="AU254" i="39"/>
  <c r="AV254" i="39"/>
  <c r="AX254" i="39"/>
  <c r="AY254" i="39"/>
  <c r="AZ254" i="39"/>
  <c r="BA254" i="39"/>
  <c r="AN257" i="39"/>
  <c r="AO257" i="39"/>
  <c r="AP257" i="39"/>
  <c r="AQ257" i="39"/>
  <c r="AS257" i="39"/>
  <c r="AT257" i="39"/>
  <c r="AU257" i="39"/>
  <c r="AV257" i="39"/>
  <c r="AX257" i="39"/>
  <c r="AY257" i="39"/>
  <c r="AZ257" i="39"/>
  <c r="BA257" i="39"/>
  <c r="AN258" i="39"/>
  <c r="AO258" i="39"/>
  <c r="AP258" i="39"/>
  <c r="AQ258" i="39"/>
  <c r="AS258" i="39"/>
  <c r="AT258" i="39"/>
  <c r="AU258" i="39"/>
  <c r="AV258" i="39"/>
  <c r="AX258" i="39"/>
  <c r="AY258" i="39"/>
  <c r="AZ258" i="39"/>
  <c r="BA258" i="39"/>
  <c r="AN260" i="39"/>
  <c r="AO260" i="39"/>
  <c r="AP260" i="39"/>
  <c r="AQ260" i="39"/>
  <c r="AS260" i="39"/>
  <c r="AT260" i="39"/>
  <c r="AU260" i="39"/>
  <c r="AV260" i="39"/>
  <c r="AX260" i="39"/>
  <c r="AY260" i="39"/>
  <c r="AZ260" i="39"/>
  <c r="BA260" i="39"/>
  <c r="AN261" i="39"/>
  <c r="AO261" i="39"/>
  <c r="AP261" i="39"/>
  <c r="AQ261" i="39"/>
  <c r="AS261" i="39"/>
  <c r="AT261" i="39"/>
  <c r="AU261" i="39"/>
  <c r="AV261" i="39"/>
  <c r="AX261" i="39"/>
  <c r="AY261" i="39"/>
  <c r="AZ261" i="39"/>
  <c r="BA261" i="39"/>
  <c r="AS43" i="31"/>
  <c r="AT43" i="31"/>
  <c r="AU43" i="31"/>
  <c r="AV43" i="31"/>
  <c r="AS235" i="31"/>
  <c r="AT235" i="31"/>
  <c r="AU235" i="31"/>
  <c r="AV235" i="31"/>
  <c r="AS236" i="31"/>
  <c r="AT236" i="31"/>
  <c r="AU236" i="31"/>
  <c r="AV236" i="31"/>
  <c r="AS238" i="31"/>
  <c r="AT238" i="31"/>
  <c r="AU238" i="31"/>
  <c r="AV238" i="31"/>
  <c r="AS239" i="31"/>
  <c r="AT239" i="31"/>
  <c r="AU239" i="31"/>
  <c r="AV239" i="31"/>
  <c r="AS240" i="31"/>
  <c r="AT240" i="31"/>
  <c r="AU240" i="31"/>
  <c r="AV240" i="31"/>
  <c r="AS241" i="31"/>
  <c r="AT241" i="31"/>
  <c r="AU241" i="31"/>
  <c r="AV241" i="31"/>
  <c r="AS244" i="31"/>
  <c r="AT244" i="31"/>
  <c r="AU244" i="31"/>
  <c r="AV244" i="31"/>
  <c r="AS245" i="31"/>
  <c r="AT245" i="31"/>
  <c r="AU245" i="31"/>
  <c r="AV245" i="31"/>
  <c r="AS247" i="31"/>
  <c r="AT247" i="31"/>
  <c r="AU247" i="31"/>
  <c r="AV247" i="31"/>
  <c r="BA43" i="31"/>
  <c r="BA235" i="31"/>
  <c r="BA236" i="31"/>
  <c r="BA238" i="31"/>
  <c r="BA239" i="31"/>
  <c r="BA240" i="31"/>
  <c r="BA241" i="31"/>
  <c r="BA244" i="31"/>
  <c r="BA245" i="31"/>
  <c r="BA247" i="31"/>
  <c r="AZ43" i="31"/>
  <c r="AZ235" i="31"/>
  <c r="AZ236" i="31"/>
  <c r="AZ238" i="31"/>
  <c r="AZ239" i="31"/>
  <c r="AZ240" i="31"/>
  <c r="AZ241" i="31"/>
  <c r="AZ244" i="31"/>
  <c r="AZ245" i="31"/>
  <c r="AZ247" i="31"/>
  <c r="AY43" i="31"/>
  <c r="AY235" i="31"/>
  <c r="AY236" i="31"/>
  <c r="AY238" i="31"/>
  <c r="AY239" i="31"/>
  <c r="AY240" i="31"/>
  <c r="AY241" i="31"/>
  <c r="AY244" i="31"/>
  <c r="AY245" i="31"/>
  <c r="AY247" i="31"/>
  <c r="AX43" i="31"/>
  <c r="AX235" i="31"/>
  <c r="AX236" i="31"/>
  <c r="AX238" i="31"/>
  <c r="AX239" i="31"/>
  <c r="AX240" i="31"/>
  <c r="AX241" i="31"/>
  <c r="AX244" i="31"/>
  <c r="AX245" i="31"/>
  <c r="AX247" i="31"/>
  <c r="AQ235" i="31"/>
  <c r="AQ236" i="31"/>
  <c r="AQ238" i="31"/>
  <c r="AQ239" i="31"/>
  <c r="AQ240" i="31"/>
  <c r="AQ241" i="31"/>
  <c r="AQ244" i="31"/>
  <c r="AQ245" i="31"/>
  <c r="AQ247" i="31"/>
  <c r="AP235" i="31"/>
  <c r="AP236" i="31"/>
  <c r="AP238" i="31"/>
  <c r="AP239" i="31"/>
  <c r="AP240" i="31"/>
  <c r="AP241" i="31"/>
  <c r="AP244" i="31"/>
  <c r="AP245" i="31"/>
  <c r="AP247" i="31"/>
  <c r="AO235" i="31"/>
  <c r="AO236" i="31"/>
  <c r="AO238" i="31"/>
  <c r="AO239" i="31"/>
  <c r="AO240" i="31"/>
  <c r="AO241" i="31"/>
  <c r="AO244" i="31"/>
  <c r="AO245" i="31"/>
  <c r="AO247" i="31"/>
  <c r="AN235" i="31"/>
  <c r="AN236" i="31"/>
  <c r="AN238" i="31"/>
  <c r="AN239" i="31"/>
  <c r="AN240" i="31"/>
  <c r="AN241" i="31"/>
  <c r="AN244" i="31"/>
  <c r="AN245" i="31"/>
  <c r="AN247" i="31"/>
  <c r="S5" i="40"/>
  <c r="AC5" i="40" s="1"/>
  <c r="S19" i="40"/>
  <c r="AC19" i="40" s="1"/>
  <c r="M5" i="40"/>
  <c r="AB5" i="40" s="1"/>
  <c r="M19" i="40"/>
  <c r="AB19" i="40" s="1"/>
  <c r="G19" i="40"/>
  <c r="AA19" i="40" s="1"/>
  <c r="G5" i="40"/>
  <c r="AA5" i="40" s="1"/>
  <c r="B25" i="41"/>
  <c r="B10" i="41"/>
  <c r="B9" i="41"/>
  <c r="O35" i="41"/>
  <c r="K33" i="41"/>
  <c r="K34" i="41"/>
  <c r="B42" i="41"/>
  <c r="B37" i="41"/>
  <c r="B36" i="41"/>
  <c r="B22" i="41"/>
  <c r="B23" i="41"/>
  <c r="B24" i="41"/>
  <c r="B21" i="41"/>
  <c r="G211" i="38" l="1"/>
  <c r="G209" i="39"/>
  <c r="G199" i="31"/>
  <c r="I244" i="39"/>
  <c r="G244" i="39"/>
  <c r="J242" i="39"/>
  <c r="I242" i="39"/>
  <c r="G242" i="39"/>
  <c r="J241" i="39"/>
  <c r="I241" i="39"/>
  <c r="G241" i="39"/>
  <c r="I245" i="38"/>
  <c r="G245" i="38"/>
  <c r="J243" i="38"/>
  <c r="I243" i="38"/>
  <c r="G243" i="38"/>
  <c r="J242" i="38"/>
  <c r="I242" i="38"/>
  <c r="G242" i="38"/>
  <c r="J229" i="31"/>
  <c r="J228" i="31"/>
  <c r="K75" i="31"/>
  <c r="I75" i="31"/>
  <c r="G75" i="31"/>
  <c r="K49" i="39"/>
  <c r="I49" i="39"/>
  <c r="G49" i="39"/>
  <c r="K48" i="39"/>
  <c r="J48" i="39" s="1"/>
  <c r="I48" i="39"/>
  <c r="G48" i="39"/>
  <c r="K47" i="39"/>
  <c r="I47" i="39"/>
  <c r="G47" i="39"/>
  <c r="K49" i="38"/>
  <c r="I49" i="38"/>
  <c r="G49" i="38"/>
  <c r="K48" i="38"/>
  <c r="I48" i="38"/>
  <c r="G48" i="38"/>
  <c r="K47" i="38"/>
  <c r="I47" i="38"/>
  <c r="G47" i="38"/>
  <c r="J257" i="31"/>
  <c r="I257" i="31"/>
  <c r="G257" i="31"/>
  <c r="E256" i="31"/>
  <c r="I95" i="31"/>
  <c r="G95" i="31"/>
  <c r="AE164" i="39"/>
  <c r="I164" i="39"/>
  <c r="G164" i="39"/>
  <c r="J164" i="38"/>
  <c r="I164" i="38"/>
  <c r="G164" i="38"/>
  <c r="J152" i="31"/>
  <c r="I152" i="31"/>
  <c r="G152" i="31"/>
  <c r="K44" i="31"/>
  <c r="K43" i="31"/>
  <c r="J43" i="31" s="1"/>
  <c r="K42" i="31"/>
  <c r="I44" i="31"/>
  <c r="G44" i="31"/>
  <c r="I43" i="31"/>
  <c r="G43" i="31"/>
  <c r="I42" i="31"/>
  <c r="G42" i="31"/>
  <c r="R48" i="39" l="1"/>
  <c r="Q48" i="39"/>
  <c r="O48" i="39"/>
  <c r="N48" i="39"/>
  <c r="O241" i="39"/>
  <c r="AF241" i="39" s="1"/>
  <c r="R241" i="39"/>
  <c r="AH241" i="39" s="1"/>
  <c r="Q241" i="39"/>
  <c r="N241" i="39"/>
  <c r="R242" i="39"/>
  <c r="AH242" i="39" s="1"/>
  <c r="Q242" i="39"/>
  <c r="O242" i="39"/>
  <c r="AF242" i="39" s="1"/>
  <c r="N242" i="39"/>
  <c r="Q164" i="38"/>
  <c r="AG164" i="38" s="1"/>
  <c r="O164" i="38"/>
  <c r="AF164" i="38" s="1"/>
  <c r="R164" i="38"/>
  <c r="AH164" i="38" s="1"/>
  <c r="R242" i="38"/>
  <c r="AH242" i="38" s="1"/>
  <c r="Q242" i="38"/>
  <c r="O242" i="38"/>
  <c r="AF242" i="38" s="1"/>
  <c r="R243" i="38"/>
  <c r="AH243" i="38" s="1"/>
  <c r="Q243" i="38"/>
  <c r="O243" i="38"/>
  <c r="AF243" i="38" s="1"/>
  <c r="R152" i="31"/>
  <c r="AH152" i="31" s="1"/>
  <c r="O152" i="31"/>
  <c r="AF152" i="31" s="1"/>
  <c r="O43" i="31"/>
  <c r="R43" i="31"/>
  <c r="O229" i="31"/>
  <c r="AF229" i="31" s="1"/>
  <c r="R229" i="31"/>
  <c r="AH229" i="31" s="1"/>
  <c r="O257" i="31"/>
  <c r="O256" i="31" s="1"/>
  <c r="O255" i="31" s="1"/>
  <c r="R257" i="31"/>
  <c r="R256" i="31" s="1"/>
  <c r="R255" i="31" s="1"/>
  <c r="O228" i="31"/>
  <c r="AF228" i="31" s="1"/>
  <c r="R228" i="31"/>
  <c r="AH228" i="31" s="1"/>
  <c r="AC164" i="39" a="1"/>
  <c r="AC164" i="39" s="1"/>
  <c r="AD164" i="39" a="1"/>
  <c r="AD164" i="39" s="1"/>
  <c r="AC241" i="39" a="1"/>
  <c r="AC241" i="39" s="1"/>
  <c r="AD241" i="39" a="1"/>
  <c r="AD241" i="39" s="1"/>
  <c r="AC48" i="39" a="1"/>
  <c r="AC48" i="39" s="1"/>
  <c r="AD48" i="39" a="1"/>
  <c r="AD48" i="39" s="1"/>
  <c r="K241" i="39"/>
  <c r="AC242" i="39" a="1"/>
  <c r="AC242" i="39" s="1"/>
  <c r="AD242" i="39" a="1"/>
  <c r="AD242" i="39" s="1"/>
  <c r="K242" i="39"/>
  <c r="AC244" i="39" a="1"/>
  <c r="AC244" i="39" s="1"/>
  <c r="AD244" i="39" s="1" a="1"/>
  <c r="AD244" i="39" s="1"/>
  <c r="AC47" i="39" a="1"/>
  <c r="AC47" i="39" s="1"/>
  <c r="AC49" i="39" a="1"/>
  <c r="AC49" i="39" s="1"/>
  <c r="AC245" i="38" a="1"/>
  <c r="AC245" i="38" s="1"/>
  <c r="AD245" i="38" s="1" a="1"/>
  <c r="AD245" i="38" s="1"/>
  <c r="AC48" i="38" a="1"/>
  <c r="AC48" i="38" s="1"/>
  <c r="AC242" i="38" a="1"/>
  <c r="AC242" i="38" s="1"/>
  <c r="AD242" i="38" a="1"/>
  <c r="AD242" i="38" s="1"/>
  <c r="N242" i="38"/>
  <c r="AC49" i="38" a="1"/>
  <c r="AC49" i="38" s="1"/>
  <c r="AC164" i="38" a="1"/>
  <c r="AC164" i="38" s="1"/>
  <c r="AD164" i="38" a="1"/>
  <c r="AD164" i="38" s="1"/>
  <c r="N243" i="38"/>
  <c r="N164" i="38"/>
  <c r="AE164" i="38" s="1"/>
  <c r="AC243" i="38" a="1"/>
  <c r="AC243" i="38" s="1"/>
  <c r="AD243" i="38" a="1"/>
  <c r="AD243" i="38" s="1"/>
  <c r="AC47" i="38" a="1"/>
  <c r="AC47" i="38" s="1"/>
  <c r="Q43" i="31"/>
  <c r="AP43" i="31" s="1"/>
  <c r="N43" i="31"/>
  <c r="AN43" i="31" s="1"/>
  <c r="Q229" i="31"/>
  <c r="N229" i="31"/>
  <c r="AE229" i="31" s="1"/>
  <c r="AC152" i="31" a="1"/>
  <c r="AC152" i="31" s="1"/>
  <c r="AD152" i="31" a="1"/>
  <c r="AD152" i="31" s="1"/>
  <c r="Q152" i="31"/>
  <c r="AG152" i="31" s="1"/>
  <c r="N152" i="31"/>
  <c r="AE152" i="31" s="1"/>
  <c r="AC95" i="31" a="1"/>
  <c r="AC95" i="31" s="1"/>
  <c r="AD95" i="31" a="1"/>
  <c r="AD95" i="31" s="1"/>
  <c r="AC42" i="31" a="1"/>
  <c r="AC42" i="31" s="1"/>
  <c r="AC43" i="31" a="1"/>
  <c r="AC43" i="31" s="1"/>
  <c r="AD43" i="31" a="1"/>
  <c r="AD43" i="31" s="1"/>
  <c r="Q257" i="31"/>
  <c r="Q256" i="31" s="1"/>
  <c r="Q255" i="31" s="1"/>
  <c r="N257" i="31"/>
  <c r="AC75" i="31" a="1"/>
  <c r="AC75" i="31" s="1"/>
  <c r="AC44" i="31" a="1"/>
  <c r="AC44" i="31" s="1"/>
  <c r="Q228" i="31"/>
  <c r="N228" i="31"/>
  <c r="AE228" i="31" s="1"/>
  <c r="K152" i="31"/>
  <c r="J47" i="39"/>
  <c r="J49" i="39"/>
  <c r="J49" i="38"/>
  <c r="J47" i="38"/>
  <c r="J48" i="38"/>
  <c r="J44" i="31"/>
  <c r="J75" i="31"/>
  <c r="J42" i="31"/>
  <c r="BG43" i="31"/>
  <c r="BK43" i="31" s="1"/>
  <c r="S48" i="39"/>
  <c r="S75" i="31"/>
  <c r="AI75" i="31" s="1"/>
  <c r="S257" i="31"/>
  <c r="S256" i="31" s="1"/>
  <c r="S255" i="31" s="1"/>
  <c r="S95" i="31"/>
  <c r="AI95" i="31" s="1"/>
  <c r="AG95" i="31"/>
  <c r="S43" i="31"/>
  <c r="AQ43" i="31" s="1"/>
  <c r="M43" i="31"/>
  <c r="S164" i="39"/>
  <c r="AI164" i="39" s="1"/>
  <c r="AG164" i="39"/>
  <c r="S164" i="38"/>
  <c r="AI164" i="38" s="1"/>
  <c r="S152" i="31"/>
  <c r="AI152" i="31" s="1"/>
  <c r="O240" i="39" l="1"/>
  <c r="AF240" i="39" s="1"/>
  <c r="Q49" i="39"/>
  <c r="O49" i="39"/>
  <c r="N49" i="39"/>
  <c r="R49" i="39"/>
  <c r="AD47" i="39" a="1"/>
  <c r="AD47" i="39" s="1"/>
  <c r="R47" i="39"/>
  <c r="AH47" i="39" s="1"/>
  <c r="Q47" i="39"/>
  <c r="AG47" i="39" s="1"/>
  <c r="O47" i="39"/>
  <c r="N47" i="39"/>
  <c r="AE47" i="39" s="1"/>
  <c r="R240" i="39"/>
  <c r="AH240" i="39" s="1"/>
  <c r="O241" i="38"/>
  <c r="AF241" i="38" s="1"/>
  <c r="Q48" i="38"/>
  <c r="O48" i="38"/>
  <c r="R48" i="38"/>
  <c r="BG47" i="38"/>
  <c r="BK47" i="38" s="1"/>
  <c r="R47" i="38"/>
  <c r="AH47" i="38" s="1"/>
  <c r="Q47" i="38"/>
  <c r="AG47" i="38" s="1"/>
  <c r="O47" i="38"/>
  <c r="AD49" i="38" a="1"/>
  <c r="AD49" i="38" s="1"/>
  <c r="Q49" i="38"/>
  <c r="AG49" i="38" s="1"/>
  <c r="O49" i="38"/>
  <c r="AF49" i="38" s="1"/>
  <c r="R49" i="38"/>
  <c r="AH49" i="38" s="1"/>
  <c r="R241" i="38"/>
  <c r="AH241" i="38" s="1"/>
  <c r="O44" i="31"/>
  <c r="AF44" i="31" s="1"/>
  <c r="R44" i="31"/>
  <c r="AH44" i="31" s="1"/>
  <c r="O42" i="31"/>
  <c r="AF42" i="31" s="1"/>
  <c r="R42" i="31"/>
  <c r="AH42" i="31" s="1"/>
  <c r="AD75" i="31" a="1"/>
  <c r="AD75" i="31" s="1"/>
  <c r="O75" i="31"/>
  <c r="AF75" i="31" s="1"/>
  <c r="R75" i="31"/>
  <c r="AH75" i="31" s="1"/>
  <c r="R227" i="31"/>
  <c r="AH227" i="31" s="1"/>
  <c r="M42" i="31"/>
  <c r="O227" i="31"/>
  <c r="AF227" i="31" s="1"/>
  <c r="M44" i="31"/>
  <c r="AD44" i="31" a="1"/>
  <c r="AD44" i="31" s="1"/>
  <c r="AD49" i="39" a="1"/>
  <c r="AD49" i="39" s="1"/>
  <c r="S47" i="39"/>
  <c r="AI47" i="39" s="1"/>
  <c r="N48" i="38"/>
  <c r="P48" i="38" s="1"/>
  <c r="M48" i="38" s="1"/>
  <c r="S47" i="38"/>
  <c r="AI47" i="38" s="1"/>
  <c r="N47" i="38"/>
  <c r="AE47" i="38" s="1"/>
  <c r="AD48" i="38" a="1"/>
  <c r="AD48" i="38" s="1"/>
  <c r="S49" i="38"/>
  <c r="AI49" i="38" s="1"/>
  <c r="N49" i="38"/>
  <c r="AE49" i="38" s="1"/>
  <c r="AD47" i="38" a="1"/>
  <c r="AD47" i="38" s="1"/>
  <c r="S44" i="31"/>
  <c r="AI44" i="31" s="1"/>
  <c r="S42" i="31"/>
  <c r="AI42" i="31" s="1"/>
  <c r="Q42" i="31"/>
  <c r="AG42" i="31" s="1"/>
  <c r="N42" i="31"/>
  <c r="AE42" i="31" s="1"/>
  <c r="AD42" i="31" a="1"/>
  <c r="AD42" i="31" s="1"/>
  <c r="Q75" i="31"/>
  <c r="AG75" i="31" s="1"/>
  <c r="N75" i="31"/>
  <c r="AE75" i="31" s="1"/>
  <c r="Q44" i="31"/>
  <c r="AG44" i="31" s="1"/>
  <c r="N44" i="31"/>
  <c r="AE44" i="31" s="1"/>
  <c r="BG47" i="39"/>
  <c r="BK47" i="39" s="1"/>
  <c r="P164" i="39"/>
  <c r="M164" i="39" s="1"/>
  <c r="S49" i="39"/>
  <c r="S48" i="38"/>
  <c r="P164" i="38"/>
  <c r="M164" i="38" s="1"/>
  <c r="W75" i="31"/>
  <c r="P152" i="31"/>
  <c r="M152" i="31" s="1"/>
  <c r="W95" i="31"/>
  <c r="P43" i="31"/>
  <c r="AO43" i="31" s="1"/>
  <c r="P48" i="39"/>
  <c r="M48" i="39" s="1"/>
  <c r="P257" i="31"/>
  <c r="P256" i="31" s="1"/>
  <c r="P255" i="31" s="1"/>
  <c r="N256" i="31"/>
  <c r="N255" i="31" s="1"/>
  <c r="P95" i="31"/>
  <c r="M95" i="31" s="1"/>
  <c r="T95" i="31"/>
  <c r="V95" i="31" s="1"/>
  <c r="O46" i="39" l="1"/>
  <c r="AF46" i="39" s="1"/>
  <c r="AF47" i="39"/>
  <c r="O46" i="38"/>
  <c r="AF46" i="38" s="1"/>
  <c r="AF47" i="38"/>
  <c r="AQ47" i="39"/>
  <c r="R46" i="39"/>
  <c r="AH46" i="39" s="1"/>
  <c r="R46" i="38"/>
  <c r="AH46" i="38" s="1"/>
  <c r="M41" i="31"/>
  <c r="O41" i="31"/>
  <c r="AF41" i="31" s="1"/>
  <c r="R41" i="31"/>
  <c r="AH41" i="31" s="1"/>
  <c r="AN47" i="39"/>
  <c r="N46" i="39"/>
  <c r="AE46" i="39" s="1"/>
  <c r="S46" i="38"/>
  <c r="AI46" i="38" s="1"/>
  <c r="AP47" i="38"/>
  <c r="AQ47" i="38"/>
  <c r="S41" i="31"/>
  <c r="AI41" i="31" s="1"/>
  <c r="P75" i="31"/>
  <c r="M75" i="31" s="1"/>
  <c r="C37" i="41" s="1"/>
  <c r="P44" i="31"/>
  <c r="AP47" i="39"/>
  <c r="P47" i="39"/>
  <c r="AO47" i="39" s="1"/>
  <c r="P49" i="39"/>
  <c r="M49" i="39" s="1"/>
  <c r="S46" i="39"/>
  <c r="AI46" i="39" s="1"/>
  <c r="Q46" i="39"/>
  <c r="AG46" i="39" s="1"/>
  <c r="AN47" i="38"/>
  <c r="P47" i="38"/>
  <c r="M47" i="38" s="1"/>
  <c r="N46" i="38"/>
  <c r="AE46" i="38" s="1"/>
  <c r="P49" i="38"/>
  <c r="M49" i="38" s="1"/>
  <c r="Q46" i="38"/>
  <c r="AG46" i="38" s="1"/>
  <c r="N41" i="31"/>
  <c r="AE41" i="31" s="1"/>
  <c r="P42" i="31"/>
  <c r="Q41" i="31"/>
  <c r="AG41" i="31" s="1"/>
  <c r="M257" i="31"/>
  <c r="M256" i="31" s="1"/>
  <c r="M255" i="31" s="1"/>
  <c r="P41" i="31" l="1"/>
  <c r="W41" i="31"/>
  <c r="W46" i="38"/>
  <c r="AO47" i="38"/>
  <c r="M47" i="39"/>
  <c r="M46" i="39" s="1"/>
  <c r="P46" i="39"/>
  <c r="W46" i="39"/>
  <c r="P46" i="38"/>
  <c r="M46" i="38"/>
  <c r="AM8" i="39"/>
  <c r="AM10" i="39"/>
  <c r="AM13" i="39"/>
  <c r="AM14" i="39"/>
  <c r="AM15" i="39"/>
  <c r="AM16" i="39"/>
  <c r="AM17" i="39"/>
  <c r="AM19" i="39"/>
  <c r="AM20" i="39"/>
  <c r="AM21" i="39"/>
  <c r="AM24" i="39"/>
  <c r="AM25" i="39"/>
  <c r="AM26" i="39"/>
  <c r="AM28" i="39"/>
  <c r="AM29" i="39"/>
  <c r="AM30" i="39"/>
  <c r="AM31" i="39"/>
  <c r="AM32" i="39"/>
  <c r="AM33" i="39"/>
  <c r="AM35" i="39"/>
  <c r="AM36" i="39"/>
  <c r="AM37" i="39"/>
  <c r="AM40" i="39"/>
  <c r="AM41" i="39"/>
  <c r="AM42" i="39"/>
  <c r="AM43" i="39"/>
  <c r="AM44" i="39"/>
  <c r="AM45" i="39"/>
  <c r="AM48" i="39"/>
  <c r="AM49" i="39"/>
  <c r="AM52" i="39"/>
  <c r="AM53" i="39"/>
  <c r="AM55" i="39"/>
  <c r="AM56" i="39"/>
  <c r="AM57" i="39"/>
  <c r="AM59" i="39"/>
  <c r="AM60" i="39"/>
  <c r="AM61" i="39"/>
  <c r="AM62" i="39"/>
  <c r="AM63" i="39"/>
  <c r="AM65" i="39"/>
  <c r="AM75" i="39"/>
  <c r="AM77" i="39"/>
  <c r="AM79" i="39"/>
  <c r="AM81" i="39"/>
  <c r="AM83" i="39"/>
  <c r="AM84" i="39"/>
  <c r="AM85" i="39"/>
  <c r="AM86" i="39"/>
  <c r="AM93" i="39"/>
  <c r="AM94" i="39"/>
  <c r="AM95" i="39"/>
  <c r="AM101" i="39"/>
  <c r="AM106" i="39"/>
  <c r="AM109" i="39"/>
  <c r="AM110" i="39"/>
  <c r="AM111" i="39"/>
  <c r="AM112" i="39"/>
  <c r="AM113" i="39"/>
  <c r="AM114" i="39"/>
  <c r="AM116" i="39"/>
  <c r="AM117" i="39"/>
  <c r="AM118" i="39"/>
  <c r="AM119" i="39"/>
  <c r="AM122" i="39"/>
  <c r="AM126" i="39"/>
  <c r="AM127" i="39"/>
  <c r="AM131" i="39"/>
  <c r="AM133" i="39"/>
  <c r="AM134" i="39"/>
  <c r="AM135" i="39"/>
  <c r="AM137" i="39"/>
  <c r="AM138" i="39"/>
  <c r="AM140" i="39"/>
  <c r="AM142" i="39"/>
  <c r="AM143" i="39"/>
  <c r="AM145" i="39"/>
  <c r="AM146" i="39"/>
  <c r="AM151" i="39"/>
  <c r="AM156" i="39"/>
  <c r="AM157" i="39"/>
  <c r="AM160" i="39"/>
  <c r="AM161" i="39"/>
  <c r="AM162" i="39"/>
  <c r="AM163" i="39"/>
  <c r="AM164" i="39"/>
  <c r="AM165" i="39"/>
  <c r="AM166" i="39"/>
  <c r="AM167" i="39"/>
  <c r="AM171" i="39"/>
  <c r="AM172" i="39"/>
  <c r="AM173" i="39"/>
  <c r="AM174" i="39"/>
  <c r="AM175" i="39"/>
  <c r="AM176" i="39"/>
  <c r="AM178" i="39"/>
  <c r="AM179" i="39"/>
  <c r="AM180" i="39"/>
  <c r="AM181" i="39"/>
  <c r="AM182" i="39"/>
  <c r="AM183" i="39"/>
  <c r="AM184" i="39"/>
  <c r="AM185" i="39"/>
  <c r="AM193" i="39"/>
  <c r="AM194" i="39"/>
  <c r="AM197" i="39"/>
  <c r="AM210" i="39"/>
  <c r="AM215" i="39"/>
  <c r="AM217" i="39"/>
  <c r="AM221" i="39"/>
  <c r="AM222" i="39"/>
  <c r="AM223" i="39"/>
  <c r="AM224" i="39"/>
  <c r="AM225" i="39"/>
  <c r="AM226" i="39"/>
  <c r="AM229" i="39"/>
  <c r="AM230" i="39"/>
  <c r="AM234" i="39"/>
  <c r="AM237" i="39"/>
  <c r="AM238" i="39"/>
  <c r="AM239" i="39"/>
  <c r="AM241" i="39"/>
  <c r="AM242" i="39"/>
  <c r="AM244" i="39"/>
  <c r="AM245" i="39"/>
  <c r="AM246" i="39"/>
  <c r="AM8" i="38"/>
  <c r="AM10" i="38"/>
  <c r="AM13" i="38"/>
  <c r="AM14" i="38"/>
  <c r="AM15" i="38"/>
  <c r="AM16" i="38"/>
  <c r="AM17" i="38"/>
  <c r="AM19" i="38"/>
  <c r="AM20" i="38"/>
  <c r="AM21" i="38"/>
  <c r="AM24" i="38"/>
  <c r="AM25" i="38"/>
  <c r="AM26" i="38"/>
  <c r="AM28" i="38"/>
  <c r="AM29" i="38"/>
  <c r="AM30" i="38"/>
  <c r="AM31" i="38"/>
  <c r="AM33" i="38"/>
  <c r="AM35" i="38"/>
  <c r="AM36" i="38"/>
  <c r="AM37" i="38"/>
  <c r="AM40" i="38"/>
  <c r="AM41" i="38"/>
  <c r="AM42" i="38"/>
  <c r="AM43" i="38"/>
  <c r="AM44" i="38"/>
  <c r="AM45" i="38"/>
  <c r="AM48" i="38"/>
  <c r="AM49" i="38"/>
  <c r="AM52" i="38"/>
  <c r="AM53" i="38"/>
  <c r="AM55" i="38"/>
  <c r="AM56" i="38"/>
  <c r="AM57" i="38"/>
  <c r="AM59" i="38"/>
  <c r="AM60" i="38"/>
  <c r="AM61" i="38"/>
  <c r="AM62" i="38"/>
  <c r="AM63" i="38"/>
  <c r="AM65" i="38"/>
  <c r="AM75" i="38"/>
  <c r="AM77" i="38"/>
  <c r="AM78" i="38"/>
  <c r="AM81" i="38"/>
  <c r="AM82" i="38"/>
  <c r="AM86" i="38"/>
  <c r="AM93" i="38"/>
  <c r="AM94" i="38"/>
  <c r="AM95" i="38"/>
  <c r="AM100" i="38"/>
  <c r="AM105" i="38"/>
  <c r="AM108" i="38"/>
  <c r="AM109" i="38"/>
  <c r="AM110" i="38"/>
  <c r="AM111" i="38"/>
  <c r="AM112" i="38"/>
  <c r="AM113" i="38"/>
  <c r="AM115" i="38"/>
  <c r="AM116" i="38"/>
  <c r="AM117" i="38"/>
  <c r="AM118" i="38"/>
  <c r="AM121" i="38"/>
  <c r="AM126" i="38"/>
  <c r="AM127" i="38"/>
  <c r="AM129" i="38"/>
  <c r="AM132" i="38"/>
  <c r="AM134" i="38"/>
  <c r="AM135" i="38"/>
  <c r="AM136" i="38"/>
  <c r="AM138" i="38"/>
  <c r="AM139" i="38"/>
  <c r="AM141" i="38"/>
  <c r="AM143" i="38"/>
  <c r="AM144" i="38"/>
  <c r="AM146" i="38"/>
  <c r="AM147" i="38"/>
  <c r="AM152" i="38"/>
  <c r="AM157" i="38"/>
  <c r="AM158" i="38"/>
  <c r="AM161" i="38"/>
  <c r="AM162" i="38"/>
  <c r="AM163" i="38"/>
  <c r="AM164" i="38"/>
  <c r="AM165" i="38"/>
  <c r="AM166" i="38"/>
  <c r="AM167" i="38"/>
  <c r="AM168" i="38"/>
  <c r="AM172" i="38"/>
  <c r="AM173" i="38"/>
  <c r="AM174" i="38"/>
  <c r="AM175" i="38"/>
  <c r="AM176" i="38"/>
  <c r="AM177" i="38"/>
  <c r="AM179" i="38"/>
  <c r="AM180" i="38"/>
  <c r="AM181" i="38"/>
  <c r="AM182" i="38"/>
  <c r="AM183" i="38"/>
  <c r="AM184" i="38"/>
  <c r="AM185" i="38"/>
  <c r="AM186" i="38"/>
  <c r="AM194" i="38"/>
  <c r="AM195" i="38"/>
  <c r="AM203" i="38"/>
  <c r="AM204" i="38"/>
  <c r="AM217" i="38"/>
  <c r="AM223" i="38"/>
  <c r="AM224" i="38"/>
  <c r="AM225" i="38"/>
  <c r="AM226" i="38"/>
  <c r="AM227" i="38"/>
  <c r="AM230" i="38"/>
  <c r="AM231" i="38"/>
  <c r="AM235" i="38"/>
  <c r="AM238" i="38"/>
  <c r="AM239" i="38"/>
  <c r="AM240" i="38"/>
  <c r="AM242" i="38"/>
  <c r="AM243" i="38"/>
  <c r="AM245" i="38"/>
  <c r="AM246" i="38"/>
  <c r="AM247" i="38"/>
  <c r="AM8" i="31"/>
  <c r="AM10" i="31"/>
  <c r="AM13" i="31"/>
  <c r="AM14" i="31"/>
  <c r="AM15" i="31"/>
  <c r="AM16" i="31"/>
  <c r="AM17" i="31"/>
  <c r="AM19" i="31"/>
  <c r="AM20" i="31"/>
  <c r="AM21" i="31"/>
  <c r="AM24" i="31"/>
  <c r="AM25" i="31"/>
  <c r="AM26" i="31"/>
  <c r="AM28" i="31"/>
  <c r="AM30" i="31"/>
  <c r="AM31" i="31"/>
  <c r="AM32" i="31"/>
  <c r="AM35" i="31"/>
  <c r="AM36" i="31"/>
  <c r="AM37" i="31"/>
  <c r="AM38" i="31"/>
  <c r="AM39" i="31"/>
  <c r="AM40" i="31"/>
  <c r="AM42" i="31"/>
  <c r="AM44" i="31"/>
  <c r="AM47" i="31"/>
  <c r="AM48" i="31"/>
  <c r="AM49" i="31"/>
  <c r="AM51" i="31"/>
  <c r="AM52" i="31"/>
  <c r="AM53" i="31"/>
  <c r="AM55" i="31"/>
  <c r="AM56" i="31"/>
  <c r="AM57" i="31"/>
  <c r="AM58" i="31"/>
  <c r="AM59" i="31"/>
  <c r="AM61" i="31"/>
  <c r="AM71" i="31"/>
  <c r="AM73" i="31"/>
  <c r="AM75" i="31"/>
  <c r="AM77" i="31"/>
  <c r="AM79" i="31"/>
  <c r="AM80" i="31"/>
  <c r="AM81" i="31"/>
  <c r="AM82" i="31"/>
  <c r="AM87" i="31"/>
  <c r="AM88" i="31"/>
  <c r="AM89" i="31"/>
  <c r="AM94" i="31"/>
  <c r="AM95" i="31"/>
  <c r="AM99" i="31"/>
  <c r="AM102" i="31"/>
  <c r="AM103" i="31"/>
  <c r="AM104" i="31"/>
  <c r="AM105" i="31"/>
  <c r="AM106" i="31"/>
  <c r="AM107" i="31"/>
  <c r="AM109" i="31"/>
  <c r="AM110" i="31"/>
  <c r="AM111" i="31"/>
  <c r="AM114" i="31"/>
  <c r="AM120" i="31"/>
  <c r="AM122" i="31"/>
  <c r="AM123" i="31"/>
  <c r="AM124" i="31"/>
  <c r="AM126" i="31"/>
  <c r="AM127" i="31"/>
  <c r="AM129" i="31"/>
  <c r="AM131" i="31"/>
  <c r="AM132" i="31"/>
  <c r="AM134" i="31"/>
  <c r="AM135" i="31"/>
  <c r="AM140" i="31"/>
  <c r="AM145" i="31"/>
  <c r="AM146" i="31"/>
  <c r="AM149" i="31"/>
  <c r="AM150" i="31"/>
  <c r="AM151" i="31"/>
  <c r="AM152" i="31"/>
  <c r="AM153" i="31"/>
  <c r="AM154" i="31"/>
  <c r="AM155" i="31"/>
  <c r="AM156" i="31"/>
  <c r="AM160" i="31"/>
  <c r="AM161" i="31"/>
  <c r="AM162" i="31"/>
  <c r="AM163" i="31"/>
  <c r="AM164" i="31"/>
  <c r="AM165" i="31"/>
  <c r="AM167" i="31"/>
  <c r="AW167" i="31" s="1"/>
  <c r="BG167" i="31" s="1"/>
  <c r="AM168" i="31"/>
  <c r="AW168" i="31" s="1"/>
  <c r="BG168" i="31" s="1"/>
  <c r="AM169" i="31"/>
  <c r="AW169" i="31" s="1"/>
  <c r="BG169" i="31" s="1"/>
  <c r="AM170" i="31"/>
  <c r="AW170" i="31" s="1"/>
  <c r="BG170" i="31" s="1"/>
  <c r="AM171" i="31"/>
  <c r="AW171" i="31" s="1"/>
  <c r="BG171" i="31" s="1"/>
  <c r="AM172" i="31"/>
  <c r="AW172" i="31" s="1"/>
  <c r="BG172" i="31" s="1"/>
  <c r="AM173" i="31"/>
  <c r="AW173" i="31" s="1"/>
  <c r="BG173" i="31" s="1"/>
  <c r="AM174" i="31"/>
  <c r="AW174" i="31" s="1"/>
  <c r="BG174" i="31" s="1"/>
  <c r="AM181" i="31"/>
  <c r="AM182" i="31"/>
  <c r="AM183" i="31"/>
  <c r="AM186" i="31"/>
  <c r="AM191" i="31"/>
  <c r="AM210" i="31"/>
  <c r="AM211" i="31"/>
  <c r="AM212" i="31"/>
  <c r="AM213" i="31"/>
  <c r="AM216" i="31"/>
  <c r="AM217" i="31"/>
  <c r="AM221" i="31"/>
  <c r="AM224" i="31"/>
  <c r="AM225" i="31"/>
  <c r="AM226" i="31"/>
  <c r="AM228" i="31"/>
  <c r="AM229" i="31"/>
  <c r="AM231" i="31"/>
  <c r="AM232" i="31"/>
  <c r="AM233" i="31"/>
  <c r="BB229" i="39" l="1"/>
  <c r="BH229" i="39"/>
  <c r="BL229" i="39" s="1"/>
  <c r="BI229" i="39"/>
  <c r="BM229" i="39" s="1"/>
  <c r="BG229" i="39"/>
  <c r="BK229" i="39" s="1"/>
  <c r="BB197" i="39"/>
  <c r="BH197" i="39"/>
  <c r="BL197" i="39" s="1"/>
  <c r="BI197" i="39"/>
  <c r="BM197" i="39" s="1"/>
  <c r="BG197" i="39"/>
  <c r="BK197" i="39" s="1"/>
  <c r="BB183" i="39"/>
  <c r="BG183" i="39"/>
  <c r="BK183" i="39" s="1"/>
  <c r="BI183" i="39"/>
  <c r="BM183" i="39" s="1"/>
  <c r="BH183" i="39"/>
  <c r="BL183" i="39" s="1"/>
  <c r="BB175" i="39"/>
  <c r="BG175" i="39"/>
  <c r="BK175" i="39" s="1"/>
  <c r="BI175" i="39"/>
  <c r="BM175" i="39" s="1"/>
  <c r="BH175" i="39"/>
  <c r="BL175" i="39" s="1"/>
  <c r="BB165" i="39"/>
  <c r="BG165" i="39"/>
  <c r="BK165" i="39" s="1"/>
  <c r="BH165" i="39"/>
  <c r="BL165" i="39" s="1"/>
  <c r="BI165" i="39"/>
  <c r="BM165" i="39" s="1"/>
  <c r="BG157" i="39"/>
  <c r="BK157" i="39" s="1"/>
  <c r="BH157" i="39"/>
  <c r="BL157" i="39" s="1"/>
  <c r="BB135" i="39"/>
  <c r="BH135" i="39"/>
  <c r="BL135" i="39" s="1"/>
  <c r="BI135" i="39"/>
  <c r="BM135" i="39" s="1"/>
  <c r="BG114" i="39"/>
  <c r="BK114" i="39" s="1"/>
  <c r="BH114" i="39"/>
  <c r="BL114" i="39" s="1"/>
  <c r="BB106" i="39"/>
  <c r="BG106" i="39"/>
  <c r="BK106" i="39" s="1"/>
  <c r="BH106" i="39"/>
  <c r="BL106" i="39" s="1"/>
  <c r="BI106" i="39"/>
  <c r="BM106" i="39" s="1"/>
  <c r="BI56" i="39"/>
  <c r="BM56" i="39" s="1"/>
  <c r="BH56" i="39"/>
  <c r="BL56" i="39" s="1"/>
  <c r="BI48" i="39"/>
  <c r="BM48" i="39" s="1"/>
  <c r="BG48" i="39"/>
  <c r="BK48" i="39" s="1"/>
  <c r="BH48" i="39"/>
  <c r="BL48" i="39" s="1"/>
  <c r="BB31" i="39"/>
  <c r="BG31" i="39"/>
  <c r="BK31" i="39" s="1"/>
  <c r="BH31" i="39"/>
  <c r="BL31" i="39" s="1"/>
  <c r="BI31" i="39"/>
  <c r="BM31" i="39" s="1"/>
  <c r="BH14" i="39"/>
  <c r="BL14" i="39" s="1"/>
  <c r="BI14" i="39"/>
  <c r="BM14" i="39" s="1"/>
  <c r="BB239" i="39"/>
  <c r="BG239" i="39"/>
  <c r="BK239" i="39" s="1"/>
  <c r="BH239" i="39"/>
  <c r="BL239" i="39" s="1"/>
  <c r="BI239" i="39"/>
  <c r="BM239" i="39" s="1"/>
  <c r="BG217" i="39"/>
  <c r="BK217" i="39" s="1"/>
  <c r="BH217" i="39"/>
  <c r="BL217" i="39" s="1"/>
  <c r="BB182" i="39"/>
  <c r="BG182" i="39"/>
  <c r="BK182" i="39" s="1"/>
  <c r="BH182" i="39"/>
  <c r="BL182" i="39" s="1"/>
  <c r="BI182" i="39"/>
  <c r="BM182" i="39" s="1"/>
  <c r="BB174" i="39"/>
  <c r="BG174" i="39"/>
  <c r="BK174" i="39" s="1"/>
  <c r="BH174" i="39"/>
  <c r="BL174" i="39" s="1"/>
  <c r="BI174" i="39"/>
  <c r="BM174" i="39" s="1"/>
  <c r="BG164" i="39"/>
  <c r="BK164" i="39" s="1"/>
  <c r="BH164" i="39"/>
  <c r="BL164" i="39" s="1"/>
  <c r="BI164" i="39"/>
  <c r="BM164" i="39" s="1"/>
  <c r="BG156" i="39"/>
  <c r="BK156" i="39" s="1"/>
  <c r="BH156" i="39"/>
  <c r="BL156" i="39" s="1"/>
  <c r="BH143" i="39"/>
  <c r="BL143" i="39" s="1"/>
  <c r="BI143" i="39"/>
  <c r="BM143" i="39" s="1"/>
  <c r="BH134" i="39"/>
  <c r="BL134" i="39" s="1"/>
  <c r="BI134" i="39"/>
  <c r="BM134" i="39" s="1"/>
  <c r="BG122" i="39"/>
  <c r="BK122" i="39" s="1"/>
  <c r="BH122" i="39"/>
  <c r="BL122" i="39" s="1"/>
  <c r="BG113" i="39"/>
  <c r="BK113" i="39" s="1"/>
  <c r="BH113" i="39"/>
  <c r="BL113" i="39" s="1"/>
  <c r="BB79" i="39"/>
  <c r="BG79" i="39"/>
  <c r="BK79" i="39" s="1"/>
  <c r="BI79" i="39"/>
  <c r="BM79" i="39" s="1"/>
  <c r="BH79" i="39"/>
  <c r="BL79" i="39" s="1"/>
  <c r="BB63" i="39"/>
  <c r="BG63" i="39"/>
  <c r="BK63" i="39" s="1"/>
  <c r="BH63" i="39"/>
  <c r="BL63" i="39" s="1"/>
  <c r="BI63" i="39"/>
  <c r="BM63" i="39" s="1"/>
  <c r="BH55" i="39"/>
  <c r="BL55" i="39" s="1"/>
  <c r="BI55" i="39"/>
  <c r="BM55" i="39" s="1"/>
  <c r="BB30" i="39"/>
  <c r="BG30" i="39"/>
  <c r="BK30" i="39" s="1"/>
  <c r="BH30" i="39"/>
  <c r="BL30" i="39" s="1"/>
  <c r="BI30" i="39"/>
  <c r="BM30" i="39" s="1"/>
  <c r="BH13" i="39"/>
  <c r="BL13" i="39" s="1"/>
  <c r="BI13" i="39"/>
  <c r="BM13" i="39" s="1"/>
  <c r="BB246" i="39"/>
  <c r="BG246" i="39"/>
  <c r="BK246" i="39" s="1"/>
  <c r="BH246" i="39"/>
  <c r="BL246" i="39" s="1"/>
  <c r="BI246" i="39"/>
  <c r="BM246" i="39" s="1"/>
  <c r="BH238" i="39"/>
  <c r="BL238" i="39" s="1"/>
  <c r="BI238" i="39"/>
  <c r="BM238" i="39" s="1"/>
  <c r="BB226" i="39"/>
  <c r="BI226" i="39"/>
  <c r="BM226" i="39" s="1"/>
  <c r="BG226" i="39"/>
  <c r="BK226" i="39" s="1"/>
  <c r="BH226" i="39"/>
  <c r="BL226" i="39" s="1"/>
  <c r="BG215" i="39"/>
  <c r="BK215" i="39" s="1"/>
  <c r="BH215" i="39"/>
  <c r="BL215" i="39" s="1"/>
  <c r="BB194" i="39"/>
  <c r="BI194" i="39"/>
  <c r="BM194" i="39" s="1"/>
  <c r="BG194" i="39"/>
  <c r="BK194" i="39" s="1"/>
  <c r="BH194" i="39"/>
  <c r="BL194" i="39" s="1"/>
  <c r="BB181" i="39"/>
  <c r="BH181" i="39"/>
  <c r="BL181" i="39" s="1"/>
  <c r="BI181" i="39"/>
  <c r="BM181" i="39" s="1"/>
  <c r="BG181" i="39"/>
  <c r="BK181" i="39" s="1"/>
  <c r="BB173" i="39"/>
  <c r="BH173" i="39"/>
  <c r="BL173" i="39" s="1"/>
  <c r="BI173" i="39"/>
  <c r="BM173" i="39" s="1"/>
  <c r="BG173" i="39"/>
  <c r="BK173" i="39" s="1"/>
  <c r="BH163" i="39"/>
  <c r="BL163" i="39" s="1"/>
  <c r="BI163" i="39"/>
  <c r="BM163" i="39" s="1"/>
  <c r="BH142" i="39"/>
  <c r="BL142" i="39" s="1"/>
  <c r="BI142" i="39"/>
  <c r="BM142" i="39" s="1"/>
  <c r="BH133" i="39"/>
  <c r="BL133" i="39" s="1"/>
  <c r="BI133" i="39"/>
  <c r="BM133" i="39" s="1"/>
  <c r="BG112" i="39"/>
  <c r="BK112" i="39" s="1"/>
  <c r="BH112" i="39"/>
  <c r="BL112" i="39" s="1"/>
  <c r="BG101" i="39"/>
  <c r="BK101" i="39" s="1"/>
  <c r="BH101" i="39"/>
  <c r="BL101" i="39" s="1"/>
  <c r="BH77" i="39"/>
  <c r="BL77" i="39" s="1"/>
  <c r="BG77" i="39"/>
  <c r="BK77" i="39" s="1"/>
  <c r="BB62" i="39"/>
  <c r="BG62" i="39"/>
  <c r="BK62" i="39" s="1"/>
  <c r="BH62" i="39"/>
  <c r="BL62" i="39" s="1"/>
  <c r="BI62" i="39"/>
  <c r="BM62" i="39" s="1"/>
  <c r="BI45" i="39"/>
  <c r="BM45" i="39" s="1"/>
  <c r="BH45" i="39"/>
  <c r="BL45" i="39" s="1"/>
  <c r="BB37" i="39"/>
  <c r="BG37" i="39"/>
  <c r="BK37" i="39" s="1"/>
  <c r="BH37" i="39"/>
  <c r="BL37" i="39" s="1"/>
  <c r="BI37" i="39"/>
  <c r="BM37" i="39" s="1"/>
  <c r="BB29" i="39"/>
  <c r="BG29" i="39"/>
  <c r="BK29" i="39" s="1"/>
  <c r="BH29" i="39"/>
  <c r="BL29" i="39" s="1"/>
  <c r="BI29" i="39"/>
  <c r="BM29" i="39" s="1"/>
  <c r="BB21" i="39"/>
  <c r="BG21" i="39"/>
  <c r="BK21" i="39" s="1"/>
  <c r="BH21" i="39"/>
  <c r="BL21" i="39" s="1"/>
  <c r="BI21" i="39"/>
  <c r="BM21" i="39" s="1"/>
  <c r="BB245" i="39"/>
  <c r="BH245" i="39"/>
  <c r="BL245" i="39" s="1"/>
  <c r="BI245" i="39"/>
  <c r="BM245" i="39" s="1"/>
  <c r="BG245" i="39"/>
  <c r="BK245" i="39" s="1"/>
  <c r="BH237" i="39"/>
  <c r="BL237" i="39" s="1"/>
  <c r="BI237" i="39"/>
  <c r="BM237" i="39" s="1"/>
  <c r="BB225" i="39"/>
  <c r="BG225" i="39"/>
  <c r="BK225" i="39" s="1"/>
  <c r="BH225" i="39"/>
  <c r="BL225" i="39" s="1"/>
  <c r="BI225" i="39"/>
  <c r="BM225" i="39" s="1"/>
  <c r="BB193" i="39"/>
  <c r="BG193" i="39"/>
  <c r="BK193" i="39" s="1"/>
  <c r="BH193" i="39"/>
  <c r="BL193" i="39" s="1"/>
  <c r="BI193" i="39"/>
  <c r="BM193" i="39" s="1"/>
  <c r="BB180" i="39"/>
  <c r="BG180" i="39"/>
  <c r="BK180" i="39" s="1"/>
  <c r="BH180" i="39"/>
  <c r="BL180" i="39" s="1"/>
  <c r="BI180" i="39"/>
  <c r="BM180" i="39" s="1"/>
  <c r="BB172" i="39"/>
  <c r="BG172" i="39"/>
  <c r="BK172" i="39" s="1"/>
  <c r="BH172" i="39"/>
  <c r="BL172" i="39" s="1"/>
  <c r="BI172" i="39"/>
  <c r="BM172" i="39" s="1"/>
  <c r="BH162" i="39"/>
  <c r="BL162" i="39" s="1"/>
  <c r="BI162" i="39"/>
  <c r="BM162" i="39" s="1"/>
  <c r="BG111" i="39"/>
  <c r="BK111" i="39" s="1"/>
  <c r="BH111" i="39"/>
  <c r="BL111" i="39" s="1"/>
  <c r="BB86" i="39"/>
  <c r="BG86" i="39"/>
  <c r="BK86" i="39" s="1"/>
  <c r="BH86" i="39"/>
  <c r="BL86" i="39" s="1"/>
  <c r="BI86" i="39"/>
  <c r="BM86" i="39" s="1"/>
  <c r="BH61" i="39"/>
  <c r="BL61" i="39" s="1"/>
  <c r="BI61" i="39"/>
  <c r="BM61" i="39" s="1"/>
  <c r="BB53" i="39"/>
  <c r="BG53" i="39"/>
  <c r="BK53" i="39" s="1"/>
  <c r="BI53" i="39"/>
  <c r="BM53" i="39" s="1"/>
  <c r="BH53" i="39"/>
  <c r="BL53" i="39" s="1"/>
  <c r="BH44" i="39"/>
  <c r="BL44" i="39" s="1"/>
  <c r="BI44" i="39"/>
  <c r="BM44" i="39" s="1"/>
  <c r="BB36" i="39"/>
  <c r="BG36" i="39"/>
  <c r="BK36" i="39" s="1"/>
  <c r="BH36" i="39"/>
  <c r="BL36" i="39" s="1"/>
  <c r="BI36" i="39"/>
  <c r="BM36" i="39" s="1"/>
  <c r="BB28" i="39"/>
  <c r="BG28" i="39"/>
  <c r="BK28" i="39" s="1"/>
  <c r="BH28" i="39"/>
  <c r="BL28" i="39" s="1"/>
  <c r="BI28" i="39"/>
  <c r="BM28" i="39" s="1"/>
  <c r="BB20" i="39"/>
  <c r="BG20" i="39"/>
  <c r="BK20" i="39" s="1"/>
  <c r="BH20" i="39"/>
  <c r="BL20" i="39" s="1"/>
  <c r="BI20" i="39"/>
  <c r="BM20" i="39" s="1"/>
  <c r="BG244" i="39"/>
  <c r="BK244" i="39" s="1"/>
  <c r="BH244" i="39"/>
  <c r="BL244" i="39" s="1"/>
  <c r="BI244" i="39"/>
  <c r="BM244" i="39" s="1"/>
  <c r="BH234" i="39"/>
  <c r="BL234" i="39" s="1"/>
  <c r="BG234" i="39"/>
  <c r="BK234" i="39" s="1"/>
  <c r="BG224" i="39"/>
  <c r="BK224" i="39" s="1"/>
  <c r="BH224" i="39"/>
  <c r="BL224" i="39" s="1"/>
  <c r="BB179" i="39"/>
  <c r="BG179" i="39"/>
  <c r="BK179" i="39" s="1"/>
  <c r="BH179" i="39"/>
  <c r="BL179" i="39" s="1"/>
  <c r="BI179" i="39"/>
  <c r="BM179" i="39" s="1"/>
  <c r="BH171" i="39"/>
  <c r="BL171" i="39" s="1"/>
  <c r="BH161" i="39"/>
  <c r="BL161" i="39" s="1"/>
  <c r="BI161" i="39"/>
  <c r="BM161" i="39" s="1"/>
  <c r="BG151" i="39"/>
  <c r="BK151" i="39" s="1"/>
  <c r="BH151" i="39"/>
  <c r="BL151" i="39" s="1"/>
  <c r="BG140" i="39"/>
  <c r="BK140" i="39" s="1"/>
  <c r="BH140" i="39"/>
  <c r="BL140" i="39" s="1"/>
  <c r="BH131" i="39"/>
  <c r="BL131" i="39" s="1"/>
  <c r="BG131" i="39"/>
  <c r="BK131" i="39" s="1"/>
  <c r="BB119" i="39"/>
  <c r="BG119" i="39"/>
  <c r="BK119" i="39" s="1"/>
  <c r="BH119" i="39"/>
  <c r="BL119" i="39" s="1"/>
  <c r="BG110" i="39"/>
  <c r="BK110" i="39" s="1"/>
  <c r="BH110" i="39"/>
  <c r="BL110" i="39" s="1"/>
  <c r="BB85" i="39"/>
  <c r="BH85" i="39"/>
  <c r="BL85" i="39" s="1"/>
  <c r="BI85" i="39"/>
  <c r="BM85" i="39" s="1"/>
  <c r="BG85" i="39"/>
  <c r="BK85" i="39" s="1"/>
  <c r="BB75" i="39"/>
  <c r="BG75" i="39"/>
  <c r="BK75" i="39" s="1"/>
  <c r="BH75" i="39"/>
  <c r="BL75" i="39" s="1"/>
  <c r="BI75" i="39"/>
  <c r="BM75" i="39" s="1"/>
  <c r="BH60" i="39"/>
  <c r="BL60" i="39" s="1"/>
  <c r="BI60" i="39"/>
  <c r="BM60" i="39" s="1"/>
  <c r="BH52" i="39"/>
  <c r="BL52" i="39" s="1"/>
  <c r="BI52" i="39"/>
  <c r="BM52" i="39" s="1"/>
  <c r="BH43" i="39"/>
  <c r="BL43" i="39" s="1"/>
  <c r="BI43" i="39"/>
  <c r="BM43" i="39" s="1"/>
  <c r="BB35" i="39"/>
  <c r="BH35" i="39"/>
  <c r="BL35" i="39" s="1"/>
  <c r="BI35" i="39"/>
  <c r="BM35" i="39" s="1"/>
  <c r="BG35" i="39"/>
  <c r="BK35" i="39" s="1"/>
  <c r="BB19" i="39"/>
  <c r="BH19" i="39"/>
  <c r="BL19" i="39" s="1"/>
  <c r="BI19" i="39"/>
  <c r="BM19" i="39" s="1"/>
  <c r="BG19" i="39"/>
  <c r="BK19" i="39" s="1"/>
  <c r="BB10" i="39"/>
  <c r="BH10" i="39"/>
  <c r="BI10" i="39"/>
  <c r="BG223" i="39"/>
  <c r="BK223" i="39" s="1"/>
  <c r="BH223" i="39"/>
  <c r="BL223" i="39" s="1"/>
  <c r="BB210" i="39"/>
  <c r="BI210" i="39"/>
  <c r="BM210" i="39" s="1"/>
  <c r="BG210" i="39"/>
  <c r="BK210" i="39" s="1"/>
  <c r="BH210" i="39"/>
  <c r="BL210" i="39" s="1"/>
  <c r="BB178" i="39"/>
  <c r="BI178" i="39"/>
  <c r="BM178" i="39" s="1"/>
  <c r="BH178" i="39"/>
  <c r="BL178" i="39" s="1"/>
  <c r="BG178" i="39"/>
  <c r="BK178" i="39" s="1"/>
  <c r="BI160" i="39"/>
  <c r="BM160" i="39" s="1"/>
  <c r="BH160" i="39"/>
  <c r="BL160" i="39" s="1"/>
  <c r="BH138" i="39"/>
  <c r="BL138" i="39" s="1"/>
  <c r="BI138" i="39"/>
  <c r="BM138" i="39" s="1"/>
  <c r="BG118" i="39"/>
  <c r="BK118" i="39" s="1"/>
  <c r="BH118" i="39"/>
  <c r="BL118" i="39" s="1"/>
  <c r="BG109" i="39"/>
  <c r="BK109" i="39" s="1"/>
  <c r="BH109" i="39"/>
  <c r="BL109" i="39" s="1"/>
  <c r="BG95" i="39"/>
  <c r="BK95" i="39" s="1"/>
  <c r="BH95" i="39"/>
  <c r="BL95" i="39" s="1"/>
  <c r="BB84" i="39"/>
  <c r="BG84" i="39"/>
  <c r="BK84" i="39" s="1"/>
  <c r="BH84" i="39"/>
  <c r="BL84" i="39" s="1"/>
  <c r="BI84" i="39"/>
  <c r="BM84" i="39" s="1"/>
  <c r="BH59" i="39"/>
  <c r="BL59" i="39" s="1"/>
  <c r="BI59" i="39"/>
  <c r="BM59" i="39" s="1"/>
  <c r="BH42" i="39"/>
  <c r="BL42" i="39" s="1"/>
  <c r="BI42" i="39"/>
  <c r="BM42" i="39" s="1"/>
  <c r="BH26" i="39"/>
  <c r="BL26" i="39" s="1"/>
  <c r="BI26" i="39"/>
  <c r="BM26" i="39" s="1"/>
  <c r="BH17" i="39"/>
  <c r="BL17" i="39" s="1"/>
  <c r="BI17" i="39"/>
  <c r="BM17" i="39" s="1"/>
  <c r="BI242" i="39"/>
  <c r="BM242" i="39" s="1"/>
  <c r="BH242" i="39"/>
  <c r="BL242" i="39" s="1"/>
  <c r="BG242" i="39"/>
  <c r="BK242" i="39" s="1"/>
  <c r="BG222" i="39"/>
  <c r="BK222" i="39" s="1"/>
  <c r="BH222" i="39"/>
  <c r="BL222" i="39" s="1"/>
  <c r="BB185" i="39"/>
  <c r="BG185" i="39"/>
  <c r="BK185" i="39" s="1"/>
  <c r="BH185" i="39"/>
  <c r="BL185" i="39" s="1"/>
  <c r="BI185" i="39"/>
  <c r="BM185" i="39" s="1"/>
  <c r="BB167" i="39"/>
  <c r="BG167" i="39"/>
  <c r="BK167" i="39" s="1"/>
  <c r="BH167" i="39"/>
  <c r="BL167" i="39" s="1"/>
  <c r="BI167" i="39"/>
  <c r="BM167" i="39" s="1"/>
  <c r="BH146" i="39"/>
  <c r="BL146" i="39" s="1"/>
  <c r="BI146" i="39"/>
  <c r="BM146" i="39" s="1"/>
  <c r="BH137" i="39"/>
  <c r="BL137" i="39" s="1"/>
  <c r="BI137" i="39"/>
  <c r="BM137" i="39" s="1"/>
  <c r="BB127" i="39"/>
  <c r="BH127" i="39"/>
  <c r="BL127" i="39" s="1"/>
  <c r="BI127" i="39"/>
  <c r="BM127" i="39" s="1"/>
  <c r="BB117" i="39"/>
  <c r="BG117" i="39"/>
  <c r="BK117" i="39" s="1"/>
  <c r="BI117" i="39"/>
  <c r="BM117" i="39" s="1"/>
  <c r="BH117" i="39"/>
  <c r="BL117" i="39" s="1"/>
  <c r="BG94" i="39"/>
  <c r="BK94" i="39" s="1"/>
  <c r="BH94" i="39"/>
  <c r="BL94" i="39" s="1"/>
  <c r="BG83" i="39"/>
  <c r="BK83" i="39" s="1"/>
  <c r="BH83" i="39"/>
  <c r="BL83" i="39" s="1"/>
  <c r="BH41" i="39"/>
  <c r="BL41" i="39" s="1"/>
  <c r="BI41" i="39"/>
  <c r="BM41" i="39" s="1"/>
  <c r="BB33" i="39"/>
  <c r="BG33" i="39"/>
  <c r="BK33" i="39" s="1"/>
  <c r="BH33" i="39"/>
  <c r="BL33" i="39" s="1"/>
  <c r="BI33" i="39"/>
  <c r="BM33" i="39" s="1"/>
  <c r="BH25" i="39"/>
  <c r="BL25" i="39" s="1"/>
  <c r="BI25" i="39"/>
  <c r="BM25" i="39" s="1"/>
  <c r="BI16" i="39"/>
  <c r="BM16" i="39" s="1"/>
  <c r="BH16" i="39"/>
  <c r="BL16" i="39" s="1"/>
  <c r="BB8" i="39"/>
  <c r="BI8" i="39"/>
  <c r="BM8" i="39" s="1"/>
  <c r="BG8" i="39"/>
  <c r="BK8" i="39" s="1"/>
  <c r="BH8" i="39"/>
  <c r="BL8" i="39" s="1"/>
  <c r="BG241" i="39"/>
  <c r="BK241" i="39" s="1"/>
  <c r="BH241" i="39"/>
  <c r="BL241" i="39" s="1"/>
  <c r="BI241" i="39"/>
  <c r="BM241" i="39" s="1"/>
  <c r="BB230" i="39"/>
  <c r="BG230" i="39"/>
  <c r="BK230" i="39" s="1"/>
  <c r="BH230" i="39"/>
  <c r="BL230" i="39" s="1"/>
  <c r="BI230" i="39"/>
  <c r="BM230" i="39" s="1"/>
  <c r="BH221" i="39"/>
  <c r="BL221" i="39" s="1"/>
  <c r="BG221" i="39"/>
  <c r="BK221" i="39" s="1"/>
  <c r="BB184" i="39"/>
  <c r="BG184" i="39"/>
  <c r="BK184" i="39" s="1"/>
  <c r="BH184" i="39"/>
  <c r="BL184" i="39" s="1"/>
  <c r="BI184" i="39"/>
  <c r="BM184" i="39" s="1"/>
  <c r="BB176" i="39"/>
  <c r="BG176" i="39"/>
  <c r="BK176" i="39" s="1"/>
  <c r="BH176" i="39"/>
  <c r="BL176" i="39" s="1"/>
  <c r="BI176" i="39"/>
  <c r="BM176" i="39" s="1"/>
  <c r="BB166" i="39"/>
  <c r="BG166" i="39"/>
  <c r="BK166" i="39" s="1"/>
  <c r="BH166" i="39"/>
  <c r="BL166" i="39" s="1"/>
  <c r="BI166" i="39"/>
  <c r="BM166" i="39" s="1"/>
  <c r="BH145" i="39"/>
  <c r="BL145" i="39" s="1"/>
  <c r="BI145" i="39"/>
  <c r="BM145" i="39" s="1"/>
  <c r="BB126" i="39"/>
  <c r="BG126" i="39"/>
  <c r="BK126" i="39" s="1"/>
  <c r="BH126" i="39"/>
  <c r="BL126" i="39" s="1"/>
  <c r="BB116" i="39"/>
  <c r="BG116" i="39"/>
  <c r="BK116" i="39" s="1"/>
  <c r="BH116" i="39"/>
  <c r="BL116" i="39" s="1"/>
  <c r="BI116" i="39"/>
  <c r="BM116" i="39" s="1"/>
  <c r="BH93" i="39"/>
  <c r="BL93" i="39" s="1"/>
  <c r="BG93" i="39"/>
  <c r="BK93" i="39" s="1"/>
  <c r="BG81" i="39"/>
  <c r="BK81" i="39" s="1"/>
  <c r="BH81" i="39"/>
  <c r="BL81" i="39" s="1"/>
  <c r="BB65" i="39"/>
  <c r="BG65" i="39"/>
  <c r="BK65" i="39" s="1"/>
  <c r="BH65" i="39"/>
  <c r="BL65" i="39" s="1"/>
  <c r="BI65" i="39"/>
  <c r="BM65" i="39" s="1"/>
  <c r="BH57" i="39"/>
  <c r="BL57" i="39" s="1"/>
  <c r="BI57" i="39"/>
  <c r="BM57" i="39" s="1"/>
  <c r="BG49" i="39"/>
  <c r="BK49" i="39" s="1"/>
  <c r="BH49" i="39"/>
  <c r="BL49" i="39" s="1"/>
  <c r="BI49" i="39"/>
  <c r="BM49" i="39" s="1"/>
  <c r="BI40" i="39"/>
  <c r="BM40" i="39" s="1"/>
  <c r="BH40" i="39"/>
  <c r="BL40" i="39" s="1"/>
  <c r="BB32" i="39"/>
  <c r="BI32" i="39"/>
  <c r="BM32" i="39" s="1"/>
  <c r="BG32" i="39"/>
  <c r="BK32" i="39" s="1"/>
  <c r="BH32" i="39"/>
  <c r="BL32" i="39" s="1"/>
  <c r="BI24" i="39"/>
  <c r="BM24" i="39" s="1"/>
  <c r="BH24" i="39"/>
  <c r="BL24" i="39" s="1"/>
  <c r="BH15" i="39"/>
  <c r="BL15" i="39" s="1"/>
  <c r="BI15" i="39"/>
  <c r="BM15" i="39" s="1"/>
  <c r="BH132" i="38"/>
  <c r="BL132" i="38" s="1"/>
  <c r="BG132" i="38"/>
  <c r="BK132" i="38" s="1"/>
  <c r="BI42" i="38"/>
  <c r="BM42" i="38" s="1"/>
  <c r="BH42" i="38"/>
  <c r="BL42" i="38" s="1"/>
  <c r="BI246" i="38"/>
  <c r="BM246" i="38" s="1"/>
  <c r="BH246" i="38"/>
  <c r="BL246" i="38" s="1"/>
  <c r="BG246" i="38"/>
  <c r="BK246" i="38" s="1"/>
  <c r="BI238" i="38"/>
  <c r="BM238" i="38" s="1"/>
  <c r="BH238" i="38"/>
  <c r="BL238" i="38" s="1"/>
  <c r="BI226" i="38"/>
  <c r="BM226" i="38" s="1"/>
  <c r="BH226" i="38"/>
  <c r="BL226" i="38" s="1"/>
  <c r="BG226" i="38"/>
  <c r="BK226" i="38" s="1"/>
  <c r="BI179" i="38"/>
  <c r="BM179" i="38" s="1"/>
  <c r="BH179" i="38"/>
  <c r="BL179" i="38" s="1"/>
  <c r="BG179" i="38"/>
  <c r="BK179" i="38" s="1"/>
  <c r="BI161" i="38"/>
  <c r="BM161" i="38" s="1"/>
  <c r="BH161" i="38"/>
  <c r="BL161" i="38" s="1"/>
  <c r="BI139" i="38"/>
  <c r="BM139" i="38" s="1"/>
  <c r="BH139" i="38"/>
  <c r="BL139" i="38" s="1"/>
  <c r="BH118" i="38"/>
  <c r="BL118" i="38" s="1"/>
  <c r="BG118" i="38"/>
  <c r="BK118" i="38" s="1"/>
  <c r="BH109" i="38"/>
  <c r="BL109" i="38" s="1"/>
  <c r="BG109" i="38"/>
  <c r="BK109" i="38" s="1"/>
  <c r="BH82" i="38"/>
  <c r="BL82" i="38" s="1"/>
  <c r="BG82" i="38"/>
  <c r="BK82" i="38" s="1"/>
  <c r="BI41" i="38"/>
  <c r="BM41" i="38" s="1"/>
  <c r="BH41" i="38"/>
  <c r="BL41" i="38" s="1"/>
  <c r="BH33" i="38"/>
  <c r="BL33" i="38" s="1"/>
  <c r="BG33" i="38"/>
  <c r="BK33" i="38" s="1"/>
  <c r="BI24" i="38"/>
  <c r="BM24" i="38" s="1"/>
  <c r="BH24" i="38"/>
  <c r="BL24" i="38" s="1"/>
  <c r="BI15" i="38"/>
  <c r="BM15" i="38" s="1"/>
  <c r="BH15" i="38"/>
  <c r="BL15" i="38" s="1"/>
  <c r="BH227" i="38"/>
  <c r="BL227" i="38" s="1"/>
  <c r="BG227" i="38"/>
  <c r="BK227" i="38" s="1"/>
  <c r="BI162" i="38"/>
  <c r="BM162" i="38" s="1"/>
  <c r="BH162" i="38"/>
  <c r="BL162" i="38" s="1"/>
  <c r="BH8" i="38"/>
  <c r="BL8" i="38" s="1"/>
  <c r="BI8" i="38"/>
  <c r="BM8" i="38" s="1"/>
  <c r="BG8" i="38"/>
  <c r="BK8" i="38" s="1"/>
  <c r="BI245" i="38"/>
  <c r="BM245" i="38" s="1"/>
  <c r="BH245" i="38"/>
  <c r="BL245" i="38" s="1"/>
  <c r="BG245" i="38"/>
  <c r="BK245" i="38" s="1"/>
  <c r="BH235" i="38"/>
  <c r="BL235" i="38" s="1"/>
  <c r="BG235" i="38"/>
  <c r="BK235" i="38" s="1"/>
  <c r="BH225" i="38"/>
  <c r="BL225" i="38" s="1"/>
  <c r="BG225" i="38"/>
  <c r="BK225" i="38" s="1"/>
  <c r="BI204" i="38"/>
  <c r="BM204" i="38" s="1"/>
  <c r="BH204" i="38"/>
  <c r="BL204" i="38" s="1"/>
  <c r="BG204" i="38"/>
  <c r="BK204" i="38" s="1"/>
  <c r="BH186" i="38"/>
  <c r="BL186" i="38" s="1"/>
  <c r="BI186" i="38"/>
  <c r="BM186" i="38" s="1"/>
  <c r="BG186" i="38"/>
  <c r="BK186" i="38" s="1"/>
  <c r="BG168" i="38"/>
  <c r="BK168" i="38" s="1"/>
  <c r="BI168" i="38"/>
  <c r="BM168" i="38" s="1"/>
  <c r="BH168" i="38"/>
  <c r="BL168" i="38" s="1"/>
  <c r="BI147" i="38"/>
  <c r="BM147" i="38" s="1"/>
  <c r="BH147" i="38"/>
  <c r="BL147" i="38" s="1"/>
  <c r="BI138" i="38"/>
  <c r="BM138" i="38" s="1"/>
  <c r="BH138" i="38"/>
  <c r="BL138" i="38" s="1"/>
  <c r="BH129" i="38"/>
  <c r="BL129" i="38" s="1"/>
  <c r="BG129" i="38"/>
  <c r="BK129" i="38" s="1"/>
  <c r="BH117" i="38"/>
  <c r="BL117" i="38" s="1"/>
  <c r="BG117" i="38"/>
  <c r="BK117" i="38" s="1"/>
  <c r="BH108" i="38"/>
  <c r="BL108" i="38" s="1"/>
  <c r="BG108" i="38"/>
  <c r="BK108" i="38" s="1"/>
  <c r="BH95" i="38"/>
  <c r="BL95" i="38" s="1"/>
  <c r="BG95" i="38"/>
  <c r="BK95" i="38" s="1"/>
  <c r="BH81" i="38"/>
  <c r="BL81" i="38" s="1"/>
  <c r="BG81" i="38"/>
  <c r="BK81" i="38" s="1"/>
  <c r="BI65" i="38"/>
  <c r="BM65" i="38" s="1"/>
  <c r="BH65" i="38"/>
  <c r="BL65" i="38" s="1"/>
  <c r="BG65" i="38"/>
  <c r="BK65" i="38" s="1"/>
  <c r="BI57" i="38"/>
  <c r="BM57" i="38" s="1"/>
  <c r="BH57" i="38"/>
  <c r="BL57" i="38" s="1"/>
  <c r="BG57" i="38"/>
  <c r="BK57" i="38" s="1"/>
  <c r="BI49" i="38"/>
  <c r="BM49" i="38" s="1"/>
  <c r="BH49" i="38"/>
  <c r="BL49" i="38" s="1"/>
  <c r="BG49" i="38"/>
  <c r="BK49" i="38" s="1"/>
  <c r="BI40" i="38"/>
  <c r="BM40" i="38" s="1"/>
  <c r="BH40" i="38"/>
  <c r="BL40" i="38" s="1"/>
  <c r="BH31" i="38"/>
  <c r="BL31" i="38" s="1"/>
  <c r="BG31" i="38"/>
  <c r="BK31" i="38" s="1"/>
  <c r="BI14" i="38"/>
  <c r="BM14" i="38" s="1"/>
  <c r="BH14" i="38"/>
  <c r="BL14" i="38" s="1"/>
  <c r="BI239" i="38"/>
  <c r="BM239" i="38" s="1"/>
  <c r="BH239" i="38"/>
  <c r="BL239" i="38" s="1"/>
  <c r="BH141" i="38"/>
  <c r="BL141" i="38" s="1"/>
  <c r="BG141" i="38"/>
  <c r="BK141" i="38" s="1"/>
  <c r="BI59" i="38"/>
  <c r="BM59" i="38" s="1"/>
  <c r="BH59" i="38"/>
  <c r="BL59" i="38" s="1"/>
  <c r="BH224" i="38"/>
  <c r="BL224" i="38" s="1"/>
  <c r="BG224" i="38"/>
  <c r="BK224" i="38" s="1"/>
  <c r="BI203" i="38"/>
  <c r="BM203" i="38" s="1"/>
  <c r="BH203" i="38"/>
  <c r="BL203" i="38" s="1"/>
  <c r="BG203" i="38"/>
  <c r="BK203" i="38" s="1"/>
  <c r="BI185" i="38"/>
  <c r="BM185" i="38" s="1"/>
  <c r="BH185" i="38"/>
  <c r="BL185" i="38" s="1"/>
  <c r="BG185" i="38"/>
  <c r="BK185" i="38" s="1"/>
  <c r="BI177" i="38"/>
  <c r="BM177" i="38" s="1"/>
  <c r="BH177" i="38"/>
  <c r="BL177" i="38" s="1"/>
  <c r="BG177" i="38"/>
  <c r="BK177" i="38" s="1"/>
  <c r="BI167" i="38"/>
  <c r="BM167" i="38" s="1"/>
  <c r="BH167" i="38"/>
  <c r="BL167" i="38" s="1"/>
  <c r="BG167" i="38"/>
  <c r="BK167" i="38" s="1"/>
  <c r="BI146" i="38"/>
  <c r="BM146" i="38" s="1"/>
  <c r="BH146" i="38"/>
  <c r="BL146" i="38" s="1"/>
  <c r="BI127" i="38"/>
  <c r="BM127" i="38" s="1"/>
  <c r="BH127" i="38"/>
  <c r="BL127" i="38" s="1"/>
  <c r="BH116" i="38"/>
  <c r="BL116" i="38" s="1"/>
  <c r="BG116" i="38"/>
  <c r="BK116" i="38" s="1"/>
  <c r="BH94" i="38"/>
  <c r="BL94" i="38" s="1"/>
  <c r="BG94" i="38"/>
  <c r="BK94" i="38" s="1"/>
  <c r="BH56" i="38"/>
  <c r="BL56" i="38" s="1"/>
  <c r="BI56" i="38"/>
  <c r="BM56" i="38" s="1"/>
  <c r="BH48" i="38"/>
  <c r="BL48" i="38" s="1"/>
  <c r="BG48" i="38"/>
  <c r="BK48" i="38" s="1"/>
  <c r="BI48" i="38"/>
  <c r="BM48" i="38" s="1"/>
  <c r="BH30" i="38"/>
  <c r="BL30" i="38" s="1"/>
  <c r="BG30" i="38"/>
  <c r="BK30" i="38" s="1"/>
  <c r="BI13" i="38"/>
  <c r="BM13" i="38" s="1"/>
  <c r="BH13" i="38"/>
  <c r="BL13" i="38" s="1"/>
  <c r="BH86" i="38"/>
  <c r="BL86" i="38" s="1"/>
  <c r="BG86" i="38"/>
  <c r="BK86" i="38" s="1"/>
  <c r="BI25" i="38"/>
  <c r="BM25" i="38" s="1"/>
  <c r="BH25" i="38"/>
  <c r="BL25" i="38" s="1"/>
  <c r="BI243" i="38"/>
  <c r="BM243" i="38" s="1"/>
  <c r="BH243" i="38"/>
  <c r="BL243" i="38" s="1"/>
  <c r="BG243" i="38"/>
  <c r="BK243" i="38" s="1"/>
  <c r="BH223" i="38"/>
  <c r="BL223" i="38" s="1"/>
  <c r="BI184" i="38"/>
  <c r="BM184" i="38" s="1"/>
  <c r="BH184" i="38"/>
  <c r="BL184" i="38" s="1"/>
  <c r="BG184" i="38"/>
  <c r="BK184" i="38" s="1"/>
  <c r="BI176" i="38"/>
  <c r="BM176" i="38" s="1"/>
  <c r="BH176" i="38"/>
  <c r="BL176" i="38" s="1"/>
  <c r="BG176" i="38"/>
  <c r="BK176" i="38" s="1"/>
  <c r="BI166" i="38"/>
  <c r="BM166" i="38" s="1"/>
  <c r="BH166" i="38"/>
  <c r="BL166" i="38" s="1"/>
  <c r="BG166" i="38"/>
  <c r="BK166" i="38" s="1"/>
  <c r="BH158" i="38"/>
  <c r="BL158" i="38" s="1"/>
  <c r="BG158" i="38"/>
  <c r="BK158" i="38" s="1"/>
  <c r="BH136" i="38"/>
  <c r="BL136" i="38" s="1"/>
  <c r="BI136" i="38"/>
  <c r="BM136" i="38" s="1"/>
  <c r="BH126" i="38"/>
  <c r="BL126" i="38" s="1"/>
  <c r="BG126" i="38"/>
  <c r="BK126" i="38" s="1"/>
  <c r="BH115" i="38"/>
  <c r="BL115" i="38" s="1"/>
  <c r="BG115" i="38"/>
  <c r="BK115" i="38" s="1"/>
  <c r="BH93" i="38"/>
  <c r="BL93" i="38" s="1"/>
  <c r="BG93" i="38"/>
  <c r="BK93" i="38" s="1"/>
  <c r="BH78" i="38"/>
  <c r="BL78" i="38" s="1"/>
  <c r="BG78" i="38"/>
  <c r="BK78" i="38" s="1"/>
  <c r="BI63" i="38"/>
  <c r="BM63" i="38" s="1"/>
  <c r="BH63" i="38"/>
  <c r="BL63" i="38" s="1"/>
  <c r="BG63" i="38"/>
  <c r="BK63" i="38" s="1"/>
  <c r="BI55" i="38"/>
  <c r="BM55" i="38" s="1"/>
  <c r="BH55" i="38"/>
  <c r="BL55" i="38" s="1"/>
  <c r="BH29" i="38"/>
  <c r="BL29" i="38" s="1"/>
  <c r="BG29" i="38"/>
  <c r="BK29" i="38" s="1"/>
  <c r="BI21" i="38"/>
  <c r="BM21" i="38" s="1"/>
  <c r="BH21" i="38"/>
  <c r="BL21" i="38" s="1"/>
  <c r="BG21" i="38"/>
  <c r="BK21" i="38" s="1"/>
  <c r="BI172" i="38"/>
  <c r="BM172" i="38" s="1"/>
  <c r="BH172" i="38"/>
  <c r="BL172" i="38" s="1"/>
  <c r="BI242" i="38"/>
  <c r="BM242" i="38" s="1"/>
  <c r="BG242" i="38"/>
  <c r="BK242" i="38" s="1"/>
  <c r="BH242" i="38"/>
  <c r="BL242" i="38" s="1"/>
  <c r="BI231" i="38"/>
  <c r="BM231" i="38" s="1"/>
  <c r="BH231" i="38"/>
  <c r="BL231" i="38" s="1"/>
  <c r="BG231" i="38"/>
  <c r="BK231" i="38" s="1"/>
  <c r="BI183" i="38"/>
  <c r="BM183" i="38" s="1"/>
  <c r="BH183" i="38"/>
  <c r="BL183" i="38" s="1"/>
  <c r="BG183" i="38"/>
  <c r="BK183" i="38" s="1"/>
  <c r="BI175" i="38"/>
  <c r="BM175" i="38" s="1"/>
  <c r="BH175" i="38"/>
  <c r="BL175" i="38" s="1"/>
  <c r="BG175" i="38"/>
  <c r="BK175" i="38" s="1"/>
  <c r="BI165" i="38"/>
  <c r="BM165" i="38" s="1"/>
  <c r="BH165" i="38"/>
  <c r="BL165" i="38" s="1"/>
  <c r="BG165" i="38"/>
  <c r="BK165" i="38" s="1"/>
  <c r="BH157" i="38"/>
  <c r="BL157" i="38" s="1"/>
  <c r="BG157" i="38"/>
  <c r="BK157" i="38" s="1"/>
  <c r="BI144" i="38"/>
  <c r="BM144" i="38" s="1"/>
  <c r="BH144" i="38"/>
  <c r="BL144" i="38" s="1"/>
  <c r="BI135" i="38"/>
  <c r="BM135" i="38" s="1"/>
  <c r="BH135" i="38"/>
  <c r="BL135" i="38" s="1"/>
  <c r="BH113" i="38"/>
  <c r="BL113" i="38" s="1"/>
  <c r="BG113" i="38"/>
  <c r="BK113" i="38" s="1"/>
  <c r="BI105" i="38"/>
  <c r="BM105" i="38" s="1"/>
  <c r="BH105" i="38"/>
  <c r="BL105" i="38" s="1"/>
  <c r="BG105" i="38"/>
  <c r="BK105" i="38" s="1"/>
  <c r="BH77" i="38"/>
  <c r="BL77" i="38" s="1"/>
  <c r="BG77" i="38"/>
  <c r="BK77" i="38" s="1"/>
  <c r="BH62" i="38"/>
  <c r="BL62" i="38" s="1"/>
  <c r="BG62" i="38"/>
  <c r="BK62" i="38" s="1"/>
  <c r="BI45" i="38"/>
  <c r="BM45" i="38" s="1"/>
  <c r="BH45" i="38"/>
  <c r="BL45" i="38" s="1"/>
  <c r="BI37" i="38"/>
  <c r="BM37" i="38" s="1"/>
  <c r="BH37" i="38"/>
  <c r="BL37" i="38" s="1"/>
  <c r="BG37" i="38"/>
  <c r="BK37" i="38" s="1"/>
  <c r="BH28" i="38"/>
  <c r="BL28" i="38" s="1"/>
  <c r="BG28" i="38"/>
  <c r="BK28" i="38" s="1"/>
  <c r="BI20" i="38"/>
  <c r="BM20" i="38" s="1"/>
  <c r="BH20" i="38"/>
  <c r="BL20" i="38" s="1"/>
  <c r="BG20" i="38"/>
  <c r="BK20" i="38" s="1"/>
  <c r="BH152" i="38"/>
  <c r="BL152" i="38" s="1"/>
  <c r="BG152" i="38"/>
  <c r="BK152" i="38" s="1"/>
  <c r="BI230" i="38"/>
  <c r="BM230" i="38" s="1"/>
  <c r="BH230" i="38"/>
  <c r="BL230" i="38" s="1"/>
  <c r="BG230" i="38"/>
  <c r="BK230" i="38" s="1"/>
  <c r="BH217" i="38"/>
  <c r="BL217" i="38" s="1"/>
  <c r="BG217" i="38"/>
  <c r="BK217" i="38" s="1"/>
  <c r="BI195" i="38"/>
  <c r="BM195" i="38" s="1"/>
  <c r="BH195" i="38"/>
  <c r="BL195" i="38" s="1"/>
  <c r="BG195" i="38"/>
  <c r="BK195" i="38" s="1"/>
  <c r="BI182" i="38"/>
  <c r="BM182" i="38" s="1"/>
  <c r="BH182" i="38"/>
  <c r="BL182" i="38" s="1"/>
  <c r="BG182" i="38"/>
  <c r="BK182" i="38" s="1"/>
  <c r="BI174" i="38"/>
  <c r="BM174" i="38" s="1"/>
  <c r="BH174" i="38"/>
  <c r="BL174" i="38" s="1"/>
  <c r="BG174" i="38"/>
  <c r="BK174" i="38" s="1"/>
  <c r="BI164" i="38"/>
  <c r="BM164" i="38" s="1"/>
  <c r="BH164" i="38"/>
  <c r="BL164" i="38" s="1"/>
  <c r="BG164" i="38"/>
  <c r="BK164" i="38" s="1"/>
  <c r="BI143" i="38"/>
  <c r="BM143" i="38" s="1"/>
  <c r="BH143" i="38"/>
  <c r="BL143" i="38" s="1"/>
  <c r="BI134" i="38"/>
  <c r="BM134" i="38" s="1"/>
  <c r="BH134" i="38"/>
  <c r="BL134" i="38" s="1"/>
  <c r="BH121" i="38"/>
  <c r="BL121" i="38" s="1"/>
  <c r="BG121" i="38"/>
  <c r="BK121" i="38" s="1"/>
  <c r="BG112" i="38"/>
  <c r="BK112" i="38" s="1"/>
  <c r="BH112" i="38"/>
  <c r="BL112" i="38" s="1"/>
  <c r="BI61" i="38"/>
  <c r="BM61" i="38" s="1"/>
  <c r="BH61" i="38"/>
  <c r="BL61" i="38" s="1"/>
  <c r="BH53" i="38"/>
  <c r="BL53" i="38" s="1"/>
  <c r="BG53" i="38"/>
  <c r="BK53" i="38" s="1"/>
  <c r="BI44" i="38"/>
  <c r="BM44" i="38" s="1"/>
  <c r="BH44" i="38"/>
  <c r="BL44" i="38" s="1"/>
  <c r="BH36" i="38"/>
  <c r="BL36" i="38" s="1"/>
  <c r="BG36" i="38"/>
  <c r="BK36" i="38" s="1"/>
  <c r="BI19" i="38"/>
  <c r="BM19" i="38" s="1"/>
  <c r="BH19" i="38"/>
  <c r="BL19" i="38" s="1"/>
  <c r="BG19" i="38"/>
  <c r="BK19" i="38" s="1"/>
  <c r="BI10" i="38"/>
  <c r="BH10" i="38"/>
  <c r="BI247" i="38"/>
  <c r="BM247" i="38" s="1"/>
  <c r="BH247" i="38"/>
  <c r="BL247" i="38" s="1"/>
  <c r="BG247" i="38"/>
  <c r="BK247" i="38" s="1"/>
  <c r="BI180" i="38"/>
  <c r="BM180" i="38" s="1"/>
  <c r="BH180" i="38"/>
  <c r="BL180" i="38" s="1"/>
  <c r="BG180" i="38"/>
  <c r="BK180" i="38" s="1"/>
  <c r="BH110" i="38"/>
  <c r="BL110" i="38" s="1"/>
  <c r="BG110" i="38"/>
  <c r="BK110" i="38" s="1"/>
  <c r="BH16" i="38"/>
  <c r="BL16" i="38" s="1"/>
  <c r="BI16" i="38"/>
  <c r="BM16" i="38" s="1"/>
  <c r="BI240" i="38"/>
  <c r="BM240" i="38" s="1"/>
  <c r="BH240" i="38"/>
  <c r="BL240" i="38" s="1"/>
  <c r="BG240" i="38"/>
  <c r="BK240" i="38" s="1"/>
  <c r="BH194" i="38"/>
  <c r="BL194" i="38" s="1"/>
  <c r="BI194" i="38"/>
  <c r="BM194" i="38" s="1"/>
  <c r="BG194" i="38"/>
  <c r="BK194" i="38" s="1"/>
  <c r="BI181" i="38"/>
  <c r="BM181" i="38" s="1"/>
  <c r="BH181" i="38"/>
  <c r="BL181" i="38" s="1"/>
  <c r="BG181" i="38"/>
  <c r="BK181" i="38" s="1"/>
  <c r="BI173" i="38"/>
  <c r="BM173" i="38" s="1"/>
  <c r="BH173" i="38"/>
  <c r="BL173" i="38" s="1"/>
  <c r="BG173" i="38"/>
  <c r="BK173" i="38" s="1"/>
  <c r="BI163" i="38"/>
  <c r="BM163" i="38" s="1"/>
  <c r="BH163" i="38"/>
  <c r="BL163" i="38" s="1"/>
  <c r="BH111" i="38"/>
  <c r="BL111" i="38" s="1"/>
  <c r="BG111" i="38"/>
  <c r="BK111" i="38" s="1"/>
  <c r="BI100" i="38"/>
  <c r="BM100" i="38" s="1"/>
  <c r="BH100" i="38"/>
  <c r="BL100" i="38" s="1"/>
  <c r="BI75" i="38"/>
  <c r="BM75" i="38" s="1"/>
  <c r="BG75" i="38"/>
  <c r="BK75" i="38" s="1"/>
  <c r="BH75" i="38"/>
  <c r="BL75" i="38" s="1"/>
  <c r="BI60" i="38"/>
  <c r="BM60" i="38" s="1"/>
  <c r="BH60" i="38"/>
  <c r="BL60" i="38" s="1"/>
  <c r="BI52" i="38"/>
  <c r="BM52" i="38" s="1"/>
  <c r="BH52" i="38"/>
  <c r="BL52" i="38" s="1"/>
  <c r="BI43" i="38"/>
  <c r="BM43" i="38" s="1"/>
  <c r="BH43" i="38"/>
  <c r="BL43" i="38" s="1"/>
  <c r="BI35" i="38"/>
  <c r="BM35" i="38" s="1"/>
  <c r="BH35" i="38"/>
  <c r="BL35" i="38" s="1"/>
  <c r="BI26" i="38"/>
  <c r="BM26" i="38" s="1"/>
  <c r="BH26" i="38"/>
  <c r="BL26" i="38" s="1"/>
  <c r="BI17" i="38"/>
  <c r="BM17" i="38" s="1"/>
  <c r="BH17" i="38"/>
  <c r="BL17" i="38" s="1"/>
  <c r="BH224" i="31"/>
  <c r="BL224" i="31" s="1"/>
  <c r="BI224" i="31"/>
  <c r="BM224" i="31" s="1"/>
  <c r="BH126" i="31"/>
  <c r="BL126" i="31" s="1"/>
  <c r="BI126" i="31"/>
  <c r="BM126" i="31" s="1"/>
  <c r="BG31" i="31"/>
  <c r="BK31" i="31" s="1"/>
  <c r="BH31" i="31"/>
  <c r="BL31" i="31" s="1"/>
  <c r="BI31" i="31"/>
  <c r="BM31" i="31" s="1"/>
  <c r="BH231" i="31"/>
  <c r="BL231" i="31" s="1"/>
  <c r="BI231" i="31"/>
  <c r="BM231" i="31" s="1"/>
  <c r="BH221" i="31"/>
  <c r="BL221" i="31" s="1"/>
  <c r="BG221" i="31"/>
  <c r="BK221" i="31" s="1"/>
  <c r="BH211" i="31"/>
  <c r="BL211" i="31" s="1"/>
  <c r="BG186" i="31"/>
  <c r="BK186" i="31" s="1"/>
  <c r="BH186" i="31"/>
  <c r="BL186" i="31" s="1"/>
  <c r="BI186" i="31"/>
  <c r="BM186" i="31" s="1"/>
  <c r="BG165" i="31"/>
  <c r="BK165" i="31" s="1"/>
  <c r="BH165" i="31"/>
  <c r="BL165" i="31" s="1"/>
  <c r="BI165" i="31"/>
  <c r="BM165" i="31" s="1"/>
  <c r="BG155" i="31"/>
  <c r="BK155" i="31" s="1"/>
  <c r="BH155" i="31"/>
  <c r="BL155" i="31" s="1"/>
  <c r="BI155" i="31"/>
  <c r="BM155" i="31" s="1"/>
  <c r="BI134" i="31"/>
  <c r="BM134" i="31" s="1"/>
  <c r="BH134" i="31"/>
  <c r="BL134" i="31" s="1"/>
  <c r="BG104" i="31"/>
  <c r="BK104" i="31" s="1"/>
  <c r="BH104" i="31"/>
  <c r="BL104" i="31" s="1"/>
  <c r="BG80" i="31"/>
  <c r="BK80" i="31" s="1"/>
  <c r="BH80" i="31"/>
  <c r="BL80" i="31" s="1"/>
  <c r="BI80" i="31"/>
  <c r="BM80" i="31" s="1"/>
  <c r="BH55" i="31"/>
  <c r="BL55" i="31" s="1"/>
  <c r="BI55" i="31"/>
  <c r="BM55" i="31" s="1"/>
  <c r="BH47" i="31"/>
  <c r="BL47" i="31" s="1"/>
  <c r="BI47" i="31"/>
  <c r="BM47" i="31" s="1"/>
  <c r="BH38" i="31"/>
  <c r="BL38" i="31" s="1"/>
  <c r="BI38" i="31"/>
  <c r="BM38" i="31" s="1"/>
  <c r="BI30" i="31"/>
  <c r="BM30" i="31" s="1"/>
  <c r="BH30" i="31"/>
  <c r="BL30" i="31" s="1"/>
  <c r="BH13" i="31"/>
  <c r="BL13" i="31" s="1"/>
  <c r="BI13" i="31"/>
  <c r="BM13" i="31" s="1"/>
  <c r="BG105" i="31"/>
  <c r="BK105" i="31" s="1"/>
  <c r="BH105" i="31"/>
  <c r="BL105" i="31" s="1"/>
  <c r="BG71" i="31"/>
  <c r="BK71" i="31" s="1"/>
  <c r="BH71" i="31"/>
  <c r="BL71" i="31" s="1"/>
  <c r="BI71" i="31"/>
  <c r="BM71" i="31" s="1"/>
  <c r="BH210" i="31"/>
  <c r="BL210" i="31" s="1"/>
  <c r="BH164" i="31"/>
  <c r="BL164" i="31" s="1"/>
  <c r="BI164" i="31"/>
  <c r="BM164" i="31" s="1"/>
  <c r="BG164" i="31"/>
  <c r="BK164" i="31" s="1"/>
  <c r="BH154" i="31"/>
  <c r="BL154" i="31" s="1"/>
  <c r="BI154" i="31"/>
  <c r="BM154" i="31" s="1"/>
  <c r="BG154" i="31"/>
  <c r="BK154" i="31" s="1"/>
  <c r="BH146" i="31"/>
  <c r="BL146" i="31" s="1"/>
  <c r="BG146" i="31"/>
  <c r="BK146" i="31" s="1"/>
  <c r="BI124" i="31"/>
  <c r="BM124" i="31" s="1"/>
  <c r="BH124" i="31"/>
  <c r="BL124" i="31" s="1"/>
  <c r="BG103" i="31"/>
  <c r="BK103" i="31" s="1"/>
  <c r="BH103" i="31"/>
  <c r="BL103" i="31" s="1"/>
  <c r="BG79" i="31"/>
  <c r="BK79" i="31" s="1"/>
  <c r="BH79" i="31"/>
  <c r="BL79" i="31" s="1"/>
  <c r="BI79" i="31"/>
  <c r="BM79" i="31" s="1"/>
  <c r="BH37" i="31"/>
  <c r="BL37" i="31" s="1"/>
  <c r="BI37" i="31"/>
  <c r="BM37" i="31" s="1"/>
  <c r="BG21" i="31"/>
  <c r="BK21" i="31" s="1"/>
  <c r="BH21" i="31"/>
  <c r="BL21" i="31" s="1"/>
  <c r="BI21" i="31"/>
  <c r="BM21" i="31" s="1"/>
  <c r="BH114" i="31"/>
  <c r="BL114" i="31" s="1"/>
  <c r="BG114" i="31"/>
  <c r="BK114" i="31" s="1"/>
  <c r="BH14" i="31"/>
  <c r="BL14" i="31" s="1"/>
  <c r="BI14" i="31"/>
  <c r="BM14" i="31" s="1"/>
  <c r="BI229" i="31"/>
  <c r="BM229" i="31" s="1"/>
  <c r="BH229" i="31"/>
  <c r="BL229" i="31" s="1"/>
  <c r="BG183" i="31"/>
  <c r="BK183" i="31" s="1"/>
  <c r="BH183" i="31"/>
  <c r="BL183" i="31" s="1"/>
  <c r="BI183" i="31"/>
  <c r="BM183" i="31" s="1"/>
  <c r="BI163" i="31"/>
  <c r="BM163" i="31" s="1"/>
  <c r="BH163" i="31"/>
  <c r="BL163" i="31" s="1"/>
  <c r="BG163" i="31"/>
  <c r="BK163" i="31" s="1"/>
  <c r="BG153" i="31"/>
  <c r="BK153" i="31" s="1"/>
  <c r="BH153" i="31"/>
  <c r="BL153" i="31" s="1"/>
  <c r="BI153" i="31"/>
  <c r="BM153" i="31" s="1"/>
  <c r="BH145" i="31"/>
  <c r="BL145" i="31" s="1"/>
  <c r="BG145" i="31"/>
  <c r="BK145" i="31" s="1"/>
  <c r="BH132" i="31"/>
  <c r="BL132" i="31" s="1"/>
  <c r="BI132" i="31"/>
  <c r="BM132" i="31" s="1"/>
  <c r="BH123" i="31"/>
  <c r="BL123" i="31" s="1"/>
  <c r="BI123" i="31"/>
  <c r="BM123" i="31" s="1"/>
  <c r="BG111" i="31"/>
  <c r="BK111" i="31" s="1"/>
  <c r="BH111" i="31"/>
  <c r="BL111" i="31" s="1"/>
  <c r="BG102" i="31"/>
  <c r="BK102" i="31" s="1"/>
  <c r="BH102" i="31"/>
  <c r="BL102" i="31" s="1"/>
  <c r="BG89" i="31"/>
  <c r="BK89" i="31" s="1"/>
  <c r="BH89" i="31"/>
  <c r="BL89" i="31" s="1"/>
  <c r="BH77" i="31"/>
  <c r="BL77" i="31" s="1"/>
  <c r="BG77" i="31"/>
  <c r="BK77" i="31" s="1"/>
  <c r="BG61" i="31"/>
  <c r="BK61" i="31" s="1"/>
  <c r="BH61" i="31"/>
  <c r="BL61" i="31" s="1"/>
  <c r="BI61" i="31"/>
  <c r="BM61" i="31" s="1"/>
  <c r="BG53" i="31"/>
  <c r="BK53" i="31" s="1"/>
  <c r="BH53" i="31"/>
  <c r="BL53" i="31" s="1"/>
  <c r="BI53" i="31"/>
  <c r="BM53" i="31" s="1"/>
  <c r="BH36" i="31"/>
  <c r="BL36" i="31" s="1"/>
  <c r="BI36" i="31"/>
  <c r="BM36" i="31" s="1"/>
  <c r="BH28" i="31"/>
  <c r="BL28" i="31" s="1"/>
  <c r="BI28" i="31"/>
  <c r="BM28" i="31" s="1"/>
  <c r="BH20" i="31"/>
  <c r="BL20" i="31" s="1"/>
  <c r="BI20" i="31"/>
  <c r="BM20" i="31" s="1"/>
  <c r="BG20" i="31"/>
  <c r="BK20" i="31" s="1"/>
  <c r="BG94" i="31"/>
  <c r="BK94" i="31" s="1"/>
  <c r="BH94" i="31"/>
  <c r="BL94" i="31" s="1"/>
  <c r="BI56" i="31"/>
  <c r="BM56" i="31" s="1"/>
  <c r="BH56" i="31"/>
  <c r="BL56" i="31" s="1"/>
  <c r="BH228" i="31"/>
  <c r="BL228" i="31" s="1"/>
  <c r="BI228" i="31"/>
  <c r="BM228" i="31" s="1"/>
  <c r="BG217" i="31"/>
  <c r="BK217" i="31" s="1"/>
  <c r="BH217" i="31"/>
  <c r="BL217" i="31" s="1"/>
  <c r="BI217" i="31"/>
  <c r="BM217" i="31" s="1"/>
  <c r="BI182" i="31"/>
  <c r="BM182" i="31" s="1"/>
  <c r="BH182" i="31"/>
  <c r="BL182" i="31" s="1"/>
  <c r="BG182" i="31"/>
  <c r="BK182" i="31" s="1"/>
  <c r="BG162" i="31"/>
  <c r="BK162" i="31" s="1"/>
  <c r="BH162" i="31"/>
  <c r="BL162" i="31" s="1"/>
  <c r="BI162" i="31"/>
  <c r="BM162" i="31" s="1"/>
  <c r="BG152" i="31"/>
  <c r="BK152" i="31" s="1"/>
  <c r="BH152" i="31"/>
  <c r="BL152" i="31" s="1"/>
  <c r="BI152" i="31"/>
  <c r="BM152" i="31" s="1"/>
  <c r="BH131" i="31"/>
  <c r="BL131" i="31" s="1"/>
  <c r="BI131" i="31"/>
  <c r="BM131" i="31" s="1"/>
  <c r="BH122" i="31"/>
  <c r="BL122" i="31" s="1"/>
  <c r="BI122" i="31"/>
  <c r="BM122" i="31" s="1"/>
  <c r="BG110" i="31"/>
  <c r="BK110" i="31" s="1"/>
  <c r="BH110" i="31"/>
  <c r="BL110" i="31" s="1"/>
  <c r="BH88" i="31"/>
  <c r="BL88" i="31" s="1"/>
  <c r="BG88" i="31"/>
  <c r="BK88" i="31" s="1"/>
  <c r="BH52" i="31"/>
  <c r="BL52" i="31" s="1"/>
  <c r="BI52" i="31"/>
  <c r="BM52" i="31" s="1"/>
  <c r="BH44" i="31"/>
  <c r="BL44" i="31" s="1"/>
  <c r="BI44" i="31"/>
  <c r="BM44" i="31" s="1"/>
  <c r="BG44" i="31"/>
  <c r="BK44" i="31" s="1"/>
  <c r="BI35" i="31"/>
  <c r="BM35" i="31" s="1"/>
  <c r="BH35" i="31"/>
  <c r="BL35" i="31" s="1"/>
  <c r="BH19" i="31"/>
  <c r="BL19" i="31" s="1"/>
  <c r="BG19" i="31"/>
  <c r="BK19" i="31" s="1"/>
  <c r="BI19" i="31"/>
  <c r="BM19" i="31" s="1"/>
  <c r="BH10" i="31"/>
  <c r="BL10" i="31" s="1"/>
  <c r="BI10" i="31"/>
  <c r="BM10" i="31" s="1"/>
  <c r="BG212" i="31"/>
  <c r="BK212" i="31" s="1"/>
  <c r="BH212" i="31"/>
  <c r="BL212" i="31" s="1"/>
  <c r="BH48" i="31"/>
  <c r="BL48" i="31" s="1"/>
  <c r="BI48" i="31"/>
  <c r="BM48" i="31" s="1"/>
  <c r="BH216" i="31"/>
  <c r="BL216" i="31" s="1"/>
  <c r="BI216" i="31"/>
  <c r="BM216" i="31" s="1"/>
  <c r="BG216" i="31"/>
  <c r="BK216" i="31" s="1"/>
  <c r="BG181" i="31"/>
  <c r="BK181" i="31" s="1"/>
  <c r="BH181" i="31"/>
  <c r="BL181" i="31" s="1"/>
  <c r="BI181" i="31"/>
  <c r="BM181" i="31" s="1"/>
  <c r="BI161" i="31"/>
  <c r="BM161" i="31" s="1"/>
  <c r="BG161" i="31"/>
  <c r="BK161" i="31" s="1"/>
  <c r="BH161" i="31"/>
  <c r="BL161" i="31" s="1"/>
  <c r="BI151" i="31"/>
  <c r="BM151" i="31" s="1"/>
  <c r="BH151" i="31"/>
  <c r="BL151" i="31" s="1"/>
  <c r="BG109" i="31"/>
  <c r="BK109" i="31" s="1"/>
  <c r="BH109" i="31"/>
  <c r="BL109" i="31" s="1"/>
  <c r="BG87" i="31"/>
  <c r="BK87" i="31" s="1"/>
  <c r="BH87" i="31"/>
  <c r="BL87" i="31" s="1"/>
  <c r="BG75" i="31"/>
  <c r="BK75" i="31" s="1"/>
  <c r="BH75" i="31"/>
  <c r="BL75" i="31" s="1"/>
  <c r="BI75" i="31"/>
  <c r="BM75" i="31" s="1"/>
  <c r="BG59" i="31"/>
  <c r="BK59" i="31" s="1"/>
  <c r="BH59" i="31"/>
  <c r="BL59" i="31" s="1"/>
  <c r="BI59" i="31"/>
  <c r="BM59" i="31" s="1"/>
  <c r="BI51" i="31"/>
  <c r="BM51" i="31" s="1"/>
  <c r="BH51" i="31"/>
  <c r="BL51" i="31" s="1"/>
  <c r="BG42" i="31"/>
  <c r="BK42" i="31" s="1"/>
  <c r="BH42" i="31"/>
  <c r="BL42" i="31" s="1"/>
  <c r="BI42" i="31"/>
  <c r="BM42" i="31" s="1"/>
  <c r="BH26" i="31"/>
  <c r="BL26" i="31" s="1"/>
  <c r="BI26" i="31"/>
  <c r="BM26" i="31" s="1"/>
  <c r="BI17" i="31"/>
  <c r="BM17" i="31" s="1"/>
  <c r="BH17" i="31"/>
  <c r="BL17" i="31" s="1"/>
  <c r="BH232" i="31"/>
  <c r="BL232" i="31" s="1"/>
  <c r="BI232" i="31"/>
  <c r="BM232" i="31" s="1"/>
  <c r="BG232" i="31"/>
  <c r="BK232" i="31" s="1"/>
  <c r="BI135" i="31"/>
  <c r="BM135" i="31" s="1"/>
  <c r="BH135" i="31"/>
  <c r="BL135" i="31" s="1"/>
  <c r="BH39" i="31"/>
  <c r="BL39" i="31" s="1"/>
  <c r="BI39" i="31"/>
  <c r="BM39" i="31" s="1"/>
  <c r="BG226" i="31"/>
  <c r="BK226" i="31" s="1"/>
  <c r="BH226" i="31"/>
  <c r="BL226" i="31" s="1"/>
  <c r="BG160" i="31"/>
  <c r="BK160" i="31" s="1"/>
  <c r="BH160" i="31"/>
  <c r="BL160" i="31" s="1"/>
  <c r="BI150" i="31"/>
  <c r="BM150" i="31" s="1"/>
  <c r="BH150" i="31"/>
  <c r="BL150" i="31" s="1"/>
  <c r="BH140" i="31"/>
  <c r="BL140" i="31" s="1"/>
  <c r="BG140" i="31"/>
  <c r="BK140" i="31" s="1"/>
  <c r="BG129" i="31"/>
  <c r="BK129" i="31" s="1"/>
  <c r="BH129" i="31"/>
  <c r="BL129" i="31" s="1"/>
  <c r="BG120" i="31"/>
  <c r="BK120" i="31" s="1"/>
  <c r="BH120" i="31"/>
  <c r="BL120" i="31" s="1"/>
  <c r="BG107" i="31"/>
  <c r="BK107" i="31" s="1"/>
  <c r="BH107" i="31"/>
  <c r="BL107" i="31" s="1"/>
  <c r="BG99" i="31"/>
  <c r="BK99" i="31" s="1"/>
  <c r="BH99" i="31"/>
  <c r="BL99" i="31" s="1"/>
  <c r="BI99" i="31"/>
  <c r="BM99" i="31" s="1"/>
  <c r="BG73" i="31"/>
  <c r="BK73" i="31" s="1"/>
  <c r="BH73" i="31"/>
  <c r="BL73" i="31" s="1"/>
  <c r="BG58" i="31"/>
  <c r="BK58" i="31" s="1"/>
  <c r="BH58" i="31"/>
  <c r="BL58" i="31" s="1"/>
  <c r="BI58" i="31"/>
  <c r="BM58" i="31" s="1"/>
  <c r="BI25" i="31"/>
  <c r="BM25" i="31" s="1"/>
  <c r="BH25" i="31"/>
  <c r="BL25" i="31" s="1"/>
  <c r="BH16" i="31"/>
  <c r="BL16" i="31" s="1"/>
  <c r="BI16" i="31"/>
  <c r="BM16" i="31" s="1"/>
  <c r="BG8" i="31"/>
  <c r="BK8" i="31" s="1"/>
  <c r="BH8" i="31"/>
  <c r="BL8" i="31" s="1"/>
  <c r="BI8" i="31"/>
  <c r="BM8" i="31" s="1"/>
  <c r="BH156" i="31"/>
  <c r="BL156" i="31" s="1"/>
  <c r="BG156" i="31"/>
  <c r="BK156" i="31" s="1"/>
  <c r="BI156" i="31"/>
  <c r="BM156" i="31" s="1"/>
  <c r="BG81" i="31"/>
  <c r="BK81" i="31" s="1"/>
  <c r="BH81" i="31"/>
  <c r="BL81" i="31" s="1"/>
  <c r="BI81" i="31"/>
  <c r="BM81" i="31" s="1"/>
  <c r="BG233" i="31"/>
  <c r="BK233" i="31" s="1"/>
  <c r="BH233" i="31"/>
  <c r="BL233" i="31" s="1"/>
  <c r="BI233" i="31"/>
  <c r="BM233" i="31" s="1"/>
  <c r="BH225" i="31"/>
  <c r="BL225" i="31" s="1"/>
  <c r="BI225" i="31"/>
  <c r="BM225" i="31" s="1"/>
  <c r="BG213" i="31"/>
  <c r="BK213" i="31" s="1"/>
  <c r="BH213" i="31"/>
  <c r="BL213" i="31" s="1"/>
  <c r="BG191" i="31"/>
  <c r="BK191" i="31" s="1"/>
  <c r="BH191" i="31"/>
  <c r="BL191" i="31" s="1"/>
  <c r="BI191" i="31"/>
  <c r="BM191" i="31" s="1"/>
  <c r="BH149" i="31"/>
  <c r="BL149" i="31" s="1"/>
  <c r="BI149" i="31"/>
  <c r="BM149" i="31" s="1"/>
  <c r="BI127" i="31"/>
  <c r="BM127" i="31" s="1"/>
  <c r="BH127" i="31"/>
  <c r="BL127" i="31" s="1"/>
  <c r="BH106" i="31"/>
  <c r="BL106" i="31" s="1"/>
  <c r="BG106" i="31"/>
  <c r="BK106" i="31" s="1"/>
  <c r="BI95" i="31"/>
  <c r="BM95" i="31" s="1"/>
  <c r="BG95" i="31"/>
  <c r="BK95" i="31" s="1"/>
  <c r="BH95" i="31"/>
  <c r="BL95" i="31" s="1"/>
  <c r="BI82" i="31"/>
  <c r="BM82" i="31" s="1"/>
  <c r="BH82" i="31"/>
  <c r="BL82" i="31" s="1"/>
  <c r="BG82" i="31"/>
  <c r="BK82" i="31" s="1"/>
  <c r="BH57" i="31"/>
  <c r="BL57" i="31" s="1"/>
  <c r="BG57" i="31"/>
  <c r="BK57" i="31" s="1"/>
  <c r="BG49" i="31"/>
  <c r="BK49" i="31" s="1"/>
  <c r="BH49" i="31"/>
  <c r="BL49" i="31" s="1"/>
  <c r="BI40" i="31"/>
  <c r="BM40" i="31" s="1"/>
  <c r="BH40" i="31"/>
  <c r="BL40" i="31" s="1"/>
  <c r="BG32" i="31"/>
  <c r="BK32" i="31" s="1"/>
  <c r="BH32" i="31"/>
  <c r="BL32" i="31" s="1"/>
  <c r="BI32" i="31"/>
  <c r="BM32" i="31" s="1"/>
  <c r="BI24" i="31"/>
  <c r="BM24" i="31" s="1"/>
  <c r="BH24" i="31"/>
  <c r="BL24" i="31" s="1"/>
  <c r="BH15" i="31"/>
  <c r="BL15" i="31" s="1"/>
  <c r="BI15" i="31"/>
  <c r="BM15" i="31" s="1"/>
  <c r="AW56" i="39"/>
  <c r="BB56" i="39"/>
  <c r="AW48" i="39"/>
  <c r="BB48" i="39"/>
  <c r="AW14" i="39"/>
  <c r="BB14" i="39"/>
  <c r="AW164" i="39"/>
  <c r="BB164" i="39"/>
  <c r="AW143" i="39"/>
  <c r="BB143" i="39"/>
  <c r="AW134" i="39"/>
  <c r="BB134" i="39"/>
  <c r="AW55" i="39"/>
  <c r="BB55" i="39"/>
  <c r="AW13" i="39"/>
  <c r="BB13" i="39"/>
  <c r="AW238" i="39"/>
  <c r="BB238" i="39"/>
  <c r="AW163" i="39"/>
  <c r="BB163" i="39"/>
  <c r="AW142" i="39"/>
  <c r="BB142" i="39"/>
  <c r="AW133" i="39"/>
  <c r="BB133" i="39"/>
  <c r="AW45" i="39"/>
  <c r="BB45" i="39"/>
  <c r="AW237" i="39"/>
  <c r="BB237" i="39"/>
  <c r="AW162" i="39"/>
  <c r="BB162" i="39"/>
  <c r="AW61" i="39"/>
  <c r="BB61" i="39"/>
  <c r="AW44" i="39"/>
  <c r="BB44" i="39"/>
  <c r="AW244" i="39"/>
  <c r="BB244" i="39"/>
  <c r="AW161" i="39"/>
  <c r="BB161" i="39"/>
  <c r="AW60" i="39"/>
  <c r="BB60" i="39"/>
  <c r="AW52" i="39"/>
  <c r="BB52" i="39"/>
  <c r="AW43" i="39"/>
  <c r="BB43" i="39"/>
  <c r="AW160" i="39"/>
  <c r="BB160" i="39"/>
  <c r="AW138" i="39"/>
  <c r="BB138" i="39"/>
  <c r="AW59" i="39"/>
  <c r="BB59" i="39"/>
  <c r="AW42" i="39"/>
  <c r="BB42" i="39"/>
  <c r="AW26" i="39"/>
  <c r="BB26" i="39"/>
  <c r="AW17" i="39"/>
  <c r="BB17" i="39"/>
  <c r="AW242" i="39"/>
  <c r="BB242" i="39"/>
  <c r="AW146" i="39"/>
  <c r="BB146" i="39"/>
  <c r="AW137" i="39"/>
  <c r="BB137" i="39"/>
  <c r="AW41" i="39"/>
  <c r="BB41" i="39"/>
  <c r="AW25" i="39"/>
  <c r="BB25" i="39"/>
  <c r="AW16" i="39"/>
  <c r="BB16" i="39"/>
  <c r="AW241" i="39"/>
  <c r="BB241" i="39"/>
  <c r="AW145" i="39"/>
  <c r="BB145" i="39"/>
  <c r="AW57" i="39"/>
  <c r="BB57" i="39"/>
  <c r="AW49" i="39"/>
  <c r="BB49" i="39"/>
  <c r="AW40" i="39"/>
  <c r="BB40" i="39"/>
  <c r="AW24" i="39"/>
  <c r="BB24" i="39"/>
  <c r="AW15" i="39"/>
  <c r="BB15" i="39"/>
  <c r="BB210" i="31"/>
  <c r="AW210" i="31"/>
  <c r="AR210" i="31"/>
  <c r="BB146" i="31"/>
  <c r="AW146" i="31"/>
  <c r="AR146" i="31"/>
  <c r="BB37" i="31"/>
  <c r="AW37" i="31"/>
  <c r="AR37" i="31"/>
  <c r="AR145" i="31"/>
  <c r="AW145" i="31"/>
  <c r="AW89" i="31"/>
  <c r="AR89" i="31"/>
  <c r="BB28" i="31"/>
  <c r="AW28" i="31"/>
  <c r="AR28" i="31"/>
  <c r="BB225" i="31"/>
  <c r="AW225" i="31"/>
  <c r="AR225" i="31"/>
  <c r="BB232" i="31"/>
  <c r="AW232" i="31"/>
  <c r="AR232" i="31"/>
  <c r="BB224" i="31"/>
  <c r="AW224" i="31"/>
  <c r="AR224" i="31"/>
  <c r="BB212" i="31"/>
  <c r="AW212" i="31"/>
  <c r="AR212" i="31"/>
  <c r="BB156" i="31"/>
  <c r="AW156" i="31"/>
  <c r="AR156" i="31"/>
  <c r="AW135" i="31"/>
  <c r="BB135" i="31"/>
  <c r="AR135" i="31"/>
  <c r="BB126" i="31"/>
  <c r="AW126" i="31"/>
  <c r="AR126" i="31"/>
  <c r="AW114" i="31"/>
  <c r="AR114" i="31"/>
  <c r="AW105" i="31"/>
  <c r="BB105" i="31"/>
  <c r="AR105" i="31"/>
  <c r="AW94" i="31"/>
  <c r="AR94" i="31"/>
  <c r="BB81" i="31"/>
  <c r="AW81" i="31"/>
  <c r="AR81" i="31"/>
  <c r="BB71" i="31"/>
  <c r="AW71" i="31"/>
  <c r="AR71" i="31"/>
  <c r="BB56" i="31"/>
  <c r="AW56" i="31"/>
  <c r="AR56" i="31"/>
  <c r="BB48" i="31"/>
  <c r="AW48" i="31"/>
  <c r="AR48" i="31"/>
  <c r="BB39" i="31"/>
  <c r="AW39" i="31"/>
  <c r="AR39" i="31"/>
  <c r="BB31" i="31"/>
  <c r="AW31" i="31"/>
  <c r="AR31" i="31"/>
  <c r="BB14" i="31"/>
  <c r="AW14" i="31"/>
  <c r="AR14" i="31"/>
  <c r="BB21" i="31"/>
  <c r="AW21" i="31"/>
  <c r="AR21" i="31"/>
  <c r="AR229" i="31"/>
  <c r="AW229" i="31"/>
  <c r="BB229" i="31"/>
  <c r="AW163" i="31"/>
  <c r="BB163" i="31"/>
  <c r="AR163" i="31"/>
  <c r="BB111" i="31"/>
  <c r="AW111" i="31"/>
  <c r="AR111" i="31"/>
  <c r="BB20" i="31"/>
  <c r="AW20" i="31"/>
  <c r="AR20" i="31"/>
  <c r="BB231" i="31"/>
  <c r="AR231" i="31"/>
  <c r="AW231" i="31"/>
  <c r="AW221" i="31"/>
  <c r="BB221" i="31"/>
  <c r="AR221" i="31"/>
  <c r="BB211" i="31"/>
  <c r="AW211" i="31"/>
  <c r="AR211" i="31"/>
  <c r="BB186" i="31"/>
  <c r="AW186" i="31"/>
  <c r="AR186" i="31"/>
  <c r="BB165" i="31"/>
  <c r="AW165" i="31"/>
  <c r="AR165" i="31"/>
  <c r="BB155" i="31"/>
  <c r="AW155" i="31"/>
  <c r="AR155" i="31"/>
  <c r="BB134" i="31"/>
  <c r="AW134" i="31"/>
  <c r="AR134" i="31"/>
  <c r="BB104" i="31"/>
  <c r="AW104" i="31"/>
  <c r="AR104" i="31"/>
  <c r="BB80" i="31"/>
  <c r="AW80" i="31"/>
  <c r="AR80" i="31"/>
  <c r="BB55" i="31"/>
  <c r="AW55" i="31"/>
  <c r="AR55" i="31"/>
  <c r="BB47" i="31"/>
  <c r="AW47" i="31"/>
  <c r="AR47" i="31"/>
  <c r="BB38" i="31"/>
  <c r="AW38" i="31"/>
  <c r="AR38" i="31"/>
  <c r="BB30" i="31"/>
  <c r="AW30" i="31"/>
  <c r="AR30" i="31"/>
  <c r="BB13" i="31"/>
  <c r="AW13" i="31"/>
  <c r="AR13" i="31"/>
  <c r="BB164" i="31"/>
  <c r="AW164" i="31"/>
  <c r="AR164" i="31"/>
  <c r="BB103" i="31"/>
  <c r="AR103" i="31"/>
  <c r="AW103" i="31"/>
  <c r="BB153" i="31"/>
  <c r="AR153" i="31"/>
  <c r="AW153" i="31"/>
  <c r="BB102" i="31"/>
  <c r="AW102" i="31"/>
  <c r="AR102" i="31"/>
  <c r="BB36" i="31"/>
  <c r="AW36" i="31"/>
  <c r="AR36" i="31"/>
  <c r="BB228" i="31"/>
  <c r="AW228" i="31"/>
  <c r="AR228" i="31"/>
  <c r="BB217" i="31"/>
  <c r="AW217" i="31"/>
  <c r="AR217" i="31"/>
  <c r="BB182" i="31"/>
  <c r="AW182" i="31"/>
  <c r="AR182" i="31"/>
  <c r="BB162" i="31"/>
  <c r="AW162" i="31"/>
  <c r="AR162" i="31"/>
  <c r="BB152" i="31"/>
  <c r="AW152" i="31"/>
  <c r="AR152" i="31"/>
  <c r="BB131" i="31"/>
  <c r="AW131" i="31"/>
  <c r="AR131" i="31"/>
  <c r="BB122" i="31"/>
  <c r="AW122" i="31"/>
  <c r="AR122" i="31"/>
  <c r="BB110" i="31"/>
  <c r="AW110" i="31"/>
  <c r="AR110" i="31"/>
  <c r="AW88" i="31"/>
  <c r="AR88" i="31"/>
  <c r="BB52" i="31"/>
  <c r="AW52" i="31"/>
  <c r="AR52" i="31"/>
  <c r="BB44" i="31"/>
  <c r="AW44" i="31"/>
  <c r="AR44" i="31"/>
  <c r="BB35" i="31"/>
  <c r="AR35" i="31"/>
  <c r="AW35" i="31"/>
  <c r="BB19" i="31"/>
  <c r="AW19" i="31"/>
  <c r="AR19" i="31"/>
  <c r="BB10" i="31"/>
  <c r="AW10" i="31"/>
  <c r="AR10" i="31"/>
  <c r="BB124" i="31"/>
  <c r="AW124" i="31"/>
  <c r="AR124" i="31"/>
  <c r="BB79" i="31"/>
  <c r="AW79" i="31"/>
  <c r="AR79" i="31"/>
  <c r="BB183" i="31"/>
  <c r="AW183" i="31"/>
  <c r="AR183" i="31"/>
  <c r="BB123" i="31"/>
  <c r="AW123" i="31"/>
  <c r="AR123" i="31"/>
  <c r="BB53" i="31"/>
  <c r="AW53" i="31"/>
  <c r="AR53" i="31"/>
  <c r="BB216" i="31"/>
  <c r="AW216" i="31"/>
  <c r="AR216" i="31"/>
  <c r="BB181" i="31"/>
  <c r="AW181" i="31"/>
  <c r="AR181" i="31"/>
  <c r="BB161" i="31"/>
  <c r="AR161" i="31"/>
  <c r="AW161" i="31"/>
  <c r="BB151" i="31"/>
  <c r="AR151" i="31"/>
  <c r="AW151" i="31"/>
  <c r="BB109" i="31"/>
  <c r="AW109" i="31"/>
  <c r="AR109" i="31"/>
  <c r="AR87" i="31"/>
  <c r="AW87" i="31"/>
  <c r="BB75" i="31"/>
  <c r="AW75" i="31"/>
  <c r="AR75" i="31"/>
  <c r="BB59" i="31"/>
  <c r="AR59" i="31"/>
  <c r="AW59" i="31"/>
  <c r="BB51" i="31"/>
  <c r="AW51" i="31"/>
  <c r="AR51" i="31"/>
  <c r="BB42" i="31"/>
  <c r="AW42" i="31"/>
  <c r="AR42" i="31"/>
  <c r="BB26" i="31"/>
  <c r="AW26" i="31"/>
  <c r="AR26" i="31"/>
  <c r="BB17" i="31"/>
  <c r="AW17" i="31"/>
  <c r="AR17" i="31"/>
  <c r="BB132" i="31"/>
  <c r="AW132" i="31"/>
  <c r="AR132" i="31"/>
  <c r="BB61" i="31"/>
  <c r="AW61" i="31"/>
  <c r="AR61" i="31"/>
  <c r="AW226" i="31"/>
  <c r="AR226" i="31"/>
  <c r="AW160" i="31"/>
  <c r="AR160" i="31"/>
  <c r="BB150" i="31"/>
  <c r="AW150" i="31"/>
  <c r="AR150" i="31"/>
  <c r="AW140" i="31"/>
  <c r="AR140" i="31"/>
  <c r="AW129" i="31"/>
  <c r="AR129" i="31"/>
  <c r="BB120" i="31"/>
  <c r="AW120" i="31"/>
  <c r="AR120" i="31"/>
  <c r="BB107" i="31"/>
  <c r="AW107" i="31"/>
  <c r="AR107" i="31"/>
  <c r="BB99" i="31"/>
  <c r="AW99" i="31"/>
  <c r="AR99" i="31"/>
  <c r="BB73" i="31"/>
  <c r="AW73" i="31"/>
  <c r="AR73" i="31"/>
  <c r="BB58" i="31"/>
  <c r="AW58" i="31"/>
  <c r="AR58" i="31"/>
  <c r="AR25" i="31"/>
  <c r="BB25" i="31"/>
  <c r="AW25" i="31"/>
  <c r="BB16" i="31"/>
  <c r="AW16" i="31"/>
  <c r="AR16" i="31"/>
  <c r="BB8" i="31"/>
  <c r="AW8" i="31"/>
  <c r="AR8" i="31"/>
  <c r="BB154" i="31"/>
  <c r="AW154" i="31"/>
  <c r="AR154" i="31"/>
  <c r="BB77" i="31"/>
  <c r="AW77" i="31"/>
  <c r="AR77" i="31"/>
  <c r="BB233" i="31"/>
  <c r="AW233" i="31"/>
  <c r="AR233" i="31"/>
  <c r="AR213" i="31"/>
  <c r="AW213" i="31"/>
  <c r="BB191" i="31"/>
  <c r="AW191" i="31"/>
  <c r="AR191" i="31"/>
  <c r="BB149" i="31"/>
  <c r="AW149" i="31"/>
  <c r="AR149" i="31"/>
  <c r="BB127" i="31"/>
  <c r="AR127" i="31"/>
  <c r="AW127" i="31"/>
  <c r="BB106" i="31"/>
  <c r="AW106" i="31"/>
  <c r="AR106" i="31"/>
  <c r="BB95" i="31"/>
  <c r="AR95" i="31"/>
  <c r="AW95" i="31"/>
  <c r="BB82" i="31"/>
  <c r="AR82" i="31"/>
  <c r="AW82" i="31"/>
  <c r="AR57" i="31"/>
  <c r="AW57" i="31"/>
  <c r="AW49" i="31"/>
  <c r="AR49" i="31"/>
  <c r="BB40" i="31"/>
  <c r="AW40" i="31"/>
  <c r="AR40" i="31"/>
  <c r="BB32" i="31"/>
  <c r="AW32" i="31"/>
  <c r="AR32" i="31"/>
  <c r="BB24" i="31"/>
  <c r="AW24" i="31"/>
  <c r="AR24" i="31"/>
  <c r="BB15" i="31"/>
  <c r="AW15" i="31"/>
  <c r="BC247" i="38"/>
  <c r="BD247" i="38"/>
  <c r="BE247" i="38"/>
  <c r="BF247" i="38"/>
  <c r="AX247" i="38"/>
  <c r="AY247" i="38"/>
  <c r="AZ247" i="38"/>
  <c r="BA247" i="38"/>
  <c r="BB247" i="38"/>
  <c r="AW247" i="38"/>
  <c r="AV247" i="38"/>
  <c r="AS247" i="38"/>
  <c r="AT247" i="38"/>
  <c r="AU247" i="38"/>
  <c r="AR247" i="38"/>
  <c r="AN247" i="38"/>
  <c r="AO247" i="38"/>
  <c r="AP247" i="38"/>
  <c r="AQ247" i="38"/>
  <c r="BC239" i="38"/>
  <c r="BD239" i="38"/>
  <c r="BE239" i="38"/>
  <c r="BF239" i="38"/>
  <c r="AX239" i="38"/>
  <c r="AY239" i="38"/>
  <c r="AZ239" i="38"/>
  <c r="BA239" i="38"/>
  <c r="BB239" i="38"/>
  <c r="AW239" i="38"/>
  <c r="AV239" i="38"/>
  <c r="AS239" i="38"/>
  <c r="AT239" i="38"/>
  <c r="AU239" i="38"/>
  <c r="BC227" i="38"/>
  <c r="BD227" i="38"/>
  <c r="BE227" i="38"/>
  <c r="BF227" i="38"/>
  <c r="AW227" i="38"/>
  <c r="AV227" i="38"/>
  <c r="AS227" i="38"/>
  <c r="AT227" i="38"/>
  <c r="AU227" i="38"/>
  <c r="AN227" i="38"/>
  <c r="AO227" i="38"/>
  <c r="AP227" i="38"/>
  <c r="AQ227" i="38"/>
  <c r="AR227" i="38"/>
  <c r="BC180" i="38"/>
  <c r="BD180" i="38"/>
  <c r="BE180" i="38"/>
  <c r="BA180" i="38"/>
  <c r="BF180" i="38"/>
  <c r="BB180" i="38"/>
  <c r="AY180" i="38"/>
  <c r="AZ180" i="38"/>
  <c r="AW180" i="38"/>
  <c r="AX180" i="38"/>
  <c r="AS180" i="38"/>
  <c r="AT180" i="38"/>
  <c r="AU180" i="38"/>
  <c r="AV180" i="38"/>
  <c r="AQ180" i="38"/>
  <c r="AR180" i="38"/>
  <c r="AN180" i="38"/>
  <c r="AO180" i="38"/>
  <c r="AP180" i="38"/>
  <c r="BC172" i="38"/>
  <c r="BD172" i="38"/>
  <c r="BE172" i="38"/>
  <c r="BA172" i="38"/>
  <c r="BB172" i="38"/>
  <c r="AY172" i="38"/>
  <c r="BF172" i="38"/>
  <c r="AZ172" i="38"/>
  <c r="AX172" i="38"/>
  <c r="AW172" i="38"/>
  <c r="AS172" i="38"/>
  <c r="AT172" i="38"/>
  <c r="AU172" i="38"/>
  <c r="AV172" i="38"/>
  <c r="BC162" i="38"/>
  <c r="BF162" i="38"/>
  <c r="BD162" i="38"/>
  <c r="BE162" i="38"/>
  <c r="BA162" i="38"/>
  <c r="BB162" i="38"/>
  <c r="AY162" i="38"/>
  <c r="AZ162" i="38"/>
  <c r="AW162" i="38"/>
  <c r="AX162" i="38"/>
  <c r="AS162" i="38"/>
  <c r="AT162" i="38"/>
  <c r="AU162" i="38"/>
  <c r="AV162" i="38"/>
  <c r="BC152" i="38"/>
  <c r="BD152" i="38"/>
  <c r="BF152" i="38"/>
  <c r="BE152" i="38"/>
  <c r="AW152" i="38"/>
  <c r="AQ152" i="38"/>
  <c r="AS152" i="38"/>
  <c r="AT152" i="38"/>
  <c r="AU152" i="38"/>
  <c r="AV152" i="38"/>
  <c r="AN152" i="38"/>
  <c r="AO152" i="38"/>
  <c r="AP152" i="38"/>
  <c r="AR152" i="38"/>
  <c r="BE141" i="38"/>
  <c r="BF141" i="38"/>
  <c r="BC141" i="38"/>
  <c r="BD141" i="38"/>
  <c r="AW141" i="38"/>
  <c r="AV141" i="38"/>
  <c r="AP141" i="38"/>
  <c r="AQ141" i="38"/>
  <c r="AR141" i="38"/>
  <c r="AS141" i="38"/>
  <c r="AT141" i="38"/>
  <c r="AN141" i="38"/>
  <c r="AU141" i="38"/>
  <c r="AO141" i="38"/>
  <c r="BC132" i="38"/>
  <c r="BD132" i="38"/>
  <c r="BF132" i="38"/>
  <c r="BE132" i="38"/>
  <c r="AW132" i="38"/>
  <c r="AS132" i="38"/>
  <c r="AN132" i="38"/>
  <c r="AT132" i="38"/>
  <c r="AO132" i="38"/>
  <c r="AU132" i="38"/>
  <c r="AP132" i="38"/>
  <c r="AV132" i="38"/>
  <c r="AQ132" i="38"/>
  <c r="AR132" i="38"/>
  <c r="BC110" i="38"/>
  <c r="BD110" i="38"/>
  <c r="BF110" i="38"/>
  <c r="BE110" i="38"/>
  <c r="AW110" i="38"/>
  <c r="AS110" i="38"/>
  <c r="AT110" i="38"/>
  <c r="AN110" i="38"/>
  <c r="AU110" i="38"/>
  <c r="AO110" i="38"/>
  <c r="AV110" i="38"/>
  <c r="AP110" i="38"/>
  <c r="AQ110" i="38"/>
  <c r="AR110" i="38"/>
  <c r="BE86" i="38"/>
  <c r="BF86" i="38"/>
  <c r="BC86" i="38"/>
  <c r="BD86" i="38"/>
  <c r="AW86" i="38"/>
  <c r="AU86" i="38"/>
  <c r="AR86" i="38"/>
  <c r="AV86" i="38"/>
  <c r="AN86" i="38"/>
  <c r="AO86" i="38"/>
  <c r="AS86" i="38"/>
  <c r="AP86" i="38"/>
  <c r="AT86" i="38"/>
  <c r="AQ86" i="38"/>
  <c r="BC59" i="38"/>
  <c r="BD59" i="38"/>
  <c r="BF59" i="38"/>
  <c r="BA59" i="38"/>
  <c r="BB59" i="38"/>
  <c r="BE59" i="38"/>
  <c r="AY59" i="38"/>
  <c r="AZ59" i="38"/>
  <c r="AX59" i="38"/>
  <c r="AU59" i="38"/>
  <c r="AV59" i="38"/>
  <c r="AS59" i="38"/>
  <c r="AW59" i="38"/>
  <c r="AT59" i="38"/>
  <c r="BE42" i="38"/>
  <c r="BF42" i="38"/>
  <c r="BC42" i="38"/>
  <c r="BD42" i="38"/>
  <c r="AX42" i="38"/>
  <c r="AY42" i="38"/>
  <c r="AZ42" i="38"/>
  <c r="BA42" i="38"/>
  <c r="BB42" i="38"/>
  <c r="AS42" i="38"/>
  <c r="AT42" i="38"/>
  <c r="AU42" i="38"/>
  <c r="AV42" i="38"/>
  <c r="AW42" i="38"/>
  <c r="BC25" i="38"/>
  <c r="BD25" i="38"/>
  <c r="BF25" i="38"/>
  <c r="BE25" i="38"/>
  <c r="AX25" i="38"/>
  <c r="AY25" i="38"/>
  <c r="BA25" i="38"/>
  <c r="BB25" i="38"/>
  <c r="AZ25" i="38"/>
  <c r="AU25" i="38"/>
  <c r="AV25" i="38"/>
  <c r="AW25" i="38"/>
  <c r="AS25" i="38"/>
  <c r="AT25" i="38"/>
  <c r="BE16" i="38"/>
  <c r="BF16" i="38"/>
  <c r="BC16" i="38"/>
  <c r="BD16" i="38"/>
  <c r="AZ16" i="38"/>
  <c r="BA16" i="38"/>
  <c r="BB16" i="38"/>
  <c r="AX16" i="38"/>
  <c r="AY16" i="38"/>
  <c r="AS16" i="38"/>
  <c r="AT16" i="38"/>
  <c r="AW16" i="38"/>
  <c r="AU16" i="38"/>
  <c r="AV16" i="38"/>
  <c r="BE8" i="38"/>
  <c r="BF8" i="38"/>
  <c r="BC8" i="38"/>
  <c r="BD8" i="38"/>
  <c r="AZ8" i="38"/>
  <c r="BA8" i="38"/>
  <c r="BB8" i="38"/>
  <c r="AX8" i="38"/>
  <c r="AY8" i="38"/>
  <c r="AS8" i="38"/>
  <c r="AT8" i="38"/>
  <c r="AW8" i="38"/>
  <c r="AU8" i="38"/>
  <c r="AV8" i="38"/>
  <c r="AR8" i="38"/>
  <c r="AQ8" i="38"/>
  <c r="BC246" i="38"/>
  <c r="BE246" i="38"/>
  <c r="BF246" i="38"/>
  <c r="BD246" i="38"/>
  <c r="BA246" i="38"/>
  <c r="BB246" i="38"/>
  <c r="AX246" i="38"/>
  <c r="AW246" i="38"/>
  <c r="AY246" i="38"/>
  <c r="AZ246" i="38"/>
  <c r="AS246" i="38"/>
  <c r="AT246" i="38"/>
  <c r="AU246" i="38"/>
  <c r="AV246" i="38"/>
  <c r="AO246" i="38"/>
  <c r="AP246" i="38"/>
  <c r="AQ246" i="38"/>
  <c r="AR246" i="38"/>
  <c r="AN246" i="38"/>
  <c r="BC238" i="38"/>
  <c r="BE238" i="38"/>
  <c r="BF238" i="38"/>
  <c r="BD238" i="38"/>
  <c r="BA238" i="38"/>
  <c r="BB238" i="38"/>
  <c r="AX238" i="38"/>
  <c r="AW238" i="38"/>
  <c r="AY238" i="38"/>
  <c r="AZ238" i="38"/>
  <c r="AS238" i="38"/>
  <c r="AT238" i="38"/>
  <c r="AU238" i="38"/>
  <c r="AV238" i="38"/>
  <c r="BC226" i="38"/>
  <c r="BE226" i="38"/>
  <c r="BF226" i="38"/>
  <c r="BD226" i="38"/>
  <c r="AX226" i="38"/>
  <c r="AW226" i="38"/>
  <c r="AY226" i="38"/>
  <c r="AZ226" i="38"/>
  <c r="BA226" i="38"/>
  <c r="BB226" i="38"/>
  <c r="AS226" i="38"/>
  <c r="AT226" i="38"/>
  <c r="AU226" i="38"/>
  <c r="AV226" i="38"/>
  <c r="AN226" i="38"/>
  <c r="AO226" i="38"/>
  <c r="AP226" i="38"/>
  <c r="AQ226" i="38"/>
  <c r="AR226" i="38"/>
  <c r="BE179" i="38"/>
  <c r="BF179" i="38"/>
  <c r="BD179" i="38"/>
  <c r="BC179" i="38"/>
  <c r="AX179" i="38"/>
  <c r="AY179" i="38"/>
  <c r="AZ179" i="38"/>
  <c r="BA179" i="38"/>
  <c r="BB179" i="38"/>
  <c r="AW179" i="38"/>
  <c r="AV179" i="38"/>
  <c r="AS179" i="38"/>
  <c r="AT179" i="38"/>
  <c r="AU179" i="38"/>
  <c r="AN179" i="38"/>
  <c r="AO179" i="38"/>
  <c r="AP179" i="38"/>
  <c r="AQ179" i="38"/>
  <c r="AR179" i="38"/>
  <c r="BE161" i="38"/>
  <c r="BF161" i="38"/>
  <c r="BC161" i="38"/>
  <c r="BD161" i="38"/>
  <c r="AX161" i="38"/>
  <c r="AY161" i="38"/>
  <c r="AZ161" i="38"/>
  <c r="BA161" i="38"/>
  <c r="BB161" i="38"/>
  <c r="AW161" i="38"/>
  <c r="AV161" i="38"/>
  <c r="AS161" i="38"/>
  <c r="AT161" i="38"/>
  <c r="AU161" i="38"/>
  <c r="BE139" i="38"/>
  <c r="BF139" i="38"/>
  <c r="BC139" i="38"/>
  <c r="BD139" i="38"/>
  <c r="AX139" i="38"/>
  <c r="AY139" i="38"/>
  <c r="AZ139" i="38"/>
  <c r="BB139" i="38"/>
  <c r="BA139" i="38"/>
  <c r="AW139" i="38"/>
  <c r="AV139" i="38"/>
  <c r="AS139" i="38"/>
  <c r="AT139" i="38"/>
  <c r="AU139" i="38"/>
  <c r="BC118" i="38"/>
  <c r="BD118" i="38"/>
  <c r="BF118" i="38"/>
  <c r="BE118" i="38"/>
  <c r="BB118" i="38"/>
  <c r="AW118" i="38"/>
  <c r="AS118" i="38"/>
  <c r="AT118" i="38"/>
  <c r="AN118" i="38"/>
  <c r="AU118" i="38"/>
  <c r="AO118" i="38"/>
  <c r="AV118" i="38"/>
  <c r="AP118" i="38"/>
  <c r="AQ118" i="38"/>
  <c r="AR118" i="38"/>
  <c r="BE109" i="38"/>
  <c r="BF109" i="38"/>
  <c r="BC109" i="38"/>
  <c r="BD109" i="38"/>
  <c r="AW109" i="38"/>
  <c r="AU109" i="38"/>
  <c r="AP109" i="38"/>
  <c r="AV109" i="38"/>
  <c r="AQ109" i="38"/>
  <c r="AR109" i="38"/>
  <c r="AS109" i="38"/>
  <c r="AN109" i="38"/>
  <c r="AT109" i="38"/>
  <c r="AO109" i="38"/>
  <c r="BE82" i="38"/>
  <c r="BF82" i="38"/>
  <c r="BC82" i="38"/>
  <c r="BD82" i="38"/>
  <c r="AW82" i="38"/>
  <c r="AU82" i="38"/>
  <c r="AN82" i="38"/>
  <c r="AV82" i="38"/>
  <c r="AO82" i="38"/>
  <c r="AP82" i="38"/>
  <c r="AQ82" i="38"/>
  <c r="AR82" i="38"/>
  <c r="AS82" i="38"/>
  <c r="AT82" i="38"/>
  <c r="BC41" i="38"/>
  <c r="BD41" i="38"/>
  <c r="BF41" i="38"/>
  <c r="AX41" i="38"/>
  <c r="AY41" i="38"/>
  <c r="BA41" i="38"/>
  <c r="BE41" i="38"/>
  <c r="BB41" i="38"/>
  <c r="AZ41" i="38"/>
  <c r="AU41" i="38"/>
  <c r="AV41" i="38"/>
  <c r="AW41" i="38"/>
  <c r="AS41" i="38"/>
  <c r="AT41" i="38"/>
  <c r="BC33" i="38"/>
  <c r="BD33" i="38"/>
  <c r="BF33" i="38"/>
  <c r="BE33" i="38"/>
  <c r="AU33" i="38"/>
  <c r="AV33" i="38"/>
  <c r="AW33" i="38"/>
  <c r="AS33" i="38"/>
  <c r="AT33" i="38"/>
  <c r="AN33" i="38"/>
  <c r="AO33" i="38"/>
  <c r="AP33" i="38"/>
  <c r="AQ33" i="38"/>
  <c r="AR33" i="38"/>
  <c r="BE24" i="38"/>
  <c r="BF24" i="38"/>
  <c r="BC24" i="38"/>
  <c r="BD24" i="38"/>
  <c r="AZ24" i="38"/>
  <c r="BA24" i="38"/>
  <c r="BB24" i="38"/>
  <c r="AX24" i="38"/>
  <c r="AY24" i="38"/>
  <c r="AS24" i="38"/>
  <c r="AT24" i="38"/>
  <c r="AW24" i="38"/>
  <c r="AU24" i="38"/>
  <c r="AV24" i="38"/>
  <c r="BC15" i="38"/>
  <c r="BD15" i="38"/>
  <c r="BF15" i="38"/>
  <c r="AX15" i="38"/>
  <c r="BE15" i="38"/>
  <c r="AY15" i="38"/>
  <c r="AZ15" i="38"/>
  <c r="BA15" i="38"/>
  <c r="BB15" i="38"/>
  <c r="AU15" i="38"/>
  <c r="AV15" i="38"/>
  <c r="AW15" i="38"/>
  <c r="AS15" i="38"/>
  <c r="AT15" i="38"/>
  <c r="BC245" i="38"/>
  <c r="BD245" i="38"/>
  <c r="BE245" i="38"/>
  <c r="BF245" i="38"/>
  <c r="AX245" i="38"/>
  <c r="AY245" i="38"/>
  <c r="AZ245" i="38"/>
  <c r="BA245" i="38"/>
  <c r="BB245" i="38"/>
  <c r="AW245" i="38"/>
  <c r="AV245" i="38"/>
  <c r="AS245" i="38"/>
  <c r="AT245" i="38"/>
  <c r="AU245" i="38"/>
  <c r="BC235" i="38"/>
  <c r="BD235" i="38"/>
  <c r="BE235" i="38"/>
  <c r="BF235" i="38"/>
  <c r="AW235" i="38"/>
  <c r="AV235" i="38"/>
  <c r="AS235" i="38"/>
  <c r="AT235" i="38"/>
  <c r="AU235" i="38"/>
  <c r="AN235" i="38"/>
  <c r="AO235" i="38"/>
  <c r="AP235" i="38"/>
  <c r="AQ235" i="38"/>
  <c r="AR235" i="38"/>
  <c r="BC225" i="38"/>
  <c r="BD225" i="38"/>
  <c r="BE225" i="38"/>
  <c r="BF225" i="38"/>
  <c r="AW225" i="38"/>
  <c r="AV225" i="38"/>
  <c r="AS225" i="38"/>
  <c r="AT225" i="38"/>
  <c r="AU225" i="38"/>
  <c r="AP225" i="38"/>
  <c r="AQ225" i="38"/>
  <c r="AR225" i="38"/>
  <c r="AN225" i="38"/>
  <c r="AO225" i="38"/>
  <c r="BC204" i="38"/>
  <c r="BD204" i="38"/>
  <c r="BE204" i="38"/>
  <c r="BF204" i="38"/>
  <c r="BA204" i="38"/>
  <c r="BB204" i="38"/>
  <c r="AY204" i="38"/>
  <c r="AZ204" i="38"/>
  <c r="AW204" i="38"/>
  <c r="AX204" i="38"/>
  <c r="AS204" i="38"/>
  <c r="AT204" i="38"/>
  <c r="AU204" i="38"/>
  <c r="AV204" i="38"/>
  <c r="AQ204" i="38"/>
  <c r="AR204" i="38"/>
  <c r="AN204" i="38"/>
  <c r="AO204" i="38"/>
  <c r="AP204" i="38"/>
  <c r="BC186" i="38"/>
  <c r="BE186" i="38"/>
  <c r="BF186" i="38"/>
  <c r="BD186" i="38"/>
  <c r="AX186" i="38"/>
  <c r="AY186" i="38"/>
  <c r="BA186" i="38"/>
  <c r="BB186" i="38"/>
  <c r="AW186" i="38"/>
  <c r="AZ186" i="38"/>
  <c r="AS186" i="38"/>
  <c r="AT186" i="38"/>
  <c r="AU186" i="38"/>
  <c r="AV186" i="38"/>
  <c r="AN186" i="38"/>
  <c r="AO186" i="38"/>
  <c r="AP186" i="38"/>
  <c r="AQ186" i="38"/>
  <c r="AR186" i="38"/>
  <c r="BC168" i="38"/>
  <c r="BD168" i="38"/>
  <c r="BE168" i="38"/>
  <c r="BF168" i="38"/>
  <c r="AX168" i="38"/>
  <c r="AY168" i="38"/>
  <c r="BA168" i="38"/>
  <c r="BB168" i="38"/>
  <c r="AZ168" i="38"/>
  <c r="AW168" i="38"/>
  <c r="AS168" i="38"/>
  <c r="AT168" i="38"/>
  <c r="AU168" i="38"/>
  <c r="AV168" i="38"/>
  <c r="AN168" i="38"/>
  <c r="AO168" i="38"/>
  <c r="AP168" i="38"/>
  <c r="AQ168" i="38"/>
  <c r="AR168" i="38"/>
  <c r="BE147" i="38"/>
  <c r="BF147" i="38"/>
  <c r="BC147" i="38"/>
  <c r="BD147" i="38"/>
  <c r="AX147" i="38"/>
  <c r="AY147" i="38"/>
  <c r="AZ147" i="38"/>
  <c r="BB147" i="38"/>
  <c r="AW147" i="38"/>
  <c r="BA147" i="38"/>
  <c r="AV147" i="38"/>
  <c r="AS147" i="38"/>
  <c r="AT147" i="38"/>
  <c r="AU147" i="38"/>
  <c r="BC138" i="38"/>
  <c r="BD138" i="38"/>
  <c r="BF138" i="38"/>
  <c r="BE138" i="38"/>
  <c r="BA138" i="38"/>
  <c r="BB138" i="38"/>
  <c r="AY138" i="38"/>
  <c r="AZ138" i="38"/>
  <c r="AX138" i="38"/>
  <c r="AW138" i="38"/>
  <c r="AS138" i="38"/>
  <c r="AT138" i="38"/>
  <c r="AU138" i="38"/>
  <c r="AV138" i="38"/>
  <c r="BE129" i="38"/>
  <c r="BF129" i="38"/>
  <c r="BC129" i="38"/>
  <c r="BD129" i="38"/>
  <c r="AW129" i="38"/>
  <c r="AV129" i="38"/>
  <c r="AN129" i="38"/>
  <c r="AO129" i="38"/>
  <c r="AP129" i="38"/>
  <c r="AS129" i="38"/>
  <c r="AQ129" i="38"/>
  <c r="AT129" i="38"/>
  <c r="AR129" i="38"/>
  <c r="AU129" i="38"/>
  <c r="BE117" i="38"/>
  <c r="BF117" i="38"/>
  <c r="BC117" i="38"/>
  <c r="BD117" i="38"/>
  <c r="AW117" i="38"/>
  <c r="AU117" i="38"/>
  <c r="AP117" i="38"/>
  <c r="AV117" i="38"/>
  <c r="AQ117" i="38"/>
  <c r="AR117" i="38"/>
  <c r="AS117" i="38"/>
  <c r="AN117" i="38"/>
  <c r="AT117" i="38"/>
  <c r="AO117" i="38"/>
  <c r="BC108" i="38"/>
  <c r="BD108" i="38"/>
  <c r="BF108" i="38"/>
  <c r="BE108" i="38"/>
  <c r="AW108" i="38"/>
  <c r="AN108" i="38"/>
  <c r="AS108" i="38"/>
  <c r="AO108" i="38"/>
  <c r="AT108" i="38"/>
  <c r="AP108" i="38"/>
  <c r="AU108" i="38"/>
  <c r="AQ108" i="38"/>
  <c r="AV108" i="38"/>
  <c r="AR108" i="38"/>
  <c r="BE95" i="38"/>
  <c r="BF95" i="38"/>
  <c r="BC95" i="38"/>
  <c r="BD95" i="38"/>
  <c r="AW95" i="38"/>
  <c r="AU95" i="38"/>
  <c r="AV95" i="38"/>
  <c r="AN95" i="38"/>
  <c r="AO95" i="38"/>
  <c r="AP95" i="38"/>
  <c r="AQ95" i="38"/>
  <c r="AS95" i="38"/>
  <c r="AR95" i="38"/>
  <c r="AT95" i="38"/>
  <c r="BC81" i="38"/>
  <c r="BD81" i="38"/>
  <c r="BF81" i="38"/>
  <c r="BE81" i="38"/>
  <c r="AW81" i="38"/>
  <c r="AS81" i="38"/>
  <c r="AT81" i="38"/>
  <c r="AN81" i="38"/>
  <c r="AU81" i="38"/>
  <c r="AO81" i="38"/>
  <c r="AV81" i="38"/>
  <c r="AP81" i="38"/>
  <c r="AQ81" i="38"/>
  <c r="AR81" i="38"/>
  <c r="BC65" i="38"/>
  <c r="BD65" i="38"/>
  <c r="BF65" i="38"/>
  <c r="AX65" i="38"/>
  <c r="AY65" i="38"/>
  <c r="BE65" i="38"/>
  <c r="BA65" i="38"/>
  <c r="BB65" i="38"/>
  <c r="AZ65" i="38"/>
  <c r="AU65" i="38"/>
  <c r="AV65" i="38"/>
  <c r="AW65" i="38"/>
  <c r="AS65" i="38"/>
  <c r="AT65" i="38"/>
  <c r="AN65" i="38"/>
  <c r="AO65" i="38"/>
  <c r="AP65" i="38"/>
  <c r="AQ65" i="38"/>
  <c r="AR65" i="38"/>
  <c r="BC57" i="38"/>
  <c r="BD57" i="38"/>
  <c r="BF57" i="38"/>
  <c r="BE57" i="38"/>
  <c r="AX57" i="38"/>
  <c r="AY57" i="38"/>
  <c r="BA57" i="38"/>
  <c r="BB57" i="38"/>
  <c r="AZ57" i="38"/>
  <c r="AU57" i="38"/>
  <c r="AV57" i="38"/>
  <c r="AW57" i="38"/>
  <c r="AS57" i="38"/>
  <c r="AT57" i="38"/>
  <c r="AN57" i="38"/>
  <c r="AO57" i="38"/>
  <c r="AP57" i="38"/>
  <c r="AQ57" i="38"/>
  <c r="AR57" i="38"/>
  <c r="BC49" i="38"/>
  <c r="BD49" i="38"/>
  <c r="BF49" i="38"/>
  <c r="AX49" i="38"/>
  <c r="AY49" i="38"/>
  <c r="BE49" i="38"/>
  <c r="BA49" i="38"/>
  <c r="BB49" i="38"/>
  <c r="AU49" i="38"/>
  <c r="AV49" i="38"/>
  <c r="AZ49" i="38"/>
  <c r="AW49" i="38"/>
  <c r="AS49" i="38"/>
  <c r="AT49" i="38"/>
  <c r="AN49" i="38"/>
  <c r="AO49" i="38"/>
  <c r="AP49" i="38"/>
  <c r="AQ49" i="38"/>
  <c r="BE40" i="38"/>
  <c r="BF40" i="38"/>
  <c r="BC40" i="38"/>
  <c r="BD40" i="38"/>
  <c r="AZ40" i="38"/>
  <c r="BA40" i="38"/>
  <c r="BB40" i="38"/>
  <c r="AX40" i="38"/>
  <c r="AY40" i="38"/>
  <c r="AS40" i="38"/>
  <c r="AT40" i="38"/>
  <c r="AW40" i="38"/>
  <c r="AU40" i="38"/>
  <c r="AV40" i="38"/>
  <c r="BC31" i="38"/>
  <c r="BD31" i="38"/>
  <c r="BF31" i="38"/>
  <c r="BE31" i="38"/>
  <c r="AU31" i="38"/>
  <c r="AV31" i="38"/>
  <c r="AW31" i="38"/>
  <c r="AS31" i="38"/>
  <c r="AT31" i="38"/>
  <c r="AO31" i="38"/>
  <c r="AP31" i="38"/>
  <c r="AQ31" i="38"/>
  <c r="AR31" i="38"/>
  <c r="AN31" i="38"/>
  <c r="BE14" i="38"/>
  <c r="BF14" i="38"/>
  <c r="BC14" i="38"/>
  <c r="BD14" i="38"/>
  <c r="BB14" i="38"/>
  <c r="AX14" i="38"/>
  <c r="AZ14" i="38"/>
  <c r="BA14" i="38"/>
  <c r="AY14" i="38"/>
  <c r="AW14" i="38"/>
  <c r="AS14" i="38"/>
  <c r="AT14" i="38"/>
  <c r="AU14" i="38"/>
  <c r="AV14" i="38"/>
  <c r="BC224" i="38"/>
  <c r="BE224" i="38"/>
  <c r="BF224" i="38"/>
  <c r="BD224" i="38"/>
  <c r="AW224" i="38"/>
  <c r="AS224" i="38"/>
  <c r="AT224" i="38"/>
  <c r="AU224" i="38"/>
  <c r="AV224" i="38"/>
  <c r="AN224" i="38"/>
  <c r="AO224" i="38"/>
  <c r="AP224" i="38"/>
  <c r="AQ224" i="38"/>
  <c r="AR224" i="38"/>
  <c r="BE203" i="38"/>
  <c r="BF203" i="38"/>
  <c r="BD203" i="38"/>
  <c r="BC203" i="38"/>
  <c r="AX203" i="38"/>
  <c r="AY203" i="38"/>
  <c r="AZ203" i="38"/>
  <c r="BA203" i="38"/>
  <c r="BB203" i="38"/>
  <c r="AW203" i="38"/>
  <c r="AV203" i="38"/>
  <c r="AS203" i="38"/>
  <c r="AT203" i="38"/>
  <c r="AU203" i="38"/>
  <c r="AN203" i="38"/>
  <c r="AO203" i="38"/>
  <c r="AP203" i="38"/>
  <c r="AQ203" i="38"/>
  <c r="AR203" i="38"/>
  <c r="BE185" i="38"/>
  <c r="BF185" i="38"/>
  <c r="BD185" i="38"/>
  <c r="BC185" i="38"/>
  <c r="AZ185" i="38"/>
  <c r="BA185" i="38"/>
  <c r="BB185" i="38"/>
  <c r="AX185" i="38"/>
  <c r="AY185" i="38"/>
  <c r="AW185" i="38"/>
  <c r="AV185" i="38"/>
  <c r="AS185" i="38"/>
  <c r="AT185" i="38"/>
  <c r="AU185" i="38"/>
  <c r="AP185" i="38"/>
  <c r="AQ185" i="38"/>
  <c r="AR185" i="38"/>
  <c r="AN185" i="38"/>
  <c r="AO185" i="38"/>
  <c r="BE177" i="38"/>
  <c r="BF177" i="38"/>
  <c r="BD177" i="38"/>
  <c r="BC177" i="38"/>
  <c r="AZ177" i="38"/>
  <c r="BA177" i="38"/>
  <c r="BB177" i="38"/>
  <c r="AX177" i="38"/>
  <c r="AY177" i="38"/>
  <c r="AW177" i="38"/>
  <c r="AV177" i="38"/>
  <c r="AS177" i="38"/>
  <c r="AT177" i="38"/>
  <c r="AU177" i="38"/>
  <c r="AP177" i="38"/>
  <c r="AQ177" i="38"/>
  <c r="AR177" i="38"/>
  <c r="AN177" i="38"/>
  <c r="AO177" i="38"/>
  <c r="BE167" i="38"/>
  <c r="BF167" i="38"/>
  <c r="BC167" i="38"/>
  <c r="BD167" i="38"/>
  <c r="AZ167" i="38"/>
  <c r="BA167" i="38"/>
  <c r="BB167" i="38"/>
  <c r="AX167" i="38"/>
  <c r="AY167" i="38"/>
  <c r="AW167" i="38"/>
  <c r="AV167" i="38"/>
  <c r="AS167" i="38"/>
  <c r="AT167" i="38"/>
  <c r="AU167" i="38"/>
  <c r="AP167" i="38"/>
  <c r="AQ167" i="38"/>
  <c r="AR167" i="38"/>
  <c r="AN167" i="38"/>
  <c r="AO167" i="38"/>
  <c r="BC146" i="38"/>
  <c r="BD146" i="38"/>
  <c r="BF146" i="38"/>
  <c r="BE146" i="38"/>
  <c r="BA146" i="38"/>
  <c r="BB146" i="38"/>
  <c r="AY146" i="38"/>
  <c r="AZ146" i="38"/>
  <c r="AW146" i="38"/>
  <c r="AX146" i="38"/>
  <c r="AS146" i="38"/>
  <c r="AT146" i="38"/>
  <c r="AU146" i="38"/>
  <c r="AV146" i="38"/>
  <c r="BE127" i="38"/>
  <c r="BF127" i="38"/>
  <c r="BC127" i="38"/>
  <c r="BD127" i="38"/>
  <c r="AZ127" i="38"/>
  <c r="BA127" i="38"/>
  <c r="BB127" i="38"/>
  <c r="AX127" i="38"/>
  <c r="AY127" i="38"/>
  <c r="AW127" i="38"/>
  <c r="AV127" i="38"/>
  <c r="AS127" i="38"/>
  <c r="AT127" i="38"/>
  <c r="AU127" i="38"/>
  <c r="BC116" i="38"/>
  <c r="BD116" i="38"/>
  <c r="BF116" i="38"/>
  <c r="BE116" i="38"/>
  <c r="AW116" i="38"/>
  <c r="AN116" i="38"/>
  <c r="AS116" i="38"/>
  <c r="AO116" i="38"/>
  <c r="AT116" i="38"/>
  <c r="AP116" i="38"/>
  <c r="AU116" i="38"/>
  <c r="AQ116" i="38"/>
  <c r="AV116" i="38"/>
  <c r="AR116" i="38"/>
  <c r="BC94" i="38"/>
  <c r="BD94" i="38"/>
  <c r="BF94" i="38"/>
  <c r="AW94" i="38"/>
  <c r="BE94" i="38"/>
  <c r="AQ94" i="38"/>
  <c r="AR94" i="38"/>
  <c r="AS94" i="38"/>
  <c r="AT94" i="38"/>
  <c r="AU94" i="38"/>
  <c r="AV94" i="38"/>
  <c r="AN94" i="38"/>
  <c r="AO94" i="38"/>
  <c r="AP94" i="38"/>
  <c r="BE56" i="38"/>
  <c r="BF56" i="38"/>
  <c r="BC56" i="38"/>
  <c r="BD56" i="38"/>
  <c r="AZ56" i="38"/>
  <c r="BA56" i="38"/>
  <c r="BB56" i="38"/>
  <c r="AX56" i="38"/>
  <c r="AY56" i="38"/>
  <c r="AS56" i="38"/>
  <c r="AT56" i="38"/>
  <c r="AW56" i="38"/>
  <c r="AU56" i="38"/>
  <c r="AV56" i="38"/>
  <c r="BE48" i="38"/>
  <c r="BF48" i="38"/>
  <c r="BC48" i="38"/>
  <c r="BD48" i="38"/>
  <c r="AZ48" i="38"/>
  <c r="BA48" i="38"/>
  <c r="BB48" i="38"/>
  <c r="AX48" i="38"/>
  <c r="AY48" i="38"/>
  <c r="AS48" i="38"/>
  <c r="AT48" i="38"/>
  <c r="AW48" i="38"/>
  <c r="AU48" i="38"/>
  <c r="AV48" i="38"/>
  <c r="AN48" i="38"/>
  <c r="AO48" i="38"/>
  <c r="AP48" i="38"/>
  <c r="AQ48" i="38"/>
  <c r="BE30" i="38"/>
  <c r="BF30" i="38"/>
  <c r="BC30" i="38"/>
  <c r="BD30" i="38"/>
  <c r="AW30" i="38"/>
  <c r="AS30" i="38"/>
  <c r="AT30" i="38"/>
  <c r="AU30" i="38"/>
  <c r="AV30" i="38"/>
  <c r="AN30" i="38"/>
  <c r="AO30" i="38"/>
  <c r="AP30" i="38"/>
  <c r="AQ30" i="38"/>
  <c r="AR30" i="38"/>
  <c r="BC13" i="38"/>
  <c r="BD13" i="38"/>
  <c r="BF13" i="38"/>
  <c r="AY13" i="38"/>
  <c r="BE13" i="38"/>
  <c r="AZ13" i="38"/>
  <c r="BA13" i="38"/>
  <c r="BB13" i="38"/>
  <c r="AX13" i="38"/>
  <c r="AU13" i="38"/>
  <c r="AW13" i="38"/>
  <c r="AV13" i="38"/>
  <c r="AS13" i="38"/>
  <c r="AT13" i="38"/>
  <c r="BC243" i="38"/>
  <c r="BD243" i="38"/>
  <c r="BE243" i="38"/>
  <c r="BF243" i="38"/>
  <c r="AZ243" i="38"/>
  <c r="BA243" i="38"/>
  <c r="BB243" i="38"/>
  <c r="AW243" i="38"/>
  <c r="AX243" i="38"/>
  <c r="AY243" i="38"/>
  <c r="AV243" i="38"/>
  <c r="AS243" i="38"/>
  <c r="AT243" i="38"/>
  <c r="AU243" i="38"/>
  <c r="BC223" i="38"/>
  <c r="BD223" i="38"/>
  <c r="BE223" i="38"/>
  <c r="BF223" i="38"/>
  <c r="AW223" i="38"/>
  <c r="AV223" i="38"/>
  <c r="AS223" i="38"/>
  <c r="AT223" i="38"/>
  <c r="AU223" i="38"/>
  <c r="BC184" i="38"/>
  <c r="BD184" i="38"/>
  <c r="BE184" i="38"/>
  <c r="AX184" i="38"/>
  <c r="BF184" i="38"/>
  <c r="AY184" i="38"/>
  <c r="AZ184" i="38"/>
  <c r="BA184" i="38"/>
  <c r="BB184" i="38"/>
  <c r="AW184" i="38"/>
  <c r="AS184" i="38"/>
  <c r="AT184" i="38"/>
  <c r="AU184" i="38"/>
  <c r="AV184" i="38"/>
  <c r="AN184" i="38"/>
  <c r="AO184" i="38"/>
  <c r="AP184" i="38"/>
  <c r="AQ184" i="38"/>
  <c r="AR184" i="38"/>
  <c r="BC176" i="38"/>
  <c r="BD176" i="38"/>
  <c r="BE176" i="38"/>
  <c r="BF176" i="38"/>
  <c r="AX176" i="38"/>
  <c r="AY176" i="38"/>
  <c r="AZ176" i="38"/>
  <c r="BA176" i="38"/>
  <c r="BB176" i="38"/>
  <c r="AW176" i="38"/>
  <c r="AS176" i="38"/>
  <c r="AT176" i="38"/>
  <c r="AU176" i="38"/>
  <c r="AV176" i="38"/>
  <c r="AN176" i="38"/>
  <c r="AO176" i="38"/>
  <c r="AP176" i="38"/>
  <c r="AQ176" i="38"/>
  <c r="AR176" i="38"/>
  <c r="BC166" i="38"/>
  <c r="BF166" i="38"/>
  <c r="BD166" i="38"/>
  <c r="BE166" i="38"/>
  <c r="AX166" i="38"/>
  <c r="AY166" i="38"/>
  <c r="AZ166" i="38"/>
  <c r="BA166" i="38"/>
  <c r="BB166" i="38"/>
  <c r="AW166" i="38"/>
  <c r="AS166" i="38"/>
  <c r="AT166" i="38"/>
  <c r="AU166" i="38"/>
  <c r="AV166" i="38"/>
  <c r="AN166" i="38"/>
  <c r="AO166" i="38"/>
  <c r="AP166" i="38"/>
  <c r="AQ166" i="38"/>
  <c r="AR166" i="38"/>
  <c r="BC158" i="38"/>
  <c r="BF158" i="38"/>
  <c r="BD158" i="38"/>
  <c r="BE158" i="38"/>
  <c r="AW158" i="38"/>
  <c r="AS158" i="38"/>
  <c r="AT158" i="38"/>
  <c r="AU158" i="38"/>
  <c r="AV158" i="38"/>
  <c r="AR158" i="38"/>
  <c r="AN158" i="38"/>
  <c r="AO158" i="38"/>
  <c r="AP158" i="38"/>
  <c r="AQ158" i="38"/>
  <c r="BC136" i="38"/>
  <c r="BD136" i="38"/>
  <c r="BF136" i="38"/>
  <c r="BE136" i="38"/>
  <c r="AX136" i="38"/>
  <c r="AY136" i="38"/>
  <c r="BA136" i="38"/>
  <c r="BB136" i="38"/>
  <c r="AW136" i="38"/>
  <c r="AZ136" i="38"/>
  <c r="AS136" i="38"/>
  <c r="AR136" i="38"/>
  <c r="AT136" i="38"/>
  <c r="AU136" i="38"/>
  <c r="AV136" i="38"/>
  <c r="BC126" i="38"/>
  <c r="BD126" i="38"/>
  <c r="BF126" i="38"/>
  <c r="BE126" i="38"/>
  <c r="AW126" i="38"/>
  <c r="AS126" i="38"/>
  <c r="AT126" i="38"/>
  <c r="AU126" i="38"/>
  <c r="AN126" i="38"/>
  <c r="AV126" i="38"/>
  <c r="AO126" i="38"/>
  <c r="AP126" i="38"/>
  <c r="AQ126" i="38"/>
  <c r="AR126" i="38"/>
  <c r="BE115" i="38"/>
  <c r="BF115" i="38"/>
  <c r="BC115" i="38"/>
  <c r="BD115" i="38"/>
  <c r="AW115" i="38"/>
  <c r="AU115" i="38"/>
  <c r="AR115" i="38"/>
  <c r="AV115" i="38"/>
  <c r="AN115" i="38"/>
  <c r="AO115" i="38"/>
  <c r="AS115" i="38"/>
  <c r="AP115" i="38"/>
  <c r="AT115" i="38"/>
  <c r="AQ115" i="38"/>
  <c r="BE93" i="38"/>
  <c r="BF93" i="38"/>
  <c r="BC93" i="38"/>
  <c r="BD93" i="38"/>
  <c r="AW93" i="38"/>
  <c r="AU93" i="38"/>
  <c r="AN93" i="38"/>
  <c r="AV93" i="38"/>
  <c r="AO93" i="38"/>
  <c r="AP93" i="38"/>
  <c r="AQ93" i="38"/>
  <c r="AR93" i="38"/>
  <c r="AS93" i="38"/>
  <c r="AT93" i="38"/>
  <c r="BE78" i="38"/>
  <c r="BF78" i="38"/>
  <c r="BC78" i="38"/>
  <c r="BD78" i="38"/>
  <c r="AW78" i="38"/>
  <c r="AU78" i="38"/>
  <c r="AR78" i="38"/>
  <c r="AV78" i="38"/>
  <c r="AN78" i="38"/>
  <c r="AO78" i="38"/>
  <c r="AS78" i="38"/>
  <c r="AP78" i="38"/>
  <c r="AT78" i="38"/>
  <c r="AQ78" i="38"/>
  <c r="BC63" i="38"/>
  <c r="BD63" i="38"/>
  <c r="BF63" i="38"/>
  <c r="AX63" i="38"/>
  <c r="AY63" i="38"/>
  <c r="AZ63" i="38"/>
  <c r="BA63" i="38"/>
  <c r="BE63" i="38"/>
  <c r="BB63" i="38"/>
  <c r="AU63" i="38"/>
  <c r="AV63" i="38"/>
  <c r="AW63" i="38"/>
  <c r="AS63" i="38"/>
  <c r="AT63" i="38"/>
  <c r="AO63" i="38"/>
  <c r="AP63" i="38"/>
  <c r="AQ63" i="38"/>
  <c r="AR63" i="38"/>
  <c r="AN63" i="38"/>
  <c r="BC55" i="38"/>
  <c r="BD55" i="38"/>
  <c r="BF55" i="38"/>
  <c r="BE55" i="38"/>
  <c r="AX55" i="38"/>
  <c r="AY55" i="38"/>
  <c r="AZ55" i="38"/>
  <c r="BA55" i="38"/>
  <c r="BB55" i="38"/>
  <c r="AU55" i="38"/>
  <c r="AV55" i="38"/>
  <c r="AW55" i="38"/>
  <c r="AS55" i="38"/>
  <c r="AT55" i="38"/>
  <c r="BC29" i="38"/>
  <c r="BD29" i="38"/>
  <c r="BF29" i="38"/>
  <c r="BE29" i="38"/>
  <c r="AU29" i="38"/>
  <c r="AW29" i="38"/>
  <c r="AV29" i="38"/>
  <c r="AS29" i="38"/>
  <c r="AT29" i="38"/>
  <c r="AQ29" i="38"/>
  <c r="AR29" i="38"/>
  <c r="AN29" i="38"/>
  <c r="AO29" i="38"/>
  <c r="AP29" i="38"/>
  <c r="BC21" i="38"/>
  <c r="BD21" i="38"/>
  <c r="BF21" i="38"/>
  <c r="AY21" i="38"/>
  <c r="BE21" i="38"/>
  <c r="AZ21" i="38"/>
  <c r="BA21" i="38"/>
  <c r="BB21" i="38"/>
  <c r="AX21" i="38"/>
  <c r="AU21" i="38"/>
  <c r="AW21" i="38"/>
  <c r="AV21" i="38"/>
  <c r="AS21" i="38"/>
  <c r="AT21" i="38"/>
  <c r="AQ21" i="38"/>
  <c r="AR21" i="38"/>
  <c r="AN21" i="38"/>
  <c r="AO21" i="38"/>
  <c r="AP21" i="38"/>
  <c r="BC242" i="38"/>
  <c r="BE242" i="38"/>
  <c r="BF242" i="38"/>
  <c r="BD242" i="38"/>
  <c r="AX242" i="38"/>
  <c r="AW242" i="38"/>
  <c r="AY242" i="38"/>
  <c r="AZ242" i="38"/>
  <c r="BA242" i="38"/>
  <c r="BB242" i="38"/>
  <c r="AS242" i="38"/>
  <c r="AT242" i="38"/>
  <c r="AU242" i="38"/>
  <c r="AV242" i="38"/>
  <c r="BC231" i="38"/>
  <c r="BD231" i="38"/>
  <c r="BE231" i="38"/>
  <c r="BF231" i="38"/>
  <c r="AX231" i="38"/>
  <c r="AY231" i="38"/>
  <c r="AZ231" i="38"/>
  <c r="BA231" i="38"/>
  <c r="BB231" i="38"/>
  <c r="AW231" i="38"/>
  <c r="AV231" i="38"/>
  <c r="AS231" i="38"/>
  <c r="AT231" i="38"/>
  <c r="AU231" i="38"/>
  <c r="AR231" i="38"/>
  <c r="AN231" i="38"/>
  <c r="AO231" i="38"/>
  <c r="AP231" i="38"/>
  <c r="AQ231" i="38"/>
  <c r="BE183" i="38"/>
  <c r="BF183" i="38"/>
  <c r="BD183" i="38"/>
  <c r="BC183" i="38"/>
  <c r="BB183" i="38"/>
  <c r="AX183" i="38"/>
  <c r="AZ183" i="38"/>
  <c r="BA183" i="38"/>
  <c r="AY183" i="38"/>
  <c r="AW183" i="38"/>
  <c r="AV183" i="38"/>
  <c r="AS183" i="38"/>
  <c r="AT183" i="38"/>
  <c r="AU183" i="38"/>
  <c r="AR183" i="38"/>
  <c r="AN183" i="38"/>
  <c r="AO183" i="38"/>
  <c r="AP183" i="38"/>
  <c r="AQ183" i="38"/>
  <c r="BE175" i="38"/>
  <c r="BF175" i="38"/>
  <c r="BD175" i="38"/>
  <c r="BC175" i="38"/>
  <c r="BB175" i="38"/>
  <c r="AX175" i="38"/>
  <c r="AZ175" i="38"/>
  <c r="BA175" i="38"/>
  <c r="AY175" i="38"/>
  <c r="AW175" i="38"/>
  <c r="AV175" i="38"/>
  <c r="AS175" i="38"/>
  <c r="AT175" i="38"/>
  <c r="AU175" i="38"/>
  <c r="AR175" i="38"/>
  <c r="AN175" i="38"/>
  <c r="AO175" i="38"/>
  <c r="AP175" i="38"/>
  <c r="AQ175" i="38"/>
  <c r="BE165" i="38"/>
  <c r="BF165" i="38"/>
  <c r="BC165" i="38"/>
  <c r="BD165" i="38"/>
  <c r="BB165" i="38"/>
  <c r="AX165" i="38"/>
  <c r="AZ165" i="38"/>
  <c r="BA165" i="38"/>
  <c r="AY165" i="38"/>
  <c r="AW165" i="38"/>
  <c r="AV165" i="38"/>
  <c r="AS165" i="38"/>
  <c r="AT165" i="38"/>
  <c r="AU165" i="38"/>
  <c r="AO165" i="38"/>
  <c r="AR165" i="38"/>
  <c r="AN165" i="38"/>
  <c r="AP165" i="38"/>
  <c r="AQ165" i="38"/>
  <c r="BE157" i="38"/>
  <c r="BF157" i="38"/>
  <c r="BC157" i="38"/>
  <c r="BD157" i="38"/>
  <c r="AW157" i="38"/>
  <c r="AV157" i="38"/>
  <c r="AR157" i="38"/>
  <c r="AS157" i="38"/>
  <c r="AT157" i="38"/>
  <c r="AU157" i="38"/>
  <c r="AO157" i="38"/>
  <c r="AQ157" i="38"/>
  <c r="AN157" i="38"/>
  <c r="AP157" i="38"/>
  <c r="BC144" i="38"/>
  <c r="BD144" i="38"/>
  <c r="BF144" i="38"/>
  <c r="BE144" i="38"/>
  <c r="AX144" i="38"/>
  <c r="AY144" i="38"/>
  <c r="BA144" i="38"/>
  <c r="BB144" i="38"/>
  <c r="AW144" i="38"/>
  <c r="AZ144" i="38"/>
  <c r="AS144" i="38"/>
  <c r="AT144" i="38"/>
  <c r="AU144" i="38"/>
  <c r="AV144" i="38"/>
  <c r="BE135" i="38"/>
  <c r="BF135" i="38"/>
  <c r="BC135" i="38"/>
  <c r="BD135" i="38"/>
  <c r="AZ135" i="38"/>
  <c r="BA135" i="38"/>
  <c r="BB135" i="38"/>
  <c r="AX135" i="38"/>
  <c r="AY135" i="38"/>
  <c r="AW135" i="38"/>
  <c r="AV135" i="38"/>
  <c r="AS135" i="38"/>
  <c r="AT135" i="38"/>
  <c r="AU135" i="38"/>
  <c r="BE113" i="38"/>
  <c r="BF113" i="38"/>
  <c r="BC113" i="38"/>
  <c r="BD113" i="38"/>
  <c r="AW113" i="38"/>
  <c r="AU113" i="38"/>
  <c r="AV113" i="38"/>
  <c r="AN113" i="38"/>
  <c r="AO113" i="38"/>
  <c r="AP113" i="38"/>
  <c r="AQ113" i="38"/>
  <c r="AS113" i="38"/>
  <c r="AR113" i="38"/>
  <c r="AT113" i="38"/>
  <c r="BE105" i="38"/>
  <c r="BF105" i="38"/>
  <c r="BC105" i="38"/>
  <c r="BD105" i="38"/>
  <c r="AX105" i="38"/>
  <c r="AY105" i="38"/>
  <c r="AZ105" i="38"/>
  <c r="BA105" i="38"/>
  <c r="BB105" i="38"/>
  <c r="AW105" i="38"/>
  <c r="AU105" i="38"/>
  <c r="AV105" i="38"/>
  <c r="AN105" i="38"/>
  <c r="AO105" i="38"/>
  <c r="AP105" i="38"/>
  <c r="AQ105" i="38"/>
  <c r="AS105" i="38"/>
  <c r="AR105" i="38"/>
  <c r="AT105" i="38"/>
  <c r="BC77" i="38"/>
  <c r="BD77" i="38"/>
  <c r="BF77" i="38"/>
  <c r="BE77" i="38"/>
  <c r="AW77" i="38"/>
  <c r="AO77" i="38"/>
  <c r="AP77" i="38"/>
  <c r="AS77" i="38"/>
  <c r="AQ77" i="38"/>
  <c r="AT77" i="38"/>
  <c r="AR77" i="38"/>
  <c r="AU77" i="38"/>
  <c r="AV77" i="38"/>
  <c r="AN77" i="38"/>
  <c r="BE62" i="38"/>
  <c r="BF62" i="38"/>
  <c r="BC62" i="38"/>
  <c r="BD62" i="38"/>
  <c r="AW62" i="38"/>
  <c r="AS62" i="38"/>
  <c r="AT62" i="38"/>
  <c r="AU62" i="38"/>
  <c r="AV62" i="38"/>
  <c r="AN62" i="38"/>
  <c r="AO62" i="38"/>
  <c r="AP62" i="38"/>
  <c r="AQ62" i="38"/>
  <c r="AR62" i="38"/>
  <c r="BC45" i="38"/>
  <c r="BD45" i="38"/>
  <c r="BF45" i="38"/>
  <c r="AY45" i="38"/>
  <c r="BE45" i="38"/>
  <c r="AZ45" i="38"/>
  <c r="BA45" i="38"/>
  <c r="BB45" i="38"/>
  <c r="AX45" i="38"/>
  <c r="AU45" i="38"/>
  <c r="AW45" i="38"/>
  <c r="AV45" i="38"/>
  <c r="AS45" i="38"/>
  <c r="AT45" i="38"/>
  <c r="BC37" i="38"/>
  <c r="BD37" i="38"/>
  <c r="BF37" i="38"/>
  <c r="AY37" i="38"/>
  <c r="AZ37" i="38"/>
  <c r="BA37" i="38"/>
  <c r="BB37" i="38"/>
  <c r="AX37" i="38"/>
  <c r="BE37" i="38"/>
  <c r="AU37" i="38"/>
  <c r="AW37" i="38"/>
  <c r="AV37" i="38"/>
  <c r="AS37" i="38"/>
  <c r="AT37" i="38"/>
  <c r="AQ37" i="38"/>
  <c r="AR37" i="38"/>
  <c r="AN37" i="38"/>
  <c r="AO37" i="38"/>
  <c r="AP37" i="38"/>
  <c r="BE28" i="38"/>
  <c r="BF28" i="38"/>
  <c r="BC28" i="38"/>
  <c r="BD28" i="38"/>
  <c r="AW28" i="38"/>
  <c r="AS28" i="38"/>
  <c r="AT28" i="38"/>
  <c r="AU28" i="38"/>
  <c r="AV28" i="38"/>
  <c r="AN28" i="38"/>
  <c r="AO28" i="38"/>
  <c r="AP28" i="38"/>
  <c r="AQ28" i="38"/>
  <c r="AR28" i="38"/>
  <c r="BE20" i="38"/>
  <c r="BF20" i="38"/>
  <c r="BC20" i="38"/>
  <c r="BD20" i="38"/>
  <c r="AX20" i="38"/>
  <c r="AY20" i="38"/>
  <c r="AZ20" i="38"/>
  <c r="BB20" i="38"/>
  <c r="BA20" i="38"/>
  <c r="AW20" i="38"/>
  <c r="AS20" i="38"/>
  <c r="AT20" i="38"/>
  <c r="AU20" i="38"/>
  <c r="AV20" i="38"/>
  <c r="AN20" i="38"/>
  <c r="AO20" i="38"/>
  <c r="AP20" i="38"/>
  <c r="AQ20" i="38"/>
  <c r="AR20" i="38"/>
  <c r="BC230" i="38"/>
  <c r="BE230" i="38"/>
  <c r="BF230" i="38"/>
  <c r="BA230" i="38"/>
  <c r="BB230" i="38"/>
  <c r="BD230" i="38"/>
  <c r="AX230" i="38"/>
  <c r="AW230" i="38"/>
  <c r="AY230" i="38"/>
  <c r="AZ230" i="38"/>
  <c r="AS230" i="38"/>
  <c r="AT230" i="38"/>
  <c r="AU230" i="38"/>
  <c r="AV230" i="38"/>
  <c r="AO230" i="38"/>
  <c r="AP230" i="38"/>
  <c r="AQ230" i="38"/>
  <c r="AR230" i="38"/>
  <c r="AN230" i="38"/>
  <c r="BC217" i="38"/>
  <c r="BD217" i="38"/>
  <c r="BE217" i="38"/>
  <c r="BF217" i="38"/>
  <c r="AW217" i="38"/>
  <c r="AV217" i="38"/>
  <c r="AS217" i="38"/>
  <c r="AT217" i="38"/>
  <c r="AU217" i="38"/>
  <c r="AP217" i="38"/>
  <c r="AQ217" i="38"/>
  <c r="AR217" i="38"/>
  <c r="AN217" i="38"/>
  <c r="AO217" i="38"/>
  <c r="BE195" i="38"/>
  <c r="BF195" i="38"/>
  <c r="BD195" i="38"/>
  <c r="BC195" i="38"/>
  <c r="AX195" i="38"/>
  <c r="AY195" i="38"/>
  <c r="AZ195" i="38"/>
  <c r="BA195" i="38"/>
  <c r="BB195" i="38"/>
  <c r="AW195" i="38"/>
  <c r="AV195" i="38"/>
  <c r="AS195" i="38"/>
  <c r="AT195" i="38"/>
  <c r="AU195" i="38"/>
  <c r="AN195" i="38"/>
  <c r="AO195" i="38"/>
  <c r="AP195" i="38"/>
  <c r="AQ195" i="38"/>
  <c r="AR195" i="38"/>
  <c r="BC182" i="38"/>
  <c r="BE182" i="38"/>
  <c r="BF182" i="38"/>
  <c r="BD182" i="38"/>
  <c r="AY182" i="38"/>
  <c r="AZ182" i="38"/>
  <c r="BA182" i="38"/>
  <c r="BB182" i="38"/>
  <c r="AX182" i="38"/>
  <c r="AW182" i="38"/>
  <c r="AS182" i="38"/>
  <c r="AT182" i="38"/>
  <c r="AU182" i="38"/>
  <c r="AV182" i="38"/>
  <c r="AO182" i="38"/>
  <c r="AP182" i="38"/>
  <c r="AQ182" i="38"/>
  <c r="AR182" i="38"/>
  <c r="AN182" i="38"/>
  <c r="BC174" i="38"/>
  <c r="BE174" i="38"/>
  <c r="BF174" i="38"/>
  <c r="BD174" i="38"/>
  <c r="AY174" i="38"/>
  <c r="AZ174" i="38"/>
  <c r="BA174" i="38"/>
  <c r="BB174" i="38"/>
  <c r="AX174" i="38"/>
  <c r="AW174" i="38"/>
  <c r="AS174" i="38"/>
  <c r="AT174" i="38"/>
  <c r="AU174" i="38"/>
  <c r="AV174" i="38"/>
  <c r="AO174" i="38"/>
  <c r="AP174" i="38"/>
  <c r="AQ174" i="38"/>
  <c r="AR174" i="38"/>
  <c r="AN174" i="38"/>
  <c r="BC164" i="38"/>
  <c r="BF164" i="38"/>
  <c r="BD164" i="38"/>
  <c r="AY164" i="38"/>
  <c r="AZ164" i="38"/>
  <c r="BA164" i="38"/>
  <c r="BB164" i="38"/>
  <c r="BE164" i="38"/>
  <c r="AX164" i="38"/>
  <c r="AW164" i="38"/>
  <c r="AS164" i="38"/>
  <c r="AT164" i="38"/>
  <c r="AU164" i="38"/>
  <c r="AV164" i="38"/>
  <c r="AN164" i="38"/>
  <c r="AO164" i="38"/>
  <c r="AP164" i="38"/>
  <c r="AQ164" i="38"/>
  <c r="BE143" i="38"/>
  <c r="BF143" i="38"/>
  <c r="BC143" i="38"/>
  <c r="BD143" i="38"/>
  <c r="AZ143" i="38"/>
  <c r="BA143" i="38"/>
  <c r="BB143" i="38"/>
  <c r="AX143" i="38"/>
  <c r="AY143" i="38"/>
  <c r="AW143" i="38"/>
  <c r="AV143" i="38"/>
  <c r="AS143" i="38"/>
  <c r="AT143" i="38"/>
  <c r="AU143" i="38"/>
  <c r="BC134" i="38"/>
  <c r="BD134" i="38"/>
  <c r="BF134" i="38"/>
  <c r="BE134" i="38"/>
  <c r="AX134" i="38"/>
  <c r="AY134" i="38"/>
  <c r="AZ134" i="38"/>
  <c r="BA134" i="38"/>
  <c r="BB134" i="38"/>
  <c r="AW134" i="38"/>
  <c r="AS134" i="38"/>
  <c r="AT134" i="38"/>
  <c r="AU134" i="38"/>
  <c r="AV134" i="38"/>
  <c r="BE121" i="38"/>
  <c r="BF121" i="38"/>
  <c r="BC121" i="38"/>
  <c r="BD121" i="38"/>
  <c r="AW121" i="38"/>
  <c r="AU121" i="38"/>
  <c r="AV121" i="38"/>
  <c r="AN121" i="38"/>
  <c r="AO121" i="38"/>
  <c r="AP121" i="38"/>
  <c r="AQ121" i="38"/>
  <c r="AS121" i="38"/>
  <c r="AR121" i="38"/>
  <c r="AT121" i="38"/>
  <c r="BC112" i="38"/>
  <c r="BD112" i="38"/>
  <c r="BF112" i="38"/>
  <c r="BE112" i="38"/>
  <c r="AW112" i="38"/>
  <c r="AQ112" i="38"/>
  <c r="AR112" i="38"/>
  <c r="AS112" i="38"/>
  <c r="AT112" i="38"/>
  <c r="AU112" i="38"/>
  <c r="AV112" i="38"/>
  <c r="AN112" i="38"/>
  <c r="AO112" i="38"/>
  <c r="AP112" i="38"/>
  <c r="BC61" i="38"/>
  <c r="BD61" i="38"/>
  <c r="BF61" i="38"/>
  <c r="AY61" i="38"/>
  <c r="AZ61" i="38"/>
  <c r="BA61" i="38"/>
  <c r="BB61" i="38"/>
  <c r="BE61" i="38"/>
  <c r="AX61" i="38"/>
  <c r="AU61" i="38"/>
  <c r="AW61" i="38"/>
  <c r="AV61" i="38"/>
  <c r="AS61" i="38"/>
  <c r="AT61" i="38"/>
  <c r="BC53" i="38"/>
  <c r="BD53" i="38"/>
  <c r="BF53" i="38"/>
  <c r="BE53" i="38"/>
  <c r="AU53" i="38"/>
  <c r="AW53" i="38"/>
  <c r="AV53" i="38"/>
  <c r="AS53" i="38"/>
  <c r="AT53" i="38"/>
  <c r="AQ53" i="38"/>
  <c r="AR53" i="38"/>
  <c r="AN53" i="38"/>
  <c r="AO53" i="38"/>
  <c r="AP53" i="38"/>
  <c r="BE44" i="38"/>
  <c r="BF44" i="38"/>
  <c r="BC44" i="38"/>
  <c r="BD44" i="38"/>
  <c r="AX44" i="38"/>
  <c r="AY44" i="38"/>
  <c r="AZ44" i="38"/>
  <c r="BB44" i="38"/>
  <c r="BA44" i="38"/>
  <c r="AW44" i="38"/>
  <c r="AS44" i="38"/>
  <c r="AT44" i="38"/>
  <c r="AU44" i="38"/>
  <c r="AV44" i="38"/>
  <c r="BE36" i="38"/>
  <c r="BF36" i="38"/>
  <c r="BC36" i="38"/>
  <c r="BD36" i="38"/>
  <c r="AW36" i="38"/>
  <c r="AS36" i="38"/>
  <c r="AT36" i="38"/>
  <c r="AU36" i="38"/>
  <c r="AV36" i="38"/>
  <c r="AN36" i="38"/>
  <c r="AO36" i="38"/>
  <c r="AP36" i="38"/>
  <c r="AQ36" i="38"/>
  <c r="AR36" i="38"/>
  <c r="BC19" i="38"/>
  <c r="BD19" i="38"/>
  <c r="BF19" i="38"/>
  <c r="BE19" i="38"/>
  <c r="BA19" i="38"/>
  <c r="BB19" i="38"/>
  <c r="AY19" i="38"/>
  <c r="AZ19" i="38"/>
  <c r="AX19" i="38"/>
  <c r="AU19" i="38"/>
  <c r="AV19" i="38"/>
  <c r="AS19" i="38"/>
  <c r="AW19" i="38"/>
  <c r="AT19" i="38"/>
  <c r="AN19" i="38"/>
  <c r="AO19" i="38"/>
  <c r="AP19" i="38"/>
  <c r="AQ19" i="38"/>
  <c r="AR19" i="38"/>
  <c r="BE10" i="38"/>
  <c r="BF10" i="38"/>
  <c r="BC10" i="38"/>
  <c r="BD10" i="38"/>
  <c r="AX10" i="38"/>
  <c r="AY10" i="38"/>
  <c r="AZ10" i="38"/>
  <c r="BA10" i="38"/>
  <c r="BB10" i="38"/>
  <c r="AS10" i="38"/>
  <c r="AT10" i="38"/>
  <c r="AU10" i="38"/>
  <c r="AV10" i="38"/>
  <c r="AW10" i="38"/>
  <c r="AQ10" i="38"/>
  <c r="AR10" i="38"/>
  <c r="BC240" i="38"/>
  <c r="BE240" i="38"/>
  <c r="BF240" i="38"/>
  <c r="BD240" i="38"/>
  <c r="AY240" i="38"/>
  <c r="AZ240" i="38"/>
  <c r="BA240" i="38"/>
  <c r="BB240" i="38"/>
  <c r="AX240" i="38"/>
  <c r="AW240" i="38"/>
  <c r="AS240" i="38"/>
  <c r="AT240" i="38"/>
  <c r="AU240" i="38"/>
  <c r="AV240" i="38"/>
  <c r="AN240" i="38"/>
  <c r="AO240" i="38"/>
  <c r="AP240" i="38"/>
  <c r="AQ240" i="38"/>
  <c r="AR240" i="38"/>
  <c r="BC194" i="38"/>
  <c r="BF194" i="38"/>
  <c r="BD194" i="38"/>
  <c r="BE194" i="38"/>
  <c r="AX194" i="38"/>
  <c r="AY194" i="38"/>
  <c r="BA194" i="38"/>
  <c r="BB194" i="38"/>
  <c r="AW194" i="38"/>
  <c r="AZ194" i="38"/>
  <c r="AS194" i="38"/>
  <c r="AT194" i="38"/>
  <c r="AU194" i="38"/>
  <c r="AV194" i="38"/>
  <c r="AN194" i="38"/>
  <c r="AO194" i="38"/>
  <c r="AP194" i="38"/>
  <c r="AQ194" i="38"/>
  <c r="AR194" i="38"/>
  <c r="BE181" i="38"/>
  <c r="BF181" i="38"/>
  <c r="BD181" i="38"/>
  <c r="BC181" i="38"/>
  <c r="AX181" i="38"/>
  <c r="AY181" i="38"/>
  <c r="AZ181" i="38"/>
  <c r="BB181" i="38"/>
  <c r="AW181" i="38"/>
  <c r="BA181" i="38"/>
  <c r="AV181" i="38"/>
  <c r="AS181" i="38"/>
  <c r="AT181" i="38"/>
  <c r="AU181" i="38"/>
  <c r="AN181" i="38"/>
  <c r="AO181" i="38"/>
  <c r="AP181" i="38"/>
  <c r="AQ181" i="38"/>
  <c r="AR181" i="38"/>
  <c r="BE173" i="38"/>
  <c r="BF173" i="38"/>
  <c r="BD173" i="38"/>
  <c r="BC173" i="38"/>
  <c r="AX173" i="38"/>
  <c r="AY173" i="38"/>
  <c r="AZ173" i="38"/>
  <c r="BB173" i="38"/>
  <c r="BA173" i="38"/>
  <c r="AW173" i="38"/>
  <c r="AV173" i="38"/>
  <c r="AS173" i="38"/>
  <c r="AT173" i="38"/>
  <c r="AU173" i="38"/>
  <c r="AN173" i="38"/>
  <c r="AO173" i="38"/>
  <c r="AP173" i="38"/>
  <c r="AQ173" i="38"/>
  <c r="AR173" i="38"/>
  <c r="BE163" i="38"/>
  <c r="BF163" i="38"/>
  <c r="BC163" i="38"/>
  <c r="BD163" i="38"/>
  <c r="AX163" i="38"/>
  <c r="AY163" i="38"/>
  <c r="AZ163" i="38"/>
  <c r="BB163" i="38"/>
  <c r="AW163" i="38"/>
  <c r="BA163" i="38"/>
  <c r="AV163" i="38"/>
  <c r="AS163" i="38"/>
  <c r="AT163" i="38"/>
  <c r="AU163" i="38"/>
  <c r="BE111" i="38"/>
  <c r="BF111" i="38"/>
  <c r="BC111" i="38"/>
  <c r="BD111" i="38"/>
  <c r="AW111" i="38"/>
  <c r="AU111" i="38"/>
  <c r="AN111" i="38"/>
  <c r="AV111" i="38"/>
  <c r="AO111" i="38"/>
  <c r="AP111" i="38"/>
  <c r="AQ111" i="38"/>
  <c r="AR111" i="38"/>
  <c r="AS111" i="38"/>
  <c r="AT111" i="38"/>
  <c r="BC100" i="38"/>
  <c r="BD100" i="38"/>
  <c r="BF100" i="38"/>
  <c r="BE100" i="38"/>
  <c r="AY100" i="38"/>
  <c r="AZ100" i="38"/>
  <c r="BA100" i="38"/>
  <c r="BB100" i="38"/>
  <c r="AX100" i="38"/>
  <c r="AW100" i="38"/>
  <c r="AS100" i="38"/>
  <c r="AT100" i="38"/>
  <c r="AU100" i="38"/>
  <c r="AV100" i="38"/>
  <c r="BC75" i="38"/>
  <c r="BD75" i="38"/>
  <c r="BF75" i="38"/>
  <c r="BE75" i="38"/>
  <c r="AY75" i="38"/>
  <c r="AZ75" i="38"/>
  <c r="BA75" i="38"/>
  <c r="BB75" i="38"/>
  <c r="AX75" i="38"/>
  <c r="AW75" i="38"/>
  <c r="AS75" i="38"/>
  <c r="AT75" i="38"/>
  <c r="AQ75" i="38"/>
  <c r="AR75" i="38"/>
  <c r="AU75" i="38"/>
  <c r="AV75" i="38"/>
  <c r="AN75" i="38"/>
  <c r="AO75" i="38"/>
  <c r="AP75" i="38"/>
  <c r="BE60" i="38"/>
  <c r="BF60" i="38"/>
  <c r="BC60" i="38"/>
  <c r="BD60" i="38"/>
  <c r="AX60" i="38"/>
  <c r="AY60" i="38"/>
  <c r="AZ60" i="38"/>
  <c r="BB60" i="38"/>
  <c r="BA60" i="38"/>
  <c r="AW60" i="38"/>
  <c r="AS60" i="38"/>
  <c r="AT60" i="38"/>
  <c r="AU60" i="38"/>
  <c r="AV60" i="38"/>
  <c r="BE52" i="38"/>
  <c r="BF52" i="38"/>
  <c r="BC52" i="38"/>
  <c r="BD52" i="38"/>
  <c r="AX52" i="38"/>
  <c r="AY52" i="38"/>
  <c r="AZ52" i="38"/>
  <c r="BB52" i="38"/>
  <c r="BA52" i="38"/>
  <c r="AW52" i="38"/>
  <c r="AS52" i="38"/>
  <c r="AT52" i="38"/>
  <c r="AU52" i="38"/>
  <c r="AV52" i="38"/>
  <c r="BC43" i="38"/>
  <c r="BD43" i="38"/>
  <c r="BF43" i="38"/>
  <c r="BE43" i="38"/>
  <c r="BA43" i="38"/>
  <c r="BB43" i="38"/>
  <c r="AY43" i="38"/>
  <c r="AZ43" i="38"/>
  <c r="AU43" i="38"/>
  <c r="AV43" i="38"/>
  <c r="AX43" i="38"/>
  <c r="AS43" i="38"/>
  <c r="AW43" i="38"/>
  <c r="AT43" i="38"/>
  <c r="BC35" i="38"/>
  <c r="BD35" i="38"/>
  <c r="BF35" i="38"/>
  <c r="BA35" i="38"/>
  <c r="BB35" i="38"/>
  <c r="BE35" i="38"/>
  <c r="AY35" i="38"/>
  <c r="AZ35" i="38"/>
  <c r="AX35" i="38"/>
  <c r="AU35" i="38"/>
  <c r="AV35" i="38"/>
  <c r="AS35" i="38"/>
  <c r="AW35" i="38"/>
  <c r="AT35" i="38"/>
  <c r="BE26" i="38"/>
  <c r="BF26" i="38"/>
  <c r="BC26" i="38"/>
  <c r="BD26" i="38"/>
  <c r="AX26" i="38"/>
  <c r="AY26" i="38"/>
  <c r="AZ26" i="38"/>
  <c r="BA26" i="38"/>
  <c r="BB26" i="38"/>
  <c r="AS26" i="38"/>
  <c r="AT26" i="38"/>
  <c r="AU26" i="38"/>
  <c r="AV26" i="38"/>
  <c r="AW26" i="38"/>
  <c r="BC17" i="38"/>
  <c r="BD17" i="38"/>
  <c r="BF17" i="38"/>
  <c r="BE17" i="38"/>
  <c r="AX17" i="38"/>
  <c r="AY17" i="38"/>
  <c r="BA17" i="38"/>
  <c r="BB17" i="38"/>
  <c r="AZ17" i="38"/>
  <c r="AU17" i="38"/>
  <c r="AV17" i="38"/>
  <c r="AW17" i="38"/>
  <c r="AS17" i="38"/>
  <c r="AT17" i="38"/>
  <c r="AS145" i="31"/>
  <c r="AT145" i="31"/>
  <c r="AV145" i="31"/>
  <c r="AU145" i="31"/>
  <c r="AU102" i="31"/>
  <c r="AV102" i="31"/>
  <c r="AS102" i="31"/>
  <c r="AT102" i="31"/>
  <c r="AU61" i="31"/>
  <c r="AV61" i="31"/>
  <c r="AS61" i="31"/>
  <c r="AT61" i="31"/>
  <c r="AS20" i="31"/>
  <c r="AT20" i="31"/>
  <c r="AV20" i="31"/>
  <c r="AU20" i="31"/>
  <c r="AU228" i="31"/>
  <c r="AV228" i="31"/>
  <c r="AT228" i="31"/>
  <c r="AS228" i="31"/>
  <c r="AS217" i="31"/>
  <c r="AT217" i="31"/>
  <c r="AU217" i="31"/>
  <c r="AV217" i="31"/>
  <c r="AU182" i="31"/>
  <c r="AV182" i="31"/>
  <c r="AS182" i="31"/>
  <c r="AT182" i="31"/>
  <c r="AU162" i="31"/>
  <c r="AV162" i="31"/>
  <c r="AS162" i="31"/>
  <c r="AT162" i="31"/>
  <c r="AU152" i="31"/>
  <c r="AV152" i="31"/>
  <c r="AS152" i="31"/>
  <c r="AT152" i="31"/>
  <c r="AS131" i="31"/>
  <c r="AT131" i="31"/>
  <c r="AV131" i="31"/>
  <c r="AU131" i="31"/>
  <c r="AU122" i="31"/>
  <c r="AV122" i="31"/>
  <c r="AS122" i="31"/>
  <c r="AT122" i="31"/>
  <c r="AU110" i="31"/>
  <c r="AV110" i="31"/>
  <c r="AS110" i="31"/>
  <c r="AT110" i="31"/>
  <c r="AU88" i="31"/>
  <c r="AV88" i="31"/>
  <c r="AS88" i="31"/>
  <c r="AT88" i="31"/>
  <c r="AS52" i="31"/>
  <c r="AT52" i="31"/>
  <c r="AV52" i="31"/>
  <c r="AU52" i="31"/>
  <c r="AS44" i="31"/>
  <c r="AT44" i="31"/>
  <c r="AV44" i="31"/>
  <c r="AU44" i="31"/>
  <c r="AU35" i="31"/>
  <c r="AV35" i="31"/>
  <c r="AS35" i="31"/>
  <c r="AT35" i="31"/>
  <c r="AU19" i="31"/>
  <c r="AV19" i="31"/>
  <c r="AS19" i="31"/>
  <c r="AT19" i="31"/>
  <c r="AS10" i="31"/>
  <c r="AT10" i="31"/>
  <c r="AV10" i="31"/>
  <c r="AU10" i="31"/>
  <c r="AS163" i="31"/>
  <c r="AT163" i="31"/>
  <c r="AV163" i="31"/>
  <c r="AU163" i="31"/>
  <c r="AS111" i="31"/>
  <c r="AT111" i="31"/>
  <c r="AV111" i="31"/>
  <c r="AU111" i="31"/>
  <c r="AU53" i="31"/>
  <c r="AV53" i="31"/>
  <c r="AS53" i="31"/>
  <c r="AT53" i="31"/>
  <c r="AT216" i="31"/>
  <c r="AU216" i="31"/>
  <c r="AV216" i="31"/>
  <c r="AS216" i="31"/>
  <c r="AT181" i="31"/>
  <c r="AU181" i="31"/>
  <c r="AV181" i="31"/>
  <c r="AS181" i="31"/>
  <c r="AS161" i="31"/>
  <c r="AT161" i="31"/>
  <c r="AV161" i="31"/>
  <c r="AU161" i="31"/>
  <c r="AS151" i="31"/>
  <c r="AT151" i="31"/>
  <c r="AV151" i="31"/>
  <c r="AU151" i="31"/>
  <c r="AS109" i="31"/>
  <c r="AT109" i="31"/>
  <c r="AV109" i="31"/>
  <c r="AU109" i="31"/>
  <c r="AS87" i="31"/>
  <c r="AT87" i="31"/>
  <c r="AV87" i="31"/>
  <c r="AU87" i="31"/>
  <c r="AU75" i="31"/>
  <c r="AV75" i="31"/>
  <c r="AS75" i="31"/>
  <c r="AT75" i="31"/>
  <c r="AU59" i="31"/>
  <c r="AV59" i="31"/>
  <c r="AS59" i="31"/>
  <c r="AT59" i="31"/>
  <c r="AU51" i="31"/>
  <c r="AV51" i="31"/>
  <c r="AS51" i="31"/>
  <c r="AT51" i="31"/>
  <c r="AS42" i="31"/>
  <c r="AT42" i="31"/>
  <c r="AV42" i="31"/>
  <c r="AU42" i="31"/>
  <c r="AS26" i="31"/>
  <c r="AT26" i="31"/>
  <c r="AV26" i="31"/>
  <c r="AU26" i="31"/>
  <c r="AU17" i="31"/>
  <c r="AV17" i="31"/>
  <c r="AS17" i="31"/>
  <c r="AT17" i="31"/>
  <c r="AS229" i="31"/>
  <c r="AT229" i="31"/>
  <c r="AU229" i="31"/>
  <c r="AV229" i="31"/>
  <c r="AU77" i="31"/>
  <c r="AV77" i="31"/>
  <c r="AS77" i="31"/>
  <c r="AT77" i="31"/>
  <c r="AU160" i="31"/>
  <c r="AV160" i="31"/>
  <c r="AS160" i="31"/>
  <c r="AT160" i="31"/>
  <c r="AU150" i="31"/>
  <c r="AV150" i="31"/>
  <c r="AS150" i="31"/>
  <c r="AT150" i="31"/>
  <c r="AU140" i="31"/>
  <c r="AV140" i="31"/>
  <c r="AS140" i="31"/>
  <c r="AT140" i="31"/>
  <c r="AS129" i="31"/>
  <c r="AT129" i="31"/>
  <c r="AV129" i="31"/>
  <c r="AU129" i="31"/>
  <c r="AU120" i="31"/>
  <c r="AV120" i="31"/>
  <c r="AS120" i="31"/>
  <c r="AT120" i="31"/>
  <c r="AS107" i="31"/>
  <c r="AT107" i="31"/>
  <c r="AV107" i="31"/>
  <c r="AU107" i="31"/>
  <c r="AS99" i="31"/>
  <c r="AT99" i="31"/>
  <c r="AV99" i="31"/>
  <c r="AU99" i="31"/>
  <c r="AU73" i="31"/>
  <c r="AV73" i="31"/>
  <c r="AS73" i="31"/>
  <c r="AT73" i="31"/>
  <c r="AS58" i="31"/>
  <c r="AT58" i="31"/>
  <c r="AV58" i="31"/>
  <c r="AU58" i="31"/>
  <c r="AU25" i="31"/>
  <c r="AV25" i="31"/>
  <c r="AS25" i="31"/>
  <c r="AT25" i="31"/>
  <c r="AS16" i="31"/>
  <c r="AT16" i="31"/>
  <c r="AV16" i="31"/>
  <c r="AU16" i="31"/>
  <c r="AS8" i="31"/>
  <c r="AT8" i="31"/>
  <c r="AV8" i="31"/>
  <c r="AU8" i="31"/>
  <c r="AS153" i="31"/>
  <c r="AT153" i="31"/>
  <c r="AV153" i="31"/>
  <c r="AU153" i="31"/>
  <c r="AS36" i="31"/>
  <c r="AT36" i="31"/>
  <c r="AV36" i="31"/>
  <c r="AU36" i="31"/>
  <c r="AT226" i="31"/>
  <c r="AU226" i="31"/>
  <c r="AV226" i="31"/>
  <c r="AS226" i="31"/>
  <c r="AS233" i="31"/>
  <c r="AT233" i="31"/>
  <c r="AU233" i="31"/>
  <c r="BE233" i="31"/>
  <c r="AV233" i="31"/>
  <c r="BD233" i="31"/>
  <c r="BC233" i="31"/>
  <c r="AS225" i="31"/>
  <c r="AT225" i="31"/>
  <c r="AU225" i="31"/>
  <c r="AV225" i="31"/>
  <c r="AS213" i="31"/>
  <c r="AT213" i="31"/>
  <c r="AU213" i="31"/>
  <c r="AV213" i="31"/>
  <c r="AS191" i="31"/>
  <c r="AT191" i="31"/>
  <c r="AU191" i="31"/>
  <c r="AV191" i="31"/>
  <c r="AS149" i="31"/>
  <c r="AT149" i="31"/>
  <c r="AV149" i="31"/>
  <c r="AU149" i="31"/>
  <c r="AS127" i="31"/>
  <c r="AT127" i="31"/>
  <c r="AV127" i="31"/>
  <c r="AU127" i="31"/>
  <c r="AU106" i="31"/>
  <c r="AV106" i="31"/>
  <c r="AS106" i="31"/>
  <c r="AT106" i="31"/>
  <c r="AS95" i="31"/>
  <c r="AT95" i="31"/>
  <c r="AV95" i="31"/>
  <c r="AU95" i="31"/>
  <c r="AS82" i="31"/>
  <c r="AT82" i="31"/>
  <c r="AV82" i="31"/>
  <c r="AU82" i="31"/>
  <c r="AU57" i="31"/>
  <c r="AV57" i="31"/>
  <c r="AS57" i="31"/>
  <c r="AT57" i="31"/>
  <c r="AU49" i="31"/>
  <c r="AV49" i="31"/>
  <c r="AS49" i="31"/>
  <c r="AT49" i="31"/>
  <c r="AS40" i="31"/>
  <c r="AT40" i="31"/>
  <c r="AV40" i="31"/>
  <c r="AU40" i="31"/>
  <c r="AS32" i="31"/>
  <c r="AT32" i="31"/>
  <c r="AV32" i="31"/>
  <c r="AU32" i="31"/>
  <c r="AS24" i="31"/>
  <c r="AT24" i="31"/>
  <c r="AV24" i="31"/>
  <c r="AU24" i="31"/>
  <c r="AU15" i="31"/>
  <c r="AV15" i="31"/>
  <c r="AS15" i="31"/>
  <c r="AT15" i="31"/>
  <c r="AS123" i="31"/>
  <c r="AT123" i="31"/>
  <c r="AV123" i="31"/>
  <c r="AU123" i="31"/>
  <c r="AS28" i="31"/>
  <c r="AT28" i="31"/>
  <c r="AV28" i="31"/>
  <c r="AU28" i="31"/>
  <c r="AU212" i="31"/>
  <c r="AV212" i="31"/>
  <c r="AS212" i="31"/>
  <c r="AT212" i="31"/>
  <c r="AU156" i="31"/>
  <c r="AV156" i="31"/>
  <c r="AS156" i="31"/>
  <c r="AT156" i="31"/>
  <c r="AS135" i="31"/>
  <c r="AT135" i="31"/>
  <c r="AV135" i="31"/>
  <c r="AU135" i="31"/>
  <c r="AU126" i="31"/>
  <c r="AV126" i="31"/>
  <c r="AS126" i="31"/>
  <c r="AT126" i="31"/>
  <c r="AU114" i="31"/>
  <c r="AV114" i="31"/>
  <c r="AS114" i="31"/>
  <c r="AT114" i="31"/>
  <c r="AS105" i="31"/>
  <c r="AT105" i="31"/>
  <c r="AV105" i="31"/>
  <c r="AU105" i="31"/>
  <c r="AU94" i="31"/>
  <c r="AV94" i="31"/>
  <c r="AS94" i="31"/>
  <c r="AT94" i="31"/>
  <c r="AU81" i="31"/>
  <c r="AV81" i="31"/>
  <c r="AS81" i="31"/>
  <c r="AT81" i="31"/>
  <c r="AU71" i="31"/>
  <c r="AV71" i="31"/>
  <c r="AS71" i="31"/>
  <c r="AT71" i="31"/>
  <c r="AS56" i="31"/>
  <c r="AT56" i="31"/>
  <c r="AV56" i="31"/>
  <c r="AU56" i="31"/>
  <c r="AS48" i="31"/>
  <c r="AT48" i="31"/>
  <c r="AV48" i="31"/>
  <c r="AU48" i="31"/>
  <c r="AU39" i="31"/>
  <c r="AV39" i="31"/>
  <c r="AS39" i="31"/>
  <c r="AT39" i="31"/>
  <c r="AU31" i="31"/>
  <c r="AV31" i="31"/>
  <c r="AS31" i="31"/>
  <c r="AT31" i="31"/>
  <c r="AS14" i="31"/>
  <c r="AT14" i="31"/>
  <c r="AV14" i="31"/>
  <c r="AU14" i="31"/>
  <c r="AS183" i="31"/>
  <c r="AT183" i="31"/>
  <c r="AU183" i="31"/>
  <c r="AV183" i="31"/>
  <c r="AU132" i="31"/>
  <c r="AV132" i="31"/>
  <c r="AS132" i="31"/>
  <c r="AT132" i="31"/>
  <c r="AU232" i="31"/>
  <c r="AV232" i="31"/>
  <c r="AS232" i="31"/>
  <c r="AT232" i="31"/>
  <c r="AS231" i="31"/>
  <c r="AT231" i="31"/>
  <c r="AU231" i="31"/>
  <c r="AV231" i="31"/>
  <c r="AS221" i="31"/>
  <c r="AT221" i="31"/>
  <c r="AU221" i="31"/>
  <c r="AV221" i="31"/>
  <c r="AS211" i="31"/>
  <c r="AT211" i="31"/>
  <c r="AU211" i="31"/>
  <c r="AV211" i="31"/>
  <c r="AU186" i="31"/>
  <c r="AV186" i="31"/>
  <c r="AS186" i="31"/>
  <c r="AT186" i="31"/>
  <c r="AS165" i="31"/>
  <c r="AT165" i="31"/>
  <c r="AV165" i="31"/>
  <c r="AU165" i="31"/>
  <c r="AS155" i="31"/>
  <c r="AT155" i="31"/>
  <c r="AV155" i="31"/>
  <c r="AU155" i="31"/>
  <c r="AU134" i="31"/>
  <c r="AV134" i="31"/>
  <c r="AS134" i="31"/>
  <c r="AT134" i="31"/>
  <c r="AU104" i="31"/>
  <c r="AV104" i="31"/>
  <c r="AS104" i="31"/>
  <c r="AT104" i="31"/>
  <c r="AS80" i="31"/>
  <c r="AT80" i="31"/>
  <c r="AV80" i="31"/>
  <c r="AU80" i="31"/>
  <c r="AU55" i="31"/>
  <c r="AV55" i="31"/>
  <c r="AS55" i="31"/>
  <c r="AT55" i="31"/>
  <c r="AU47" i="31"/>
  <c r="AV47" i="31"/>
  <c r="AS47" i="31"/>
  <c r="AT47" i="31"/>
  <c r="AS38" i="31"/>
  <c r="AT38" i="31"/>
  <c r="AV38" i="31"/>
  <c r="AU38" i="31"/>
  <c r="AS30" i="31"/>
  <c r="AT30" i="31"/>
  <c r="AV30" i="31"/>
  <c r="AU30" i="31"/>
  <c r="AU13" i="31"/>
  <c r="AV13" i="31"/>
  <c r="AS13" i="31"/>
  <c r="AT13" i="31"/>
  <c r="AS89" i="31"/>
  <c r="AT89" i="31"/>
  <c r="AV89" i="31"/>
  <c r="AU89" i="31"/>
  <c r="AU224" i="31"/>
  <c r="AV224" i="31"/>
  <c r="AS224" i="31"/>
  <c r="AT224" i="31"/>
  <c r="AT210" i="31"/>
  <c r="AU210" i="31"/>
  <c r="AV210" i="31"/>
  <c r="AS210" i="31"/>
  <c r="AU164" i="31"/>
  <c r="AV164" i="31"/>
  <c r="AS164" i="31"/>
  <c r="AT164" i="31"/>
  <c r="AU154" i="31"/>
  <c r="AV154" i="31"/>
  <c r="AS154" i="31"/>
  <c r="AT154" i="31"/>
  <c r="AU146" i="31"/>
  <c r="AV146" i="31"/>
  <c r="AS146" i="31"/>
  <c r="AT146" i="31"/>
  <c r="AU124" i="31"/>
  <c r="AV124" i="31"/>
  <c r="AS124" i="31"/>
  <c r="AT124" i="31"/>
  <c r="AS103" i="31"/>
  <c r="AT103" i="31"/>
  <c r="AV103" i="31"/>
  <c r="AU103" i="31"/>
  <c r="AU79" i="31"/>
  <c r="AV79" i="31"/>
  <c r="AS79" i="31"/>
  <c r="AT79" i="31"/>
  <c r="AU37" i="31"/>
  <c r="AV37" i="31"/>
  <c r="AS37" i="31"/>
  <c r="AT37" i="31"/>
  <c r="AU21" i="31"/>
  <c r="AV21" i="31"/>
  <c r="AS21" i="31"/>
  <c r="AT21" i="31"/>
  <c r="AR215" i="39"/>
  <c r="AW215" i="39"/>
  <c r="AR173" i="39"/>
  <c r="AW173" i="39"/>
  <c r="AR112" i="39"/>
  <c r="AW112" i="39"/>
  <c r="AR229" i="39"/>
  <c r="AW229" i="39"/>
  <c r="AR197" i="39"/>
  <c r="AW197" i="39"/>
  <c r="AR183" i="39"/>
  <c r="AW183" i="39"/>
  <c r="AR175" i="39"/>
  <c r="AW175" i="39"/>
  <c r="AR165" i="39"/>
  <c r="AW165" i="39"/>
  <c r="AR157" i="39"/>
  <c r="AW157" i="39"/>
  <c r="AR135" i="39"/>
  <c r="AW135" i="39"/>
  <c r="AR114" i="39"/>
  <c r="AW114" i="39"/>
  <c r="AR106" i="39"/>
  <c r="AW106" i="39"/>
  <c r="AR31" i="39"/>
  <c r="AW31" i="39"/>
  <c r="AR174" i="39"/>
  <c r="AW174" i="39"/>
  <c r="AR122" i="39"/>
  <c r="AW122" i="39"/>
  <c r="AR79" i="39"/>
  <c r="AW79" i="39"/>
  <c r="AR194" i="39"/>
  <c r="AW194" i="39"/>
  <c r="AR101" i="39"/>
  <c r="AW101" i="39"/>
  <c r="AR245" i="39"/>
  <c r="AW245" i="39"/>
  <c r="AR225" i="39"/>
  <c r="AW225" i="39"/>
  <c r="AR193" i="39"/>
  <c r="AW193" i="39"/>
  <c r="AR180" i="39"/>
  <c r="AW180" i="39"/>
  <c r="AR172" i="39"/>
  <c r="AW172" i="39"/>
  <c r="AR111" i="39"/>
  <c r="AW111" i="39"/>
  <c r="AR86" i="39"/>
  <c r="AW86" i="39"/>
  <c r="AR53" i="39"/>
  <c r="AW53" i="39"/>
  <c r="AR36" i="39"/>
  <c r="AW36" i="39"/>
  <c r="AR28" i="39"/>
  <c r="AW28" i="39"/>
  <c r="AR20" i="39"/>
  <c r="AW20" i="39"/>
  <c r="AR239" i="39"/>
  <c r="AW239" i="39"/>
  <c r="AR113" i="39"/>
  <c r="AW113" i="39"/>
  <c r="AR63" i="39"/>
  <c r="AW63" i="39"/>
  <c r="AR226" i="39"/>
  <c r="AW226" i="39"/>
  <c r="AR181" i="39"/>
  <c r="AW181" i="39"/>
  <c r="AR21" i="39"/>
  <c r="AW21" i="39"/>
  <c r="AR234" i="39"/>
  <c r="AW234" i="39"/>
  <c r="AR224" i="39"/>
  <c r="AW224" i="39"/>
  <c r="AR179" i="39"/>
  <c r="AW179" i="39"/>
  <c r="AW171" i="39"/>
  <c r="AR151" i="39"/>
  <c r="AW151" i="39"/>
  <c r="AR140" i="39"/>
  <c r="AW140" i="39"/>
  <c r="AR131" i="39"/>
  <c r="AW131" i="39"/>
  <c r="AR119" i="39"/>
  <c r="AW119" i="39"/>
  <c r="AR110" i="39"/>
  <c r="AW110" i="39"/>
  <c r="AR85" i="39"/>
  <c r="AW85" i="39"/>
  <c r="AR75" i="39"/>
  <c r="AW75" i="39"/>
  <c r="AR35" i="39"/>
  <c r="AW35" i="39"/>
  <c r="AR19" i="39"/>
  <c r="AW19" i="39"/>
  <c r="AR10" i="39"/>
  <c r="AW10" i="39"/>
  <c r="AR182" i="39"/>
  <c r="AW182" i="39"/>
  <c r="AR62" i="39"/>
  <c r="AW62" i="39"/>
  <c r="AR223" i="39"/>
  <c r="AW223" i="39"/>
  <c r="AR210" i="39"/>
  <c r="AW210" i="39"/>
  <c r="AR178" i="39"/>
  <c r="AW178" i="39"/>
  <c r="AR118" i="39"/>
  <c r="AW118" i="39"/>
  <c r="AR109" i="39"/>
  <c r="AW109" i="39"/>
  <c r="AR95" i="39"/>
  <c r="AW95" i="39"/>
  <c r="AR84" i="39"/>
  <c r="AW84" i="39"/>
  <c r="AR217" i="39"/>
  <c r="AW217" i="39"/>
  <c r="AR156" i="39"/>
  <c r="AW156" i="39"/>
  <c r="AR30" i="39"/>
  <c r="AW30" i="39"/>
  <c r="AR246" i="39"/>
  <c r="AW246" i="39"/>
  <c r="AR29" i="39"/>
  <c r="AW29" i="39"/>
  <c r="AR222" i="39"/>
  <c r="AW222" i="39"/>
  <c r="AR185" i="39"/>
  <c r="AW185" i="39"/>
  <c r="AR167" i="39"/>
  <c r="AW167" i="39"/>
  <c r="AR127" i="39"/>
  <c r="AW127" i="39"/>
  <c r="AR117" i="39"/>
  <c r="AW117" i="39"/>
  <c r="AR94" i="39"/>
  <c r="AW94" i="39"/>
  <c r="AR83" i="39"/>
  <c r="AW83" i="39"/>
  <c r="AR33" i="39"/>
  <c r="AW33" i="39"/>
  <c r="AR8" i="39"/>
  <c r="AW8" i="39"/>
  <c r="AR77" i="39"/>
  <c r="AW77" i="39"/>
  <c r="AR37" i="39"/>
  <c r="AW37" i="39"/>
  <c r="AR230" i="39"/>
  <c r="AW230" i="39"/>
  <c r="AR221" i="39"/>
  <c r="AW221" i="39"/>
  <c r="AR184" i="39"/>
  <c r="AW184" i="39"/>
  <c r="AR176" i="39"/>
  <c r="AW176" i="39"/>
  <c r="AR166" i="39"/>
  <c r="AW166" i="39"/>
  <c r="AR126" i="39"/>
  <c r="AW126" i="39"/>
  <c r="AR116" i="39"/>
  <c r="AW116" i="39"/>
  <c r="AR93" i="39"/>
  <c r="AW93" i="39"/>
  <c r="AR81" i="39"/>
  <c r="AW81" i="39"/>
  <c r="AR65" i="39"/>
  <c r="AW65" i="39"/>
  <c r="AR32" i="39"/>
  <c r="AW32" i="39"/>
  <c r="AV134" i="39"/>
  <c r="AX134" i="39"/>
  <c r="AY134" i="39"/>
  <c r="AZ134" i="39"/>
  <c r="AS134" i="39"/>
  <c r="AU134" i="39"/>
  <c r="AT134" i="39"/>
  <c r="BA134" i="39"/>
  <c r="AS55" i="39"/>
  <c r="AU55" i="39"/>
  <c r="AY55" i="39"/>
  <c r="AT55" i="39"/>
  <c r="AV55" i="39"/>
  <c r="AX55" i="39"/>
  <c r="AZ55" i="39"/>
  <c r="BA55" i="39"/>
  <c r="AU229" i="39"/>
  <c r="AV229" i="39"/>
  <c r="AN229" i="39"/>
  <c r="AX229" i="39"/>
  <c r="AO229" i="39"/>
  <c r="AY229" i="39"/>
  <c r="AP229" i="39"/>
  <c r="AZ229" i="39"/>
  <c r="AS229" i="39"/>
  <c r="AT229" i="39"/>
  <c r="BA229" i="39"/>
  <c r="AQ229" i="39"/>
  <c r="AQ197" i="39"/>
  <c r="BA197" i="39"/>
  <c r="AS197" i="39"/>
  <c r="AT197" i="39"/>
  <c r="AU197" i="39"/>
  <c r="AV197" i="39"/>
  <c r="AY197" i="39"/>
  <c r="AZ197" i="39"/>
  <c r="AN197" i="39"/>
  <c r="AO197" i="39"/>
  <c r="AP197" i="39"/>
  <c r="AX197" i="39"/>
  <c r="AQ183" i="39"/>
  <c r="BA183" i="39"/>
  <c r="AS183" i="39"/>
  <c r="AT183" i="39"/>
  <c r="AU183" i="39"/>
  <c r="AV183" i="39"/>
  <c r="AZ183" i="39"/>
  <c r="AN183" i="39"/>
  <c r="AO183" i="39"/>
  <c r="AP183" i="39"/>
  <c r="AX183" i="39"/>
  <c r="AY183" i="39"/>
  <c r="AQ175" i="39"/>
  <c r="BA175" i="39"/>
  <c r="AS175" i="39"/>
  <c r="AT175" i="39"/>
  <c r="AU175" i="39"/>
  <c r="AV175" i="39"/>
  <c r="AO175" i="39"/>
  <c r="AP175" i="39"/>
  <c r="AX175" i="39"/>
  <c r="AY175" i="39"/>
  <c r="AZ175" i="39"/>
  <c r="AN175" i="39"/>
  <c r="AQ165" i="39"/>
  <c r="BA165" i="39"/>
  <c r="AS165" i="39"/>
  <c r="AT165" i="39"/>
  <c r="AP165" i="39"/>
  <c r="AZ165" i="39"/>
  <c r="AX165" i="39"/>
  <c r="AY165" i="39"/>
  <c r="AN165" i="39"/>
  <c r="AV165" i="39"/>
  <c r="AO165" i="39"/>
  <c r="AU165" i="39"/>
  <c r="AQ157" i="39"/>
  <c r="AS157" i="39"/>
  <c r="AT157" i="39"/>
  <c r="AP157" i="39"/>
  <c r="AN157" i="39"/>
  <c r="AO157" i="39"/>
  <c r="AU157" i="39"/>
  <c r="AV157" i="39"/>
  <c r="BA135" i="39"/>
  <c r="AS135" i="39"/>
  <c r="AT135" i="39"/>
  <c r="AU135" i="39"/>
  <c r="AX135" i="39"/>
  <c r="AZ135" i="39"/>
  <c r="AV135" i="39"/>
  <c r="AY135" i="39"/>
  <c r="AN114" i="39"/>
  <c r="AP114" i="39"/>
  <c r="AT114" i="39"/>
  <c r="AO114" i="39"/>
  <c r="AQ114" i="39"/>
  <c r="AS114" i="39"/>
  <c r="AV114" i="39"/>
  <c r="AU114" i="39"/>
  <c r="AN106" i="39"/>
  <c r="AX106" i="39"/>
  <c r="AP106" i="39"/>
  <c r="AZ106" i="39"/>
  <c r="AT106" i="39"/>
  <c r="AQ106" i="39"/>
  <c r="AS106" i="39"/>
  <c r="AU106" i="39"/>
  <c r="AV106" i="39"/>
  <c r="AY106" i="39"/>
  <c r="BA106" i="39"/>
  <c r="AO106" i="39"/>
  <c r="AX56" i="39"/>
  <c r="AZ56" i="39"/>
  <c r="AT56" i="39"/>
  <c r="AU56" i="39"/>
  <c r="AV56" i="39"/>
  <c r="AY56" i="39"/>
  <c r="BA56" i="39"/>
  <c r="AS56" i="39"/>
  <c r="AV48" i="39"/>
  <c r="AN48" i="39"/>
  <c r="AX48" i="39"/>
  <c r="AP48" i="39"/>
  <c r="AZ48" i="39"/>
  <c r="AQ48" i="39"/>
  <c r="BA48" i="39"/>
  <c r="AT48" i="39"/>
  <c r="AS48" i="39"/>
  <c r="AO48" i="39"/>
  <c r="AU48" i="39"/>
  <c r="AY48" i="39"/>
  <c r="AQ31" i="39"/>
  <c r="BA31" i="39"/>
  <c r="AS31" i="39"/>
  <c r="AU31" i="39"/>
  <c r="AV31" i="39"/>
  <c r="AO31" i="39"/>
  <c r="AY31" i="39"/>
  <c r="AN31" i="39"/>
  <c r="AP31" i="39"/>
  <c r="AT31" i="39"/>
  <c r="AX31" i="39"/>
  <c r="AZ31" i="39"/>
  <c r="AV14" i="39"/>
  <c r="AX14" i="39"/>
  <c r="AZ14" i="39"/>
  <c r="BA14" i="39"/>
  <c r="AT14" i="39"/>
  <c r="AS14" i="39"/>
  <c r="AU14" i="39"/>
  <c r="AY14" i="39"/>
  <c r="BA143" i="39"/>
  <c r="AS143" i="39"/>
  <c r="AT143" i="39"/>
  <c r="AU143" i="39"/>
  <c r="AZ143" i="39"/>
  <c r="AV143" i="39"/>
  <c r="AX143" i="39"/>
  <c r="AY143" i="39"/>
  <c r="BA13" i="39"/>
  <c r="AS13" i="39"/>
  <c r="AU13" i="39"/>
  <c r="AV13" i="39"/>
  <c r="AY13" i="39"/>
  <c r="AT13" i="39"/>
  <c r="AX13" i="39"/>
  <c r="AZ13" i="39"/>
  <c r="BC246" i="39"/>
  <c r="BD246" i="39"/>
  <c r="BE246" i="39"/>
  <c r="AQ246" i="39"/>
  <c r="BA246" i="39"/>
  <c r="AS246" i="39"/>
  <c r="AT246" i="39"/>
  <c r="AU246" i="39"/>
  <c r="AV246" i="39"/>
  <c r="AO246" i="39"/>
  <c r="AX246" i="39"/>
  <c r="AY246" i="39"/>
  <c r="AZ246" i="39"/>
  <c r="AN246" i="39"/>
  <c r="AP246" i="39"/>
  <c r="AZ238" i="39"/>
  <c r="BA238" i="39"/>
  <c r="AS238" i="39"/>
  <c r="AT238" i="39"/>
  <c r="AU238" i="39"/>
  <c r="AV238" i="39"/>
  <c r="AX238" i="39"/>
  <c r="AY238" i="39"/>
  <c r="AP226" i="39"/>
  <c r="AZ226" i="39"/>
  <c r="AQ226" i="39"/>
  <c r="BA226" i="39"/>
  <c r="AS226" i="39"/>
  <c r="AT226" i="39"/>
  <c r="AU226" i="39"/>
  <c r="AN226" i="39"/>
  <c r="AO226" i="39"/>
  <c r="AV226" i="39"/>
  <c r="AX226" i="39"/>
  <c r="AY226" i="39"/>
  <c r="AU215" i="39"/>
  <c r="AV215" i="39"/>
  <c r="AN215" i="39"/>
  <c r="AO215" i="39"/>
  <c r="AP215" i="39"/>
  <c r="AQ215" i="39"/>
  <c r="AS215" i="39"/>
  <c r="AT215" i="39"/>
  <c r="AV194" i="39"/>
  <c r="AN194" i="39"/>
  <c r="AX194" i="39"/>
  <c r="AO194" i="39"/>
  <c r="AY194" i="39"/>
  <c r="AP194" i="39"/>
  <c r="AZ194" i="39"/>
  <c r="AQ194" i="39"/>
  <c r="BA194" i="39"/>
  <c r="AS194" i="39"/>
  <c r="AT194" i="39"/>
  <c r="AU194" i="39"/>
  <c r="AQ181" i="39"/>
  <c r="BA181" i="39"/>
  <c r="AS181" i="39"/>
  <c r="AT181" i="39"/>
  <c r="AU181" i="39"/>
  <c r="AV181" i="39"/>
  <c r="AN181" i="39"/>
  <c r="AO181" i="39"/>
  <c r="AP181" i="39"/>
  <c r="AX181" i="39"/>
  <c r="AY181" i="39"/>
  <c r="AZ181" i="39"/>
  <c r="AQ173" i="39"/>
  <c r="BA173" i="39"/>
  <c r="AS173" i="39"/>
  <c r="AT173" i="39"/>
  <c r="AU173" i="39"/>
  <c r="AV173" i="39"/>
  <c r="AP173" i="39"/>
  <c r="AX173" i="39"/>
  <c r="AY173" i="39"/>
  <c r="AZ173" i="39"/>
  <c r="AO173" i="39"/>
  <c r="AN173" i="39"/>
  <c r="BA163" i="39"/>
  <c r="AS163" i="39"/>
  <c r="AT163" i="39"/>
  <c r="AZ163" i="39"/>
  <c r="AU163" i="39"/>
  <c r="AV163" i="39"/>
  <c r="AX163" i="39"/>
  <c r="AY163" i="39"/>
  <c r="AV142" i="39"/>
  <c r="AX142" i="39"/>
  <c r="AY142" i="39"/>
  <c r="AZ142" i="39"/>
  <c r="AU142" i="39"/>
  <c r="BA142" i="39"/>
  <c r="AS142" i="39"/>
  <c r="AT142" i="39"/>
  <c r="AS133" i="39"/>
  <c r="AU133" i="39"/>
  <c r="AY133" i="39"/>
  <c r="AX133" i="39"/>
  <c r="AZ133" i="39"/>
  <c r="BA133" i="39"/>
  <c r="AV133" i="39"/>
  <c r="AT133" i="39"/>
  <c r="AN112" i="39"/>
  <c r="AP112" i="39"/>
  <c r="AT112" i="39"/>
  <c r="AV112" i="39"/>
  <c r="AO112" i="39"/>
  <c r="AQ112" i="39"/>
  <c r="AU112" i="39"/>
  <c r="AS112" i="39"/>
  <c r="AS101" i="39"/>
  <c r="AT101" i="39"/>
  <c r="AU101" i="39"/>
  <c r="AO101" i="39"/>
  <c r="AP101" i="39"/>
  <c r="AQ101" i="39"/>
  <c r="AN101" i="39"/>
  <c r="AV101" i="39"/>
  <c r="AS77" i="39"/>
  <c r="AT77" i="39"/>
  <c r="AU77" i="39"/>
  <c r="AO77" i="39"/>
  <c r="AN77" i="39"/>
  <c r="AP77" i="39"/>
  <c r="AQ77" i="39"/>
  <c r="AV77" i="39"/>
  <c r="AS62" i="39"/>
  <c r="AT62" i="39"/>
  <c r="AU62" i="39"/>
  <c r="AO62" i="39"/>
  <c r="AY62" i="39"/>
  <c r="AN62" i="39"/>
  <c r="AP62" i="39"/>
  <c r="AQ62" i="39"/>
  <c r="AV62" i="39"/>
  <c r="AX62" i="39"/>
  <c r="AZ62" i="39"/>
  <c r="BA62" i="39"/>
  <c r="BA45" i="39"/>
  <c r="AS45" i="39"/>
  <c r="AU45" i="39"/>
  <c r="AV45" i="39"/>
  <c r="AY45" i="39"/>
  <c r="AT45" i="39"/>
  <c r="AX45" i="39"/>
  <c r="AZ45" i="39"/>
  <c r="AQ37" i="39"/>
  <c r="BA37" i="39"/>
  <c r="AS37" i="39"/>
  <c r="AU37" i="39"/>
  <c r="AV37" i="39"/>
  <c r="AO37" i="39"/>
  <c r="AY37" i="39"/>
  <c r="AN37" i="39"/>
  <c r="AT37" i="39"/>
  <c r="AP37" i="39"/>
  <c r="AX37" i="39"/>
  <c r="AZ37" i="39"/>
  <c r="AQ29" i="39"/>
  <c r="BA29" i="39"/>
  <c r="AS29" i="39"/>
  <c r="AU29" i="39"/>
  <c r="AV29" i="39"/>
  <c r="AO29" i="39"/>
  <c r="AY29" i="39"/>
  <c r="AP29" i="39"/>
  <c r="AT29" i="39"/>
  <c r="AX29" i="39"/>
  <c r="AZ29" i="39"/>
  <c r="AN29" i="39"/>
  <c r="AQ21" i="39"/>
  <c r="BA21" i="39"/>
  <c r="AS21" i="39"/>
  <c r="AU21" i="39"/>
  <c r="AV21" i="39"/>
  <c r="AO21" i="39"/>
  <c r="AY21" i="39"/>
  <c r="AN21" i="39"/>
  <c r="AT21" i="39"/>
  <c r="AX21" i="39"/>
  <c r="AZ21" i="39"/>
  <c r="AP21" i="39"/>
  <c r="AV164" i="39"/>
  <c r="AN164" i="39"/>
  <c r="AX164" i="39"/>
  <c r="AO164" i="39"/>
  <c r="AY164" i="39"/>
  <c r="AU164" i="39"/>
  <c r="AS164" i="39"/>
  <c r="AT164" i="39"/>
  <c r="AZ164" i="39"/>
  <c r="BA164" i="39"/>
  <c r="AP164" i="39"/>
  <c r="AQ164" i="39"/>
  <c r="AV30" i="39"/>
  <c r="AN30" i="39"/>
  <c r="AX30" i="39"/>
  <c r="AP30" i="39"/>
  <c r="AZ30" i="39"/>
  <c r="AQ30" i="39"/>
  <c r="BA30" i="39"/>
  <c r="AT30" i="39"/>
  <c r="AS30" i="39"/>
  <c r="AY30" i="39"/>
  <c r="AO30" i="39"/>
  <c r="AU30" i="39"/>
  <c r="BD245" i="39"/>
  <c r="BC245" i="39"/>
  <c r="BE245" i="39"/>
  <c r="AU245" i="39"/>
  <c r="AV245" i="39"/>
  <c r="AN245" i="39"/>
  <c r="AX245" i="39"/>
  <c r="AO245" i="39"/>
  <c r="AY245" i="39"/>
  <c r="AP245" i="39"/>
  <c r="AZ245" i="39"/>
  <c r="AQ245" i="39"/>
  <c r="AS245" i="39"/>
  <c r="AT245" i="39"/>
  <c r="BA245" i="39"/>
  <c r="AU237" i="39"/>
  <c r="AV237" i="39"/>
  <c r="AX237" i="39"/>
  <c r="AY237" i="39"/>
  <c r="AZ237" i="39"/>
  <c r="BA237" i="39"/>
  <c r="AS237" i="39"/>
  <c r="AT237" i="39"/>
  <c r="AU225" i="39"/>
  <c r="AV225" i="39"/>
  <c r="AN225" i="39"/>
  <c r="AX225" i="39"/>
  <c r="AO225" i="39"/>
  <c r="AY225" i="39"/>
  <c r="AP225" i="39"/>
  <c r="AZ225" i="39"/>
  <c r="BA225" i="39"/>
  <c r="AS225" i="39"/>
  <c r="AQ225" i="39"/>
  <c r="AT225" i="39"/>
  <c r="AQ193" i="39"/>
  <c r="BA193" i="39"/>
  <c r="AS193" i="39"/>
  <c r="AT193" i="39"/>
  <c r="AU193" i="39"/>
  <c r="AV193" i="39"/>
  <c r="AN193" i="39"/>
  <c r="AO193" i="39"/>
  <c r="AP193" i="39"/>
  <c r="AX193" i="39"/>
  <c r="AY193" i="39"/>
  <c r="AZ193" i="39"/>
  <c r="AV180" i="39"/>
  <c r="AN180" i="39"/>
  <c r="AX180" i="39"/>
  <c r="AO180" i="39"/>
  <c r="AY180" i="39"/>
  <c r="AP180" i="39"/>
  <c r="AZ180" i="39"/>
  <c r="AQ180" i="39"/>
  <c r="BA180" i="39"/>
  <c r="AT180" i="39"/>
  <c r="AU180" i="39"/>
  <c r="AS180" i="39"/>
  <c r="AV172" i="39"/>
  <c r="AN172" i="39"/>
  <c r="AX172" i="39"/>
  <c r="AO172" i="39"/>
  <c r="AY172" i="39"/>
  <c r="AP172" i="39"/>
  <c r="AZ172" i="39"/>
  <c r="AQ172" i="39"/>
  <c r="BA172" i="39"/>
  <c r="AS172" i="39"/>
  <c r="AT172" i="39"/>
  <c r="AU172" i="39"/>
  <c r="AV162" i="39"/>
  <c r="AX162" i="39"/>
  <c r="AY162" i="39"/>
  <c r="AU162" i="39"/>
  <c r="AS162" i="39"/>
  <c r="AT162" i="39"/>
  <c r="AZ162" i="39"/>
  <c r="BA162" i="39"/>
  <c r="AS111" i="39"/>
  <c r="AU111" i="39"/>
  <c r="AO111" i="39"/>
  <c r="AV111" i="39"/>
  <c r="AN111" i="39"/>
  <c r="AP111" i="39"/>
  <c r="AT111" i="39"/>
  <c r="AQ111" i="39"/>
  <c r="AN86" i="39"/>
  <c r="AX86" i="39"/>
  <c r="AO86" i="39"/>
  <c r="AY86" i="39"/>
  <c r="AP86" i="39"/>
  <c r="AZ86" i="39"/>
  <c r="AU86" i="39"/>
  <c r="AV86" i="39"/>
  <c r="BA86" i="39"/>
  <c r="AQ86" i="39"/>
  <c r="AS86" i="39"/>
  <c r="AT86" i="39"/>
  <c r="AX61" i="39"/>
  <c r="AY61" i="39"/>
  <c r="AZ61" i="39"/>
  <c r="AT61" i="39"/>
  <c r="BA61" i="39"/>
  <c r="AS61" i="39"/>
  <c r="AU61" i="39"/>
  <c r="AV61" i="39"/>
  <c r="AQ53" i="39"/>
  <c r="BA53" i="39"/>
  <c r="AS53" i="39"/>
  <c r="AU53" i="39"/>
  <c r="AV53" i="39"/>
  <c r="AO53" i="39"/>
  <c r="AY53" i="39"/>
  <c r="AN53" i="39"/>
  <c r="AP53" i="39"/>
  <c r="AX53" i="39"/>
  <c r="AT53" i="39"/>
  <c r="AZ53" i="39"/>
  <c r="AV44" i="39"/>
  <c r="AX44" i="39"/>
  <c r="AZ44" i="39"/>
  <c r="BA44" i="39"/>
  <c r="AT44" i="39"/>
  <c r="AU44" i="39"/>
  <c r="AS44" i="39"/>
  <c r="AY44" i="39"/>
  <c r="AV36" i="39"/>
  <c r="AN36" i="39"/>
  <c r="AX36" i="39"/>
  <c r="AP36" i="39"/>
  <c r="AZ36" i="39"/>
  <c r="AQ36" i="39"/>
  <c r="BA36" i="39"/>
  <c r="AT36" i="39"/>
  <c r="AS36" i="39"/>
  <c r="AU36" i="39"/>
  <c r="AY36" i="39"/>
  <c r="AO36" i="39"/>
  <c r="AV28" i="39"/>
  <c r="AN28" i="39"/>
  <c r="AX28" i="39"/>
  <c r="AP28" i="39"/>
  <c r="AZ28" i="39"/>
  <c r="AQ28" i="39"/>
  <c r="BA28" i="39"/>
  <c r="AT28" i="39"/>
  <c r="AO28" i="39"/>
  <c r="AU28" i="39"/>
  <c r="AS28" i="39"/>
  <c r="AY28" i="39"/>
  <c r="AV20" i="39"/>
  <c r="AN20" i="39"/>
  <c r="AX20" i="39"/>
  <c r="AP20" i="39"/>
  <c r="AZ20" i="39"/>
  <c r="AQ20" i="39"/>
  <c r="BA20" i="39"/>
  <c r="AT20" i="39"/>
  <c r="AS20" i="39"/>
  <c r="AU20" i="39"/>
  <c r="AY20" i="39"/>
  <c r="AO20" i="39"/>
  <c r="AU217" i="39"/>
  <c r="AV217" i="39"/>
  <c r="AN217" i="39"/>
  <c r="AO217" i="39"/>
  <c r="AP217" i="39"/>
  <c r="AQ217" i="39"/>
  <c r="AT217" i="39"/>
  <c r="AS217" i="39"/>
  <c r="AV174" i="39"/>
  <c r="AN174" i="39"/>
  <c r="AX174" i="39"/>
  <c r="AO174" i="39"/>
  <c r="AY174" i="39"/>
  <c r="AP174" i="39"/>
  <c r="AZ174" i="39"/>
  <c r="AQ174" i="39"/>
  <c r="BA174" i="39"/>
  <c r="AS174" i="39"/>
  <c r="AT174" i="39"/>
  <c r="AU174" i="39"/>
  <c r="AZ244" i="39"/>
  <c r="BA244" i="39"/>
  <c r="AS244" i="39"/>
  <c r="AT244" i="39"/>
  <c r="AU244" i="39"/>
  <c r="AY244" i="39"/>
  <c r="AV244" i="39"/>
  <c r="AX244" i="39"/>
  <c r="AP234" i="39"/>
  <c r="AQ234" i="39"/>
  <c r="AS234" i="39"/>
  <c r="AT234" i="39"/>
  <c r="AU234" i="39"/>
  <c r="AO234" i="39"/>
  <c r="AN234" i="39"/>
  <c r="AV234" i="39"/>
  <c r="AP224" i="39"/>
  <c r="AQ224" i="39"/>
  <c r="AS224" i="39"/>
  <c r="AT224" i="39"/>
  <c r="AU224" i="39"/>
  <c r="AN224" i="39"/>
  <c r="AO224" i="39"/>
  <c r="AV224" i="39"/>
  <c r="AQ179" i="39"/>
  <c r="BA179" i="39"/>
  <c r="AS179" i="39"/>
  <c r="AT179" i="39"/>
  <c r="AU179" i="39"/>
  <c r="AV179" i="39"/>
  <c r="AN179" i="39"/>
  <c r="AO179" i="39"/>
  <c r="AP179" i="39"/>
  <c r="AX179" i="39"/>
  <c r="AY179" i="39"/>
  <c r="AZ179" i="39"/>
  <c r="AS171" i="39"/>
  <c r="AT171" i="39"/>
  <c r="AU171" i="39"/>
  <c r="AV171" i="39"/>
  <c r="BA161" i="39"/>
  <c r="AS161" i="39"/>
  <c r="AT161" i="39"/>
  <c r="AZ161" i="39"/>
  <c r="AX161" i="39"/>
  <c r="AY161" i="39"/>
  <c r="AV161" i="39"/>
  <c r="AU161" i="39"/>
  <c r="AQ151" i="39"/>
  <c r="AS151" i="39"/>
  <c r="AT151" i="39"/>
  <c r="AP151" i="39"/>
  <c r="AN151" i="39"/>
  <c r="AO151" i="39"/>
  <c r="AU151" i="39"/>
  <c r="AV151" i="39"/>
  <c r="AV140" i="39"/>
  <c r="AN140" i="39"/>
  <c r="AO140" i="39"/>
  <c r="AP140" i="39"/>
  <c r="AU140" i="39"/>
  <c r="AQ140" i="39"/>
  <c r="AS140" i="39"/>
  <c r="AT140" i="39"/>
  <c r="AS131" i="39"/>
  <c r="AU131" i="39"/>
  <c r="AO131" i="39"/>
  <c r="AV131" i="39"/>
  <c r="AP131" i="39"/>
  <c r="AT131" i="39"/>
  <c r="AN131" i="39"/>
  <c r="AQ131" i="39"/>
  <c r="AS119" i="39"/>
  <c r="AU119" i="39"/>
  <c r="AO119" i="39"/>
  <c r="AN119" i="39"/>
  <c r="AP119" i="39"/>
  <c r="AQ119" i="39"/>
  <c r="AT119" i="39"/>
  <c r="AV119" i="39"/>
  <c r="AN110" i="39"/>
  <c r="AP110" i="39"/>
  <c r="AT110" i="39"/>
  <c r="AU110" i="39"/>
  <c r="AV110" i="39"/>
  <c r="AO110" i="39"/>
  <c r="AS110" i="39"/>
  <c r="AQ110" i="39"/>
  <c r="AS85" i="39"/>
  <c r="AT85" i="39"/>
  <c r="AU85" i="39"/>
  <c r="AO85" i="39"/>
  <c r="AV85" i="39"/>
  <c r="AX85" i="39"/>
  <c r="AY85" i="39"/>
  <c r="AZ85" i="39"/>
  <c r="AN85" i="39"/>
  <c r="AP85" i="39"/>
  <c r="AQ85" i="39"/>
  <c r="BA85" i="39"/>
  <c r="AS75" i="39"/>
  <c r="AT75" i="39"/>
  <c r="AU75" i="39"/>
  <c r="AO75" i="39"/>
  <c r="AY75" i="39"/>
  <c r="AV75" i="39"/>
  <c r="AX75" i="39"/>
  <c r="AZ75" i="39"/>
  <c r="BA75" i="39"/>
  <c r="AN75" i="39"/>
  <c r="AP75" i="39"/>
  <c r="AQ75" i="39"/>
  <c r="AT60" i="39"/>
  <c r="AS60" i="39"/>
  <c r="AU60" i="39"/>
  <c r="AY60" i="39"/>
  <c r="AV60" i="39"/>
  <c r="AX60" i="39"/>
  <c r="AZ60" i="39"/>
  <c r="BA60" i="39"/>
  <c r="AV52" i="39"/>
  <c r="AX52" i="39"/>
  <c r="AZ52" i="39"/>
  <c r="BA52" i="39"/>
  <c r="AT52" i="39"/>
  <c r="AU52" i="39"/>
  <c r="AY52" i="39"/>
  <c r="AS52" i="39"/>
  <c r="BA43" i="39"/>
  <c r="AS43" i="39"/>
  <c r="AU43" i="39"/>
  <c r="AV43" i="39"/>
  <c r="AY43" i="39"/>
  <c r="AT43" i="39"/>
  <c r="AX43" i="39"/>
  <c r="AZ43" i="39"/>
  <c r="AQ35" i="39"/>
  <c r="BA35" i="39"/>
  <c r="AS35" i="39"/>
  <c r="AU35" i="39"/>
  <c r="AV35" i="39"/>
  <c r="AO35" i="39"/>
  <c r="AY35" i="39"/>
  <c r="AN35" i="39"/>
  <c r="AP35" i="39"/>
  <c r="AX35" i="39"/>
  <c r="AZ35" i="39"/>
  <c r="AT35" i="39"/>
  <c r="AQ19" i="39"/>
  <c r="BA19" i="39"/>
  <c r="AS19" i="39"/>
  <c r="AU19" i="39"/>
  <c r="AV19" i="39"/>
  <c r="AO19" i="39"/>
  <c r="AY19" i="39"/>
  <c r="AN19" i="39"/>
  <c r="AP19" i="39"/>
  <c r="AX19" i="39"/>
  <c r="AT19" i="39"/>
  <c r="AZ19" i="39"/>
  <c r="AV10" i="39"/>
  <c r="AX10" i="39"/>
  <c r="AZ10" i="39"/>
  <c r="AQ10" i="39"/>
  <c r="BA10" i="39"/>
  <c r="AT10" i="39"/>
  <c r="AS10" i="39"/>
  <c r="AY10" i="39"/>
  <c r="AU10" i="39"/>
  <c r="AV182" i="39"/>
  <c r="AN182" i="39"/>
  <c r="AX182" i="39"/>
  <c r="AO182" i="39"/>
  <c r="AY182" i="39"/>
  <c r="AP182" i="39"/>
  <c r="AZ182" i="39"/>
  <c r="AQ182" i="39"/>
  <c r="BA182" i="39"/>
  <c r="AS182" i="39"/>
  <c r="AT182" i="39"/>
  <c r="AU182" i="39"/>
  <c r="AS113" i="39"/>
  <c r="AU113" i="39"/>
  <c r="AO113" i="39"/>
  <c r="AN113" i="39"/>
  <c r="AP113" i="39"/>
  <c r="AQ113" i="39"/>
  <c r="AV113" i="39"/>
  <c r="AT113" i="39"/>
  <c r="AU223" i="39"/>
  <c r="AV223" i="39"/>
  <c r="AN223" i="39"/>
  <c r="AO223" i="39"/>
  <c r="AP223" i="39"/>
  <c r="AQ223" i="39"/>
  <c r="AT223" i="39"/>
  <c r="AS223" i="39"/>
  <c r="AV210" i="39"/>
  <c r="AN210" i="39"/>
  <c r="AX210" i="39"/>
  <c r="AO210" i="39"/>
  <c r="AY210" i="39"/>
  <c r="AQ210" i="39"/>
  <c r="BA210" i="39"/>
  <c r="AZ210" i="39"/>
  <c r="AP210" i="39"/>
  <c r="AS210" i="39"/>
  <c r="AU210" i="39"/>
  <c r="AT210" i="39"/>
  <c r="AV178" i="39"/>
  <c r="AN178" i="39"/>
  <c r="AX178" i="39"/>
  <c r="AO178" i="39"/>
  <c r="AY178" i="39"/>
  <c r="AP178" i="39"/>
  <c r="AZ178" i="39"/>
  <c r="AQ178" i="39"/>
  <c r="BA178" i="39"/>
  <c r="AU178" i="39"/>
  <c r="AT178" i="39"/>
  <c r="AS178" i="39"/>
  <c r="AV160" i="39"/>
  <c r="AX160" i="39"/>
  <c r="AY160" i="39"/>
  <c r="AU160" i="39"/>
  <c r="AS160" i="39"/>
  <c r="AT160" i="39"/>
  <c r="AZ160" i="39"/>
  <c r="BA160" i="39"/>
  <c r="AV138" i="39"/>
  <c r="AX138" i="39"/>
  <c r="AY138" i="39"/>
  <c r="AZ138" i="39"/>
  <c r="AS138" i="39"/>
  <c r="AU138" i="39"/>
  <c r="AT138" i="39"/>
  <c r="BA138" i="39"/>
  <c r="AN118" i="39"/>
  <c r="AP118" i="39"/>
  <c r="AT118" i="39"/>
  <c r="AO118" i="39"/>
  <c r="AQ118" i="39"/>
  <c r="AS118" i="39"/>
  <c r="AV118" i="39"/>
  <c r="AU118" i="39"/>
  <c r="AS109" i="39"/>
  <c r="AU109" i="39"/>
  <c r="AO109" i="39"/>
  <c r="AT109" i="39"/>
  <c r="AV109" i="39"/>
  <c r="AN109" i="39"/>
  <c r="AQ109" i="39"/>
  <c r="AP109" i="39"/>
  <c r="AN95" i="39"/>
  <c r="AO95" i="39"/>
  <c r="AP95" i="39"/>
  <c r="AQ95" i="39"/>
  <c r="AU95" i="39"/>
  <c r="AT95" i="39"/>
  <c r="AV95" i="39"/>
  <c r="AS95" i="39"/>
  <c r="AN84" i="39"/>
  <c r="AX84" i="39"/>
  <c r="AO84" i="39"/>
  <c r="AY84" i="39"/>
  <c r="AP84" i="39"/>
  <c r="AZ84" i="39"/>
  <c r="AT84" i="39"/>
  <c r="AQ84" i="39"/>
  <c r="AS84" i="39"/>
  <c r="AU84" i="39"/>
  <c r="AV84" i="39"/>
  <c r="BA84" i="39"/>
  <c r="AU59" i="39"/>
  <c r="AY59" i="39"/>
  <c r="AT59" i="39"/>
  <c r="AV59" i="39"/>
  <c r="AX59" i="39"/>
  <c r="AS59" i="39"/>
  <c r="AZ59" i="39"/>
  <c r="BA59" i="39"/>
  <c r="AV42" i="39"/>
  <c r="AX42" i="39"/>
  <c r="AZ42" i="39"/>
  <c r="BA42" i="39"/>
  <c r="AT42" i="39"/>
  <c r="AS42" i="39"/>
  <c r="AY42" i="39"/>
  <c r="AU42" i="39"/>
  <c r="AV26" i="39"/>
  <c r="AX26" i="39"/>
  <c r="AZ26" i="39"/>
  <c r="BA26" i="39"/>
  <c r="AT26" i="39"/>
  <c r="AS26" i="39"/>
  <c r="AY26" i="39"/>
  <c r="AU26" i="39"/>
  <c r="BA17" i="39"/>
  <c r="AS17" i="39"/>
  <c r="AU17" i="39"/>
  <c r="AV17" i="39"/>
  <c r="AY17" i="39"/>
  <c r="AT17" i="39"/>
  <c r="AZ17" i="39"/>
  <c r="AX17" i="39"/>
  <c r="AN122" i="39"/>
  <c r="AP122" i="39"/>
  <c r="AT122" i="39"/>
  <c r="AO122" i="39"/>
  <c r="AQ122" i="39"/>
  <c r="AS122" i="39"/>
  <c r="AU122" i="39"/>
  <c r="AV122" i="39"/>
  <c r="AS79" i="39"/>
  <c r="AT79" i="39"/>
  <c r="AU79" i="39"/>
  <c r="AO79" i="39"/>
  <c r="AY79" i="39"/>
  <c r="AZ79" i="39"/>
  <c r="BA79" i="39"/>
  <c r="AN79" i="39"/>
  <c r="AP79" i="39"/>
  <c r="AQ79" i="39"/>
  <c r="AV79" i="39"/>
  <c r="AX79" i="39"/>
  <c r="AZ242" i="39"/>
  <c r="BA242" i="39"/>
  <c r="AS242" i="39"/>
  <c r="AT242" i="39"/>
  <c r="AU242" i="39"/>
  <c r="AX242" i="39"/>
  <c r="AV242" i="39"/>
  <c r="AY242" i="39"/>
  <c r="AP222" i="39"/>
  <c r="AQ222" i="39"/>
  <c r="AS222" i="39"/>
  <c r="AT222" i="39"/>
  <c r="AU222" i="39"/>
  <c r="AV222" i="39"/>
  <c r="AN222" i="39"/>
  <c r="AO222" i="39"/>
  <c r="AQ185" i="39"/>
  <c r="BA185" i="39"/>
  <c r="AS185" i="39"/>
  <c r="AT185" i="39"/>
  <c r="AU185" i="39"/>
  <c r="AV185" i="39"/>
  <c r="AY185" i="39"/>
  <c r="AZ185" i="39"/>
  <c r="AN185" i="39"/>
  <c r="AO185" i="39"/>
  <c r="AX185" i="39"/>
  <c r="AP185" i="39"/>
  <c r="AQ167" i="39"/>
  <c r="BA167" i="39"/>
  <c r="AS167" i="39"/>
  <c r="AT167" i="39"/>
  <c r="AU167" i="39"/>
  <c r="AV167" i="39"/>
  <c r="AY167" i="39"/>
  <c r="AZ167" i="39"/>
  <c r="AN167" i="39"/>
  <c r="AO167" i="39"/>
  <c r="AP167" i="39"/>
  <c r="AX167" i="39"/>
  <c r="AV146" i="39"/>
  <c r="AX146" i="39"/>
  <c r="AY146" i="39"/>
  <c r="AU146" i="39"/>
  <c r="AS146" i="39"/>
  <c r="AT146" i="39"/>
  <c r="AZ146" i="39"/>
  <c r="BA146" i="39"/>
  <c r="BA137" i="39"/>
  <c r="AS137" i="39"/>
  <c r="AT137" i="39"/>
  <c r="AU137" i="39"/>
  <c r="AX137" i="39"/>
  <c r="AZ137" i="39"/>
  <c r="AV137" i="39"/>
  <c r="AY137" i="39"/>
  <c r="AS127" i="39"/>
  <c r="AU127" i="39"/>
  <c r="AY127" i="39"/>
  <c r="AZ127" i="39"/>
  <c r="BA127" i="39"/>
  <c r="AT127" i="39"/>
  <c r="AX127" i="39"/>
  <c r="AV127" i="39"/>
  <c r="AS117" i="39"/>
  <c r="AU117" i="39"/>
  <c r="AO117" i="39"/>
  <c r="AY117" i="39"/>
  <c r="AX117" i="39"/>
  <c r="AZ117" i="39"/>
  <c r="BA117" i="39"/>
  <c r="AN117" i="39"/>
  <c r="AP117" i="39"/>
  <c r="AQ117" i="39"/>
  <c r="AV117" i="39"/>
  <c r="AT117" i="39"/>
  <c r="AS94" i="39"/>
  <c r="AT94" i="39"/>
  <c r="AU94" i="39"/>
  <c r="AN94" i="39"/>
  <c r="AO94" i="39"/>
  <c r="AV94" i="39"/>
  <c r="AP94" i="39"/>
  <c r="AQ94" i="39"/>
  <c r="AS83" i="39"/>
  <c r="AT83" i="39"/>
  <c r="AU83" i="39"/>
  <c r="AO83" i="39"/>
  <c r="AN83" i="39"/>
  <c r="AP83" i="39"/>
  <c r="AQ83" i="39"/>
  <c r="AV83" i="39"/>
  <c r="BA41" i="39"/>
  <c r="AS41" i="39"/>
  <c r="AU41" i="39"/>
  <c r="AV41" i="39"/>
  <c r="AY41" i="39"/>
  <c r="AX41" i="39"/>
  <c r="AZ41" i="39"/>
  <c r="AT41" i="39"/>
  <c r="AQ33" i="39"/>
  <c r="BA33" i="39"/>
  <c r="AS33" i="39"/>
  <c r="AU33" i="39"/>
  <c r="AV33" i="39"/>
  <c r="AO33" i="39"/>
  <c r="AY33" i="39"/>
  <c r="AN33" i="39"/>
  <c r="AP33" i="39"/>
  <c r="AT33" i="39"/>
  <c r="AZ33" i="39"/>
  <c r="AX33" i="39"/>
  <c r="BA25" i="39"/>
  <c r="AS25" i="39"/>
  <c r="AU25" i="39"/>
  <c r="AV25" i="39"/>
  <c r="AY25" i="39"/>
  <c r="AX25" i="39"/>
  <c r="AZ25" i="39"/>
  <c r="AT25" i="39"/>
  <c r="AV16" i="39"/>
  <c r="AX16" i="39"/>
  <c r="AZ16" i="39"/>
  <c r="BA16" i="39"/>
  <c r="AT16" i="39"/>
  <c r="AY16" i="39"/>
  <c r="AS16" i="39"/>
  <c r="AU16" i="39"/>
  <c r="AV8" i="39"/>
  <c r="AX8" i="39"/>
  <c r="AZ8" i="39"/>
  <c r="AQ8" i="39"/>
  <c r="BA8" i="39"/>
  <c r="AT8" i="39"/>
  <c r="AS8" i="39"/>
  <c r="AU8" i="39"/>
  <c r="AY8" i="39"/>
  <c r="AU239" i="39"/>
  <c r="AV239" i="39"/>
  <c r="AN239" i="39"/>
  <c r="AX239" i="39"/>
  <c r="AO239" i="39"/>
  <c r="AY239" i="39"/>
  <c r="AP239" i="39"/>
  <c r="AZ239" i="39"/>
  <c r="AT239" i="39"/>
  <c r="BA239" i="39"/>
  <c r="AQ239" i="39"/>
  <c r="AS239" i="39"/>
  <c r="AV156" i="39"/>
  <c r="AN156" i="39"/>
  <c r="AO156" i="39"/>
  <c r="AU156" i="39"/>
  <c r="AS156" i="39"/>
  <c r="AT156" i="39"/>
  <c r="AP156" i="39"/>
  <c r="AQ156" i="39"/>
  <c r="AN63" i="39"/>
  <c r="AX63" i="39"/>
  <c r="AO63" i="39"/>
  <c r="AY63" i="39"/>
  <c r="AP63" i="39"/>
  <c r="AZ63" i="39"/>
  <c r="AT63" i="39"/>
  <c r="AQ63" i="39"/>
  <c r="AS63" i="39"/>
  <c r="AU63" i="39"/>
  <c r="AV63" i="39"/>
  <c r="BA63" i="39"/>
  <c r="AU241" i="39"/>
  <c r="AV241" i="39"/>
  <c r="AX241" i="39"/>
  <c r="AY241" i="39"/>
  <c r="AZ241" i="39"/>
  <c r="AS241" i="39"/>
  <c r="AT241" i="39"/>
  <c r="BA241" i="39"/>
  <c r="AP230" i="39"/>
  <c r="AZ230" i="39"/>
  <c r="AQ230" i="39"/>
  <c r="BA230" i="39"/>
  <c r="AS230" i="39"/>
  <c r="AT230" i="39"/>
  <c r="AU230" i="39"/>
  <c r="AN230" i="39"/>
  <c r="AO230" i="39"/>
  <c r="AX230" i="39"/>
  <c r="AV230" i="39"/>
  <c r="AY230" i="39"/>
  <c r="AU221" i="39"/>
  <c r="AV221" i="39"/>
  <c r="AN221" i="39"/>
  <c r="AO221" i="39"/>
  <c r="AP221" i="39"/>
  <c r="AQ221" i="39"/>
  <c r="AT221" i="39"/>
  <c r="AS221" i="39"/>
  <c r="AV184" i="39"/>
  <c r="AN184" i="39"/>
  <c r="AX184" i="39"/>
  <c r="AO184" i="39"/>
  <c r="AY184" i="39"/>
  <c r="AP184" i="39"/>
  <c r="AZ184" i="39"/>
  <c r="AQ184" i="39"/>
  <c r="BA184" i="39"/>
  <c r="AS184" i="39"/>
  <c r="AT184" i="39"/>
  <c r="AU184" i="39"/>
  <c r="AV176" i="39"/>
  <c r="AN176" i="39"/>
  <c r="AX176" i="39"/>
  <c r="AO176" i="39"/>
  <c r="AY176" i="39"/>
  <c r="AP176" i="39"/>
  <c r="AZ176" i="39"/>
  <c r="AQ176" i="39"/>
  <c r="BA176" i="39"/>
  <c r="AS176" i="39"/>
  <c r="AT176" i="39"/>
  <c r="AU176" i="39"/>
  <c r="AO166" i="39"/>
  <c r="AV166" i="39"/>
  <c r="AX166" i="39"/>
  <c r="AN166" i="39"/>
  <c r="AY166" i="39"/>
  <c r="AP166" i="39"/>
  <c r="AZ166" i="39"/>
  <c r="AQ166" i="39"/>
  <c r="BA166" i="39"/>
  <c r="AS166" i="39"/>
  <c r="AT166" i="39"/>
  <c r="AU166" i="39"/>
  <c r="BA145" i="39"/>
  <c r="AS145" i="39"/>
  <c r="AT145" i="39"/>
  <c r="AU145" i="39"/>
  <c r="AZ145" i="39"/>
  <c r="AV145" i="39"/>
  <c r="AY145" i="39"/>
  <c r="AX145" i="39"/>
  <c r="AN126" i="39"/>
  <c r="AP126" i="39"/>
  <c r="AT126" i="39"/>
  <c r="AO126" i="39"/>
  <c r="AQ126" i="39"/>
  <c r="AS126" i="39"/>
  <c r="AV126" i="39"/>
  <c r="AU126" i="39"/>
  <c r="AN116" i="39"/>
  <c r="AX116" i="39"/>
  <c r="AP116" i="39"/>
  <c r="AZ116" i="39"/>
  <c r="AT116" i="39"/>
  <c r="AV116" i="39"/>
  <c r="AY116" i="39"/>
  <c r="BA116" i="39"/>
  <c r="AO116" i="39"/>
  <c r="AQ116" i="39"/>
  <c r="AU116" i="39"/>
  <c r="AS116" i="39"/>
  <c r="AN93" i="39"/>
  <c r="AO93" i="39"/>
  <c r="AP93" i="39"/>
  <c r="AQ93" i="39"/>
  <c r="AT93" i="39"/>
  <c r="AS93" i="39"/>
  <c r="AU93" i="39"/>
  <c r="AV93" i="39"/>
  <c r="AS81" i="39"/>
  <c r="AT81" i="39"/>
  <c r="AU81" i="39"/>
  <c r="AO81" i="39"/>
  <c r="AP81" i="39"/>
  <c r="AQ81" i="39"/>
  <c r="AV81" i="39"/>
  <c r="AN81" i="39"/>
  <c r="AN65" i="39"/>
  <c r="AX65" i="39"/>
  <c r="AO65" i="39"/>
  <c r="AY65" i="39"/>
  <c r="AP65" i="39"/>
  <c r="AZ65" i="39"/>
  <c r="AT65" i="39"/>
  <c r="BA65" i="39"/>
  <c r="AQ65" i="39"/>
  <c r="AS65" i="39"/>
  <c r="AV65" i="39"/>
  <c r="AU65" i="39"/>
  <c r="AS57" i="39"/>
  <c r="AU57" i="39"/>
  <c r="AY57" i="39"/>
  <c r="AV57" i="39"/>
  <c r="AX57" i="39"/>
  <c r="AZ57" i="39"/>
  <c r="BA57" i="39"/>
  <c r="AT57" i="39"/>
  <c r="AQ49" i="39"/>
  <c r="BA49" i="39"/>
  <c r="AS49" i="39"/>
  <c r="AU49" i="39"/>
  <c r="AV49" i="39"/>
  <c r="AO49" i="39"/>
  <c r="AY49" i="39"/>
  <c r="AN49" i="39"/>
  <c r="AP49" i="39"/>
  <c r="AT49" i="39"/>
  <c r="AX49" i="39"/>
  <c r="AZ49" i="39"/>
  <c r="AV40" i="39"/>
  <c r="AX40" i="39"/>
  <c r="AZ40" i="39"/>
  <c r="BA40" i="39"/>
  <c r="AT40" i="39"/>
  <c r="AS40" i="39"/>
  <c r="AU40" i="39"/>
  <c r="AY40" i="39"/>
  <c r="AV32" i="39"/>
  <c r="AN32" i="39"/>
  <c r="AX32" i="39"/>
  <c r="AP32" i="39"/>
  <c r="AZ32" i="39"/>
  <c r="AQ32" i="39"/>
  <c r="BA32" i="39"/>
  <c r="AT32" i="39"/>
  <c r="AY32" i="39"/>
  <c r="AO32" i="39"/>
  <c r="AS32" i="39"/>
  <c r="AU32" i="39"/>
  <c r="AV24" i="39"/>
  <c r="AX24" i="39"/>
  <c r="AZ24" i="39"/>
  <c r="BA24" i="39"/>
  <c r="AT24" i="39"/>
  <c r="AS24" i="39"/>
  <c r="AU24" i="39"/>
  <c r="AY24" i="39"/>
  <c r="BA15" i="39"/>
  <c r="AS15" i="39"/>
  <c r="AU15" i="39"/>
  <c r="AV15" i="39"/>
  <c r="AY15" i="39"/>
  <c r="AT15" i="39"/>
  <c r="AX15" i="39"/>
  <c r="AZ15" i="39"/>
  <c r="BA21" i="31"/>
  <c r="AX21" i="31"/>
  <c r="AY21" i="31"/>
  <c r="AZ21" i="31"/>
  <c r="BA61" i="31"/>
  <c r="AZ61" i="31"/>
  <c r="AY61" i="31"/>
  <c r="AX61" i="31"/>
  <c r="BA53" i="31"/>
  <c r="AY53" i="31"/>
  <c r="AZ53" i="31"/>
  <c r="AX53" i="31"/>
  <c r="AY36" i="31"/>
  <c r="AZ36" i="31"/>
  <c r="BA36" i="31"/>
  <c r="AX36" i="31"/>
  <c r="AY28" i="31"/>
  <c r="AZ28" i="31"/>
  <c r="BA28" i="31"/>
  <c r="AX28" i="31"/>
  <c r="AY20" i="31"/>
  <c r="AZ20" i="31"/>
  <c r="AX20" i="31"/>
  <c r="BA20" i="31"/>
  <c r="BA156" i="31"/>
  <c r="AY156" i="31"/>
  <c r="AX156" i="31"/>
  <c r="AZ156" i="31"/>
  <c r="AZ135" i="31"/>
  <c r="BA135" i="31"/>
  <c r="AY135" i="31"/>
  <c r="AX135" i="31"/>
  <c r="AZ127" i="31"/>
  <c r="BA127" i="31"/>
  <c r="AY127" i="31"/>
  <c r="AX127" i="31"/>
  <c r="AY99" i="31"/>
  <c r="AZ99" i="31"/>
  <c r="BA99" i="31"/>
  <c r="AX99" i="31"/>
  <c r="AY75" i="31"/>
  <c r="AZ75" i="31"/>
  <c r="BA75" i="31"/>
  <c r="AX75" i="31"/>
  <c r="AY52" i="31"/>
  <c r="AZ52" i="31"/>
  <c r="BA52" i="31"/>
  <c r="AX52" i="31"/>
  <c r="AY44" i="31"/>
  <c r="AZ44" i="31"/>
  <c r="BA44" i="31"/>
  <c r="AX44" i="31"/>
  <c r="AY35" i="31"/>
  <c r="BA35" i="31"/>
  <c r="AZ35" i="31"/>
  <c r="AX35" i="31"/>
  <c r="AY19" i="31"/>
  <c r="AX19" i="31"/>
  <c r="AZ19" i="31"/>
  <c r="BA19" i="31"/>
  <c r="AY10" i="31"/>
  <c r="AZ10" i="31"/>
  <c r="BA10" i="31"/>
  <c r="AX10" i="31"/>
  <c r="AY224" i="31"/>
  <c r="AZ224" i="31"/>
  <c r="BA224" i="31"/>
  <c r="AX224" i="31"/>
  <c r="AZ150" i="31"/>
  <c r="BA150" i="31"/>
  <c r="AX150" i="31"/>
  <c r="AY150" i="31"/>
  <c r="BA37" i="31"/>
  <c r="AY37" i="31"/>
  <c r="AZ37" i="31"/>
  <c r="AX37" i="31"/>
  <c r="AY231" i="31"/>
  <c r="AZ231" i="31"/>
  <c r="BA231" i="31"/>
  <c r="AX231" i="31"/>
  <c r="BA191" i="31"/>
  <c r="AY191" i="31"/>
  <c r="AX191" i="31"/>
  <c r="AZ191" i="31"/>
  <c r="BA149" i="31"/>
  <c r="AY149" i="31"/>
  <c r="AX149" i="31"/>
  <c r="AZ149" i="31"/>
  <c r="AZ229" i="31"/>
  <c r="BA229" i="31"/>
  <c r="AX229" i="31"/>
  <c r="AY229" i="31"/>
  <c r="AY186" i="31"/>
  <c r="AZ186" i="31"/>
  <c r="BA186" i="31"/>
  <c r="AX186" i="31"/>
  <c r="AY165" i="31"/>
  <c r="AZ165" i="31"/>
  <c r="BA165" i="31"/>
  <c r="AX165" i="31"/>
  <c r="AZ134" i="31"/>
  <c r="BA134" i="31"/>
  <c r="AX134" i="31"/>
  <c r="AY134" i="31"/>
  <c r="AZ126" i="31"/>
  <c r="BA126" i="31"/>
  <c r="AX126" i="31"/>
  <c r="AY126" i="31"/>
  <c r="AZ82" i="31"/>
  <c r="BA82" i="31"/>
  <c r="AX82" i="31"/>
  <c r="AY82" i="31"/>
  <c r="AY59" i="31"/>
  <c r="AZ59" i="31"/>
  <c r="AX59" i="31"/>
  <c r="BA59" i="31"/>
  <c r="AY17" i="31"/>
  <c r="AX17" i="31"/>
  <c r="AZ17" i="31"/>
  <c r="BA17" i="31"/>
  <c r="AZ228" i="31"/>
  <c r="BA228" i="31"/>
  <c r="AX228" i="31"/>
  <c r="AY228" i="31"/>
  <c r="BA164" i="31"/>
  <c r="AZ164" i="31"/>
  <c r="AY164" i="31"/>
  <c r="AX164" i="31"/>
  <c r="AY154" i="31"/>
  <c r="AZ154" i="31"/>
  <c r="AX154" i="31"/>
  <c r="BA154" i="31"/>
  <c r="AZ81" i="31"/>
  <c r="BA81" i="31"/>
  <c r="AX81" i="31"/>
  <c r="AY81" i="31"/>
  <c r="AY58" i="31"/>
  <c r="AZ58" i="31"/>
  <c r="BA58" i="31"/>
  <c r="AX58" i="31"/>
  <c r="AY25" i="31"/>
  <c r="AX25" i="31"/>
  <c r="AZ25" i="31"/>
  <c r="BA25" i="31"/>
  <c r="AX16" i="31"/>
  <c r="AZ16" i="31"/>
  <c r="BA16" i="31"/>
  <c r="AY16" i="31"/>
  <c r="AX8" i="31"/>
  <c r="AZ8" i="31"/>
  <c r="BA8" i="31"/>
  <c r="AY8" i="31"/>
  <c r="BA232" i="31"/>
  <c r="AY232" i="31"/>
  <c r="AZ232" i="31"/>
  <c r="AX232" i="31"/>
  <c r="AY155" i="31"/>
  <c r="AZ155" i="31"/>
  <c r="AX155" i="31"/>
  <c r="BA155" i="31"/>
  <c r="AZ95" i="31"/>
  <c r="BA95" i="31"/>
  <c r="AX95" i="31"/>
  <c r="AY95" i="31"/>
  <c r="AY51" i="31"/>
  <c r="AZ51" i="31"/>
  <c r="BA51" i="31"/>
  <c r="AX51" i="31"/>
  <c r="AY42" i="31"/>
  <c r="AZ42" i="31"/>
  <c r="BA42" i="31"/>
  <c r="AX42" i="31"/>
  <c r="AY26" i="31"/>
  <c r="AZ26" i="31"/>
  <c r="BA26" i="31"/>
  <c r="AX26" i="31"/>
  <c r="BA183" i="31"/>
  <c r="AY183" i="31"/>
  <c r="AX183" i="31"/>
  <c r="AZ183" i="31"/>
  <c r="AY163" i="31"/>
  <c r="AZ163" i="31"/>
  <c r="BA163" i="31"/>
  <c r="AX163" i="31"/>
  <c r="AY153" i="31"/>
  <c r="AZ153" i="31"/>
  <c r="BA153" i="31"/>
  <c r="AX153" i="31"/>
  <c r="BA132" i="31"/>
  <c r="AZ132" i="31"/>
  <c r="AY132" i="31"/>
  <c r="AX132" i="31"/>
  <c r="BA124" i="31"/>
  <c r="AZ124" i="31"/>
  <c r="AY124" i="31"/>
  <c r="AX124" i="31"/>
  <c r="BA80" i="31"/>
  <c r="AY80" i="31"/>
  <c r="AX80" i="31"/>
  <c r="AZ80" i="31"/>
  <c r="AZ40" i="31"/>
  <c r="BA40" i="31"/>
  <c r="AX40" i="31"/>
  <c r="AY40" i="31"/>
  <c r="AZ32" i="31"/>
  <c r="BA32" i="31"/>
  <c r="AY32" i="31"/>
  <c r="AX32" i="31"/>
  <c r="AX24" i="31"/>
  <c r="AZ24" i="31"/>
  <c r="BA24" i="31"/>
  <c r="AY24" i="31"/>
  <c r="AZ15" i="31"/>
  <c r="BA15" i="31"/>
  <c r="AY15" i="31"/>
  <c r="AX15" i="31"/>
  <c r="AY217" i="31"/>
  <c r="AZ217" i="31"/>
  <c r="BA217" i="31"/>
  <c r="AX217" i="31"/>
  <c r="BA182" i="31"/>
  <c r="AX182" i="31"/>
  <c r="AY182" i="31"/>
  <c r="AZ182" i="31"/>
  <c r="AY162" i="31"/>
  <c r="AZ162" i="31"/>
  <c r="BA162" i="31"/>
  <c r="AX162" i="31"/>
  <c r="AY152" i="31"/>
  <c r="AZ152" i="31"/>
  <c r="AX152" i="31"/>
  <c r="BA152" i="31"/>
  <c r="AY131" i="31"/>
  <c r="AZ131" i="31"/>
  <c r="AX131" i="31"/>
  <c r="BA131" i="31"/>
  <c r="AY123" i="31"/>
  <c r="AZ123" i="31"/>
  <c r="BA123" i="31"/>
  <c r="AX123" i="31"/>
  <c r="BA79" i="31"/>
  <c r="AY79" i="31"/>
  <c r="AZ79" i="31"/>
  <c r="AX79" i="31"/>
  <c r="BA71" i="31"/>
  <c r="AX71" i="31"/>
  <c r="AZ71" i="31"/>
  <c r="AY71" i="31"/>
  <c r="AZ56" i="31"/>
  <c r="BA56" i="31"/>
  <c r="AY56" i="31"/>
  <c r="AX56" i="31"/>
  <c r="AZ48" i="31"/>
  <c r="BA48" i="31"/>
  <c r="AX48" i="31"/>
  <c r="AY48" i="31"/>
  <c r="AZ39" i="31"/>
  <c r="BA39" i="31"/>
  <c r="AX39" i="31"/>
  <c r="AY39" i="31"/>
  <c r="AZ31" i="31"/>
  <c r="BA31" i="31"/>
  <c r="AX31" i="31"/>
  <c r="AY31" i="31"/>
  <c r="BA14" i="31"/>
  <c r="AY14" i="31"/>
  <c r="AZ14" i="31"/>
  <c r="AX14" i="31"/>
  <c r="AY233" i="31"/>
  <c r="AZ233" i="31"/>
  <c r="BA233" i="31"/>
  <c r="AX233" i="31"/>
  <c r="AY225" i="31"/>
  <c r="AZ225" i="31"/>
  <c r="BA225" i="31"/>
  <c r="AX225" i="31"/>
  <c r="AZ216" i="31"/>
  <c r="BA216" i="31"/>
  <c r="AX216" i="31"/>
  <c r="AY216" i="31"/>
  <c r="AY181" i="31"/>
  <c r="AZ181" i="31"/>
  <c r="BA181" i="31"/>
  <c r="AX181" i="31"/>
  <c r="AZ161" i="31"/>
  <c r="BA161" i="31"/>
  <c r="AY161" i="31"/>
  <c r="AX161" i="31"/>
  <c r="AZ151" i="31"/>
  <c r="BA151" i="31"/>
  <c r="AY151" i="31"/>
  <c r="AX151" i="31"/>
  <c r="AZ122" i="31"/>
  <c r="AY122" i="31"/>
  <c r="BA122" i="31"/>
  <c r="AX122" i="31"/>
  <c r="AZ55" i="31"/>
  <c r="BA55" i="31"/>
  <c r="AY55" i="31"/>
  <c r="AX55" i="31"/>
  <c r="AZ47" i="31"/>
  <c r="BA47" i="31"/>
  <c r="AX47" i="31"/>
  <c r="AY47" i="31"/>
  <c r="BA38" i="31"/>
  <c r="AY38" i="31"/>
  <c r="AX38" i="31"/>
  <c r="AZ38" i="31"/>
  <c r="BA30" i="31"/>
  <c r="AY30" i="31"/>
  <c r="AX30" i="31"/>
  <c r="AZ30" i="31"/>
  <c r="BA13" i="31"/>
  <c r="AX13" i="31"/>
  <c r="AZ13" i="31"/>
  <c r="AY13" i="31"/>
  <c r="AO120" i="31"/>
  <c r="AP120" i="31"/>
  <c r="AQ120" i="31"/>
  <c r="AN120" i="31"/>
  <c r="AQ53" i="31"/>
  <c r="AP53" i="31"/>
  <c r="AN53" i="31"/>
  <c r="AO53" i="31"/>
  <c r="AP217" i="31"/>
  <c r="AQ217" i="31"/>
  <c r="AN217" i="31"/>
  <c r="AO217" i="31"/>
  <c r="AQ182" i="31"/>
  <c r="AN182" i="31"/>
  <c r="AP182" i="31"/>
  <c r="AO182" i="31"/>
  <c r="AO162" i="31"/>
  <c r="AP162" i="31"/>
  <c r="AQ162" i="31"/>
  <c r="AN162" i="31"/>
  <c r="AO111" i="31"/>
  <c r="AP111" i="31"/>
  <c r="AQ111" i="31"/>
  <c r="AN111" i="31"/>
  <c r="AQ71" i="31"/>
  <c r="AN71" i="31"/>
  <c r="AO71" i="31"/>
  <c r="AP71" i="31"/>
  <c r="AO31" i="31"/>
  <c r="AP31" i="31"/>
  <c r="AQ31" i="31"/>
  <c r="AN31" i="31"/>
  <c r="AQ233" i="31"/>
  <c r="AO233" i="31"/>
  <c r="AP233" i="31"/>
  <c r="AN233" i="31"/>
  <c r="AQ216" i="31"/>
  <c r="AN216" i="31"/>
  <c r="AO216" i="31"/>
  <c r="AP216" i="31"/>
  <c r="AQ232" i="31"/>
  <c r="AO232" i="31"/>
  <c r="AP232" i="31"/>
  <c r="AN232" i="31"/>
  <c r="AO160" i="31"/>
  <c r="AP160" i="31"/>
  <c r="AQ160" i="31"/>
  <c r="AN160" i="31"/>
  <c r="AQ140" i="31"/>
  <c r="AN140" i="31"/>
  <c r="AO140" i="31"/>
  <c r="AP140" i="31"/>
  <c r="AP129" i="31"/>
  <c r="AO129" i="31"/>
  <c r="AQ129" i="31"/>
  <c r="AN129" i="31"/>
  <c r="AP109" i="31"/>
  <c r="AQ109" i="31"/>
  <c r="AN109" i="31"/>
  <c r="AO109" i="31"/>
  <c r="AO88" i="31"/>
  <c r="AP88" i="31"/>
  <c r="AQ88" i="31"/>
  <c r="AN88" i="31"/>
  <c r="AO77" i="31"/>
  <c r="AQ77" i="31"/>
  <c r="AN77" i="31"/>
  <c r="AP77" i="31"/>
  <c r="AQ21" i="31"/>
  <c r="AO21" i="31"/>
  <c r="AN21" i="31"/>
  <c r="AP21" i="31"/>
  <c r="AO213" i="31"/>
  <c r="AP213" i="31"/>
  <c r="AQ213" i="31"/>
  <c r="AN213" i="31"/>
  <c r="AP87" i="31"/>
  <c r="AO87" i="31"/>
  <c r="AQ87" i="31"/>
  <c r="AN87" i="31"/>
  <c r="AO212" i="31"/>
  <c r="AP212" i="31"/>
  <c r="AQ212" i="31"/>
  <c r="AN212" i="31"/>
  <c r="AP107" i="31"/>
  <c r="AO107" i="31"/>
  <c r="AQ107" i="31"/>
  <c r="AN107" i="31"/>
  <c r="AO75" i="31"/>
  <c r="AP75" i="31"/>
  <c r="AQ75" i="31"/>
  <c r="AN75" i="31"/>
  <c r="AO19" i="31"/>
  <c r="AN19" i="31"/>
  <c r="AP19" i="31"/>
  <c r="AQ19" i="31"/>
  <c r="AO221" i="31"/>
  <c r="AP221" i="31"/>
  <c r="AQ221" i="31"/>
  <c r="AN221" i="31"/>
  <c r="AO186" i="31"/>
  <c r="AP186" i="31"/>
  <c r="AQ186" i="31"/>
  <c r="AN186" i="31"/>
  <c r="AQ165" i="31"/>
  <c r="AO165" i="31"/>
  <c r="AN165" i="31"/>
  <c r="AP165" i="31"/>
  <c r="AP155" i="31"/>
  <c r="AO155" i="31"/>
  <c r="AQ155" i="31"/>
  <c r="AN155" i="31"/>
  <c r="AO114" i="31"/>
  <c r="AP114" i="31"/>
  <c r="AN114" i="31"/>
  <c r="AQ114" i="31"/>
  <c r="AO106" i="31"/>
  <c r="AP106" i="31"/>
  <c r="AQ106" i="31"/>
  <c r="AN106" i="31"/>
  <c r="AO95" i="31"/>
  <c r="AP95" i="31"/>
  <c r="AQ95" i="31"/>
  <c r="AN95" i="31"/>
  <c r="AO82" i="31"/>
  <c r="AP82" i="31"/>
  <c r="AQ82" i="31"/>
  <c r="AN82" i="31"/>
  <c r="AO74" i="31"/>
  <c r="AP74" i="31"/>
  <c r="AQ74" i="31"/>
  <c r="AN74" i="31"/>
  <c r="AO59" i="31"/>
  <c r="AP59" i="31"/>
  <c r="AQ59" i="31"/>
  <c r="AN59" i="31"/>
  <c r="AP42" i="31"/>
  <c r="AQ42" i="31"/>
  <c r="AO42" i="31"/>
  <c r="AN42" i="31"/>
  <c r="AO128" i="31"/>
  <c r="AP128" i="31"/>
  <c r="AQ128" i="31"/>
  <c r="AN128" i="31"/>
  <c r="AO20" i="31"/>
  <c r="AN20" i="31"/>
  <c r="AP20" i="31"/>
  <c r="AQ20" i="31"/>
  <c r="AO222" i="31"/>
  <c r="AP222" i="31"/>
  <c r="AQ222" i="31"/>
  <c r="AN222" i="31"/>
  <c r="AQ156" i="31"/>
  <c r="AN156" i="31"/>
  <c r="AO156" i="31"/>
  <c r="AP156" i="31"/>
  <c r="AP44" i="31"/>
  <c r="AQ44" i="31"/>
  <c r="AN44" i="31"/>
  <c r="AO44" i="31"/>
  <c r="AQ10" i="31"/>
  <c r="AQ164" i="31"/>
  <c r="AO164" i="31"/>
  <c r="AP164" i="31"/>
  <c r="AN164" i="31"/>
  <c r="AP154" i="31"/>
  <c r="AO154" i="31"/>
  <c r="AQ154" i="31"/>
  <c r="AN154" i="31"/>
  <c r="AQ146" i="31"/>
  <c r="AO146" i="31"/>
  <c r="AP146" i="31"/>
  <c r="AN146" i="31"/>
  <c r="AP105" i="31"/>
  <c r="AO105" i="31"/>
  <c r="AQ105" i="31"/>
  <c r="AN105" i="31"/>
  <c r="AO94" i="31"/>
  <c r="AP94" i="31"/>
  <c r="AQ94" i="31"/>
  <c r="AN94" i="31"/>
  <c r="AO81" i="31"/>
  <c r="AP81" i="31"/>
  <c r="AQ81" i="31"/>
  <c r="AN81" i="31"/>
  <c r="AO73" i="31"/>
  <c r="AP73" i="31"/>
  <c r="AQ73" i="31"/>
  <c r="AN73" i="31"/>
  <c r="AP58" i="31"/>
  <c r="AQ58" i="31"/>
  <c r="AO58" i="31"/>
  <c r="AN58" i="31"/>
  <c r="AQ8" i="31"/>
  <c r="AP191" i="31"/>
  <c r="AQ191" i="31"/>
  <c r="AN191" i="31"/>
  <c r="AO191" i="31"/>
  <c r="AQ108" i="31"/>
  <c r="AN108" i="31"/>
  <c r="AP108" i="31"/>
  <c r="AO108" i="31"/>
  <c r="AQ99" i="31"/>
  <c r="AN99" i="31"/>
  <c r="AO99" i="31"/>
  <c r="AP99" i="31"/>
  <c r="AP183" i="31"/>
  <c r="AQ183" i="31"/>
  <c r="AN183" i="31"/>
  <c r="AO183" i="31"/>
  <c r="AP163" i="31"/>
  <c r="AN163" i="31"/>
  <c r="AO163" i="31"/>
  <c r="AQ163" i="31"/>
  <c r="AP153" i="31"/>
  <c r="AO153" i="31"/>
  <c r="AQ153" i="31"/>
  <c r="AN153" i="31"/>
  <c r="AP145" i="31"/>
  <c r="AQ145" i="31"/>
  <c r="AO145" i="31"/>
  <c r="AN145" i="31"/>
  <c r="AO104" i="31"/>
  <c r="AP104" i="31"/>
  <c r="AQ104" i="31"/>
  <c r="AN104" i="31"/>
  <c r="AP80" i="31"/>
  <c r="AQ80" i="31"/>
  <c r="AO80" i="31"/>
  <c r="AN80" i="31"/>
  <c r="AO57" i="31"/>
  <c r="AP57" i="31"/>
  <c r="AQ57" i="31"/>
  <c r="AN57" i="31"/>
  <c r="AO49" i="31"/>
  <c r="AP49" i="31"/>
  <c r="AQ49" i="31"/>
  <c r="AN49" i="31"/>
  <c r="AO32" i="31"/>
  <c r="AP32" i="31"/>
  <c r="AQ32" i="31"/>
  <c r="AN32" i="31"/>
  <c r="AP223" i="31"/>
  <c r="AO223" i="31"/>
  <c r="AQ223" i="31"/>
  <c r="AN223" i="31"/>
  <c r="AQ61" i="31"/>
  <c r="AN61" i="31"/>
  <c r="AP61" i="31"/>
  <c r="AO61" i="31"/>
  <c r="AQ226" i="31"/>
  <c r="AN226" i="31"/>
  <c r="AP226" i="31"/>
  <c r="AO226" i="31"/>
  <c r="AO152" i="31"/>
  <c r="AP152" i="31"/>
  <c r="AQ152" i="31"/>
  <c r="AN152" i="31"/>
  <c r="AO103" i="31"/>
  <c r="AP103" i="31"/>
  <c r="AQ103" i="31"/>
  <c r="AN103" i="31"/>
  <c r="AQ79" i="31"/>
  <c r="AN79" i="31"/>
  <c r="AP79" i="31"/>
  <c r="AO79" i="31"/>
  <c r="AO181" i="31"/>
  <c r="AP181" i="31"/>
  <c r="AN181" i="31"/>
  <c r="AQ181" i="31"/>
  <c r="AO161" i="31"/>
  <c r="AP161" i="31"/>
  <c r="AQ161" i="31"/>
  <c r="AN161" i="31"/>
  <c r="AO110" i="31"/>
  <c r="AP110" i="31"/>
  <c r="AQ110" i="31"/>
  <c r="AN110" i="31"/>
  <c r="AO102" i="31"/>
  <c r="AP102" i="31"/>
  <c r="AQ102" i="31"/>
  <c r="AN102" i="31"/>
  <c r="AO89" i="31"/>
  <c r="AP89" i="31"/>
  <c r="AQ89" i="31"/>
  <c r="AN89" i="31"/>
  <c r="AP78" i="31"/>
  <c r="AQ78" i="31"/>
  <c r="AO78" i="31"/>
  <c r="AN78" i="31"/>
  <c r="B3" i="44" a="1"/>
  <c r="B3" i="44" s="1"/>
  <c r="B3" i="42" a="1"/>
  <c r="B3" i="42" s="1"/>
  <c r="BP232" i="31" l="1"/>
  <c r="BP231" i="31"/>
  <c r="BP230" i="31"/>
  <c r="BP227" i="31"/>
  <c r="BP220" i="31"/>
  <c r="BP218" i="31"/>
  <c r="BQ218" i="31" s="1"/>
  <c r="BP217" i="31"/>
  <c r="BQ217" i="31" s="1"/>
  <c r="BP216" i="31"/>
  <c r="BQ216" i="31" s="1"/>
  <c r="BP215" i="31"/>
  <c r="BQ215" i="31" s="1"/>
  <c r="BP214" i="31"/>
  <c r="BP209" i="31"/>
  <c r="BP204" i="31"/>
  <c r="BP202" i="31"/>
  <c r="BQ202" i="31" s="1"/>
  <c r="BP201" i="31"/>
  <c r="BQ201" i="31" s="1"/>
  <c r="BP200" i="31"/>
  <c r="BQ200" i="31" s="1"/>
  <c r="BP199" i="31"/>
  <c r="BP198" i="31"/>
  <c r="BP197" i="31"/>
  <c r="BP196" i="31"/>
  <c r="BP195" i="31"/>
  <c r="BP194" i="31"/>
  <c r="BQ194" i="31" s="1"/>
  <c r="BP193" i="31"/>
  <c r="BQ193" i="31" s="1"/>
  <c r="BP192" i="31"/>
  <c r="BQ192" i="31" s="1"/>
  <c r="BP191" i="31"/>
  <c r="BQ191" i="31" s="1"/>
  <c r="BP187" i="31"/>
  <c r="BP186" i="31"/>
  <c r="BQ186" i="31" s="1"/>
  <c r="BP184" i="31"/>
  <c r="BP183" i="31"/>
  <c r="BQ183" i="31" s="1"/>
  <c r="BP182" i="31"/>
  <c r="BQ182" i="31" s="1"/>
  <c r="BP181" i="31"/>
  <c r="BQ181" i="31" s="1"/>
  <c r="BP176" i="31"/>
  <c r="BP7" i="31"/>
  <c r="BP8" i="31"/>
  <c r="BP9" i="31"/>
  <c r="BP11" i="31"/>
  <c r="BP12" i="31"/>
  <c r="BP19" i="31"/>
  <c r="BQ19" i="31" s="1"/>
  <c r="BP20" i="31"/>
  <c r="BQ20" i="31" s="1"/>
  <c r="BP21" i="31"/>
  <c r="BQ21" i="31" s="1"/>
  <c r="BP22" i="31"/>
  <c r="BP23" i="31"/>
  <c r="BP27" i="31"/>
  <c r="BP29" i="31"/>
  <c r="BP30" i="31"/>
  <c r="BP31" i="31"/>
  <c r="BP32" i="31"/>
  <c r="BQ32" i="31" s="1"/>
  <c r="BP33" i="31"/>
  <c r="BP34" i="31"/>
  <c r="BP41" i="31"/>
  <c r="BQ41" i="31" s="1"/>
  <c r="BP42" i="31"/>
  <c r="BQ42" i="31" s="1"/>
  <c r="BP44" i="31"/>
  <c r="BQ44" i="31" s="1"/>
  <c r="BP45" i="31"/>
  <c r="BP46" i="31"/>
  <c r="BP50" i="31"/>
  <c r="BP53" i="31"/>
  <c r="BQ53" i="31" s="1"/>
  <c r="BP54" i="31"/>
  <c r="BP60" i="31"/>
  <c r="BQ60" i="31" s="1"/>
  <c r="BP61" i="31"/>
  <c r="BP62" i="31"/>
  <c r="BP63" i="31"/>
  <c r="BP66" i="31"/>
  <c r="BQ66" i="31" s="1"/>
  <c r="BP67" i="31"/>
  <c r="BQ67" i="31" s="1"/>
  <c r="BP68" i="31"/>
  <c r="BQ68" i="31" s="1"/>
  <c r="BP69" i="31"/>
  <c r="BQ69" i="31" s="1"/>
  <c r="BP70" i="31"/>
  <c r="BQ70" i="31" s="1"/>
  <c r="BP71" i="31"/>
  <c r="BQ71" i="31" s="1"/>
  <c r="BP72" i="31"/>
  <c r="BP75" i="31"/>
  <c r="BQ75" i="31" s="1"/>
  <c r="BP76" i="31"/>
  <c r="BP79" i="31"/>
  <c r="BQ79" i="31" s="1"/>
  <c r="BP80" i="31"/>
  <c r="BQ80" i="31" s="1"/>
  <c r="BP81" i="31"/>
  <c r="BP86" i="31"/>
  <c r="BP87" i="31"/>
  <c r="BP88" i="31"/>
  <c r="BP89" i="31"/>
  <c r="BP90" i="31"/>
  <c r="BP91" i="31"/>
  <c r="BP95" i="31"/>
  <c r="BP96" i="31"/>
  <c r="BQ96" i="31" s="1"/>
  <c r="BP97" i="31"/>
  <c r="BQ97" i="31" s="1"/>
  <c r="BP98" i="31"/>
  <c r="BQ98" i="31" s="1"/>
  <c r="BP99" i="31"/>
  <c r="BQ99" i="31" s="1"/>
  <c r="BP100" i="31"/>
  <c r="BP101" i="31"/>
  <c r="BP112" i="31"/>
  <c r="BP113" i="31"/>
  <c r="BP118" i="31"/>
  <c r="BP119" i="31"/>
  <c r="BP120" i="31"/>
  <c r="BP121" i="31"/>
  <c r="BP125" i="31"/>
  <c r="BP130" i="31"/>
  <c r="BP133" i="31"/>
  <c r="BP136" i="31"/>
  <c r="BP141" i="31"/>
  <c r="BP144" i="31"/>
  <c r="BP146" i="31"/>
  <c r="BP147" i="31"/>
  <c r="BP148" i="31"/>
  <c r="BP152" i="31"/>
  <c r="BQ152" i="31" s="1"/>
  <c r="BP153" i="31"/>
  <c r="BQ153" i="31" s="1"/>
  <c r="BP154" i="31"/>
  <c r="BQ154" i="31" s="1"/>
  <c r="BP155" i="31"/>
  <c r="BQ155" i="31" s="1"/>
  <c r="BP156" i="31"/>
  <c r="BQ156" i="31" s="1"/>
  <c r="BP157" i="31"/>
  <c r="BP161" i="31"/>
  <c r="BQ161" i="31" s="1"/>
  <c r="BP162" i="31"/>
  <c r="BQ162" i="31" s="1"/>
  <c r="BP163" i="31"/>
  <c r="BQ163" i="31" s="1"/>
  <c r="BP164" i="31"/>
  <c r="BQ164" i="31" s="1"/>
  <c r="BP165" i="31"/>
  <c r="BQ165" i="31" s="1"/>
  <c r="BP166" i="31"/>
  <c r="BP170" i="31"/>
  <c r="BQ170" i="31" s="1"/>
  <c r="BP171" i="31"/>
  <c r="BQ171" i="31" s="1"/>
  <c r="BP172" i="31"/>
  <c r="BQ172" i="31" s="1"/>
  <c r="BP173" i="31"/>
  <c r="BQ173" i="31" s="1"/>
  <c r="BP174" i="31"/>
  <c r="BQ174" i="31" s="1"/>
  <c r="BN232" i="31"/>
  <c r="BN231" i="31"/>
  <c r="BN230" i="31"/>
  <c r="BN227" i="31"/>
  <c r="BN220" i="31"/>
  <c r="BN218" i="31"/>
  <c r="BN217" i="31"/>
  <c r="BN216" i="31"/>
  <c r="BN215" i="31"/>
  <c r="BN214" i="31"/>
  <c r="BN209" i="31"/>
  <c r="BN204" i="31"/>
  <c r="BN202" i="31"/>
  <c r="BN201" i="31"/>
  <c r="BN200" i="31"/>
  <c r="BN199" i="31"/>
  <c r="BN198" i="31"/>
  <c r="BN197" i="31"/>
  <c r="BN196" i="31"/>
  <c r="BN195" i="31"/>
  <c r="BN194" i="31"/>
  <c r="BN193" i="31"/>
  <c r="BN192" i="31"/>
  <c r="BN191" i="31"/>
  <c r="BN187" i="31"/>
  <c r="BN186" i="31"/>
  <c r="BN184" i="31"/>
  <c r="BN183" i="31"/>
  <c r="BN182" i="31"/>
  <c r="BN181" i="31"/>
  <c r="BN176" i="31"/>
  <c r="BN7" i="31"/>
  <c r="BN8" i="31"/>
  <c r="BN9" i="31"/>
  <c r="BN11" i="31"/>
  <c r="BN12" i="31"/>
  <c r="BN19" i="31"/>
  <c r="BN20" i="31"/>
  <c r="BN21" i="31"/>
  <c r="BN22" i="31"/>
  <c r="BN23" i="31"/>
  <c r="BN27" i="31"/>
  <c r="BN29" i="31"/>
  <c r="BN30" i="31"/>
  <c r="BN31" i="31"/>
  <c r="BN32" i="31"/>
  <c r="BN33" i="31"/>
  <c r="BN34" i="31"/>
  <c r="BN41" i="31"/>
  <c r="BN42" i="31"/>
  <c r="BN44" i="31"/>
  <c r="BN45" i="31"/>
  <c r="BN46" i="31"/>
  <c r="BN50" i="31"/>
  <c r="BN53" i="31"/>
  <c r="BN54" i="31"/>
  <c r="BN60" i="31"/>
  <c r="BN61" i="31"/>
  <c r="BN62" i="31"/>
  <c r="BN63" i="31"/>
  <c r="BN66" i="31"/>
  <c r="BN67" i="31"/>
  <c r="BN68" i="31"/>
  <c r="BN69" i="31"/>
  <c r="BN70" i="31"/>
  <c r="BN71" i="31"/>
  <c r="BN72" i="31"/>
  <c r="BN75" i="31"/>
  <c r="BN76" i="31"/>
  <c r="BN79" i="31"/>
  <c r="BN80" i="31"/>
  <c r="BN81" i="31"/>
  <c r="BN86" i="31"/>
  <c r="BN87" i="31"/>
  <c r="BN88" i="31"/>
  <c r="BN89" i="31"/>
  <c r="BN90" i="31"/>
  <c r="BN91" i="31"/>
  <c r="BN95" i="31"/>
  <c r="BN96" i="31"/>
  <c r="BN97" i="31"/>
  <c r="BN98" i="31"/>
  <c r="BN99" i="31"/>
  <c r="BN100" i="31"/>
  <c r="BN101" i="31"/>
  <c r="BN112" i="31"/>
  <c r="BN113" i="31"/>
  <c r="BN118" i="31"/>
  <c r="BN119" i="31"/>
  <c r="BN120" i="31"/>
  <c r="BN121" i="31"/>
  <c r="BN125" i="31"/>
  <c r="BN130" i="31"/>
  <c r="BN133" i="31"/>
  <c r="BN136" i="31"/>
  <c r="BN141" i="31"/>
  <c r="BN144" i="31"/>
  <c r="BN146" i="31"/>
  <c r="BN147" i="31"/>
  <c r="BN148" i="31"/>
  <c r="BN152" i="31"/>
  <c r="BN153" i="31"/>
  <c r="BN154" i="31"/>
  <c r="BN155" i="31"/>
  <c r="BN156" i="31"/>
  <c r="BN157" i="31"/>
  <c r="BN161" i="31"/>
  <c r="BN162" i="31"/>
  <c r="BN163" i="31"/>
  <c r="BN164" i="31"/>
  <c r="BN165" i="31"/>
  <c r="BN166" i="31"/>
  <c r="BN170" i="31"/>
  <c r="BN171" i="31"/>
  <c r="BN172" i="31"/>
  <c r="BN173" i="31"/>
  <c r="BN174" i="31"/>
  <c r="AG242" i="31"/>
  <c r="AG238" i="31"/>
  <c r="D1" i="31"/>
  <c r="BP242" i="31" l="1"/>
  <c r="BO30" i="31"/>
  <c r="BO183" i="31"/>
  <c r="BO89" i="31"/>
  <c r="BP238" i="31"/>
  <c r="BE238" i="31"/>
  <c r="BO231" i="31"/>
  <c r="BO191" i="31"/>
  <c r="BO186" i="31"/>
  <c r="BO8" i="31"/>
  <c r="BO146" i="31"/>
  <c r="BO182" i="31"/>
  <c r="BO232" i="31"/>
  <c r="BO87" i="31"/>
  <c r="BO181" i="31"/>
  <c r="BO120" i="31"/>
  <c r="BO88" i="31"/>
  <c r="S126" i="39"/>
  <c r="AI126" i="39" s="1"/>
  <c r="K128" i="39"/>
  <c r="G128" i="39"/>
  <c r="G127" i="39"/>
  <c r="G126" i="39"/>
  <c r="B181" i="41" s="1"/>
  <c r="I128" i="39"/>
  <c r="I127" i="39"/>
  <c r="I126" i="39"/>
  <c r="S127" i="39"/>
  <c r="AI127" i="39" s="1"/>
  <c r="AG127" i="39"/>
  <c r="AE127" i="39"/>
  <c r="K128" i="38"/>
  <c r="AG127" i="38"/>
  <c r="K129" i="38"/>
  <c r="K126" i="38"/>
  <c r="I129" i="38"/>
  <c r="I128" i="38"/>
  <c r="I127" i="38"/>
  <c r="I126" i="38"/>
  <c r="G126" i="38"/>
  <c r="G127" i="38"/>
  <c r="G128" i="38"/>
  <c r="B143" i="41" s="1"/>
  <c r="G129" i="38"/>
  <c r="K135" i="39"/>
  <c r="I135" i="39"/>
  <c r="G135" i="39"/>
  <c r="K136" i="38"/>
  <c r="I136" i="38"/>
  <c r="G136" i="38"/>
  <c r="K124" i="31"/>
  <c r="I124" i="31"/>
  <c r="G124" i="31"/>
  <c r="K224" i="39"/>
  <c r="J225" i="38"/>
  <c r="K225" i="38"/>
  <c r="K224" i="38"/>
  <c r="K223" i="38"/>
  <c r="I231" i="31"/>
  <c r="I229" i="31"/>
  <c r="I228" i="31"/>
  <c r="K119" i="39"/>
  <c r="K118" i="38"/>
  <c r="I118" i="38"/>
  <c r="G118" i="38"/>
  <c r="I119" i="39"/>
  <c r="G119" i="39"/>
  <c r="AK111" i="31"/>
  <c r="K111" i="31"/>
  <c r="I111" i="31"/>
  <c r="G111" i="31"/>
  <c r="G117" i="38"/>
  <c r="I117" i="38"/>
  <c r="I118" i="39"/>
  <c r="G118" i="39"/>
  <c r="K118" i="39"/>
  <c r="K117" i="38"/>
  <c r="K110" i="31"/>
  <c r="I110" i="31"/>
  <c r="G110" i="31"/>
  <c r="R225" i="38" l="1"/>
  <c r="AH225" i="38" s="1"/>
  <c r="Q225" i="38"/>
  <c r="O225" i="38"/>
  <c r="AF225" i="38" s="1"/>
  <c r="AC118" i="39" a="1"/>
  <c r="AC118" i="39" s="1"/>
  <c r="AC126" i="39" a="1"/>
  <c r="AC126" i="39" s="1"/>
  <c r="AD126" i="39" a="1"/>
  <c r="AD126" i="39" s="1"/>
  <c r="AC127" i="39" a="1"/>
  <c r="AC127" i="39" s="1"/>
  <c r="AD127" i="39" a="1"/>
  <c r="AD127" i="39" s="1"/>
  <c r="AC128" i="39" a="1"/>
  <c r="AC128" i="39" s="1"/>
  <c r="AC119" i="39" a="1"/>
  <c r="AC119" i="39" s="1"/>
  <c r="AC135" i="39" a="1"/>
  <c r="AC135" i="39" s="1"/>
  <c r="AD135" i="39" a="1"/>
  <c r="AD135" i="39" s="1"/>
  <c r="AC128" i="38" a="1"/>
  <c r="AC128" i="38" s="1"/>
  <c r="AC117" i="38" a="1"/>
  <c r="AC117" i="38" s="1"/>
  <c r="AC127" i="38" a="1"/>
  <c r="AC127" i="38" s="1"/>
  <c r="AD127" i="38" a="1"/>
  <c r="AD127" i="38" s="1"/>
  <c r="AC136" i="38" a="1"/>
  <c r="AC136" i="38" s="1"/>
  <c r="AC126" i="38" a="1"/>
  <c r="AC126" i="38" s="1"/>
  <c r="AC118" i="38" a="1"/>
  <c r="AC118" i="38" s="1"/>
  <c r="AC129" i="38" a="1"/>
  <c r="AC129" i="38" s="1"/>
  <c r="N225" i="38"/>
  <c r="AC110" i="31" a="1"/>
  <c r="AC110" i="31" s="1"/>
  <c r="BG228" i="31"/>
  <c r="BK228" i="31" s="1"/>
  <c r="AC228" i="31" a="1"/>
  <c r="AC228" i="31" s="1"/>
  <c r="AD228" i="31" a="1"/>
  <c r="AD228" i="31" s="1"/>
  <c r="AC124" i="31" a="1"/>
  <c r="AC124" i="31" s="1"/>
  <c r="BG231" i="31"/>
  <c r="BK231" i="31" s="1"/>
  <c r="AC231" i="31" a="1"/>
  <c r="AC231" i="31" s="1"/>
  <c r="AD231" i="31" s="1" a="1"/>
  <c r="AD231" i="31" s="1"/>
  <c r="AC111" i="31" a="1"/>
  <c r="AC111" i="31" s="1"/>
  <c r="BG229" i="31"/>
  <c r="BK229" i="31" s="1"/>
  <c r="AC229" i="31" a="1"/>
  <c r="AC229" i="31" s="1"/>
  <c r="AD229" i="31" a="1"/>
  <c r="AD229" i="31" s="1"/>
  <c r="BI126" i="39"/>
  <c r="BM126" i="39" s="1"/>
  <c r="BG127" i="39"/>
  <c r="BK127" i="39" s="1"/>
  <c r="BG127" i="38"/>
  <c r="BK127" i="38" s="1"/>
  <c r="J128" i="39"/>
  <c r="J119" i="39"/>
  <c r="J118" i="39"/>
  <c r="AP127" i="39"/>
  <c r="AN127" i="39"/>
  <c r="J135" i="39"/>
  <c r="AP127" i="38"/>
  <c r="J136" i="38"/>
  <c r="J118" i="38"/>
  <c r="J117" i="38"/>
  <c r="J126" i="38"/>
  <c r="J129" i="38"/>
  <c r="J128" i="38"/>
  <c r="J124" i="31"/>
  <c r="J111" i="31"/>
  <c r="J110" i="31"/>
  <c r="B183" i="41"/>
  <c r="B182" i="41"/>
  <c r="B190" i="41"/>
  <c r="B141" i="41"/>
  <c r="B144" i="41"/>
  <c r="B142" i="41"/>
  <c r="B151" i="41"/>
  <c r="B110" i="41"/>
  <c r="AQ127" i="39"/>
  <c r="H182" i="41"/>
  <c r="BA126" i="39"/>
  <c r="H181" i="41"/>
  <c r="AE127" i="38"/>
  <c r="AG126" i="39"/>
  <c r="AE126" i="39"/>
  <c r="P127" i="39"/>
  <c r="S127" i="38"/>
  <c r="AI127" i="38" s="1"/>
  <c r="R128" i="39" l="1"/>
  <c r="O128" i="39"/>
  <c r="Q128" i="39"/>
  <c r="N128" i="39"/>
  <c r="N125" i="39" s="1"/>
  <c r="AE125" i="39" s="1"/>
  <c r="BI119" i="39"/>
  <c r="BM119" i="39" s="1"/>
  <c r="N119" i="39"/>
  <c r="AE119" i="39" s="1"/>
  <c r="O119" i="39"/>
  <c r="AF119" i="39" s="1"/>
  <c r="R119" i="39"/>
  <c r="AH119" i="39" s="1"/>
  <c r="Q119" i="39"/>
  <c r="AG119" i="39" s="1"/>
  <c r="Q118" i="39"/>
  <c r="AZ118" i="39" s="1"/>
  <c r="R118" i="39"/>
  <c r="AH118" i="39" s="1"/>
  <c r="O118" i="39"/>
  <c r="AF118" i="39" s="1"/>
  <c r="N118" i="39"/>
  <c r="AE118" i="39" s="1"/>
  <c r="AD119" i="39" a="1"/>
  <c r="AD119" i="39" s="1"/>
  <c r="R135" i="39"/>
  <c r="AH135" i="39" s="1"/>
  <c r="O135" i="39"/>
  <c r="AF135" i="39" s="1"/>
  <c r="Q135" i="39"/>
  <c r="AP135" i="39" s="1"/>
  <c r="N135" i="39"/>
  <c r="R128" i="38"/>
  <c r="AH128" i="38" s="1"/>
  <c r="Q128" i="38"/>
  <c r="AG128" i="38" s="1"/>
  <c r="O128" i="38"/>
  <c r="AF128" i="38" s="1"/>
  <c r="AD129" i="38" a="1"/>
  <c r="AD129" i="38" s="1"/>
  <c r="R129" i="38"/>
  <c r="AH129" i="38" s="1"/>
  <c r="Q129" i="38"/>
  <c r="AG129" i="38" s="1"/>
  <c r="O129" i="38"/>
  <c r="AF129" i="38" s="1"/>
  <c r="AD126" i="38" a="1"/>
  <c r="AD126" i="38" s="1"/>
  <c r="R126" i="38"/>
  <c r="Q126" i="38"/>
  <c r="AG126" i="38" s="1"/>
  <c r="O126" i="38"/>
  <c r="AF126" i="38" s="1"/>
  <c r="R117" i="38"/>
  <c r="AH117" i="38" s="1"/>
  <c r="Q117" i="38"/>
  <c r="AG117" i="38" s="1"/>
  <c r="O117" i="38"/>
  <c r="AF117" i="38" s="1"/>
  <c r="R118" i="38"/>
  <c r="AH118" i="38" s="1"/>
  <c r="Q118" i="38"/>
  <c r="O118" i="38"/>
  <c r="AF118" i="38" s="1"/>
  <c r="O136" i="38"/>
  <c r="AF136" i="38" s="1"/>
  <c r="Q136" i="38"/>
  <c r="AG136" i="38" s="1"/>
  <c r="R136" i="38"/>
  <c r="AH136" i="38" s="1"/>
  <c r="O110" i="31"/>
  <c r="AF110" i="31" s="1"/>
  <c r="R110" i="31"/>
  <c r="AH110" i="31" s="1"/>
  <c r="O111" i="31"/>
  <c r="AF111" i="31" s="1"/>
  <c r="R111" i="31"/>
  <c r="AH111" i="31" s="1"/>
  <c r="O124" i="31"/>
  <c r="AF124" i="31" s="1"/>
  <c r="R124" i="31"/>
  <c r="AH124" i="31" s="1"/>
  <c r="S118" i="39"/>
  <c r="AI118" i="39" s="1"/>
  <c r="Q125" i="39"/>
  <c r="AG125" i="39" s="1"/>
  <c r="AD128" i="39" a="1"/>
  <c r="AD128" i="39" s="1"/>
  <c r="BG135" i="39"/>
  <c r="BK135" i="39" s="1"/>
  <c r="AD118" i="39" a="1"/>
  <c r="AD118" i="39" s="1"/>
  <c r="N118" i="38"/>
  <c r="AE118" i="38" s="1"/>
  <c r="BG136" i="38"/>
  <c r="BK136" i="38" s="1"/>
  <c r="N136" i="38"/>
  <c r="AE136" i="38" s="1"/>
  <c r="AD118" i="38" a="1"/>
  <c r="AD118" i="38" s="1"/>
  <c r="AD136" i="38" a="1"/>
  <c r="AD136" i="38" s="1"/>
  <c r="N117" i="38"/>
  <c r="AX117" i="38" s="1"/>
  <c r="AD117" i="38" a="1"/>
  <c r="AD117" i="38" s="1"/>
  <c r="S128" i="38"/>
  <c r="AI128" i="38" s="1"/>
  <c r="N128" i="38"/>
  <c r="AE128" i="38" s="1"/>
  <c r="AD128" i="38" a="1"/>
  <c r="AD128" i="38" s="1"/>
  <c r="N129" i="38"/>
  <c r="AE129" i="38" s="1"/>
  <c r="N126" i="38"/>
  <c r="AE126" i="38" s="1"/>
  <c r="BI111" i="31"/>
  <c r="BM111" i="31" s="1"/>
  <c r="N111" i="31"/>
  <c r="AE111" i="31" s="1"/>
  <c r="Q111" i="31"/>
  <c r="AG111" i="31" s="1"/>
  <c r="BG124" i="31"/>
  <c r="BK124" i="31" s="1"/>
  <c r="Q124" i="31"/>
  <c r="AG124" i="31" s="1"/>
  <c r="N124" i="31"/>
  <c r="AE124" i="31" s="1"/>
  <c r="AD111" i="31" a="1"/>
  <c r="AD111" i="31" s="1"/>
  <c r="BI110" i="31"/>
  <c r="BM110" i="31" s="1"/>
  <c r="Q110" i="31"/>
  <c r="AG110" i="31" s="1"/>
  <c r="N110" i="31"/>
  <c r="AE110" i="31" s="1"/>
  <c r="AD124" i="31" a="1"/>
  <c r="AD124" i="31" s="1"/>
  <c r="AD110" i="31" a="1"/>
  <c r="AD110" i="31" s="1"/>
  <c r="BH128" i="39"/>
  <c r="BL128" i="39" s="1"/>
  <c r="S119" i="39"/>
  <c r="AI119" i="39" s="1"/>
  <c r="S135" i="39"/>
  <c r="AI135" i="39" s="1"/>
  <c r="S128" i="39"/>
  <c r="AI128" i="39" s="1"/>
  <c r="BI117" i="38"/>
  <c r="BM117" i="38" s="1"/>
  <c r="S124" i="31"/>
  <c r="AI124" i="31" s="1"/>
  <c r="S110" i="31"/>
  <c r="AI110" i="31" s="1"/>
  <c r="S111" i="31"/>
  <c r="AI111" i="31" s="1"/>
  <c r="BP110" i="31"/>
  <c r="BN110" i="31"/>
  <c r="BN124" i="31"/>
  <c r="BP124" i="31"/>
  <c r="BO124" i="31" s="1"/>
  <c r="BP111" i="31"/>
  <c r="BN111" i="31"/>
  <c r="AX126" i="39"/>
  <c r="BI118" i="39"/>
  <c r="BM118" i="39" s="1"/>
  <c r="AZ126" i="39"/>
  <c r="S126" i="38"/>
  <c r="AI126" i="38" s="1"/>
  <c r="S129" i="38"/>
  <c r="AI129" i="38" s="1"/>
  <c r="S117" i="38"/>
  <c r="AI117" i="38" s="1"/>
  <c r="BI129" i="38"/>
  <c r="BM129" i="38" s="1"/>
  <c r="BH128" i="38"/>
  <c r="BL128" i="38" s="1"/>
  <c r="S118" i="38"/>
  <c r="AI118" i="38" s="1"/>
  <c r="AG118" i="38"/>
  <c r="BI118" i="38"/>
  <c r="BM118" i="38" s="1"/>
  <c r="S136" i="38"/>
  <c r="AI136" i="38" s="1"/>
  <c r="BI126" i="38"/>
  <c r="BM126" i="38" s="1"/>
  <c r="AQ127" i="38"/>
  <c r="F142" i="41"/>
  <c r="T127" i="38"/>
  <c r="AR127" i="38" s="1"/>
  <c r="P127" i="38"/>
  <c r="AO127" i="38" s="1"/>
  <c r="AN127" i="38"/>
  <c r="M127" i="39"/>
  <c r="G182" i="41" s="1"/>
  <c r="AO127" i="39"/>
  <c r="P126" i="39"/>
  <c r="R125" i="38" l="1"/>
  <c r="AH125" i="38" s="1"/>
  <c r="AH126" i="38"/>
  <c r="O125" i="39"/>
  <c r="AF125" i="39" s="1"/>
  <c r="AF128" i="39"/>
  <c r="R125" i="39"/>
  <c r="AH125" i="39" s="1"/>
  <c r="AH128" i="39"/>
  <c r="P135" i="39"/>
  <c r="M135" i="39" s="1"/>
  <c r="G190" i="41" s="1"/>
  <c r="AG118" i="39"/>
  <c r="W118" i="39"/>
  <c r="BA118" i="39"/>
  <c r="AZ126" i="38"/>
  <c r="AX129" i="38"/>
  <c r="AX118" i="38"/>
  <c r="O125" i="38"/>
  <c r="AF125" i="38" s="1"/>
  <c r="AZ111" i="31"/>
  <c r="AX111" i="31"/>
  <c r="BQ111" i="31"/>
  <c r="AX119" i="39"/>
  <c r="AN135" i="39"/>
  <c r="AE135" i="39"/>
  <c r="AS128" i="39"/>
  <c r="AG135" i="39"/>
  <c r="AE128" i="39"/>
  <c r="AG128" i="39"/>
  <c r="BA129" i="38"/>
  <c r="F144" i="41"/>
  <c r="F143" i="41"/>
  <c r="AE117" i="38"/>
  <c r="T128" i="38"/>
  <c r="AW128" i="38" s="1"/>
  <c r="AV128" i="38"/>
  <c r="BO111" i="31"/>
  <c r="P111" i="31"/>
  <c r="M111" i="31" s="1"/>
  <c r="BO110" i="31"/>
  <c r="BQ124" i="31"/>
  <c r="AU128" i="39"/>
  <c r="P128" i="39"/>
  <c r="M128" i="39" s="1"/>
  <c r="G183" i="41" s="1"/>
  <c r="AX118" i="39"/>
  <c r="BA119" i="39"/>
  <c r="P118" i="39"/>
  <c r="AY118" i="39" s="1"/>
  <c r="AQ135" i="39"/>
  <c r="AZ119" i="39"/>
  <c r="P119" i="39"/>
  <c r="M119" i="39" s="1"/>
  <c r="AV128" i="39"/>
  <c r="S125" i="39"/>
  <c r="AI125" i="39" s="1"/>
  <c r="H190" i="41"/>
  <c r="H183" i="41"/>
  <c r="AL129" i="38"/>
  <c r="P136" i="38"/>
  <c r="M136" i="38" s="1"/>
  <c r="E151" i="41" s="1"/>
  <c r="P126" i="38"/>
  <c r="AY126" i="38" s="1"/>
  <c r="AX126" i="38"/>
  <c r="T129" i="38"/>
  <c r="AK129" i="38" s="1"/>
  <c r="AZ110" i="31"/>
  <c r="AX110" i="31"/>
  <c r="AN124" i="31"/>
  <c r="P110" i="31"/>
  <c r="AY110" i="31" s="1"/>
  <c r="BA111" i="31"/>
  <c r="W110" i="31"/>
  <c r="BA110" i="31"/>
  <c r="AP124" i="31"/>
  <c r="P124" i="31"/>
  <c r="AO124" i="31" s="1"/>
  <c r="D110" i="41"/>
  <c r="AQ124" i="31"/>
  <c r="BQ110" i="31"/>
  <c r="P118" i="38"/>
  <c r="M118" i="38" s="1"/>
  <c r="AS128" i="38"/>
  <c r="W117" i="38"/>
  <c r="N125" i="38"/>
  <c r="AE125" i="38" s="1"/>
  <c r="S125" i="38"/>
  <c r="AI125" i="38" s="1"/>
  <c r="BA117" i="38"/>
  <c r="Q125" i="38"/>
  <c r="AG125" i="38" s="1"/>
  <c r="T126" i="38"/>
  <c r="AL126" i="38"/>
  <c r="F141" i="41"/>
  <c r="BA126" i="38"/>
  <c r="AU128" i="38"/>
  <c r="AZ129" i="38"/>
  <c r="P117" i="38"/>
  <c r="AY117" i="38" s="1"/>
  <c r="P128" i="38"/>
  <c r="P129" i="38"/>
  <c r="M129" i="38" s="1"/>
  <c r="E144" i="41" s="1"/>
  <c r="AQ136" i="38"/>
  <c r="F151" i="41"/>
  <c r="BA118" i="38"/>
  <c r="AZ117" i="38"/>
  <c r="AN136" i="38"/>
  <c r="AP136" i="38"/>
  <c r="AZ118" i="38"/>
  <c r="M127" i="38"/>
  <c r="E142" i="41" s="1"/>
  <c r="M126" i="39"/>
  <c r="AY126" i="39"/>
  <c r="AO135" i="39" l="1"/>
  <c r="W125" i="39"/>
  <c r="M118" i="39"/>
  <c r="T125" i="38"/>
  <c r="AY111" i="31"/>
  <c r="P125" i="39"/>
  <c r="AT128" i="39"/>
  <c r="BB129" i="38"/>
  <c r="AO136" i="38"/>
  <c r="M126" i="38"/>
  <c r="E141" i="41" s="1"/>
  <c r="H180" i="41"/>
  <c r="AY119" i="39"/>
  <c r="P125" i="38"/>
  <c r="F140" i="41"/>
  <c r="AY129" i="38"/>
  <c r="AK126" i="38"/>
  <c r="AY118" i="38"/>
  <c r="M110" i="31"/>
  <c r="BB126" i="38"/>
  <c r="M124" i="31"/>
  <c r="C110" i="41" s="1"/>
  <c r="M128" i="38"/>
  <c r="E143" i="41" s="1"/>
  <c r="AT128" i="38"/>
  <c r="M117" i="38"/>
  <c r="G181" i="41"/>
  <c r="M125" i="39"/>
  <c r="G180" i="41" s="1"/>
  <c r="B81" i="41"/>
  <c r="B82" i="41"/>
  <c r="B80" i="41"/>
  <c r="B74" i="41"/>
  <c r="B79" i="41"/>
  <c r="B73" i="41"/>
  <c r="B75" i="41"/>
  <c r="B77" i="41"/>
  <c r="B78" i="41"/>
  <c r="B76" i="41"/>
  <c r="B66" i="41"/>
  <c r="B67" i="41"/>
  <c r="B68" i="41"/>
  <c r="B69" i="41"/>
  <c r="B70" i="41"/>
  <c r="B71" i="41"/>
  <c r="B72" i="41"/>
  <c r="B65" i="41"/>
  <c r="B45" i="41"/>
  <c r="B44" i="41"/>
  <c r="B50" i="41"/>
  <c r="B49" i="41"/>
  <c r="B39" i="41"/>
  <c r="B40" i="41"/>
  <c r="B41" i="41"/>
  <c r="B43" i="41"/>
  <c r="B38" i="41"/>
  <c r="B47" i="41"/>
  <c r="B48" i="41"/>
  <c r="B46" i="41"/>
  <c r="B35" i="41"/>
  <c r="B34" i="41"/>
  <c r="B19" i="41"/>
  <c r="B20" i="41"/>
  <c r="B18" i="41"/>
  <c r="B13" i="41"/>
  <c r="B6" i="41"/>
  <c r="B17" i="41"/>
  <c r="B12" i="41"/>
  <c r="B11" i="41"/>
  <c r="B7" i="41"/>
  <c r="B8" i="41"/>
  <c r="B5" i="41"/>
  <c r="B15" i="41"/>
  <c r="M125" i="38" l="1"/>
  <c r="E140" i="41" s="1"/>
  <c r="AL6" i="39"/>
  <c r="AL8" i="39"/>
  <c r="AL10" i="39"/>
  <c r="AL13" i="39"/>
  <c r="AL14" i="39"/>
  <c r="AL15" i="39"/>
  <c r="AL16" i="39"/>
  <c r="AL17" i="39"/>
  <c r="AL19" i="39"/>
  <c r="AL20" i="39"/>
  <c r="AL21" i="39"/>
  <c r="AL24" i="39"/>
  <c r="AL25" i="39"/>
  <c r="AL26" i="39"/>
  <c r="AL35" i="39"/>
  <c r="AL37" i="39"/>
  <c r="AL40" i="39"/>
  <c r="AL41" i="39"/>
  <c r="AL42" i="39"/>
  <c r="AL43" i="39"/>
  <c r="AL44" i="39"/>
  <c r="AL45" i="39"/>
  <c r="AL48" i="39"/>
  <c r="AL49" i="39"/>
  <c r="AL52" i="39"/>
  <c r="AL55" i="39"/>
  <c r="AL56" i="39"/>
  <c r="AL57" i="39"/>
  <c r="AL59" i="39"/>
  <c r="AL60" i="39"/>
  <c r="AL106" i="39"/>
  <c r="AL118" i="39"/>
  <c r="AL133" i="39"/>
  <c r="AL134" i="39"/>
  <c r="AL137" i="39"/>
  <c r="AL138" i="39"/>
  <c r="AL142" i="39"/>
  <c r="AL143" i="39"/>
  <c r="AL145" i="39"/>
  <c r="AL146" i="39"/>
  <c r="AL160" i="39"/>
  <c r="AL161" i="39"/>
  <c r="AL162" i="39"/>
  <c r="AL163" i="39"/>
  <c r="AL167" i="39"/>
  <c r="AL176" i="39"/>
  <c r="AL178" i="39"/>
  <c r="AL179" i="39"/>
  <c r="AL180" i="39"/>
  <c r="AL185" i="39"/>
  <c r="AL229" i="39"/>
  <c r="AL230" i="39"/>
  <c r="AL237" i="39"/>
  <c r="AL238" i="39"/>
  <c r="AL239" i="39"/>
  <c r="AL241" i="39"/>
  <c r="AL242" i="39"/>
  <c r="AL244" i="39"/>
  <c r="AL245" i="39"/>
  <c r="AL6" i="38"/>
  <c r="AL8" i="38"/>
  <c r="AL10" i="38"/>
  <c r="AL13" i="38"/>
  <c r="AL14" i="38"/>
  <c r="AL15" i="38"/>
  <c r="AL16" i="38"/>
  <c r="AL17" i="38"/>
  <c r="AL19" i="38"/>
  <c r="AL20" i="38"/>
  <c r="AL21" i="38"/>
  <c r="AL24" i="38"/>
  <c r="AL25" i="38"/>
  <c r="AL26" i="38"/>
  <c r="AL35" i="38"/>
  <c r="AL37" i="38"/>
  <c r="AL40" i="38"/>
  <c r="AL41" i="38"/>
  <c r="AL42" i="38"/>
  <c r="AL43" i="38"/>
  <c r="AL44" i="38"/>
  <c r="AL45" i="38"/>
  <c r="AL48" i="38"/>
  <c r="AL49" i="38"/>
  <c r="AL52" i="38"/>
  <c r="AL55" i="38"/>
  <c r="AL56" i="38"/>
  <c r="AL57" i="38"/>
  <c r="AL59" i="38"/>
  <c r="AL60" i="38"/>
  <c r="AL61" i="38"/>
  <c r="AL100" i="38"/>
  <c r="AL105" i="38"/>
  <c r="AL117" i="38"/>
  <c r="AL134" i="38"/>
  <c r="AL135" i="38"/>
  <c r="AL138" i="38"/>
  <c r="AL139" i="38"/>
  <c r="AL143" i="38"/>
  <c r="AL144" i="38"/>
  <c r="AL146" i="38"/>
  <c r="AL147" i="38"/>
  <c r="AL161" i="38"/>
  <c r="AL162" i="38"/>
  <c r="AL163" i="38"/>
  <c r="AL168" i="38"/>
  <c r="AL172" i="38"/>
  <c r="AL177" i="38"/>
  <c r="AL179" i="38"/>
  <c r="AL180" i="38"/>
  <c r="AL181" i="38"/>
  <c r="AL186" i="38"/>
  <c r="AL230" i="38"/>
  <c r="AL231" i="38"/>
  <c r="AL238" i="38"/>
  <c r="AL239" i="38"/>
  <c r="AL240" i="38"/>
  <c r="AL242" i="38"/>
  <c r="AL243" i="38"/>
  <c r="AL245" i="38"/>
  <c r="AL246" i="38"/>
  <c r="AL6" i="31"/>
  <c r="AL8" i="31"/>
  <c r="AL10" i="31"/>
  <c r="AL13" i="31"/>
  <c r="AL14" i="31"/>
  <c r="AL15" i="31"/>
  <c r="AL16" i="31"/>
  <c r="AL17" i="31"/>
  <c r="AL19" i="31"/>
  <c r="AL20" i="31"/>
  <c r="AL21" i="31"/>
  <c r="AL24" i="31"/>
  <c r="AL25" i="31"/>
  <c r="AL26" i="31"/>
  <c r="AL28" i="31"/>
  <c r="AL30" i="31"/>
  <c r="AL32" i="31"/>
  <c r="AL35" i="31"/>
  <c r="AL36" i="31"/>
  <c r="AL37" i="31"/>
  <c r="AL38" i="31"/>
  <c r="AL39" i="31"/>
  <c r="AL40" i="31"/>
  <c r="AL42" i="31"/>
  <c r="AL44" i="31"/>
  <c r="AL47" i="31"/>
  <c r="AL48" i="31"/>
  <c r="AL51" i="31"/>
  <c r="AL52" i="31"/>
  <c r="AL53" i="31"/>
  <c r="AL55" i="31"/>
  <c r="AL56" i="31"/>
  <c r="AL99" i="31"/>
  <c r="AL110" i="31"/>
  <c r="AL122" i="31"/>
  <c r="AL123" i="31"/>
  <c r="AL126" i="31"/>
  <c r="AL127" i="31"/>
  <c r="AL131" i="31"/>
  <c r="AL132" i="31"/>
  <c r="AL134" i="31"/>
  <c r="AL135" i="31"/>
  <c r="AL149" i="31"/>
  <c r="AL150" i="31"/>
  <c r="AL151" i="31"/>
  <c r="AL156" i="31"/>
  <c r="AL165" i="31"/>
  <c r="AL167" i="31"/>
  <c r="AV167" i="31" s="1"/>
  <c r="BF167" i="31" s="1"/>
  <c r="AL168" i="31"/>
  <c r="AV168" i="31" s="1"/>
  <c r="BF168" i="31" s="1"/>
  <c r="AL169" i="31"/>
  <c r="AV169" i="31" s="1"/>
  <c r="BF169" i="31" s="1"/>
  <c r="AL174" i="31"/>
  <c r="AV174" i="31" s="1"/>
  <c r="BF174" i="31" s="1"/>
  <c r="AL216" i="31"/>
  <c r="AL217" i="31"/>
  <c r="AL224" i="31"/>
  <c r="AL225" i="31"/>
  <c r="AL228" i="31"/>
  <c r="AL229" i="31"/>
  <c r="AL231" i="31"/>
  <c r="AL232" i="31"/>
  <c r="AK6" i="39"/>
  <c r="AK8" i="39"/>
  <c r="AK10" i="39"/>
  <c r="AK13" i="39"/>
  <c r="AK14" i="39"/>
  <c r="AK15" i="39"/>
  <c r="AK16" i="39"/>
  <c r="AK17" i="39"/>
  <c r="AK24" i="39"/>
  <c r="AK25" i="39"/>
  <c r="AK26" i="39"/>
  <c r="AK40" i="39"/>
  <c r="AK41" i="39"/>
  <c r="AK42" i="39"/>
  <c r="AK43" i="39"/>
  <c r="AK44" i="39"/>
  <c r="AK45" i="39"/>
  <c r="AK52" i="39"/>
  <c r="AK55" i="39"/>
  <c r="AK56" i="39"/>
  <c r="AK57" i="39"/>
  <c r="AK59" i="39"/>
  <c r="AK60" i="39"/>
  <c r="AK133" i="39"/>
  <c r="AK134" i="39"/>
  <c r="AK137" i="39"/>
  <c r="AK138" i="39"/>
  <c r="AK142" i="39"/>
  <c r="AK143" i="39"/>
  <c r="AK145" i="39"/>
  <c r="AK146" i="39"/>
  <c r="AK160" i="39"/>
  <c r="AK161" i="39"/>
  <c r="AK162" i="39"/>
  <c r="AK163" i="39"/>
  <c r="AK237" i="39"/>
  <c r="AK238" i="39"/>
  <c r="AK241" i="39"/>
  <c r="AK242" i="39"/>
  <c r="AK244" i="39"/>
  <c r="AK6" i="38"/>
  <c r="AK8" i="38"/>
  <c r="AK10" i="38"/>
  <c r="AK13" i="38"/>
  <c r="AK14" i="38"/>
  <c r="AK15" i="38"/>
  <c r="AK16" i="38"/>
  <c r="AK17" i="38"/>
  <c r="AK24" i="38"/>
  <c r="AK25" i="38"/>
  <c r="AK26" i="38"/>
  <c r="AK35" i="38"/>
  <c r="AK40" i="38"/>
  <c r="AK41" i="38"/>
  <c r="AK42" i="38"/>
  <c r="AK43" i="38"/>
  <c r="AK44" i="38"/>
  <c r="AK45" i="38"/>
  <c r="AK52" i="38"/>
  <c r="AK55" i="38"/>
  <c r="AK56" i="38"/>
  <c r="AK59" i="38"/>
  <c r="AK60" i="38"/>
  <c r="AK61" i="38"/>
  <c r="AK100" i="38"/>
  <c r="AK134" i="38"/>
  <c r="AK135" i="38"/>
  <c r="AK138" i="38"/>
  <c r="AK139" i="38"/>
  <c r="AK143" i="38"/>
  <c r="AK144" i="38"/>
  <c r="AK146" i="38"/>
  <c r="AK147" i="38"/>
  <c r="AK161" i="38"/>
  <c r="AK162" i="38"/>
  <c r="AK163" i="38"/>
  <c r="AK172" i="38"/>
  <c r="AK238" i="38"/>
  <c r="AK239" i="38"/>
  <c r="AK242" i="38"/>
  <c r="AK243" i="38"/>
  <c r="AK245" i="38"/>
  <c r="AK32" i="31"/>
  <c r="AK35" i="31"/>
  <c r="AK36" i="31"/>
  <c r="AK37" i="31"/>
  <c r="AK38" i="31"/>
  <c r="AK39" i="31"/>
  <c r="AK40" i="31"/>
  <c r="AK42" i="31"/>
  <c r="AK44" i="31"/>
  <c r="AK47" i="31"/>
  <c r="AK48" i="31"/>
  <c r="AK51" i="31"/>
  <c r="AK52" i="31"/>
  <c r="AK53" i="31"/>
  <c r="AK55" i="31"/>
  <c r="AK56" i="31"/>
  <c r="AK58" i="31"/>
  <c r="AK59" i="31"/>
  <c r="AK61" i="31"/>
  <c r="AK71" i="31"/>
  <c r="AK73" i="31"/>
  <c r="AK74" i="31"/>
  <c r="AK75" i="31"/>
  <c r="AK77" i="31"/>
  <c r="AK78" i="31"/>
  <c r="AK79" i="31"/>
  <c r="AK80" i="31"/>
  <c r="AK82" i="31"/>
  <c r="AK95" i="31"/>
  <c r="AK99" i="31"/>
  <c r="AK102" i="31"/>
  <c r="AK103" i="31"/>
  <c r="AK104" i="31"/>
  <c r="AK105" i="31"/>
  <c r="AK106" i="31"/>
  <c r="AK107" i="31"/>
  <c r="AK108" i="31"/>
  <c r="AK109" i="31"/>
  <c r="AK110" i="31"/>
  <c r="AK120" i="31"/>
  <c r="AK122" i="31"/>
  <c r="AK123" i="31"/>
  <c r="AK126" i="31"/>
  <c r="AK127" i="31"/>
  <c r="AK128" i="31"/>
  <c r="AK131" i="31"/>
  <c r="AK132" i="31"/>
  <c r="AK134" i="31"/>
  <c r="AK135" i="31"/>
  <c r="AK146" i="31"/>
  <c r="AK149" i="31"/>
  <c r="AK150" i="31"/>
  <c r="AK151" i="31"/>
  <c r="AK152" i="31"/>
  <c r="AK153" i="31"/>
  <c r="AK154" i="31"/>
  <c r="AK155" i="31"/>
  <c r="AK156" i="31"/>
  <c r="AK161" i="31"/>
  <c r="AK162" i="31"/>
  <c r="AK163" i="31"/>
  <c r="AK164" i="31"/>
  <c r="AK165" i="31"/>
  <c r="AK167" i="31"/>
  <c r="AU167" i="31" s="1"/>
  <c r="BE167" i="31" s="1"/>
  <c r="AK168" i="31"/>
  <c r="AU168" i="31" s="1"/>
  <c r="BE168" i="31" s="1"/>
  <c r="AK169" i="31"/>
  <c r="AU169" i="31" s="1"/>
  <c r="BE169" i="31" s="1"/>
  <c r="AK170" i="31"/>
  <c r="AU170" i="31" s="1"/>
  <c r="BE170" i="31" s="1"/>
  <c r="AK171" i="31"/>
  <c r="AU171" i="31" s="1"/>
  <c r="BE171" i="31" s="1"/>
  <c r="AK172" i="31"/>
  <c r="AU172" i="31" s="1"/>
  <c r="BE172" i="31" s="1"/>
  <c r="AK173" i="31"/>
  <c r="AU173" i="31" s="1"/>
  <c r="BE173" i="31" s="1"/>
  <c r="AK174" i="31"/>
  <c r="AU174" i="31" s="1"/>
  <c r="BE174" i="31" s="1"/>
  <c r="AK210" i="31"/>
  <c r="AK211" i="31"/>
  <c r="AK212" i="31"/>
  <c r="AK216" i="31"/>
  <c r="AK217" i="31"/>
  <c r="AK221" i="31"/>
  <c r="AK222" i="31"/>
  <c r="AK223" i="31"/>
  <c r="AK224" i="31"/>
  <c r="AK225" i="31"/>
  <c r="AK228" i="31"/>
  <c r="AK229" i="31"/>
  <c r="AK231" i="31"/>
  <c r="AK232" i="31"/>
  <c r="AK6" i="31"/>
  <c r="AK8" i="31"/>
  <c r="AK10" i="31"/>
  <c r="AK13" i="31"/>
  <c r="AK14" i="31"/>
  <c r="AK15" i="31"/>
  <c r="AK16" i="31"/>
  <c r="AK17" i="31"/>
  <c r="AK19" i="31"/>
  <c r="AK20" i="31"/>
  <c r="AK21" i="31"/>
  <c r="AK24" i="31"/>
  <c r="AK25" i="31"/>
  <c r="AK26" i="31"/>
  <c r="AK28" i="31"/>
  <c r="AK30" i="31"/>
  <c r="AK31" i="31"/>
  <c r="T19" i="39"/>
  <c r="T20" i="39"/>
  <c r="AK20" i="39" s="1"/>
  <c r="T21" i="39"/>
  <c r="T37" i="39"/>
  <c r="T48" i="39"/>
  <c r="T49" i="39"/>
  <c r="T106" i="39"/>
  <c r="T118" i="39"/>
  <c r="V118" i="39" s="1"/>
  <c r="T167" i="39"/>
  <c r="T176" i="39"/>
  <c r="AK185" i="39"/>
  <c r="T229" i="39"/>
  <c r="T230" i="39"/>
  <c r="T239" i="39"/>
  <c r="T19" i="38"/>
  <c r="T20" i="38"/>
  <c r="T21" i="38"/>
  <c r="V21" i="38" s="1"/>
  <c r="T37" i="38"/>
  <c r="V37" i="38" s="1"/>
  <c r="T48" i="38"/>
  <c r="T49" i="38"/>
  <c r="T57" i="38"/>
  <c r="V57" i="38" s="1"/>
  <c r="T105" i="38"/>
  <c r="V105" i="38" s="1"/>
  <c r="T117" i="38"/>
  <c r="V117" i="38" s="1"/>
  <c r="T168" i="38"/>
  <c r="V168" i="38" s="1"/>
  <c r="T177" i="38"/>
  <c r="V177" i="38" s="1"/>
  <c r="AK186" i="38"/>
  <c r="T230" i="38"/>
  <c r="V230" i="38" s="1"/>
  <c r="T231" i="38"/>
  <c r="V231" i="38" s="1"/>
  <c r="T240" i="38"/>
  <c r="AK229" i="39" l="1"/>
  <c r="V229" i="39"/>
  <c r="AK176" i="39"/>
  <c r="V176" i="39"/>
  <c r="AK167" i="39"/>
  <c r="V167" i="39"/>
  <c r="AK106" i="39"/>
  <c r="V106" i="39"/>
  <c r="AK239" i="39"/>
  <c r="V239" i="39"/>
  <c r="AK230" i="39"/>
  <c r="V230" i="39"/>
  <c r="AK37" i="39"/>
  <c r="V37" i="39"/>
  <c r="AK19" i="39"/>
  <c r="V19" i="39"/>
  <c r="AK21" i="39"/>
  <c r="V21" i="39"/>
  <c r="AK20" i="38"/>
  <c r="V20" i="38"/>
  <c r="AK240" i="38"/>
  <c r="V240" i="38"/>
  <c r="AK177" i="38"/>
  <c r="AK168" i="38"/>
  <c r="AK105" i="38"/>
  <c r="AK57" i="38"/>
  <c r="T46" i="38"/>
  <c r="V46" i="38" s="1"/>
  <c r="AK37" i="38"/>
  <c r="AK21" i="38"/>
  <c r="AK19" i="38"/>
  <c r="AK231" i="38"/>
  <c r="AK230" i="38"/>
  <c r="T46" i="39"/>
  <c r="V46" i="39" s="1"/>
  <c r="AK118" i="39"/>
  <c r="BB118" i="39"/>
  <c r="AK49" i="38"/>
  <c r="AR49" i="38"/>
  <c r="AK48" i="38"/>
  <c r="AR48" i="38"/>
  <c r="AK117" i="38"/>
  <c r="BB117" i="38"/>
  <c r="AK49" i="39"/>
  <c r="AR49" i="39"/>
  <c r="AK48" i="39"/>
  <c r="AR48" i="39"/>
  <c r="G163" i="39"/>
  <c r="K218" i="39"/>
  <c r="K217" i="39"/>
  <c r="J216" i="39"/>
  <c r="K216" i="39"/>
  <c r="K215" i="39"/>
  <c r="K202" i="39"/>
  <c r="G202" i="39"/>
  <c r="K200" i="39"/>
  <c r="K199" i="39"/>
  <c r="J170" i="39"/>
  <c r="K188" i="39"/>
  <c r="K191" i="39"/>
  <c r="K192" i="39"/>
  <c r="K190" i="39"/>
  <c r="K189" i="39"/>
  <c r="J161" i="39"/>
  <c r="J162" i="39"/>
  <c r="K150" i="39"/>
  <c r="K115" i="39"/>
  <c r="J99" i="39"/>
  <c r="K91" i="39"/>
  <c r="K82" i="39"/>
  <c r="K81" i="39"/>
  <c r="K60" i="39"/>
  <c r="K59" i="39"/>
  <c r="K78" i="39"/>
  <c r="K77" i="39"/>
  <c r="AE57" i="39"/>
  <c r="AG57" i="39"/>
  <c r="I57" i="39"/>
  <c r="G57" i="39"/>
  <c r="K69" i="39"/>
  <c r="K68" i="39"/>
  <c r="R99" i="39" l="1"/>
  <c r="Q99" i="39"/>
  <c r="O99" i="39"/>
  <c r="N99" i="39"/>
  <c r="Q170" i="39"/>
  <c r="R170" i="39"/>
  <c r="O170" i="39"/>
  <c r="N170" i="39"/>
  <c r="O216" i="39"/>
  <c r="AF216" i="39" s="1"/>
  <c r="R216" i="39"/>
  <c r="AH216" i="39" s="1"/>
  <c r="Q216" i="39"/>
  <c r="N216" i="39"/>
  <c r="O162" i="39"/>
  <c r="AF162" i="39" s="1"/>
  <c r="N162" i="39"/>
  <c r="R162" i="39"/>
  <c r="AH162" i="39" s="1"/>
  <c r="Q162" i="39"/>
  <c r="Q161" i="39"/>
  <c r="R161" i="39"/>
  <c r="O161" i="39"/>
  <c r="N161" i="39"/>
  <c r="AC57" i="39" a="1"/>
  <c r="AC57" i="39" s="1"/>
  <c r="AD57" i="39" s="1" a="1"/>
  <c r="AD57" i="39" s="1"/>
  <c r="BG57" i="39"/>
  <c r="BK57" i="39" s="1"/>
  <c r="AN57" i="39"/>
  <c r="AP57" i="39"/>
  <c r="J202" i="39"/>
  <c r="J215" i="39"/>
  <c r="J115" i="39"/>
  <c r="P57" i="39"/>
  <c r="AO57" i="39" s="1"/>
  <c r="O168" i="39" l="1"/>
  <c r="AF168" i="39" s="1"/>
  <c r="AF170" i="39"/>
  <c r="R168" i="39"/>
  <c r="AH168" i="39" s="1"/>
  <c r="AH170" i="39"/>
  <c r="R159" i="39"/>
  <c r="AH159" i="39" s="1"/>
  <c r="AH161" i="39"/>
  <c r="O97" i="39"/>
  <c r="AF99" i="39"/>
  <c r="O159" i="39"/>
  <c r="AF159" i="39" s="1"/>
  <c r="AF161" i="39"/>
  <c r="R97" i="39"/>
  <c r="AH99" i="39"/>
  <c r="O202" i="39"/>
  <c r="AF202" i="39" s="1"/>
  <c r="N202" i="39"/>
  <c r="R202" i="39"/>
  <c r="AH202" i="39" s="1"/>
  <c r="Q202" i="39"/>
  <c r="R158" i="39"/>
  <c r="AH158" i="39" s="1"/>
  <c r="O158" i="39"/>
  <c r="AF158" i="39" s="1"/>
  <c r="Q115" i="39"/>
  <c r="O115" i="39"/>
  <c r="AF115" i="39" s="1"/>
  <c r="N115" i="39"/>
  <c r="R115" i="39"/>
  <c r="AH115" i="39" s="1"/>
  <c r="O215" i="39"/>
  <c r="AF215" i="39" s="1"/>
  <c r="N215" i="39"/>
  <c r="R215" i="39"/>
  <c r="AH215" i="39" s="1"/>
  <c r="Q215" i="39"/>
  <c r="K25" i="31"/>
  <c r="K24" i="31"/>
  <c r="K25" i="38"/>
  <c r="K24" i="38"/>
  <c r="J26" i="39"/>
  <c r="R96" i="39" l="1"/>
  <c r="AH96" i="39" s="1"/>
  <c r="AH97" i="39"/>
  <c r="O96" i="39"/>
  <c r="AF96" i="39" s="1"/>
  <c r="AF97" i="39"/>
  <c r="R26" i="39"/>
  <c r="AH26" i="39" s="1"/>
  <c r="Q26" i="39"/>
  <c r="O26" i="39"/>
  <c r="AF26" i="39" s="1"/>
  <c r="N26" i="39"/>
  <c r="J260" i="39"/>
  <c r="I260" i="39"/>
  <c r="G260" i="39"/>
  <c r="E260" i="39"/>
  <c r="BN259" i="39"/>
  <c r="J258" i="39"/>
  <c r="I258" i="39"/>
  <c r="G258" i="39"/>
  <c r="E258" i="39"/>
  <c r="J257" i="39"/>
  <c r="I257" i="39"/>
  <c r="G257" i="39"/>
  <c r="E257" i="39"/>
  <c r="BN256" i="39"/>
  <c r="BN255" i="39"/>
  <c r="AE255" i="39"/>
  <c r="I255" i="39"/>
  <c r="G255" i="39"/>
  <c r="E255" i="39"/>
  <c r="BN254" i="39"/>
  <c r="J254" i="39"/>
  <c r="I254" i="39"/>
  <c r="G254" i="39"/>
  <c r="E254" i="39"/>
  <c r="J253" i="39"/>
  <c r="H253" i="39"/>
  <c r="AB253" i="39" s="1"/>
  <c r="J252" i="39"/>
  <c r="I252" i="39"/>
  <c r="G252" i="39"/>
  <c r="E252" i="39"/>
  <c r="BE251" i="39"/>
  <c r="AE251" i="39"/>
  <c r="I251" i="39"/>
  <c r="G251" i="39"/>
  <c r="E251" i="39"/>
  <c r="BN250" i="39"/>
  <c r="J249" i="39"/>
  <c r="I249" i="39"/>
  <c r="G249" i="39"/>
  <c r="E249" i="39"/>
  <c r="J248" i="39"/>
  <c r="I248" i="39"/>
  <c r="G248" i="39"/>
  <c r="E248" i="39"/>
  <c r="T245" i="39"/>
  <c r="S244" i="39"/>
  <c r="AI244" i="39" s="1"/>
  <c r="AG244" i="39"/>
  <c r="AE244" i="39"/>
  <c r="AE241" i="39"/>
  <c r="K238" i="39"/>
  <c r="I238" i="39"/>
  <c r="G238" i="39"/>
  <c r="K237" i="39"/>
  <c r="I237" i="39"/>
  <c r="G237" i="39"/>
  <c r="K236" i="39"/>
  <c r="I236" i="39"/>
  <c r="G236" i="39"/>
  <c r="K235" i="39"/>
  <c r="I235" i="39"/>
  <c r="G235" i="39"/>
  <c r="K234" i="39"/>
  <c r="I234" i="39"/>
  <c r="G234" i="39"/>
  <c r="E233" i="39"/>
  <c r="T231" i="39"/>
  <c r="V231" i="39" s="1"/>
  <c r="BP228" i="39"/>
  <c r="T228" i="39"/>
  <c r="V228" i="39" s="1"/>
  <c r="BN227" i="39"/>
  <c r="J224" i="39"/>
  <c r="I224" i="39"/>
  <c r="G224" i="39"/>
  <c r="J223" i="39"/>
  <c r="I223" i="39"/>
  <c r="G223" i="39"/>
  <c r="I222" i="39"/>
  <c r="G222" i="39"/>
  <c r="S221" i="39"/>
  <c r="AI221" i="39" s="1"/>
  <c r="I221" i="39"/>
  <c r="G221" i="39"/>
  <c r="J219" i="39"/>
  <c r="I219" i="39"/>
  <c r="G219" i="39"/>
  <c r="J218" i="39"/>
  <c r="I218" i="39"/>
  <c r="G218" i="39"/>
  <c r="J217" i="39"/>
  <c r="I217" i="39"/>
  <c r="G217" i="39"/>
  <c r="S216" i="39"/>
  <c r="AI216" i="39" s="1"/>
  <c r="I216" i="39"/>
  <c r="G216" i="39"/>
  <c r="AG215" i="39"/>
  <c r="I215" i="39"/>
  <c r="G215" i="39"/>
  <c r="E214" i="39"/>
  <c r="S209" i="39"/>
  <c r="AI209" i="39" s="1"/>
  <c r="AG209" i="39"/>
  <c r="AE209" i="39"/>
  <c r="I209" i="39"/>
  <c r="S208" i="39"/>
  <c r="AI208" i="39" s="1"/>
  <c r="AG208" i="39"/>
  <c r="AE208" i="39"/>
  <c r="I208" i="39"/>
  <c r="G208" i="39"/>
  <c r="S207" i="39"/>
  <c r="AI207" i="39" s="1"/>
  <c r="AG207" i="39"/>
  <c r="AE207" i="39"/>
  <c r="I207" i="39"/>
  <c r="G207" i="39"/>
  <c r="S206" i="39"/>
  <c r="AI206" i="39" s="1"/>
  <c r="AG206" i="39"/>
  <c r="AE206" i="39"/>
  <c r="I206" i="39"/>
  <c r="G206" i="39"/>
  <c r="E205" i="39"/>
  <c r="S202" i="39"/>
  <c r="AI202" i="39" s="1"/>
  <c r="AG202" i="39"/>
  <c r="AE202" i="39"/>
  <c r="I202" i="39"/>
  <c r="K201" i="39"/>
  <c r="I201" i="39"/>
  <c r="G201" i="39"/>
  <c r="J200" i="39"/>
  <c r="I200" i="39"/>
  <c r="G200" i="39"/>
  <c r="J199" i="39"/>
  <c r="I199" i="39"/>
  <c r="G199" i="39"/>
  <c r="E198" i="39"/>
  <c r="L196" i="39"/>
  <c r="K196" i="39"/>
  <c r="I196" i="39"/>
  <c r="G196" i="39"/>
  <c r="E195" i="39"/>
  <c r="BN194" i="39"/>
  <c r="L192" i="39"/>
  <c r="J192" i="39"/>
  <c r="I192" i="39"/>
  <c r="G192" i="39"/>
  <c r="L191" i="39"/>
  <c r="J191" i="39"/>
  <c r="I191" i="39"/>
  <c r="G191" i="39"/>
  <c r="L190" i="39"/>
  <c r="J190" i="39"/>
  <c r="I190" i="39"/>
  <c r="G190" i="39"/>
  <c r="L189" i="39"/>
  <c r="J189" i="39"/>
  <c r="I189" i="39"/>
  <c r="G189" i="39"/>
  <c r="L188" i="39"/>
  <c r="J188" i="39"/>
  <c r="I188" i="39"/>
  <c r="G188" i="39"/>
  <c r="E187" i="39"/>
  <c r="BN183" i="39"/>
  <c r="BN182" i="39"/>
  <c r="BN181" i="39"/>
  <c r="AK180" i="39"/>
  <c r="E177" i="39"/>
  <c r="BN174" i="39"/>
  <c r="BN173" i="39"/>
  <c r="BN172" i="39"/>
  <c r="BN171" i="39"/>
  <c r="I171" i="39"/>
  <c r="G171" i="39"/>
  <c r="AG170" i="39"/>
  <c r="I170" i="39"/>
  <c r="G170" i="39"/>
  <c r="AG169" i="39"/>
  <c r="I169" i="39"/>
  <c r="G169" i="39"/>
  <c r="E168" i="39"/>
  <c r="BN165" i="39"/>
  <c r="BN164" i="39"/>
  <c r="BN163" i="39"/>
  <c r="S163" i="39"/>
  <c r="AI163" i="39" s="1"/>
  <c r="AG163" i="39"/>
  <c r="AE163" i="39"/>
  <c r="I163" i="39"/>
  <c r="S162" i="39"/>
  <c r="AI162" i="39" s="1"/>
  <c r="AG162" i="39"/>
  <c r="AE162" i="39"/>
  <c r="BN162" i="39"/>
  <c r="I162" i="39"/>
  <c r="G162" i="39"/>
  <c r="S161" i="39"/>
  <c r="AI161" i="39" s="1"/>
  <c r="I161" i="39"/>
  <c r="G161" i="39"/>
  <c r="BN160" i="39"/>
  <c r="I160" i="39"/>
  <c r="G160" i="39"/>
  <c r="E159" i="39"/>
  <c r="S157" i="39"/>
  <c r="AI157" i="39" s="1"/>
  <c r="AG157" i="39"/>
  <c r="AE157" i="39"/>
  <c r="I157" i="39"/>
  <c r="G157" i="39"/>
  <c r="I156" i="39"/>
  <c r="G156" i="39"/>
  <c r="B211" i="41" s="1"/>
  <c r="L154" i="39"/>
  <c r="I154" i="39"/>
  <c r="G154" i="39"/>
  <c r="AG153" i="39"/>
  <c r="AE153" i="39"/>
  <c r="L153" i="39"/>
  <c r="I153" i="39"/>
  <c r="G153" i="39"/>
  <c r="BN152" i="39"/>
  <c r="K151" i="39"/>
  <c r="J151" i="39" s="1"/>
  <c r="I151" i="39"/>
  <c r="G151" i="39"/>
  <c r="L150" i="39"/>
  <c r="J150" i="39"/>
  <c r="I150" i="39"/>
  <c r="G150" i="39"/>
  <c r="L149" i="39"/>
  <c r="AG149" i="39"/>
  <c r="I149" i="39"/>
  <c r="G149" i="39"/>
  <c r="B204" i="41" s="1"/>
  <c r="L148" i="39"/>
  <c r="I148" i="39"/>
  <c r="G148" i="39"/>
  <c r="E147" i="39"/>
  <c r="K146" i="39"/>
  <c r="I146" i="39"/>
  <c r="G146" i="39"/>
  <c r="K145" i="39"/>
  <c r="I145" i="39"/>
  <c r="G145" i="39"/>
  <c r="K143" i="39"/>
  <c r="I143" i="39"/>
  <c r="G143" i="39"/>
  <c r="K142" i="39"/>
  <c r="I142" i="39"/>
  <c r="G142" i="39"/>
  <c r="J140" i="39"/>
  <c r="I140" i="39"/>
  <c r="G140" i="39"/>
  <c r="K139" i="39"/>
  <c r="I139" i="39"/>
  <c r="G139" i="39"/>
  <c r="K138" i="39"/>
  <c r="I138" i="39"/>
  <c r="G138" i="39"/>
  <c r="B193" i="41" s="1"/>
  <c r="K137" i="39"/>
  <c r="I137" i="39"/>
  <c r="G137" i="39"/>
  <c r="K134" i="39"/>
  <c r="I134" i="39"/>
  <c r="G134" i="39"/>
  <c r="K133" i="39"/>
  <c r="I133" i="39"/>
  <c r="G133" i="39"/>
  <c r="B188" i="41" s="1"/>
  <c r="S131" i="39"/>
  <c r="AI131" i="39" s="1"/>
  <c r="AG131" i="39"/>
  <c r="AE131" i="39"/>
  <c r="I131" i="39"/>
  <c r="G131" i="39"/>
  <c r="S130" i="39"/>
  <c r="AI130" i="39" s="1"/>
  <c r="AG130" i="39"/>
  <c r="AE130" i="39"/>
  <c r="L130" i="39"/>
  <c r="I130" i="39"/>
  <c r="G130" i="39"/>
  <c r="BN129" i="39"/>
  <c r="L124" i="39"/>
  <c r="K124" i="39"/>
  <c r="I124" i="39"/>
  <c r="G124" i="39"/>
  <c r="AG123" i="39"/>
  <c r="AE123" i="39"/>
  <c r="L123" i="39"/>
  <c r="I123" i="39"/>
  <c r="G123" i="39"/>
  <c r="AG122" i="39"/>
  <c r="I122" i="39"/>
  <c r="G122" i="39"/>
  <c r="B177" i="41" s="1"/>
  <c r="E121" i="39"/>
  <c r="AG115" i="39"/>
  <c r="I115" i="39"/>
  <c r="G115" i="39"/>
  <c r="K114" i="39"/>
  <c r="I114" i="39"/>
  <c r="G114" i="39"/>
  <c r="J113" i="39"/>
  <c r="I113" i="39"/>
  <c r="G113" i="39"/>
  <c r="K112" i="39"/>
  <c r="I112" i="39"/>
  <c r="G112" i="39"/>
  <c r="J111" i="39"/>
  <c r="I111" i="39"/>
  <c r="G111" i="39"/>
  <c r="J110" i="39"/>
  <c r="I110" i="39"/>
  <c r="G110" i="39"/>
  <c r="K109" i="39"/>
  <c r="I109" i="39"/>
  <c r="G109" i="39"/>
  <c r="E108" i="39"/>
  <c r="T105" i="39"/>
  <c r="T104" i="39"/>
  <c r="V104" i="39" s="1"/>
  <c r="T103" i="39"/>
  <c r="V103" i="39" s="1"/>
  <c r="BN102" i="39"/>
  <c r="BN101" i="39"/>
  <c r="AG101" i="39"/>
  <c r="AE101" i="39"/>
  <c r="I101" i="39"/>
  <c r="G101" i="39"/>
  <c r="AG99" i="39"/>
  <c r="I99" i="39"/>
  <c r="G99" i="39"/>
  <c r="I98" i="39"/>
  <c r="G98" i="39"/>
  <c r="E97" i="39"/>
  <c r="S95" i="39"/>
  <c r="AI95" i="39" s="1"/>
  <c r="AG95" i="39"/>
  <c r="AE95" i="39"/>
  <c r="I95" i="39"/>
  <c r="G95" i="39"/>
  <c r="S94" i="39"/>
  <c r="AI94" i="39" s="1"/>
  <c r="AG94" i="39"/>
  <c r="AE94" i="39"/>
  <c r="I94" i="39"/>
  <c r="G94" i="39"/>
  <c r="S93" i="39"/>
  <c r="AI93" i="39" s="1"/>
  <c r="AG93" i="39"/>
  <c r="AE93" i="39"/>
  <c r="I93" i="39"/>
  <c r="G93" i="39"/>
  <c r="J91" i="39"/>
  <c r="I91" i="39"/>
  <c r="G91" i="39"/>
  <c r="I90" i="39"/>
  <c r="G90" i="39"/>
  <c r="I89" i="39"/>
  <c r="G89" i="39"/>
  <c r="J88" i="39"/>
  <c r="E88" i="39"/>
  <c r="J83" i="39"/>
  <c r="I83" i="39"/>
  <c r="G83" i="39"/>
  <c r="J82" i="39"/>
  <c r="I82" i="39"/>
  <c r="G82" i="39"/>
  <c r="J81" i="39"/>
  <c r="I81" i="39"/>
  <c r="G81" i="39"/>
  <c r="BN80" i="39"/>
  <c r="J79" i="39"/>
  <c r="I79" i="39"/>
  <c r="G79" i="39"/>
  <c r="J78" i="39"/>
  <c r="I78" i="39"/>
  <c r="G78" i="39"/>
  <c r="J77" i="39"/>
  <c r="I77" i="39"/>
  <c r="G77" i="39"/>
  <c r="E76" i="39"/>
  <c r="BN75" i="39"/>
  <c r="T74" i="39"/>
  <c r="V74" i="39" s="1"/>
  <c r="T73" i="39"/>
  <c r="V73" i="39" s="1"/>
  <c r="T71" i="39"/>
  <c r="V71" i="39" s="1"/>
  <c r="J70" i="39"/>
  <c r="I70" i="39"/>
  <c r="G70" i="39"/>
  <c r="J69" i="39"/>
  <c r="I69" i="39"/>
  <c r="G69" i="39"/>
  <c r="J68" i="39"/>
  <c r="I68" i="39"/>
  <c r="G68" i="39"/>
  <c r="E67" i="39"/>
  <c r="BN65" i="39"/>
  <c r="S65" i="39"/>
  <c r="AI65" i="39" s="1"/>
  <c r="AG65" i="39"/>
  <c r="AE65" i="39"/>
  <c r="I65" i="39"/>
  <c r="J61" i="39"/>
  <c r="I61" i="39"/>
  <c r="G61" i="39"/>
  <c r="J60" i="39"/>
  <c r="I60" i="39"/>
  <c r="G60" i="39"/>
  <c r="BN59" i="39"/>
  <c r="J59" i="39"/>
  <c r="I59" i="39"/>
  <c r="G59" i="39"/>
  <c r="K56" i="39"/>
  <c r="I56" i="39"/>
  <c r="G56" i="39"/>
  <c r="K55" i="39"/>
  <c r="I55" i="39"/>
  <c r="G55" i="39"/>
  <c r="AG52" i="39"/>
  <c r="AE52" i="39"/>
  <c r="I52" i="39"/>
  <c r="G52" i="39"/>
  <c r="E51" i="39"/>
  <c r="BO49" i="39"/>
  <c r="BN49" i="39"/>
  <c r="BO48" i="39"/>
  <c r="BN48" i="39"/>
  <c r="BO46" i="39"/>
  <c r="BN46" i="39"/>
  <c r="K45" i="39"/>
  <c r="I45" i="39"/>
  <c r="G45" i="39"/>
  <c r="K44" i="39"/>
  <c r="I44" i="39"/>
  <c r="G44" i="39"/>
  <c r="K43" i="39"/>
  <c r="I43" i="39"/>
  <c r="G43" i="39"/>
  <c r="K42" i="39"/>
  <c r="I42" i="39"/>
  <c r="G42" i="39"/>
  <c r="J41" i="39"/>
  <c r="I41" i="39"/>
  <c r="G41" i="39"/>
  <c r="K40" i="39"/>
  <c r="I40" i="39"/>
  <c r="G40" i="39"/>
  <c r="E39" i="39"/>
  <c r="BN34" i="39"/>
  <c r="BN27" i="39"/>
  <c r="AG26" i="39"/>
  <c r="I26" i="39"/>
  <c r="G26" i="39"/>
  <c r="K25" i="39"/>
  <c r="I25" i="39"/>
  <c r="G25" i="39"/>
  <c r="K24" i="39"/>
  <c r="I24" i="39"/>
  <c r="G24" i="39"/>
  <c r="E23" i="39"/>
  <c r="K17" i="39"/>
  <c r="I17" i="39"/>
  <c r="G17" i="39"/>
  <c r="K16" i="39"/>
  <c r="I16" i="39"/>
  <c r="G16" i="39"/>
  <c r="K15" i="39"/>
  <c r="I15" i="39"/>
  <c r="G15" i="39"/>
  <c r="K14" i="39"/>
  <c r="I14" i="39"/>
  <c r="G14" i="39"/>
  <c r="K13" i="39"/>
  <c r="I13" i="39"/>
  <c r="G13" i="39"/>
  <c r="E12" i="39"/>
  <c r="S9" i="39"/>
  <c r="AI9" i="39" s="1"/>
  <c r="BN8" i="39"/>
  <c r="AG8" i="39"/>
  <c r="AE8" i="39"/>
  <c r="S7" i="39"/>
  <c r="AI7" i="39" s="1"/>
  <c r="AM6" i="39"/>
  <c r="H6" i="39"/>
  <c r="Q6" i="39" s="1"/>
  <c r="R6" i="39" s="1"/>
  <c r="G6" i="39"/>
  <c r="B4" i="44" s="1" a="1"/>
  <c r="B4" i="44" s="1"/>
  <c r="S5" i="39"/>
  <c r="W5" i="39" s="1"/>
  <c r="K237" i="38"/>
  <c r="K236" i="38"/>
  <c r="K217" i="38"/>
  <c r="G217" i="38"/>
  <c r="I217" i="38"/>
  <c r="K219" i="38"/>
  <c r="J220" i="38"/>
  <c r="I219" i="38"/>
  <c r="G219" i="38"/>
  <c r="K221" i="38"/>
  <c r="K201" i="38"/>
  <c r="K202" i="38"/>
  <c r="K172" i="38"/>
  <c r="K171" i="38"/>
  <c r="K170" i="38"/>
  <c r="K192" i="38"/>
  <c r="K191" i="38"/>
  <c r="K193" i="38"/>
  <c r="G193" i="38"/>
  <c r="K151" i="38"/>
  <c r="K152" i="38"/>
  <c r="K149" i="38"/>
  <c r="K123" i="38"/>
  <c r="K124" i="38"/>
  <c r="K121" i="38"/>
  <c r="K114" i="38"/>
  <c r="I116" i="38"/>
  <c r="G116" i="38"/>
  <c r="K116" i="38"/>
  <c r="J100" i="38"/>
  <c r="K99" i="38"/>
  <c r="K98" i="38"/>
  <c r="R5" i="39" l="1"/>
  <c r="AH6" i="39"/>
  <c r="R41" i="39"/>
  <c r="AH41" i="39" s="1"/>
  <c r="Q41" i="39"/>
  <c r="O41" i="39"/>
  <c r="AF41" i="39" s="1"/>
  <c r="N41" i="39"/>
  <c r="R223" i="39"/>
  <c r="AH223" i="39" s="1"/>
  <c r="Q223" i="39"/>
  <c r="O223" i="39"/>
  <c r="AF223" i="39" s="1"/>
  <c r="N223" i="39"/>
  <c r="Q151" i="39"/>
  <c r="O151" i="39"/>
  <c r="AF151" i="39" s="1"/>
  <c r="N151" i="39"/>
  <c r="R151" i="39"/>
  <c r="AH151" i="39" s="1"/>
  <c r="R77" i="39"/>
  <c r="AH77" i="39" s="1"/>
  <c r="Q77" i="39"/>
  <c r="AG77" i="39" s="1"/>
  <c r="O77" i="39"/>
  <c r="AF77" i="39" s="1"/>
  <c r="N77" i="39"/>
  <c r="AX77" i="39" s="1"/>
  <c r="R188" i="39"/>
  <c r="AH188" i="39" s="1"/>
  <c r="O188" i="39"/>
  <c r="Q188" i="39"/>
  <c r="AG188" i="39" s="1"/>
  <c r="N188" i="39"/>
  <c r="R189" i="39"/>
  <c r="AH189" i="39" s="1"/>
  <c r="Q189" i="39"/>
  <c r="O189" i="39"/>
  <c r="AF189" i="39" s="1"/>
  <c r="N189" i="39"/>
  <c r="Q224" i="39"/>
  <c r="AG224" i="39" s="1"/>
  <c r="O224" i="39"/>
  <c r="AF224" i="39" s="1"/>
  <c r="N224" i="39"/>
  <c r="R224" i="39"/>
  <c r="AH224" i="39" s="1"/>
  <c r="R81" i="39"/>
  <c r="AH81" i="39" s="1"/>
  <c r="Q81" i="39"/>
  <c r="AG81" i="39" s="1"/>
  <c r="O81" i="39"/>
  <c r="AF81" i="39" s="1"/>
  <c r="N81" i="39"/>
  <c r="Q191" i="39"/>
  <c r="AG191" i="39" s="1"/>
  <c r="R191" i="39"/>
  <c r="AH191" i="39" s="1"/>
  <c r="O191" i="39"/>
  <c r="AF191" i="39" s="1"/>
  <c r="N191" i="39"/>
  <c r="AE191" i="39" s="1"/>
  <c r="R78" i="39"/>
  <c r="AH78" i="39" s="1"/>
  <c r="Q78" i="39"/>
  <c r="AG78" i="39" s="1"/>
  <c r="O78" i="39"/>
  <c r="AF78" i="39" s="1"/>
  <c r="N78" i="39"/>
  <c r="AE78" i="39" s="1"/>
  <c r="Q91" i="39"/>
  <c r="R91" i="39"/>
  <c r="AH91" i="39" s="1"/>
  <c r="O91" i="39"/>
  <c r="AF91" i="39" s="1"/>
  <c r="N91" i="39"/>
  <c r="Q111" i="39"/>
  <c r="AZ111" i="39" s="1"/>
  <c r="R111" i="39"/>
  <c r="AH111" i="39" s="1"/>
  <c r="O111" i="39"/>
  <c r="AF111" i="39" s="1"/>
  <c r="N111" i="39"/>
  <c r="Q68" i="39"/>
  <c r="O68" i="39"/>
  <c r="AF68" i="39" s="1"/>
  <c r="N68" i="39"/>
  <c r="R68" i="39"/>
  <c r="AH68" i="39" s="1"/>
  <c r="Q79" i="39"/>
  <c r="AG79" i="39" s="1"/>
  <c r="O79" i="39"/>
  <c r="AF79" i="39" s="1"/>
  <c r="N79" i="39"/>
  <c r="AE79" i="39" s="1"/>
  <c r="R79" i="39"/>
  <c r="AH79" i="39" s="1"/>
  <c r="Q69" i="39"/>
  <c r="AG69" i="39" s="1"/>
  <c r="R69" i="39"/>
  <c r="AH69" i="39" s="1"/>
  <c r="O69" i="39"/>
  <c r="AF69" i="39" s="1"/>
  <c r="N69" i="39"/>
  <c r="AE69" i="39" s="1"/>
  <c r="Q59" i="39"/>
  <c r="R59" i="39"/>
  <c r="AH59" i="39" s="1"/>
  <c r="O59" i="39"/>
  <c r="AF59" i="39" s="1"/>
  <c r="N59" i="39"/>
  <c r="R113" i="39"/>
  <c r="AH113" i="39" s="1"/>
  <c r="Q113" i="39"/>
  <c r="AZ113" i="39" s="1"/>
  <c r="O113" i="39"/>
  <c r="AF113" i="39" s="1"/>
  <c r="N113" i="39"/>
  <c r="AE113" i="39" s="1"/>
  <c r="R61" i="39"/>
  <c r="AH61" i="39" s="1"/>
  <c r="Q61" i="39"/>
  <c r="AG61" i="39" s="1"/>
  <c r="O61" i="39"/>
  <c r="AF61" i="39" s="1"/>
  <c r="N61" i="39"/>
  <c r="Q110" i="39"/>
  <c r="AZ110" i="39" s="1"/>
  <c r="O110" i="39"/>
  <c r="AF110" i="39" s="1"/>
  <c r="N110" i="39"/>
  <c r="AE110" i="39" s="1"/>
  <c r="R110" i="39"/>
  <c r="AH110" i="39" s="1"/>
  <c r="O70" i="39"/>
  <c r="AF70" i="39" s="1"/>
  <c r="Q70" i="39"/>
  <c r="AG70" i="39" s="1"/>
  <c r="R70" i="39"/>
  <c r="AH70" i="39" s="1"/>
  <c r="N70" i="39"/>
  <c r="AE70" i="39" s="1"/>
  <c r="R199" i="39"/>
  <c r="AH199" i="39" s="1"/>
  <c r="Q199" i="39"/>
  <c r="O199" i="39"/>
  <c r="AF199" i="39" s="1"/>
  <c r="N199" i="39"/>
  <c r="R217" i="39"/>
  <c r="Q217" i="39"/>
  <c r="O217" i="39"/>
  <c r="AF217" i="39" s="1"/>
  <c r="N217" i="39"/>
  <c r="AE217" i="39" s="1"/>
  <c r="Q82" i="39"/>
  <c r="N82" i="39"/>
  <c r="R82" i="39"/>
  <c r="AH82" i="39" s="1"/>
  <c r="O82" i="39"/>
  <c r="AF82" i="39" s="1"/>
  <c r="Q190" i="39"/>
  <c r="AG190" i="39" s="1"/>
  <c r="O190" i="39"/>
  <c r="AF190" i="39" s="1"/>
  <c r="N190" i="39"/>
  <c r="R190" i="39"/>
  <c r="AH190" i="39" s="1"/>
  <c r="Q60" i="39"/>
  <c r="AG60" i="39" s="1"/>
  <c r="O60" i="39"/>
  <c r="AF60" i="39" s="1"/>
  <c r="N60" i="39"/>
  <c r="AE60" i="39" s="1"/>
  <c r="R60" i="39"/>
  <c r="AH60" i="39" s="1"/>
  <c r="Q200" i="39"/>
  <c r="O200" i="39"/>
  <c r="AF200" i="39" s="1"/>
  <c r="N200" i="39"/>
  <c r="R200" i="39"/>
  <c r="AH200" i="39" s="1"/>
  <c r="Q218" i="39"/>
  <c r="O218" i="39"/>
  <c r="AF218" i="39" s="1"/>
  <c r="N218" i="39"/>
  <c r="AE218" i="39" s="1"/>
  <c r="R218" i="39"/>
  <c r="AH218" i="39" s="1"/>
  <c r="R83" i="39"/>
  <c r="AH83" i="39" s="1"/>
  <c r="Q83" i="39"/>
  <c r="AG83" i="39" s="1"/>
  <c r="O83" i="39"/>
  <c r="AF83" i="39" s="1"/>
  <c r="N83" i="39"/>
  <c r="R219" i="39"/>
  <c r="AH219" i="39" s="1"/>
  <c r="O219" i="39"/>
  <c r="AF219" i="39" s="1"/>
  <c r="Q219" i="39"/>
  <c r="AG219" i="39" s="1"/>
  <c r="N219" i="39"/>
  <c r="AE219" i="39" s="1"/>
  <c r="O140" i="39"/>
  <c r="AF140" i="39" s="1"/>
  <c r="N140" i="39"/>
  <c r="AE140" i="39" s="1"/>
  <c r="R140" i="39"/>
  <c r="AH140" i="39" s="1"/>
  <c r="Q140" i="39"/>
  <c r="AG140" i="39" s="1"/>
  <c r="O192" i="39"/>
  <c r="AF192" i="39" s="1"/>
  <c r="N192" i="39"/>
  <c r="R192" i="39"/>
  <c r="AH192" i="39" s="1"/>
  <c r="Q192" i="39"/>
  <c r="AG192" i="39" s="1"/>
  <c r="R150" i="39"/>
  <c r="Q150" i="39"/>
  <c r="O150" i="39"/>
  <c r="AF150" i="39" s="1"/>
  <c r="N150" i="39"/>
  <c r="R220" i="38"/>
  <c r="AH220" i="38" s="1"/>
  <c r="Q220" i="38"/>
  <c r="O220" i="38"/>
  <c r="AF220" i="38" s="1"/>
  <c r="O100" i="38"/>
  <c r="AF100" i="38" s="1"/>
  <c r="R100" i="38"/>
  <c r="AH100" i="38" s="1"/>
  <c r="Q100" i="38"/>
  <c r="AC142" i="39" a="1"/>
  <c r="AC142" i="39" s="1"/>
  <c r="AC150" i="39" a="1"/>
  <c r="AC150" i="39" s="1"/>
  <c r="AD150" i="39" a="1"/>
  <c r="AD150" i="39" s="1"/>
  <c r="AC236" i="39" a="1"/>
  <c r="AC236" i="39" s="1"/>
  <c r="Q249" i="39"/>
  <c r="R249" i="39" s="1"/>
  <c r="N249" i="39"/>
  <c r="O249" i="39" s="1"/>
  <c r="AC255" i="39" a="1"/>
  <c r="AC255" i="39" s="1"/>
  <c r="AD255" i="39" s="1" a="1"/>
  <c r="AD255" i="39" s="1"/>
  <c r="AC43" i="39" a="1"/>
  <c r="AC43" i="39" s="1"/>
  <c r="AC55" i="39" a="1"/>
  <c r="AC55" i="39" s="1"/>
  <c r="BN78" i="39"/>
  <c r="AC98" i="39" a="1"/>
  <c r="AC98" i="39" s="1"/>
  <c r="AD98" i="39" a="1"/>
  <c r="AD98" i="39" s="1"/>
  <c r="AC123" i="39" a="1"/>
  <c r="AC123" i="39" s="1"/>
  <c r="AD123" i="39" a="1"/>
  <c r="AD123" i="39" s="1"/>
  <c r="AC222" i="39" a="1"/>
  <c r="AC222" i="39" s="1"/>
  <c r="AD222" i="39" a="1"/>
  <c r="AD222" i="39" s="1"/>
  <c r="AC215" i="39" a="1"/>
  <c r="AC215" i="39" s="1"/>
  <c r="AD215" i="39" a="1"/>
  <c r="AD215" i="39" s="1"/>
  <c r="AC223" i="39" a="1"/>
  <c r="AC223" i="39" s="1"/>
  <c r="AD223" i="39" s="1" a="1"/>
  <c r="AD223" i="39" s="1"/>
  <c r="AC44" i="39" a="1"/>
  <c r="AC44" i="39" s="1"/>
  <c r="AC160" i="39" a="1"/>
  <c r="AC160" i="39" s="1"/>
  <c r="AD160" i="39" a="1"/>
  <c r="AD160" i="39" s="1"/>
  <c r="S223" i="39"/>
  <c r="AI223" i="39" s="1"/>
  <c r="AG223" i="39"/>
  <c r="AE223" i="39"/>
  <c r="AC112" i="39" a="1"/>
  <c r="AC112" i="39" s="1"/>
  <c r="AC134" i="39" a="1"/>
  <c r="AC134" i="39" s="1"/>
  <c r="AC90" i="39" a="1"/>
  <c r="AC90" i="39" s="1"/>
  <c r="AC25" i="39" a="1"/>
  <c r="AC25" i="39" s="1"/>
  <c r="AC79" i="39" a="1"/>
  <c r="AC79" i="39" s="1"/>
  <c r="AD79" i="39" s="1" a="1"/>
  <c r="AD79" i="39" s="1"/>
  <c r="AC237" i="39" a="1"/>
  <c r="AC237" i="39" s="1"/>
  <c r="AC196" i="39" a="1"/>
  <c r="AC196" i="39" s="1"/>
  <c r="AC124" i="39" a="1"/>
  <c r="AC124" i="39" s="1"/>
  <c r="AC145" i="39" a="1"/>
  <c r="AC145" i="39" s="1"/>
  <c r="AC189" i="39" a="1"/>
  <c r="AC189" i="39" s="1"/>
  <c r="AD189" i="39" a="1"/>
  <c r="AD189" i="39" s="1"/>
  <c r="AC216" i="39" a="1"/>
  <c r="AC216" i="39" s="1"/>
  <c r="AD216" i="39" a="1"/>
  <c r="AD216" i="39" s="1"/>
  <c r="AC224" i="39" a="1"/>
  <c r="AC224" i="39" s="1"/>
  <c r="AD224" i="39" a="1"/>
  <c r="AD224" i="39" s="1"/>
  <c r="AC238" i="39" a="1"/>
  <c r="AC238" i="39" s="1"/>
  <c r="AC257" i="39" a="1"/>
  <c r="AC257" i="39" s="1"/>
  <c r="AD257" i="39" s="1" a="1"/>
  <c r="AD257" i="39" s="1"/>
  <c r="AC68" i="39" a="1"/>
  <c r="AC68" i="39" s="1"/>
  <c r="AD68" i="39" a="1"/>
  <c r="AD68" i="39" s="1"/>
  <c r="AC143" i="39" a="1"/>
  <c r="AC143" i="39" s="1"/>
  <c r="AC56" i="39" a="1"/>
  <c r="AC56" i="39" s="1"/>
  <c r="AC14" i="39" a="1"/>
  <c r="AC14" i="39" s="1"/>
  <c r="AC45" i="39" a="1"/>
  <c r="AC45" i="39" s="1"/>
  <c r="AC59" i="39" a="1"/>
  <c r="AC59" i="39" s="1"/>
  <c r="AD59" i="39" a="1"/>
  <c r="AD59" i="39" s="1"/>
  <c r="S69" i="39"/>
  <c r="AI69" i="39" s="1"/>
  <c r="AC81" i="39" a="1"/>
  <c r="AC81" i="39" s="1"/>
  <c r="AD81" i="39" a="1"/>
  <c r="AD81" i="39" s="1"/>
  <c r="AC161" i="39" a="1"/>
  <c r="AC161" i="39" s="1"/>
  <c r="AD161" i="39" a="1"/>
  <c r="AD161" i="39" s="1"/>
  <c r="AC170" i="39" a="1"/>
  <c r="AC170" i="39" s="1"/>
  <c r="AD170" i="39" a="1"/>
  <c r="AD170" i="39" s="1"/>
  <c r="S189" i="39"/>
  <c r="AI189" i="39" s="1"/>
  <c r="AE189" i="39"/>
  <c r="AE224" i="39"/>
  <c r="Q257" i="39"/>
  <c r="N257" i="39"/>
  <c r="O257" i="39" s="1"/>
  <c r="AG110" i="39"/>
  <c r="AC188" i="39" a="1"/>
  <c r="AC188" i="39" s="1"/>
  <c r="AD188" i="39" a="1"/>
  <c r="AD188" i="39" s="1"/>
  <c r="AC206" i="39" a="1"/>
  <c r="AC206" i="39" s="1"/>
  <c r="AD206" i="39" s="1" a="1"/>
  <c r="AD206" i="39" s="1"/>
  <c r="AC251" i="39" a="1"/>
  <c r="AC251" i="39" s="1"/>
  <c r="AD251" i="39" s="1" a="1"/>
  <c r="AD251" i="39" s="1"/>
  <c r="AC101" i="39" a="1"/>
  <c r="AC101" i="39" s="1"/>
  <c r="AD101" i="39" a="1"/>
  <c r="AD101" i="39" s="1"/>
  <c r="BN81" i="39"/>
  <c r="AC113" i="39" a="1"/>
  <c r="AC113" i="39" s="1"/>
  <c r="AD113" i="39" a="1"/>
  <c r="AD113" i="39" s="1"/>
  <c r="AC137" i="39" a="1"/>
  <c r="AC137" i="39" s="1"/>
  <c r="AC153" i="39" a="1"/>
  <c r="AC153" i="39" s="1"/>
  <c r="AD153" i="39" a="1"/>
  <c r="AD153" i="39" s="1"/>
  <c r="AC207" i="39" a="1"/>
  <c r="AC207" i="39" s="1"/>
  <c r="AD207" i="39" s="1" a="1"/>
  <c r="AD207" i="39" s="1"/>
  <c r="AC13" i="39" a="1"/>
  <c r="AC13" i="39" s="1"/>
  <c r="AG68" i="39"/>
  <c r="AE68" i="39"/>
  <c r="AC169" i="39" a="1"/>
  <c r="AC169" i="39" s="1"/>
  <c r="AD169" i="39" a="1"/>
  <c r="AD169" i="39" s="1"/>
  <c r="AC26" i="39" a="1"/>
  <c r="AC26" i="39" s="1"/>
  <c r="AD26" i="39" a="1"/>
  <c r="AD26" i="39" s="1"/>
  <c r="AC69" i="39" a="1"/>
  <c r="AC69" i="39" s="1"/>
  <c r="AD69" i="39" a="1"/>
  <c r="AD69" i="39" s="1"/>
  <c r="AC70" i="39" a="1"/>
  <c r="AC70" i="39" s="1"/>
  <c r="AD70" i="39" s="1" a="1"/>
  <c r="AD70" i="39" s="1"/>
  <c r="AC146" i="39" a="1"/>
  <c r="AC146" i="39" s="1"/>
  <c r="AC199" i="39" a="1"/>
  <c r="AC199" i="39" s="1"/>
  <c r="AD199" i="39" a="1"/>
  <c r="AD199" i="39" s="1"/>
  <c r="AC217" i="39" a="1"/>
  <c r="AC217" i="39" s="1"/>
  <c r="AD217" i="39" a="1"/>
  <c r="AD217" i="39" s="1"/>
  <c r="AC252" i="39" a="1"/>
  <c r="AC252" i="39" s="1"/>
  <c r="AD252" i="39" s="1" a="1"/>
  <c r="AD252" i="39" s="1"/>
  <c r="AC99" i="39" a="1"/>
  <c r="AC99" i="39" s="1"/>
  <c r="AD99" i="39" a="1"/>
  <c r="AD99" i="39" s="1"/>
  <c r="S188" i="39"/>
  <c r="AI188" i="39" s="1"/>
  <c r="AE188" i="39"/>
  <c r="AC151" i="39" a="1"/>
  <c r="AC151" i="39" s="1"/>
  <c r="AD151" i="39" s="1" a="1"/>
  <c r="AD151" i="39" s="1"/>
  <c r="AC93" i="39" a="1"/>
  <c r="AC93" i="39" s="1"/>
  <c r="AD93" i="39" s="1" a="1"/>
  <c r="AD93" i="39" s="1"/>
  <c r="AC15" i="39" a="1"/>
  <c r="AC15" i="39" s="1"/>
  <c r="AC82" i="39" a="1"/>
  <c r="AC82" i="39" s="1"/>
  <c r="AD82" i="39" a="1"/>
  <c r="AD82" i="39" s="1"/>
  <c r="AC94" i="39" a="1"/>
  <c r="AC94" i="39" s="1"/>
  <c r="AD94" i="39" s="1" a="1"/>
  <c r="AD94" i="39" s="1"/>
  <c r="AC162" i="39" a="1"/>
  <c r="AC162" i="39" s="1"/>
  <c r="AD162" i="39" a="1"/>
  <c r="AD162" i="39" s="1"/>
  <c r="AC171" i="39" a="1"/>
  <c r="AC171" i="39" s="1"/>
  <c r="AD171" i="39" a="1"/>
  <c r="AD171" i="39" s="1"/>
  <c r="AC190" i="39" a="1"/>
  <c r="AC190" i="39" s="1"/>
  <c r="AD190" i="39" a="1"/>
  <c r="AD190" i="39" s="1"/>
  <c r="AE199" i="39"/>
  <c r="AG217" i="39"/>
  <c r="Q252" i="39"/>
  <c r="N252" i="39"/>
  <c r="O252" i="39" s="1"/>
  <c r="AC258" i="39" a="1"/>
  <c r="AC258" i="39" s="1"/>
  <c r="AD258" i="39" s="1" a="1"/>
  <c r="AD258" i="39" s="1"/>
  <c r="AC60" i="39" a="1"/>
  <c r="AC60" i="39" s="1"/>
  <c r="AD60" i="39" a="1"/>
  <c r="AD60" i="39" s="1"/>
  <c r="AC114" i="39" a="1"/>
  <c r="AC114" i="39" s="1"/>
  <c r="AC130" i="39" a="1"/>
  <c r="AC130" i="39" s="1"/>
  <c r="AD130" i="39" s="1" a="1"/>
  <c r="AD130" i="39" s="1"/>
  <c r="AC138" i="39" a="1"/>
  <c r="AC138" i="39" s="1"/>
  <c r="AE190" i="39"/>
  <c r="Q258" i="39"/>
  <c r="N258" i="39"/>
  <c r="AC200" i="39" a="1"/>
  <c r="AC200" i="39" s="1"/>
  <c r="AD200" i="39" a="1"/>
  <c r="AD200" i="39" s="1"/>
  <c r="AC218" i="39" a="1"/>
  <c r="AC218" i="39" s="1"/>
  <c r="AD218" i="39" a="1"/>
  <c r="AD218" i="39" s="1"/>
  <c r="N253" i="39"/>
  <c r="O253" i="39" s="1"/>
  <c r="Q253" i="39"/>
  <c r="R253" i="39" s="1"/>
  <c r="AC148" i="39" a="1"/>
  <c r="AC148" i="39" s="1"/>
  <c r="AD148" i="39" a="1"/>
  <c r="AD148" i="39" s="1"/>
  <c r="AC154" i="39" a="1"/>
  <c r="AC154" i="39" s="1"/>
  <c r="AD154" i="39" a="1"/>
  <c r="AD154" i="39" s="1"/>
  <c r="AG200" i="39"/>
  <c r="AE200" i="39"/>
  <c r="AC208" i="39" a="1"/>
  <c r="AC208" i="39" s="1"/>
  <c r="AD208" i="39" s="1" a="1"/>
  <c r="AD208" i="39" s="1"/>
  <c r="AG218" i="39"/>
  <c r="AC191" i="39" a="1"/>
  <c r="AC191" i="39" s="1"/>
  <c r="AD191" i="39" a="1"/>
  <c r="AD191" i="39" s="1"/>
  <c r="AC234" i="39" a="1"/>
  <c r="AC234" i="39" s="1"/>
  <c r="AC163" i="39" a="1"/>
  <c r="AC163" i="39" s="1"/>
  <c r="AD163" i="39" a="1"/>
  <c r="AD163" i="39" s="1"/>
  <c r="AC201" i="39" a="1"/>
  <c r="AC201" i="39" s="1"/>
  <c r="AC219" i="39" a="1"/>
  <c r="AC219" i="39" s="1"/>
  <c r="AD219" i="39" a="1"/>
  <c r="AD219" i="39" s="1"/>
  <c r="AC248" i="39" a="1"/>
  <c r="AC248" i="39" s="1"/>
  <c r="AD248" i="39" s="1" a="1"/>
  <c r="AD248" i="39" s="1"/>
  <c r="AC254" i="39" a="1"/>
  <c r="AC254" i="39" s="1"/>
  <c r="AD254" i="39" s="1" a="1"/>
  <c r="AD254" i="39" s="1"/>
  <c r="AC260" i="39" a="1"/>
  <c r="AC260" i="39" s="1"/>
  <c r="AD260" i="39" s="1" a="1"/>
  <c r="AD260" i="39" s="1"/>
  <c r="AC149" i="39" a="1"/>
  <c r="AC149" i="39" s="1"/>
  <c r="AD149" i="39" a="1"/>
  <c r="AD149" i="39" s="1"/>
  <c r="AC156" i="39" a="1"/>
  <c r="AC156" i="39" s="1"/>
  <c r="AD156" i="39" a="1"/>
  <c r="AD156" i="39" s="1"/>
  <c r="Q248" i="39"/>
  <c r="N248" i="39"/>
  <c r="O248" i="39" s="1"/>
  <c r="O247" i="39" s="1"/>
  <c r="N254" i="39"/>
  <c r="Q254" i="39"/>
  <c r="Q260" i="39"/>
  <c r="N260" i="39"/>
  <c r="O260" i="39" s="1"/>
  <c r="O259" i="39" s="1"/>
  <c r="AC202" i="39" a="1"/>
  <c r="AC202" i="39" s="1"/>
  <c r="AD202" i="39" a="1"/>
  <c r="AD202" i="39" s="1"/>
  <c r="AC209" i="39" a="1"/>
  <c r="AC209" i="39" s="1"/>
  <c r="AD209" i="39" s="1" a="1"/>
  <c r="AD209" i="39" s="1"/>
  <c r="AC235" i="39" a="1"/>
  <c r="AC235" i="39" s="1"/>
  <c r="AC110" i="39" a="1"/>
  <c r="AC110" i="39" s="1"/>
  <c r="AD110" i="39" a="1"/>
  <c r="AD110" i="39" s="1"/>
  <c r="AC249" i="39" a="1"/>
  <c r="AC249" i="39" s="1"/>
  <c r="AD249" i="39" s="1" a="1"/>
  <c r="AD249" i="39" s="1"/>
  <c r="AC24" i="39" a="1"/>
  <c r="AC24" i="39" s="1"/>
  <c r="AC78" i="39" a="1"/>
  <c r="AC78" i="39" s="1"/>
  <c r="AD78" i="39" a="1"/>
  <c r="AD78" i="39" s="1"/>
  <c r="AC91" i="39" a="1"/>
  <c r="AC91" i="39" s="1"/>
  <c r="AC111" i="39" a="1"/>
  <c r="AC111" i="39" s="1"/>
  <c r="AD111" i="39" a="1"/>
  <c r="AD111" i="39" s="1"/>
  <c r="AC133" i="39" a="1"/>
  <c r="AC133" i="39" s="1"/>
  <c r="AD133" i="39" a="1"/>
  <c r="AD133" i="39" s="1"/>
  <c r="AC40" i="39" a="1"/>
  <c r="AC40" i="39" s="1"/>
  <c r="AD40" i="39" a="1"/>
  <c r="AD40" i="39" s="1"/>
  <c r="S60" i="39"/>
  <c r="AI60" i="39" s="1"/>
  <c r="AC16" i="39" a="1"/>
  <c r="AC16" i="39" s="1"/>
  <c r="AC83" i="39" a="1"/>
  <c r="AC83" i="39" s="1"/>
  <c r="AD83" i="39" s="1" a="1"/>
  <c r="AD83" i="39" s="1"/>
  <c r="AC61" i="39" a="1"/>
  <c r="AC61" i="39" s="1"/>
  <c r="AD61" i="39" s="1" a="1"/>
  <c r="AD61" i="39" s="1"/>
  <c r="AC115" i="39" a="1"/>
  <c r="AC115" i="39" s="1"/>
  <c r="AD115" i="39" a="1"/>
  <c r="AD115" i="39" s="1"/>
  <c r="AC139" i="39" a="1"/>
  <c r="AC139" i="39" s="1"/>
  <c r="N6" i="39"/>
  <c r="AG6" i="39"/>
  <c r="AC41" i="39" a="1"/>
  <c r="AC41" i="39" s="1"/>
  <c r="AD41" i="39" a="1"/>
  <c r="AD41" i="39" s="1"/>
  <c r="AE61" i="39"/>
  <c r="AN61" i="39"/>
  <c r="AC95" i="39" a="1"/>
  <c r="AC95" i="39" s="1"/>
  <c r="AD95" i="39" s="1" a="1"/>
  <c r="AD95" i="39" s="1"/>
  <c r="AC17" i="39" a="1"/>
  <c r="AC17" i="39" s="1"/>
  <c r="M41" i="39"/>
  <c r="AG41" i="39"/>
  <c r="AE41" i="39"/>
  <c r="AC65" i="39" a="1"/>
  <c r="AC65" i="39" s="1"/>
  <c r="AD65" i="39" s="1" a="1"/>
  <c r="AD65" i="39" s="1"/>
  <c r="AC109" i="39" a="1"/>
  <c r="AC109" i="39" s="1"/>
  <c r="AC52" i="39" a="1"/>
  <c r="AC52" i="39" s="1"/>
  <c r="AD52" i="39" a="1"/>
  <c r="AD52" i="39" s="1"/>
  <c r="AC77" i="39" a="1"/>
  <c r="AC77" i="39" s="1"/>
  <c r="AD77" i="39" a="1"/>
  <c r="AD77" i="39" s="1"/>
  <c r="AC131" i="39" a="1"/>
  <c r="AC131" i="39" s="1"/>
  <c r="AD131" i="39" s="1" a="1"/>
  <c r="AD131" i="39" s="1"/>
  <c r="AC140" i="39" a="1"/>
  <c r="AC140" i="39" s="1"/>
  <c r="AD140" i="39" a="1"/>
  <c r="AD140" i="39" s="1"/>
  <c r="AC42" i="39" a="1"/>
  <c r="AC42" i="39" s="1"/>
  <c r="AC89" i="39" a="1"/>
  <c r="AC89" i="39" s="1"/>
  <c r="AC122" i="39" a="1"/>
  <c r="AC122" i="39" s="1"/>
  <c r="AD122" i="39" a="1"/>
  <c r="AD122" i="39" s="1"/>
  <c r="AC157" i="39" a="1"/>
  <c r="AC157" i="39" s="1"/>
  <c r="AD157" i="39" s="1" a="1"/>
  <c r="AD157" i="39" s="1"/>
  <c r="AC192" i="39" a="1"/>
  <c r="AC192" i="39" s="1"/>
  <c r="AD192" i="39" a="1"/>
  <c r="AD192" i="39" s="1"/>
  <c r="AC221" i="39" a="1"/>
  <c r="AC221" i="39" s="1"/>
  <c r="AD221" i="39" a="1"/>
  <c r="AD221" i="39" s="1"/>
  <c r="N100" i="38"/>
  <c r="AC217" i="38" a="1"/>
  <c r="AC217" i="38" s="1"/>
  <c r="AC116" i="38" a="1"/>
  <c r="AC116" i="38" s="1"/>
  <c r="AC219" i="38" a="1"/>
  <c r="AC219" i="38" s="1"/>
  <c r="N220" i="38"/>
  <c r="BI215" i="39"/>
  <c r="BM215" i="39" s="1"/>
  <c r="BI101" i="39"/>
  <c r="BM101" i="39" s="1"/>
  <c r="BI131" i="39"/>
  <c r="BM131" i="39" s="1"/>
  <c r="BG161" i="39"/>
  <c r="BK161" i="39" s="1"/>
  <c r="BH68" i="39"/>
  <c r="BL68" i="39" s="1"/>
  <c r="BI223" i="39"/>
  <c r="BM223" i="39" s="1"/>
  <c r="BI93" i="39"/>
  <c r="BM93" i="39" s="1"/>
  <c r="BI221" i="39"/>
  <c r="BM221" i="39" s="1"/>
  <c r="BI222" i="39"/>
  <c r="BM222" i="39" s="1"/>
  <c r="BG160" i="39"/>
  <c r="BK160" i="39" s="1"/>
  <c r="BG61" i="39"/>
  <c r="BK61" i="39" s="1"/>
  <c r="BH115" i="39"/>
  <c r="BL115" i="39" s="1"/>
  <c r="BI122" i="39"/>
  <c r="BM122" i="39" s="1"/>
  <c r="BI151" i="39"/>
  <c r="BM151" i="39" s="1"/>
  <c r="BG26" i="39"/>
  <c r="BK26" i="39" s="1"/>
  <c r="BI95" i="39"/>
  <c r="BM95" i="39" s="1"/>
  <c r="BG163" i="39"/>
  <c r="BK163" i="39" s="1"/>
  <c r="BG52" i="39"/>
  <c r="BK52" i="39" s="1"/>
  <c r="BI157" i="39"/>
  <c r="BM157" i="39" s="1"/>
  <c r="BI110" i="39"/>
  <c r="BM110" i="39" s="1"/>
  <c r="BI94" i="39"/>
  <c r="BM94" i="39" s="1"/>
  <c r="BG162" i="39"/>
  <c r="BK162" i="39" s="1"/>
  <c r="BI156" i="39"/>
  <c r="BM156" i="39" s="1"/>
  <c r="J17" i="39"/>
  <c r="AD17" i="39" s="1" a="1"/>
  <c r="AD17" i="39" s="1"/>
  <c r="AZ95" i="39"/>
  <c r="W65" i="39"/>
  <c r="AX157" i="39"/>
  <c r="J43" i="39"/>
  <c r="AP163" i="39"/>
  <c r="AX131" i="39"/>
  <c r="AZ131" i="39"/>
  <c r="Z192" i="39"/>
  <c r="X192" i="39"/>
  <c r="J142" i="39"/>
  <c r="J236" i="39"/>
  <c r="J55" i="39"/>
  <c r="J25" i="39"/>
  <c r="AZ215" i="39"/>
  <c r="BC251" i="39"/>
  <c r="AX93" i="39"/>
  <c r="J112" i="39"/>
  <c r="J134" i="39"/>
  <c r="Z196" i="39"/>
  <c r="X196" i="39"/>
  <c r="H21" i="41"/>
  <c r="AP26" i="39"/>
  <c r="T69" i="39"/>
  <c r="AZ93" i="39"/>
  <c r="AX101" i="39"/>
  <c r="J124" i="39"/>
  <c r="J145" i="39"/>
  <c r="T216" i="39"/>
  <c r="V216" i="39" s="1"/>
  <c r="W216" i="39"/>
  <c r="J238" i="39"/>
  <c r="J14" i="39"/>
  <c r="BG14" i="39" s="1"/>
  <c r="BK14" i="39" s="1"/>
  <c r="J45" i="39"/>
  <c r="BN45" i="39" s="1"/>
  <c r="BA93" i="39"/>
  <c r="W93" i="39"/>
  <c r="AZ101" i="39"/>
  <c r="Z124" i="39"/>
  <c r="V124" i="39"/>
  <c r="X124" i="39"/>
  <c r="W124" i="39"/>
  <c r="AQ161" i="39"/>
  <c r="Z189" i="39"/>
  <c r="X189" i="39"/>
  <c r="AN241" i="39"/>
  <c r="H24" i="41"/>
  <c r="J13" i="39"/>
  <c r="AN244" i="39"/>
  <c r="AP244" i="39"/>
  <c r="AM188" i="39"/>
  <c r="AO188" i="39" s="1"/>
  <c r="X188" i="39"/>
  <c r="W188" i="39"/>
  <c r="Z188" i="39"/>
  <c r="AZ157" i="39"/>
  <c r="J24" i="39"/>
  <c r="W157" i="39"/>
  <c r="Z123" i="39"/>
  <c r="X123" i="39"/>
  <c r="V123" i="39"/>
  <c r="W123" i="39"/>
  <c r="J143" i="39"/>
  <c r="J137" i="39"/>
  <c r="J146" i="39"/>
  <c r="AD146" i="39" s="1" a="1"/>
  <c r="AD146" i="39" s="1"/>
  <c r="J196" i="39"/>
  <c r="AM153" i="39"/>
  <c r="AR153" i="39" s="1"/>
  <c r="Z153" i="39"/>
  <c r="X153" i="39"/>
  <c r="J15" i="39"/>
  <c r="AX94" i="39"/>
  <c r="H22" i="41"/>
  <c r="AZ94" i="39"/>
  <c r="J114" i="39"/>
  <c r="AM130" i="39"/>
  <c r="AR130" i="39" s="1"/>
  <c r="W130" i="39"/>
  <c r="Z130" i="39"/>
  <c r="X130" i="39"/>
  <c r="J138" i="39"/>
  <c r="AN162" i="39"/>
  <c r="Z190" i="39"/>
  <c r="X190" i="39"/>
  <c r="AK245" i="39"/>
  <c r="V245" i="39"/>
  <c r="J40" i="39"/>
  <c r="BA94" i="39"/>
  <c r="W94" i="39"/>
  <c r="AP162" i="39"/>
  <c r="W7" i="39"/>
  <c r="J235" i="39"/>
  <c r="J42" i="39"/>
  <c r="W131" i="39"/>
  <c r="H13" i="41"/>
  <c r="W9" i="39"/>
  <c r="X150" i="39"/>
  <c r="Z150" i="39"/>
  <c r="J133" i="39"/>
  <c r="AM148" i="39"/>
  <c r="BI148" i="39" s="1"/>
  <c r="BM148" i="39" s="1"/>
  <c r="Z148" i="39"/>
  <c r="X148" i="39"/>
  <c r="AM154" i="39"/>
  <c r="AR154" i="39" s="1"/>
  <c r="Z154" i="39"/>
  <c r="X154" i="39"/>
  <c r="AN52" i="39"/>
  <c r="AM149" i="39"/>
  <c r="AS149" i="39" s="1"/>
  <c r="Z149" i="39"/>
  <c r="X149" i="39"/>
  <c r="J16" i="39"/>
  <c r="AU115" i="39"/>
  <c r="H185" i="41"/>
  <c r="J139" i="39"/>
  <c r="J234" i="39"/>
  <c r="J109" i="39"/>
  <c r="AN8" i="39"/>
  <c r="BA95" i="39"/>
  <c r="W95" i="39"/>
  <c r="AP52" i="39"/>
  <c r="W221" i="39"/>
  <c r="J237" i="39"/>
  <c r="J44" i="39"/>
  <c r="J56" i="39"/>
  <c r="J90" i="39"/>
  <c r="E6" i="46"/>
  <c r="AD88" i="39" s="1" a="1"/>
  <c r="AD88" i="39" s="1"/>
  <c r="AX95" i="39"/>
  <c r="AN163" i="39"/>
  <c r="AM191" i="39"/>
  <c r="AR191" i="39" s="1"/>
  <c r="Z191" i="39"/>
  <c r="X191" i="39"/>
  <c r="J201" i="39"/>
  <c r="H23" i="41"/>
  <c r="J99" i="38"/>
  <c r="J116" i="38"/>
  <c r="J219" i="38"/>
  <c r="J98" i="38"/>
  <c r="J217" i="38"/>
  <c r="J193" i="38"/>
  <c r="BI224" i="39"/>
  <c r="BM224" i="39" s="1"/>
  <c r="BH200" i="39"/>
  <c r="BL200" i="39" s="1"/>
  <c r="BH150" i="39"/>
  <c r="BL150" i="39" s="1"/>
  <c r="B205" i="41"/>
  <c r="B212" i="41"/>
  <c r="B197" i="41"/>
  <c r="B178" i="41"/>
  <c r="B198" i="41"/>
  <c r="B206" i="41"/>
  <c r="B189" i="41"/>
  <c r="B179" i="41"/>
  <c r="B200" i="41"/>
  <c r="B192" i="41"/>
  <c r="B208" i="41"/>
  <c r="B201" i="41"/>
  <c r="B185" i="41"/>
  <c r="B203" i="41"/>
  <c r="B209" i="41"/>
  <c r="B194" i="41"/>
  <c r="BG41" i="39"/>
  <c r="BK41" i="39" s="1"/>
  <c r="B186" i="41"/>
  <c r="B195" i="41"/>
  <c r="BG59" i="39"/>
  <c r="BK59" i="39" s="1"/>
  <c r="BI81" i="39"/>
  <c r="BM81" i="39" s="1"/>
  <c r="BI113" i="39"/>
  <c r="BM113" i="39" s="1"/>
  <c r="BI171" i="39"/>
  <c r="BM171" i="39" s="1"/>
  <c r="BG171" i="39"/>
  <c r="BK171" i="39" s="1"/>
  <c r="BA221" i="39"/>
  <c r="BH82" i="39"/>
  <c r="BL82" i="39" s="1"/>
  <c r="BH190" i="39"/>
  <c r="BL190" i="39" s="1"/>
  <c r="BH192" i="39"/>
  <c r="BL192" i="39" s="1"/>
  <c r="T227" i="39"/>
  <c r="V227" i="39" s="1"/>
  <c r="BG60" i="39"/>
  <c r="BK60" i="39" s="1"/>
  <c r="BN6" i="39"/>
  <c r="BJ6" i="39"/>
  <c r="I253" i="39"/>
  <c r="BJ253" i="39"/>
  <c r="BI140" i="39"/>
  <c r="BM140" i="39" s="1"/>
  <c r="BI217" i="39"/>
  <c r="BM217" i="39" s="1"/>
  <c r="AZ122" i="39"/>
  <c r="BA157" i="39"/>
  <c r="H212" i="41"/>
  <c r="BA131" i="39"/>
  <c r="H186" i="41"/>
  <c r="BI77" i="39"/>
  <c r="BM77" i="39" s="1"/>
  <c r="BI83" i="39"/>
  <c r="BM83" i="39" s="1"/>
  <c r="BI111" i="39"/>
  <c r="BM111" i="39" s="1"/>
  <c r="BH189" i="39"/>
  <c r="BL189" i="39" s="1"/>
  <c r="BB6" i="39"/>
  <c r="BG6" i="39"/>
  <c r="BH6" i="39"/>
  <c r="BI6" i="39"/>
  <c r="BH78" i="39"/>
  <c r="BL78" i="39" s="1"/>
  <c r="BH218" i="39"/>
  <c r="BL218" i="39" s="1"/>
  <c r="BB255" i="39"/>
  <c r="BG255" i="39"/>
  <c r="BK255" i="39" s="1"/>
  <c r="BI255" i="39"/>
  <c r="BM255" i="39" s="1"/>
  <c r="BH255" i="39"/>
  <c r="BL255" i="39" s="1"/>
  <c r="AR6" i="39"/>
  <c r="AW6" i="39"/>
  <c r="AR255" i="39"/>
  <c r="AW255" i="39"/>
  <c r="T162" i="39"/>
  <c r="AR162" i="39" s="1"/>
  <c r="AQ162" i="39"/>
  <c r="B57" i="44" a="1"/>
  <c r="B57" i="44" s="1"/>
  <c r="B58" i="44" s="1" a="1"/>
  <c r="B58" i="44" s="1"/>
  <c r="AV6" i="39"/>
  <c r="AX6" i="39"/>
  <c r="AZ6" i="39"/>
  <c r="AQ6" i="39"/>
  <c r="BA6" i="39"/>
  <c r="AT6" i="39"/>
  <c r="AS6" i="39"/>
  <c r="AU6" i="39"/>
  <c r="AY6" i="39"/>
  <c r="T244" i="39"/>
  <c r="AQ244" i="39"/>
  <c r="T163" i="39"/>
  <c r="AR163" i="39" s="1"/>
  <c r="AQ163" i="39"/>
  <c r="BC255" i="39"/>
  <c r="BE255" i="39"/>
  <c r="AN255" i="39"/>
  <c r="AX255" i="39"/>
  <c r="AT255" i="39"/>
  <c r="AU255" i="39"/>
  <c r="AV255" i="39"/>
  <c r="AQ255" i="39"/>
  <c r="AO255" i="39"/>
  <c r="AZ255" i="39"/>
  <c r="AP255" i="39"/>
  <c r="BA255" i="39"/>
  <c r="AS255" i="39"/>
  <c r="Q7" i="39"/>
  <c r="AG7" i="39" s="1"/>
  <c r="AP8" i="39"/>
  <c r="T161" i="39"/>
  <c r="AR161" i="39" s="1"/>
  <c r="AL123" i="39"/>
  <c r="AM123" i="39"/>
  <c r="AK124" i="39"/>
  <c r="AL124" i="39"/>
  <c r="T94" i="39"/>
  <c r="V94" i="39" s="1"/>
  <c r="AL94" i="39"/>
  <c r="T164" i="39"/>
  <c r="AL164" i="39"/>
  <c r="AK184" i="39"/>
  <c r="AL184" i="39"/>
  <c r="T193" i="39"/>
  <c r="AL193" i="39"/>
  <c r="T206" i="39"/>
  <c r="T65" i="39"/>
  <c r="AL65" i="39"/>
  <c r="T175" i="39"/>
  <c r="AL175" i="39"/>
  <c r="T188" i="39"/>
  <c r="V188" i="39" s="1"/>
  <c r="AL188" i="39"/>
  <c r="T202" i="39"/>
  <c r="T204" i="39"/>
  <c r="V204" i="39" s="1"/>
  <c r="T130" i="39"/>
  <c r="V130" i="39" s="1"/>
  <c r="AL130" i="39"/>
  <c r="AK183" i="39"/>
  <c r="AL183" i="39"/>
  <c r="T197" i="39"/>
  <c r="AL197" i="39"/>
  <c r="T208" i="39"/>
  <c r="T210" i="39"/>
  <c r="AL210" i="39"/>
  <c r="T212" i="39"/>
  <c r="V212" i="39" s="1"/>
  <c r="T75" i="39"/>
  <c r="AL75" i="39"/>
  <c r="T93" i="39"/>
  <c r="V93" i="39" s="1"/>
  <c r="AL93" i="39"/>
  <c r="T174" i="39"/>
  <c r="AL174" i="39"/>
  <c r="T157" i="39"/>
  <c r="V157" i="39" s="1"/>
  <c r="AL157" i="39"/>
  <c r="T166" i="39"/>
  <c r="AL166" i="39"/>
  <c r="AK182" i="39"/>
  <c r="AL182" i="39"/>
  <c r="T63" i="39"/>
  <c r="AL63" i="39"/>
  <c r="T95" i="39"/>
  <c r="V95" i="39" s="1"/>
  <c r="AL95" i="39"/>
  <c r="T173" i="39"/>
  <c r="AL173" i="39"/>
  <c r="T194" i="39"/>
  <c r="AL194" i="39"/>
  <c r="T203" i="39"/>
  <c r="V203" i="39" s="1"/>
  <c r="T207" i="39"/>
  <c r="T165" i="39"/>
  <c r="AL165" i="39"/>
  <c r="AK181" i="39"/>
  <c r="AL181" i="39"/>
  <c r="T209" i="39"/>
  <c r="T211" i="39"/>
  <c r="V211" i="39" s="1"/>
  <c r="T85" i="39"/>
  <c r="AL85" i="39"/>
  <c r="T131" i="39"/>
  <c r="V131" i="39" s="1"/>
  <c r="AL131" i="39"/>
  <c r="T172" i="39"/>
  <c r="AL172" i="39"/>
  <c r="T221" i="39"/>
  <c r="V221" i="39" s="1"/>
  <c r="AL221" i="39"/>
  <c r="P94" i="39"/>
  <c r="AK123" i="39"/>
  <c r="BN130" i="39"/>
  <c r="BN148" i="39"/>
  <c r="L202" i="39"/>
  <c r="P251" i="39"/>
  <c r="BO174" i="39"/>
  <c r="L199" i="39"/>
  <c r="L201" i="39"/>
  <c r="BN193" i="39"/>
  <c r="BN197" i="39"/>
  <c r="BN123" i="39"/>
  <c r="BN150" i="39"/>
  <c r="BN153" i="39"/>
  <c r="S227" i="39"/>
  <c r="AI227" i="39" s="1"/>
  <c r="N129" i="39"/>
  <c r="AE129" i="39" s="1"/>
  <c r="BO164" i="39"/>
  <c r="Q129" i="39"/>
  <c r="AG129" i="39" s="1"/>
  <c r="Q102" i="39"/>
  <c r="AG102" i="39" s="1"/>
  <c r="P157" i="39"/>
  <c r="BO172" i="39"/>
  <c r="BO8" i="39"/>
  <c r="BO193" i="39"/>
  <c r="AG221" i="39"/>
  <c r="AE221" i="39"/>
  <c r="S218" i="39"/>
  <c r="AI218" i="39" s="1"/>
  <c r="Q205" i="39"/>
  <c r="AG205" i="39" s="1"/>
  <c r="M13" i="39"/>
  <c r="AE252" i="39"/>
  <c r="BN41" i="39"/>
  <c r="BO181" i="39"/>
  <c r="S215" i="39"/>
  <c r="AI215" i="39" s="1"/>
  <c r="BN125" i="39"/>
  <c r="P130" i="39"/>
  <c r="M130" i="39" s="1"/>
  <c r="AG150" i="39"/>
  <c r="BO194" i="39"/>
  <c r="J89" i="39"/>
  <c r="L200" i="39"/>
  <c r="S243" i="39"/>
  <c r="AI243" i="39" s="1"/>
  <c r="BO165" i="39"/>
  <c r="BN190" i="39"/>
  <c r="AG216" i="39"/>
  <c r="AG199" i="39"/>
  <c r="S199" i="39"/>
  <c r="AI199" i="39" s="1"/>
  <c r="AE169" i="39"/>
  <c r="AG189" i="39"/>
  <c r="AG161" i="39"/>
  <c r="BN115" i="39"/>
  <c r="AE111" i="39"/>
  <c r="S110" i="39"/>
  <c r="AI110" i="39" s="1"/>
  <c r="S111" i="39"/>
  <c r="AI111" i="39" s="1"/>
  <c r="S115" i="39"/>
  <c r="AI115" i="39" s="1"/>
  <c r="BN110" i="39"/>
  <c r="BN111" i="39"/>
  <c r="S113" i="39"/>
  <c r="AI113" i="39" s="1"/>
  <c r="BN113" i="39"/>
  <c r="BN62" i="39"/>
  <c r="S68" i="39"/>
  <c r="AI68" i="39" s="1"/>
  <c r="BN35" i="39"/>
  <c r="BO203" i="39"/>
  <c r="BO182" i="39"/>
  <c r="P65" i="39"/>
  <c r="M65" i="39" s="1"/>
  <c r="S102" i="39"/>
  <c r="AI102" i="39" s="1"/>
  <c r="BO173" i="39"/>
  <c r="BO175" i="39"/>
  <c r="P244" i="39"/>
  <c r="Q243" i="39"/>
  <c r="AG243" i="39" s="1"/>
  <c r="P52" i="39"/>
  <c r="S129" i="39"/>
  <c r="AI129" i="39" s="1"/>
  <c r="AE257" i="39"/>
  <c r="BO251" i="39"/>
  <c r="BN251" i="39" s="1"/>
  <c r="BO65" i="39"/>
  <c r="Q92" i="39"/>
  <c r="AG92" i="39" s="1"/>
  <c r="BN28" i="39"/>
  <c r="N51" i="39"/>
  <c r="AE51" i="39" s="1"/>
  <c r="AG59" i="39"/>
  <c r="AE59" i="39"/>
  <c r="S59" i="39"/>
  <c r="AI59" i="39" s="1"/>
  <c r="N34" i="39"/>
  <c r="AE34" i="39" s="1"/>
  <c r="P8" i="39"/>
  <c r="AO8" i="39" s="1"/>
  <c r="AE26" i="39"/>
  <c r="AE98" i="39"/>
  <c r="AG98" i="39"/>
  <c r="N7" i="39"/>
  <c r="AE7" i="39" s="1"/>
  <c r="S83" i="39"/>
  <c r="AI83" i="39" s="1"/>
  <c r="AE83" i="39"/>
  <c r="S92" i="39"/>
  <c r="AI92" i="39" s="1"/>
  <c r="S26" i="39"/>
  <c r="AI26" i="39" s="1"/>
  <c r="BN86" i="39"/>
  <c r="BN124" i="39"/>
  <c r="BN79" i="39"/>
  <c r="S79" i="39"/>
  <c r="AI79" i="39" s="1"/>
  <c r="BN82" i="39"/>
  <c r="S82" i="39"/>
  <c r="AI82" i="39" s="1"/>
  <c r="AG82" i="39"/>
  <c r="P131" i="39"/>
  <c r="AY131" i="39" s="1"/>
  <c r="BO162" i="39"/>
  <c r="P162" i="39"/>
  <c r="BO35" i="39"/>
  <c r="T35" i="39"/>
  <c r="V35" i="39" s="1"/>
  <c r="S78" i="39"/>
  <c r="AI78" i="39" s="1"/>
  <c r="AE82" i="39"/>
  <c r="BN83" i="39"/>
  <c r="N92" i="39"/>
  <c r="AE92" i="39" s="1"/>
  <c r="P93" i="39"/>
  <c r="AY93" i="39" s="1"/>
  <c r="BN77" i="39"/>
  <c r="S77" i="39"/>
  <c r="AI77" i="39" s="1"/>
  <c r="M26" i="39"/>
  <c r="S41" i="39"/>
  <c r="AI41" i="39" s="1"/>
  <c r="T72" i="39"/>
  <c r="V72" i="39" s="1"/>
  <c r="S81" i="39"/>
  <c r="AI81" i="39" s="1"/>
  <c r="AE81" i="39"/>
  <c r="BO123" i="39"/>
  <c r="P123" i="39"/>
  <c r="M123" i="39" s="1"/>
  <c r="G178" i="41" s="1"/>
  <c r="AE151" i="39"/>
  <c r="AG151" i="39"/>
  <c r="S151" i="39"/>
  <c r="AI151" i="39" s="1"/>
  <c r="AG154" i="39"/>
  <c r="AE192" i="39"/>
  <c r="BN192" i="39"/>
  <c r="S192" i="39"/>
  <c r="AI192" i="39" s="1"/>
  <c r="BO153" i="39"/>
  <c r="P153" i="39"/>
  <c r="AG156" i="39"/>
  <c r="AE156" i="39"/>
  <c r="AK178" i="39"/>
  <c r="P255" i="39"/>
  <c r="M255" i="39" s="1"/>
  <c r="BO75" i="39"/>
  <c r="AE99" i="39"/>
  <c r="AG148" i="39"/>
  <c r="AE148" i="39"/>
  <c r="S190" i="39"/>
  <c r="BO101" i="39"/>
  <c r="N102" i="39"/>
  <c r="AE102" i="39" s="1"/>
  <c r="AE115" i="39"/>
  <c r="AE122" i="39"/>
  <c r="AE154" i="39"/>
  <c r="BN178" i="39"/>
  <c r="S242" i="39"/>
  <c r="AI242" i="39" s="1"/>
  <c r="AG242" i="39"/>
  <c r="S99" i="39"/>
  <c r="AI99" i="39" s="1"/>
  <c r="P101" i="39"/>
  <c r="BO130" i="39"/>
  <c r="BN180" i="39"/>
  <c r="AE222" i="39"/>
  <c r="S222" i="39"/>
  <c r="AI222" i="39" s="1"/>
  <c r="AG222" i="39"/>
  <c r="AE242" i="39"/>
  <c r="AG160" i="39"/>
  <c r="AE160" i="39"/>
  <c r="AE161" i="39"/>
  <c r="BN161" i="39"/>
  <c r="BO163" i="39"/>
  <c r="P163" i="39"/>
  <c r="AE171" i="39"/>
  <c r="AG171" i="39"/>
  <c r="S171" i="39"/>
  <c r="AI171" i="39" s="1"/>
  <c r="N205" i="39"/>
  <c r="AE205" i="39" s="1"/>
  <c r="P95" i="39"/>
  <c r="BN122" i="39"/>
  <c r="BN149" i="39"/>
  <c r="AE150" i="39"/>
  <c r="AE170" i="39"/>
  <c r="S217" i="39"/>
  <c r="AI217" i="39" s="1"/>
  <c r="BN188" i="39"/>
  <c r="BO197" i="39"/>
  <c r="AK179" i="39"/>
  <c r="BN179" i="39"/>
  <c r="S191" i="39"/>
  <c r="AI191" i="39" s="1"/>
  <c r="BN191" i="39"/>
  <c r="S205" i="39"/>
  <c r="AI205" i="39" s="1"/>
  <c r="S150" i="39"/>
  <c r="AI150" i="39" s="1"/>
  <c r="S170" i="39"/>
  <c r="AI170" i="39" s="1"/>
  <c r="N227" i="39"/>
  <c r="AE227" i="39" s="1"/>
  <c r="S241" i="39"/>
  <c r="AI241" i="39" s="1"/>
  <c r="AG241" i="39"/>
  <c r="AE149" i="39"/>
  <c r="S200" i="39"/>
  <c r="AI200" i="39" s="1"/>
  <c r="BO183" i="39"/>
  <c r="BN189" i="39"/>
  <c r="AE215" i="39"/>
  <c r="AE216" i="39"/>
  <c r="Q227" i="39"/>
  <c r="AG227" i="39" s="1"/>
  <c r="AE260" i="39"/>
  <c r="G253" i="39"/>
  <c r="N243" i="39"/>
  <c r="AE243" i="39" s="1"/>
  <c r="K84" i="38"/>
  <c r="J82" i="38"/>
  <c r="K86" i="38"/>
  <c r="K85" i="38"/>
  <c r="K83" i="38"/>
  <c r="J81" i="38"/>
  <c r="I84" i="38"/>
  <c r="I85" i="38"/>
  <c r="I86" i="38"/>
  <c r="G83" i="38"/>
  <c r="G84" i="38"/>
  <c r="G85" i="38"/>
  <c r="G86" i="38"/>
  <c r="K62" i="38"/>
  <c r="K60" i="38"/>
  <c r="K59" i="38"/>
  <c r="G62" i="38"/>
  <c r="K79" i="38"/>
  <c r="G79" i="38"/>
  <c r="K73" i="38"/>
  <c r="K72" i="38"/>
  <c r="K71" i="38"/>
  <c r="K70" i="38"/>
  <c r="G70" i="38"/>
  <c r="G71" i="38"/>
  <c r="G72" i="38"/>
  <c r="G73" i="38"/>
  <c r="K53" i="38"/>
  <c r="AE52" i="38"/>
  <c r="I52" i="38"/>
  <c r="I53" i="38"/>
  <c r="G52" i="38"/>
  <c r="G53" i="38"/>
  <c r="R147" i="39" l="1"/>
  <c r="AH147" i="39" s="1"/>
  <c r="AH150" i="39"/>
  <c r="R214" i="39"/>
  <c r="AH214" i="39" s="1"/>
  <c r="AH217" i="39"/>
  <c r="O187" i="39"/>
  <c r="AF187" i="39" s="1"/>
  <c r="AF188" i="39"/>
  <c r="O147" i="39"/>
  <c r="AF147" i="39" s="1"/>
  <c r="AE249" i="39"/>
  <c r="AR148" i="39"/>
  <c r="AG253" i="39"/>
  <c r="R58" i="39"/>
  <c r="AH58" i="39" s="1"/>
  <c r="AD44" i="39" a="1"/>
  <c r="AD44" i="39" s="1"/>
  <c r="Q44" i="39"/>
  <c r="R44" i="39"/>
  <c r="AH44" i="39" s="1"/>
  <c r="O44" i="39"/>
  <c r="AF44" i="39" s="1"/>
  <c r="N44" i="39"/>
  <c r="AE44" i="39" s="1"/>
  <c r="AE6" i="39"/>
  <c r="O6" i="39"/>
  <c r="O5" i="39" s="1"/>
  <c r="R187" i="39"/>
  <c r="AH187" i="39" s="1"/>
  <c r="AD112" i="39" a="1"/>
  <c r="AD112" i="39" s="1"/>
  <c r="O112" i="39"/>
  <c r="AF112" i="39" s="1"/>
  <c r="N112" i="39"/>
  <c r="AE112" i="39" s="1"/>
  <c r="R112" i="39"/>
  <c r="AH112" i="39" s="1"/>
  <c r="Q112" i="39"/>
  <c r="O76" i="39"/>
  <c r="AF76" i="39" s="1"/>
  <c r="AG249" i="39"/>
  <c r="R133" i="39"/>
  <c r="AH133" i="39" s="1"/>
  <c r="Q133" i="39"/>
  <c r="AG133" i="39" s="1"/>
  <c r="O133" i="39"/>
  <c r="AF133" i="39" s="1"/>
  <c r="N133" i="39"/>
  <c r="AN133" i="39" s="1"/>
  <c r="AD24" i="39" a="1"/>
  <c r="AD24" i="39" s="1"/>
  <c r="R24" i="39"/>
  <c r="AH24" i="39" s="1"/>
  <c r="Q24" i="39"/>
  <c r="AG24" i="39" s="1"/>
  <c r="O24" i="39"/>
  <c r="AF24" i="39" s="1"/>
  <c r="N24" i="39"/>
  <c r="Q90" i="39"/>
  <c r="AG90" i="39" s="1"/>
  <c r="O90" i="39"/>
  <c r="AF90" i="39" s="1"/>
  <c r="N90" i="39"/>
  <c r="R90" i="39"/>
  <c r="AH90" i="39" s="1"/>
  <c r="R76" i="39"/>
  <c r="AH76" i="39" s="1"/>
  <c r="S17" i="39"/>
  <c r="AI17" i="39" s="1"/>
  <c r="R67" i="39"/>
  <c r="AH67" i="39" s="1"/>
  <c r="R114" i="39"/>
  <c r="AH114" i="39" s="1"/>
  <c r="Q114" i="39"/>
  <c r="O114" i="39"/>
  <c r="AF114" i="39" s="1"/>
  <c r="N114" i="39"/>
  <c r="AE114" i="39" s="1"/>
  <c r="AD45" i="39" a="1"/>
  <c r="AD45" i="39" s="1"/>
  <c r="Q45" i="39"/>
  <c r="AG45" i="39" s="1"/>
  <c r="O45" i="39"/>
  <c r="AF45" i="39" s="1"/>
  <c r="N45" i="39"/>
  <c r="AE45" i="39" s="1"/>
  <c r="R45" i="39"/>
  <c r="AH45" i="39" s="1"/>
  <c r="Q25" i="39"/>
  <c r="AG25" i="39" s="1"/>
  <c r="O25" i="39"/>
  <c r="AF25" i="39" s="1"/>
  <c r="N25" i="39"/>
  <c r="R25" i="39"/>
  <c r="AH25" i="39" s="1"/>
  <c r="AE258" i="39"/>
  <c r="O258" i="39"/>
  <c r="O256" i="39" s="1"/>
  <c r="O80" i="39"/>
  <c r="AF80" i="39" s="1"/>
  <c r="AD109" i="39" a="1"/>
  <c r="AD109" i="39" s="1"/>
  <c r="R109" i="39"/>
  <c r="AH109" i="39" s="1"/>
  <c r="Q109" i="39"/>
  <c r="O109" i="39"/>
  <c r="AF109" i="39" s="1"/>
  <c r="N109" i="39"/>
  <c r="AE109" i="39" s="1"/>
  <c r="AD14" i="39" a="1"/>
  <c r="AD14" i="39" s="1"/>
  <c r="Q14" i="39"/>
  <c r="AG14" i="39" s="1"/>
  <c r="O14" i="39"/>
  <c r="AF14" i="39" s="1"/>
  <c r="N14" i="39"/>
  <c r="R14" i="39"/>
  <c r="AH14" i="39" s="1"/>
  <c r="AD55" i="39" a="1"/>
  <c r="AD55" i="39" s="1"/>
  <c r="R55" i="39"/>
  <c r="Q55" i="39"/>
  <c r="O55" i="39"/>
  <c r="AF55" i="39" s="1"/>
  <c r="N55" i="39"/>
  <c r="AG258" i="39"/>
  <c r="R258" i="39"/>
  <c r="O67" i="39"/>
  <c r="AF67" i="39" s="1"/>
  <c r="AD236" i="39" a="1"/>
  <c r="AD236" i="39" s="1"/>
  <c r="Q236" i="39"/>
  <c r="AG236" i="39" s="1"/>
  <c r="O236" i="39"/>
  <c r="AF236" i="39" s="1"/>
  <c r="N236" i="39"/>
  <c r="AE236" i="39" s="1"/>
  <c r="R236" i="39"/>
  <c r="AH236" i="39" s="1"/>
  <c r="AG260" i="39"/>
  <c r="R260" i="39"/>
  <c r="R259" i="39" s="1"/>
  <c r="R80" i="39"/>
  <c r="AH80" i="39" s="1"/>
  <c r="R139" i="39"/>
  <c r="AH139" i="39" s="1"/>
  <c r="Q139" i="39"/>
  <c r="AU139" i="39" s="1"/>
  <c r="N139" i="39"/>
  <c r="O139" i="39"/>
  <c r="AF139" i="39" s="1"/>
  <c r="M42" i="39"/>
  <c r="R42" i="39"/>
  <c r="AH42" i="39" s="1"/>
  <c r="Q42" i="39"/>
  <c r="O42" i="39"/>
  <c r="AF42" i="39" s="1"/>
  <c r="N42" i="39"/>
  <c r="AE42" i="39" s="1"/>
  <c r="R142" i="39"/>
  <c r="AH142" i="39" s="1"/>
  <c r="O142" i="39"/>
  <c r="AF142" i="39" s="1"/>
  <c r="Q142" i="39"/>
  <c r="AG142" i="39" s="1"/>
  <c r="N142" i="39"/>
  <c r="AE142" i="39" s="1"/>
  <c r="AG254" i="39"/>
  <c r="R254" i="39"/>
  <c r="Q15" i="39"/>
  <c r="AG15" i="39" s="1"/>
  <c r="R15" i="39"/>
  <c r="AH15" i="39" s="1"/>
  <c r="O15" i="39"/>
  <c r="AF15" i="39" s="1"/>
  <c r="N15" i="39"/>
  <c r="AE15" i="39" s="1"/>
  <c r="AE254" i="39"/>
  <c r="O254" i="39"/>
  <c r="AD15" i="39" a="1"/>
  <c r="AD15" i="39" s="1"/>
  <c r="O214" i="39"/>
  <c r="AF214" i="39" s="1"/>
  <c r="O220" i="39"/>
  <c r="AF220" i="39" s="1"/>
  <c r="AD238" i="39" a="1"/>
  <c r="AD238" i="39" s="1"/>
  <c r="O238" i="39"/>
  <c r="AF238" i="39" s="1"/>
  <c r="N238" i="39"/>
  <c r="R238" i="39"/>
  <c r="AH238" i="39" s="1"/>
  <c r="Q238" i="39"/>
  <c r="AE253" i="39"/>
  <c r="Q16" i="39"/>
  <c r="AP16" i="39" s="1"/>
  <c r="N16" i="39"/>
  <c r="AN16" i="39" s="1"/>
  <c r="O16" i="39"/>
  <c r="AF16" i="39" s="1"/>
  <c r="R16" i="39"/>
  <c r="AH16" i="39" s="1"/>
  <c r="AD13" i="39" a="1"/>
  <c r="AD13" i="39" s="1"/>
  <c r="R13" i="39"/>
  <c r="AH13" i="39" s="1"/>
  <c r="Q13" i="39"/>
  <c r="AG13" i="39" s="1"/>
  <c r="O13" i="39"/>
  <c r="AF13" i="39" s="1"/>
  <c r="N13" i="39"/>
  <c r="AE13" i="39" s="1"/>
  <c r="AD145" i="39" a="1"/>
  <c r="AD145" i="39" s="1"/>
  <c r="Q145" i="39"/>
  <c r="AG145" i="39" s="1"/>
  <c r="O145" i="39"/>
  <c r="AF145" i="39" s="1"/>
  <c r="N145" i="39"/>
  <c r="AE145" i="39" s="1"/>
  <c r="R145" i="39"/>
  <c r="AH145" i="39" s="1"/>
  <c r="AG248" i="39"/>
  <c r="R248" i="39"/>
  <c r="R247" i="39" s="1"/>
  <c r="AL189" i="39"/>
  <c r="AD124" i="39" a="1"/>
  <c r="AD124" i="39" s="1"/>
  <c r="Q124" i="39"/>
  <c r="AU124" i="39" s="1"/>
  <c r="O124" i="39"/>
  <c r="N124" i="39"/>
  <c r="R124" i="39"/>
  <c r="R220" i="39"/>
  <c r="AD56" i="39" a="1"/>
  <c r="AD56" i="39" s="1"/>
  <c r="R56" i="39"/>
  <c r="AH56" i="39" s="1"/>
  <c r="Q56" i="39"/>
  <c r="AP56" i="39" s="1"/>
  <c r="O56" i="39"/>
  <c r="AF56" i="39" s="1"/>
  <c r="N56" i="39"/>
  <c r="AE56" i="39" s="1"/>
  <c r="BG17" i="39"/>
  <c r="BK17" i="39" s="1"/>
  <c r="R17" i="39"/>
  <c r="AH17" i="39" s="1"/>
  <c r="Q17" i="39"/>
  <c r="O17" i="39"/>
  <c r="AF17" i="39" s="1"/>
  <c r="N17" i="39"/>
  <c r="AN17" i="39" s="1"/>
  <c r="AD235" i="39" a="1"/>
  <c r="AD235" i="39" s="1"/>
  <c r="R235" i="39"/>
  <c r="AH235" i="39" s="1"/>
  <c r="Q235" i="39"/>
  <c r="AG235" i="39" s="1"/>
  <c r="O235" i="39"/>
  <c r="AF235" i="39" s="1"/>
  <c r="N235" i="39"/>
  <c r="O58" i="39"/>
  <c r="AF58" i="39" s="1"/>
  <c r="Q40" i="39"/>
  <c r="O40" i="39"/>
  <c r="AF40" i="39" s="1"/>
  <c r="N40" i="39"/>
  <c r="R40" i="39"/>
  <c r="AH40" i="39" s="1"/>
  <c r="S146" i="39"/>
  <c r="AI146" i="39" s="1"/>
  <c r="Q146" i="39"/>
  <c r="AG146" i="39" s="1"/>
  <c r="R146" i="39"/>
  <c r="AH146" i="39" s="1"/>
  <c r="O146" i="39"/>
  <c r="AF146" i="39" s="1"/>
  <c r="N146" i="39"/>
  <c r="AE146" i="39" s="1"/>
  <c r="W189" i="39"/>
  <c r="AD43" i="39" a="1"/>
  <c r="AD43" i="39" s="1"/>
  <c r="Q43" i="39"/>
  <c r="AG43" i="39" s="1"/>
  <c r="O43" i="39"/>
  <c r="AF43" i="39" s="1"/>
  <c r="N43" i="39"/>
  <c r="AE43" i="39" s="1"/>
  <c r="R43" i="39"/>
  <c r="AH43" i="39" s="1"/>
  <c r="AG257" i="39"/>
  <c r="R257" i="39"/>
  <c r="AD237" i="39" a="1"/>
  <c r="AD237" i="39" s="1"/>
  <c r="R237" i="39"/>
  <c r="AH237" i="39" s="1"/>
  <c r="O237" i="39"/>
  <c r="AF237" i="39" s="1"/>
  <c r="Q237" i="39"/>
  <c r="N237" i="39"/>
  <c r="AN237" i="39" s="1"/>
  <c r="S138" i="39"/>
  <c r="AI138" i="39" s="1"/>
  <c r="Q138" i="39"/>
  <c r="AP138" i="39" s="1"/>
  <c r="O138" i="39"/>
  <c r="AF138" i="39" s="1"/>
  <c r="N138" i="39"/>
  <c r="P138" i="39" s="1"/>
  <c r="R138" i="39"/>
  <c r="AH138" i="39" s="1"/>
  <c r="O134" i="39"/>
  <c r="AF134" i="39" s="1"/>
  <c r="N134" i="39"/>
  <c r="AE134" i="39" s="1"/>
  <c r="R134" i="39"/>
  <c r="AH134" i="39" s="1"/>
  <c r="Q134" i="39"/>
  <c r="AD201" i="39" a="1"/>
  <c r="AD201" i="39" s="1"/>
  <c r="R201" i="39"/>
  <c r="Q201" i="39"/>
  <c r="AG201" i="39" s="1"/>
  <c r="O201" i="39"/>
  <c r="N201" i="39"/>
  <c r="AS201" i="39" s="1"/>
  <c r="AV189" i="39"/>
  <c r="T189" i="39"/>
  <c r="V189" i="39" s="1"/>
  <c r="BN196" i="39"/>
  <c r="Q196" i="39"/>
  <c r="AG196" i="39" s="1"/>
  <c r="R196" i="39"/>
  <c r="O196" i="39"/>
  <c r="N196" i="39"/>
  <c r="N195" i="39" s="1"/>
  <c r="AE195" i="39" s="1"/>
  <c r="R89" i="39"/>
  <c r="AH89" i="39" s="1"/>
  <c r="Q89" i="39"/>
  <c r="AG89" i="39" s="1"/>
  <c r="O89" i="39"/>
  <c r="AF89" i="39" s="1"/>
  <c r="N89" i="39"/>
  <c r="AE89" i="39" s="1"/>
  <c r="AD137" i="39" a="1"/>
  <c r="AD137" i="39" s="1"/>
  <c r="R137" i="39"/>
  <c r="Q137" i="39"/>
  <c r="AG137" i="39" s="1"/>
  <c r="O137" i="39"/>
  <c r="AF137" i="39" s="1"/>
  <c r="N137" i="39"/>
  <c r="P137" i="39" s="1"/>
  <c r="AO137" i="39" s="1"/>
  <c r="O250" i="39"/>
  <c r="O234" i="39"/>
  <c r="AF234" i="39" s="1"/>
  <c r="R234" i="39"/>
  <c r="AH234" i="39" s="1"/>
  <c r="Q234" i="39"/>
  <c r="N234" i="39"/>
  <c r="AE234" i="39" s="1"/>
  <c r="AD143" i="39" a="1"/>
  <c r="AD143" i="39" s="1"/>
  <c r="R143" i="39"/>
  <c r="AH143" i="39" s="1"/>
  <c r="Q143" i="39"/>
  <c r="P143" i="39" s="1"/>
  <c r="O143" i="39"/>
  <c r="AF143" i="39" s="1"/>
  <c r="N143" i="39"/>
  <c r="AG252" i="39"/>
  <c r="R252" i="39"/>
  <c r="R250" i="39" s="1"/>
  <c r="O217" i="38"/>
  <c r="AF217" i="38" s="1"/>
  <c r="Q217" i="38"/>
  <c r="AG217" i="38" s="1"/>
  <c r="R217" i="38"/>
  <c r="AH217" i="38" s="1"/>
  <c r="R99" i="38"/>
  <c r="AH99" i="38" s="1"/>
  <c r="Q99" i="38"/>
  <c r="O99" i="38"/>
  <c r="AF99" i="38" s="1"/>
  <c r="R193" i="38"/>
  <c r="AH193" i="38" s="1"/>
  <c r="Q193" i="38"/>
  <c r="O193" i="38"/>
  <c r="AF193" i="38" s="1"/>
  <c r="R81" i="38"/>
  <c r="AH81" i="38" s="1"/>
  <c r="Q81" i="38"/>
  <c r="O81" i="38"/>
  <c r="AF81" i="38" s="1"/>
  <c r="R82" i="38"/>
  <c r="AH82" i="38" s="1"/>
  <c r="Q82" i="38"/>
  <c r="O82" i="38"/>
  <c r="AF82" i="38" s="1"/>
  <c r="R98" i="38"/>
  <c r="Q98" i="38"/>
  <c r="O98" i="38"/>
  <c r="AF98" i="38" s="1"/>
  <c r="Q219" i="38"/>
  <c r="AG219" i="38" s="1"/>
  <c r="O219" i="38"/>
  <c r="AF219" i="38" s="1"/>
  <c r="R219" i="38"/>
  <c r="AH219" i="38" s="1"/>
  <c r="R116" i="38"/>
  <c r="AH116" i="38" s="1"/>
  <c r="Q116" i="38"/>
  <c r="AG116" i="38" s="1"/>
  <c r="O116" i="38"/>
  <c r="AF116" i="38" s="1"/>
  <c r="AD89" i="39" a="1"/>
  <c r="AD89" i="39" s="1"/>
  <c r="S137" i="39"/>
  <c r="AI137" i="39" s="1"/>
  <c r="AG111" i="39"/>
  <c r="AD138" i="39" a="1"/>
  <c r="AD138" i="39" s="1"/>
  <c r="AQ60" i="39"/>
  <c r="AU218" i="39"/>
  <c r="M17" i="39"/>
  <c r="T60" i="39"/>
  <c r="AR60" i="39" s="1"/>
  <c r="S43" i="39"/>
  <c r="AI43" i="39" s="1"/>
  <c r="AZ140" i="39"/>
  <c r="AG113" i="39"/>
  <c r="M16" i="39"/>
  <c r="AG16" i="39"/>
  <c r="AE77" i="39"/>
  <c r="S15" i="39"/>
  <c r="AI15" i="39" s="1"/>
  <c r="M45" i="39"/>
  <c r="BN25" i="39"/>
  <c r="AD42" i="39" a="1"/>
  <c r="AD42" i="39" s="1"/>
  <c r="AD196" i="39" a="1"/>
  <c r="AD196" i="39" s="1"/>
  <c r="M24" i="39"/>
  <c r="BG134" i="39"/>
  <c r="BK134" i="39" s="1"/>
  <c r="AD16" i="39" a="1"/>
  <c r="AD16" i="39" s="1"/>
  <c r="AS200" i="39"/>
  <c r="BN14" i="39"/>
  <c r="S55" i="39"/>
  <c r="AI55" i="39" s="1"/>
  <c r="AP55" i="39"/>
  <c r="BI114" i="39"/>
  <c r="BM114" i="39" s="1"/>
  <c r="AG114" i="39"/>
  <c r="BG142" i="39"/>
  <c r="BK142" i="39" s="1"/>
  <c r="AD25" i="39" a="1"/>
  <c r="AD25" i="39" s="1"/>
  <c r="S238" i="39"/>
  <c r="AI238" i="39" s="1"/>
  <c r="AE91" i="39"/>
  <c r="AD90" i="39" a="1"/>
  <c r="AD90" i="39" s="1"/>
  <c r="S112" i="39"/>
  <c r="W112" i="39" s="1"/>
  <c r="BG238" i="39"/>
  <c r="BK238" i="39" s="1"/>
  <c r="AE238" i="39"/>
  <c r="AG238" i="39"/>
  <c r="AL223" i="39"/>
  <c r="T223" i="39"/>
  <c r="V223" i="39" s="1"/>
  <c r="AD114" i="39" a="1"/>
  <c r="AD114" i="39" s="1"/>
  <c r="BA223" i="39"/>
  <c r="S16" i="39"/>
  <c r="AI16" i="39" s="1"/>
  <c r="AE143" i="39"/>
  <c r="M43" i="39"/>
  <c r="AD139" i="39" a="1"/>
  <c r="AD139" i="39" s="1"/>
  <c r="S45" i="39"/>
  <c r="AI45" i="39" s="1"/>
  <c r="AC253" i="39" a="1"/>
  <c r="AC253" i="39" s="1"/>
  <c r="AD253" i="39" s="1" a="1"/>
  <c r="AD253" i="39" s="1"/>
  <c r="AD91" i="39" a="1"/>
  <c r="AD91" i="39" s="1"/>
  <c r="AD234" i="39" a="1"/>
  <c r="AD234" i="39" s="1"/>
  <c r="S235" i="39"/>
  <c r="T235" i="39" s="1"/>
  <c r="V235" i="39" s="1"/>
  <c r="AE235" i="39"/>
  <c r="BH124" i="39"/>
  <c r="BL124" i="39" s="1"/>
  <c r="AG124" i="39"/>
  <c r="AE124" i="39"/>
  <c r="BG133" i="39"/>
  <c r="BK133" i="39" s="1"/>
  <c r="AD134" i="39" a="1"/>
  <c r="AD134" i="39" s="1"/>
  <c r="AD142" i="39" a="1"/>
  <c r="AD142" i="39" s="1"/>
  <c r="AP42" i="39"/>
  <c r="BH196" i="39"/>
  <c r="BL196" i="39" s="1"/>
  <c r="AP40" i="39"/>
  <c r="BG146" i="39"/>
  <c r="BK146" i="39" s="1"/>
  <c r="S13" i="39"/>
  <c r="AI13" i="39" s="1"/>
  <c r="W223" i="39"/>
  <c r="S124" i="39"/>
  <c r="AI124" i="39" s="1"/>
  <c r="BG13" i="39"/>
  <c r="BK13" i="39" s="1"/>
  <c r="BN109" i="39"/>
  <c r="AG109" i="39"/>
  <c r="AG17" i="39"/>
  <c r="N193" i="38"/>
  <c r="N217" i="38"/>
  <c r="AE217" i="38" s="1"/>
  <c r="N98" i="38"/>
  <c r="N82" i="38"/>
  <c r="S219" i="38"/>
  <c r="AI219" i="38" s="1"/>
  <c r="N219" i="38"/>
  <c r="AE219" i="38" s="1"/>
  <c r="BI116" i="38"/>
  <c r="BM116" i="38" s="1"/>
  <c r="N116" i="38"/>
  <c r="AE116" i="38" s="1"/>
  <c r="N81" i="38"/>
  <c r="AD219" i="38" a="1"/>
  <c r="AD219" i="38" s="1"/>
  <c r="AC84" i="38" a="1"/>
  <c r="AC84" i="38" s="1"/>
  <c r="AD116" i="38" a="1"/>
  <c r="AD116" i="38" s="1"/>
  <c r="AD217" i="38" a="1"/>
  <c r="AD217" i="38" s="1"/>
  <c r="N99" i="38"/>
  <c r="AC53" i="38" a="1"/>
  <c r="AC53" i="38" s="1"/>
  <c r="AC52" i="38" a="1"/>
  <c r="AC52" i="38" s="1"/>
  <c r="AD52" i="38" a="1"/>
  <c r="AD52" i="38" s="1"/>
  <c r="AC86" i="38" a="1"/>
  <c r="AC86" i="38" s="1"/>
  <c r="AC85" i="38" a="1"/>
  <c r="AC85" i="38" s="1"/>
  <c r="BN15" i="39"/>
  <c r="AE90" i="39"/>
  <c r="M14" i="39"/>
  <c r="AQ148" i="39"/>
  <c r="AZ191" i="39"/>
  <c r="AO191" i="39"/>
  <c r="S90" i="39"/>
  <c r="AI90" i="39" s="1"/>
  <c r="S14" i="39"/>
  <c r="AI14" i="39" s="1"/>
  <c r="AN191" i="39"/>
  <c r="AG91" i="39"/>
  <c r="S133" i="39"/>
  <c r="AI133" i="39" s="1"/>
  <c r="AP148" i="39"/>
  <c r="AV191" i="39"/>
  <c r="AV153" i="39"/>
  <c r="BG191" i="39"/>
  <c r="BK191" i="39" s="1"/>
  <c r="AT191" i="39"/>
  <c r="AU153" i="39"/>
  <c r="BG153" i="39"/>
  <c r="BK153" i="39" s="1"/>
  <c r="AS191" i="39"/>
  <c r="AN188" i="39"/>
  <c r="BN16" i="39"/>
  <c r="AQ191" i="39"/>
  <c r="AO153" i="39"/>
  <c r="BH130" i="39"/>
  <c r="BL130" i="39" s="1"/>
  <c r="AN153" i="39"/>
  <c r="S196" i="39"/>
  <c r="AI196" i="39" s="1"/>
  <c r="AX153" i="39"/>
  <c r="BG16" i="39"/>
  <c r="BK16" i="39" s="1"/>
  <c r="AS130" i="39"/>
  <c r="AQ149" i="39"/>
  <c r="AZ153" i="39"/>
  <c r="AP153" i="39"/>
  <c r="BI191" i="39"/>
  <c r="BM191" i="39" s="1"/>
  <c r="AZ130" i="39"/>
  <c r="BI130" i="39"/>
  <c r="BM130" i="39" s="1"/>
  <c r="T55" i="39"/>
  <c r="AR55" i="39" s="1"/>
  <c r="BH191" i="39"/>
  <c r="BL191" i="39" s="1"/>
  <c r="AT130" i="39"/>
  <c r="AG55" i="39"/>
  <c r="S143" i="39"/>
  <c r="AI143" i="39" s="1"/>
  <c r="AT148" i="39"/>
  <c r="BI109" i="39"/>
  <c r="BM109" i="39" s="1"/>
  <c r="AO130" i="39"/>
  <c r="BA130" i="39"/>
  <c r="BG25" i="39"/>
  <c r="BK25" i="39" s="1"/>
  <c r="M15" i="39"/>
  <c r="S24" i="39"/>
  <c r="AI24" i="39" s="1"/>
  <c r="AP191" i="39"/>
  <c r="AS148" i="39"/>
  <c r="P248" i="39"/>
  <c r="BD248" i="39" s="1"/>
  <c r="AE248" i="39"/>
  <c r="S109" i="39"/>
  <c r="AI109" i="39" s="1"/>
  <c r="BN43" i="39"/>
  <c r="AQ154" i="39"/>
  <c r="AU191" i="39"/>
  <c r="AU148" i="39"/>
  <c r="AT153" i="39"/>
  <c r="BN24" i="39"/>
  <c r="AP154" i="39"/>
  <c r="AO148" i="39"/>
  <c r="AS153" i="39"/>
  <c r="BI154" i="39"/>
  <c r="BM154" i="39" s="1"/>
  <c r="BH236" i="39"/>
  <c r="BL236" i="39" s="1"/>
  <c r="AU154" i="39"/>
  <c r="AN148" i="39"/>
  <c r="BH154" i="39"/>
  <c r="BL154" i="39" s="1"/>
  <c r="AS154" i="39"/>
  <c r="S236" i="39"/>
  <c r="AI236" i="39" s="1"/>
  <c r="AE24" i="39"/>
  <c r="AT154" i="39"/>
  <c r="BN114" i="39"/>
  <c r="S142" i="39"/>
  <c r="AI142" i="39" s="1"/>
  <c r="AO154" i="39"/>
  <c r="AV148" i="39"/>
  <c r="BG154" i="39"/>
  <c r="BK154" i="39" s="1"/>
  <c r="AN154" i="39"/>
  <c r="AQ130" i="39"/>
  <c r="BI149" i="39"/>
  <c r="BM149" i="39" s="1"/>
  <c r="BG43" i="39"/>
  <c r="BK43" i="39" s="1"/>
  <c r="BG15" i="39"/>
  <c r="BK15" i="39" s="1"/>
  <c r="AV154" i="39"/>
  <c r="AW154" i="39"/>
  <c r="BH149" i="39"/>
  <c r="BL149" i="39" s="1"/>
  <c r="BH148" i="39"/>
  <c r="BL148" i="39" s="1"/>
  <c r="AV149" i="39"/>
  <c r="BG148" i="39"/>
  <c r="BK148" i="39" s="1"/>
  <c r="BG138" i="39"/>
  <c r="BK138" i="39" s="1"/>
  <c r="S145" i="39"/>
  <c r="AI145" i="39" s="1"/>
  <c r="AU149" i="39"/>
  <c r="AW149" i="39"/>
  <c r="BG24" i="39"/>
  <c r="BK24" i="39" s="1"/>
  <c r="S25" i="39"/>
  <c r="AI25" i="39" s="1"/>
  <c r="AO149" i="39"/>
  <c r="AR149" i="39"/>
  <c r="AE25" i="39"/>
  <c r="AN149" i="39"/>
  <c r="AW191" i="39"/>
  <c r="BI153" i="39"/>
  <c r="BM153" i="39" s="1"/>
  <c r="M25" i="39"/>
  <c r="AP149" i="39"/>
  <c r="AN130" i="39"/>
  <c r="BH153" i="39"/>
  <c r="BL153" i="39" s="1"/>
  <c r="BG45" i="39"/>
  <c r="BK45" i="39" s="1"/>
  <c r="BI217" i="38"/>
  <c r="BM217" i="38" s="1"/>
  <c r="BG52" i="38"/>
  <c r="BK52" i="38" s="1"/>
  <c r="W190" i="39"/>
  <c r="AI190" i="39"/>
  <c r="AQ55" i="39"/>
  <c r="AI235" i="39"/>
  <c r="BG137" i="39"/>
  <c r="BK137" i="39" s="1"/>
  <c r="BG56" i="39"/>
  <c r="BK56" i="39" s="1"/>
  <c r="BG237" i="39"/>
  <c r="BK237" i="39" s="1"/>
  <c r="AP161" i="39"/>
  <c r="BN13" i="39"/>
  <c r="AK85" i="39"/>
  <c r="V85" i="39"/>
  <c r="AK63" i="39"/>
  <c r="V63" i="39"/>
  <c r="AK197" i="39"/>
  <c r="V197" i="39"/>
  <c r="AZ149" i="39"/>
  <c r="AQ153" i="39"/>
  <c r="AW148" i="39"/>
  <c r="BG149" i="39"/>
  <c r="BK149" i="39" s="1"/>
  <c r="BG130" i="39"/>
  <c r="BK130" i="39" s="1"/>
  <c r="BH235" i="39"/>
  <c r="BL235" i="39" s="1"/>
  <c r="BC252" i="39"/>
  <c r="AK194" i="39"/>
  <c r="V194" i="39"/>
  <c r="AZ148" i="39"/>
  <c r="AP145" i="39"/>
  <c r="AP60" i="39"/>
  <c r="S42" i="39"/>
  <c r="AI42" i="39" s="1"/>
  <c r="AZ224" i="39"/>
  <c r="AN161" i="39"/>
  <c r="S201" i="39"/>
  <c r="AI201" i="39" s="1"/>
  <c r="BA77" i="39"/>
  <c r="W77" i="39"/>
  <c r="AS150" i="39"/>
  <c r="BN112" i="39"/>
  <c r="AU188" i="39"/>
  <c r="BH201" i="39"/>
  <c r="BL201" i="39" s="1"/>
  <c r="BG143" i="39"/>
  <c r="BK143" i="39" s="1"/>
  <c r="AN238" i="39"/>
  <c r="S40" i="39"/>
  <c r="AI40" i="39" s="1"/>
  <c r="AQ171" i="39"/>
  <c r="BC253" i="39"/>
  <c r="BE252" i="39"/>
  <c r="M44" i="39"/>
  <c r="AK172" i="39"/>
  <c r="V172" i="39"/>
  <c r="BI188" i="39"/>
  <c r="BM188" i="39" s="1"/>
  <c r="AG234" i="39"/>
  <c r="AN160" i="39"/>
  <c r="AX156" i="39"/>
  <c r="AX188" i="39"/>
  <c r="AU150" i="39"/>
  <c r="H184" i="41"/>
  <c r="W129" i="39"/>
  <c r="AU189" i="39"/>
  <c r="AS218" i="39"/>
  <c r="AY153" i="39"/>
  <c r="S114" i="39"/>
  <c r="AI114" i="39" s="1"/>
  <c r="AN6" i="39"/>
  <c r="AS189" i="39"/>
  <c r="W218" i="39"/>
  <c r="AT149" i="39"/>
  <c r="AV130" i="39"/>
  <c r="AT188" i="39"/>
  <c r="AW153" i="39"/>
  <c r="BG40" i="39"/>
  <c r="BK40" i="39" s="1"/>
  <c r="AV192" i="39"/>
  <c r="AV82" i="39"/>
  <c r="W82" i="39"/>
  <c r="W92" i="39"/>
  <c r="AU190" i="39"/>
  <c r="BE257" i="39"/>
  <c r="AS192" i="39"/>
  <c r="Q152" i="39"/>
  <c r="AG152" i="39" s="1"/>
  <c r="AX83" i="39"/>
  <c r="AG134" i="39"/>
  <c r="AE139" i="39"/>
  <c r="S139" i="39"/>
  <c r="BA83" i="39"/>
  <c r="W83" i="39"/>
  <c r="W115" i="39"/>
  <c r="W243" i="39"/>
  <c r="W111" i="39"/>
  <c r="AN41" i="39"/>
  <c r="BG188" i="39"/>
  <c r="BK188" i="39" s="1"/>
  <c r="AP160" i="39"/>
  <c r="AX149" i="39"/>
  <c r="N152" i="39"/>
  <c r="AE152" i="39" s="1"/>
  <c r="AZ222" i="39"/>
  <c r="H193" i="41"/>
  <c r="AX81" i="39"/>
  <c r="AG44" i="39"/>
  <c r="S44" i="39"/>
  <c r="AI44" i="39" s="1"/>
  <c r="S56" i="39"/>
  <c r="AI56" i="39" s="1"/>
  <c r="P191" i="39"/>
  <c r="AY191" i="39" s="1"/>
  <c r="Z201" i="39"/>
  <c r="X201" i="39"/>
  <c r="AK166" i="39"/>
  <c r="V166" i="39"/>
  <c r="AU130" i="39"/>
  <c r="AS188" i="39"/>
  <c r="AP41" i="39"/>
  <c r="AP59" i="39"/>
  <c r="BA191" i="39"/>
  <c r="W79" i="39"/>
  <c r="AK65" i="39"/>
  <c r="V65" i="39"/>
  <c r="AX215" i="39"/>
  <c r="AX224" i="39"/>
  <c r="AP238" i="39"/>
  <c r="BN42" i="39"/>
  <c r="BN44" i="39"/>
  <c r="AZ188" i="39"/>
  <c r="AM199" i="39"/>
  <c r="AV199" i="39" s="1"/>
  <c r="X199" i="39"/>
  <c r="W199" i="39"/>
  <c r="Z199" i="39"/>
  <c r="BA188" i="39"/>
  <c r="AW188" i="39"/>
  <c r="BH139" i="39"/>
  <c r="BL139" i="39" s="1"/>
  <c r="W150" i="39"/>
  <c r="AN59" i="39"/>
  <c r="AX234" i="39"/>
  <c r="AS190" i="39"/>
  <c r="AP171" i="39"/>
  <c r="AZ83" i="39"/>
  <c r="AP242" i="39"/>
  <c r="W151" i="39"/>
  <c r="BC258" i="39"/>
  <c r="T170" i="39"/>
  <c r="AX222" i="39"/>
  <c r="AS115" i="39"/>
  <c r="AG237" i="39"/>
  <c r="AS78" i="39"/>
  <c r="AX223" i="39"/>
  <c r="AK165" i="39"/>
  <c r="V165" i="39"/>
  <c r="AQ188" i="39"/>
  <c r="AR188" i="39"/>
  <c r="Q97" i="39"/>
  <c r="AG97" i="39" s="1"/>
  <c r="BE249" i="39"/>
  <c r="W113" i="39"/>
  <c r="AK174" i="39"/>
  <c r="V174" i="39"/>
  <c r="BE253" i="39"/>
  <c r="W192" i="39"/>
  <c r="S134" i="39"/>
  <c r="AI134" i="39" s="1"/>
  <c r="BC248" i="39"/>
  <c r="AK75" i="39"/>
  <c r="V75" i="39"/>
  <c r="AN60" i="39"/>
  <c r="BE254" i="39"/>
  <c r="W110" i="39"/>
  <c r="AK173" i="39"/>
  <c r="V173" i="39"/>
  <c r="BG44" i="39"/>
  <c r="BK44" i="39" s="1"/>
  <c r="AX151" i="39"/>
  <c r="W227" i="39"/>
  <c r="AK210" i="39"/>
  <c r="V210" i="39"/>
  <c r="BH188" i="39"/>
  <c r="BL188" i="39" s="1"/>
  <c r="W191" i="39"/>
  <c r="S234" i="39"/>
  <c r="AI234" i="39" s="1"/>
  <c r="BA217" i="39"/>
  <c r="W217" i="39"/>
  <c r="BA222" i="39"/>
  <c r="W222" i="39"/>
  <c r="AZ81" i="39"/>
  <c r="AS82" i="39"/>
  <c r="AS196" i="39"/>
  <c r="BA81" i="39"/>
  <c r="W81" i="39"/>
  <c r="H201" i="41"/>
  <c r="AU78" i="39"/>
  <c r="S237" i="39"/>
  <c r="AI237" i="39" s="1"/>
  <c r="AU200" i="39"/>
  <c r="BA215" i="39"/>
  <c r="W215" i="39"/>
  <c r="AP130" i="39"/>
  <c r="AP188" i="39"/>
  <c r="AW130" i="39"/>
  <c r="BG145" i="39"/>
  <c r="BK145" i="39" s="1"/>
  <c r="BG42" i="39"/>
  <c r="BK42" i="39" s="1"/>
  <c r="AV190" i="39"/>
  <c r="AK175" i="39"/>
  <c r="V175" i="39"/>
  <c r="AV188" i="39"/>
  <c r="BI234" i="39"/>
  <c r="BM234" i="39" s="1"/>
  <c r="AX148" i="39"/>
  <c r="AX217" i="39"/>
  <c r="Q5" i="39"/>
  <c r="AK193" i="39"/>
  <c r="V193" i="39"/>
  <c r="AZ151" i="39"/>
  <c r="AZ223" i="39"/>
  <c r="BO248" i="39"/>
  <c r="BN248" i="39" s="1"/>
  <c r="M40" i="39"/>
  <c r="Z200" i="39"/>
  <c r="X200" i="39"/>
  <c r="W200" i="39"/>
  <c r="BN40" i="39"/>
  <c r="BC260" i="39"/>
  <c r="H192" i="41"/>
  <c r="AU192" i="39"/>
  <c r="AV78" i="39"/>
  <c r="W78" i="39"/>
  <c r="AU82" i="39"/>
  <c r="H83" i="41"/>
  <c r="W102" i="39"/>
  <c r="H6" i="41"/>
  <c r="O7" i="41" s="1"/>
  <c r="BN202" i="39"/>
  <c r="W202" i="39"/>
  <c r="V202" i="39"/>
  <c r="Z202" i="39"/>
  <c r="X202" i="39"/>
  <c r="AX130" i="39"/>
  <c r="BG55" i="39"/>
  <c r="BK55" i="39" s="1"/>
  <c r="BI112" i="39"/>
  <c r="BM112" i="39" s="1"/>
  <c r="S217" i="38"/>
  <c r="T217" i="38" s="1"/>
  <c r="V217" i="38" s="1"/>
  <c r="J79" i="38"/>
  <c r="J53" i="38"/>
  <c r="BH219" i="38"/>
  <c r="BL219" i="38" s="1"/>
  <c r="J86" i="38"/>
  <c r="J70" i="38"/>
  <c r="AN52" i="38"/>
  <c r="J83" i="38"/>
  <c r="J85" i="38"/>
  <c r="AD85" i="38" s="1" a="1"/>
  <c r="AD85" i="38" s="1"/>
  <c r="J71" i="38"/>
  <c r="J72" i="38"/>
  <c r="J84" i="38"/>
  <c r="AD84" i="38" s="1" a="1"/>
  <c r="AD84" i="38" s="1"/>
  <c r="J73" i="38"/>
  <c r="BK6" i="39"/>
  <c r="AX221" i="39"/>
  <c r="N220" i="39"/>
  <c r="AE220" i="39" s="1"/>
  <c r="L206" i="39"/>
  <c r="AZ221" i="39"/>
  <c r="Q220" i="39"/>
  <c r="AG220" i="39" s="1"/>
  <c r="AX171" i="39"/>
  <c r="AN171" i="39"/>
  <c r="BM253" i="39"/>
  <c r="BL253" i="39"/>
  <c r="BK253" i="39"/>
  <c r="BD255" i="39"/>
  <c r="AK35" i="39"/>
  <c r="BL6" i="39"/>
  <c r="BM6" i="39"/>
  <c r="T205" i="39"/>
  <c r="V205" i="39" s="1"/>
  <c r="T92" i="39"/>
  <c r="V92" i="39" s="1"/>
  <c r="BA151" i="39"/>
  <c r="H206" i="41"/>
  <c r="BA111" i="39"/>
  <c r="H67" i="41"/>
  <c r="BA110" i="39"/>
  <c r="H66" i="41"/>
  <c r="AK130" i="39"/>
  <c r="T129" i="39"/>
  <c r="V129" i="39" s="1"/>
  <c r="AX122" i="39"/>
  <c r="N121" i="39"/>
  <c r="AE121" i="39" s="1"/>
  <c r="BA113" i="39"/>
  <c r="H69" i="41"/>
  <c r="AR244" i="39"/>
  <c r="T243" i="39"/>
  <c r="V243" i="39" s="1"/>
  <c r="G185" i="41"/>
  <c r="AK188" i="39"/>
  <c r="AV150" i="39"/>
  <c r="H205" i="41"/>
  <c r="T99" i="39"/>
  <c r="H81" i="41"/>
  <c r="AV115" i="39"/>
  <c r="H74" i="41"/>
  <c r="O65" i="41" s="1"/>
  <c r="BH123" i="39"/>
  <c r="BL123" i="39" s="1"/>
  <c r="BI123" i="39"/>
  <c r="BM123" i="39" s="1"/>
  <c r="BG123" i="39"/>
  <c r="BK123" i="39" s="1"/>
  <c r="AK131" i="39"/>
  <c r="BB131" i="39"/>
  <c r="AW123" i="39"/>
  <c r="BB123" i="39"/>
  <c r="AK93" i="39"/>
  <c r="BB93" i="39"/>
  <c r="AK94" i="39"/>
  <c r="BB94" i="39"/>
  <c r="AK221" i="39"/>
  <c r="BB221" i="39"/>
  <c r="AK95" i="39"/>
  <c r="BB95" i="39"/>
  <c r="AK157" i="39"/>
  <c r="BB157" i="39"/>
  <c r="BB188" i="39"/>
  <c r="BB130" i="39"/>
  <c r="L209" i="39"/>
  <c r="AK189" i="39"/>
  <c r="AW189" i="39"/>
  <c r="AP6" i="39"/>
  <c r="AK164" i="39"/>
  <c r="AR164" i="39"/>
  <c r="P241" i="39"/>
  <c r="AP241" i="39"/>
  <c r="P26" i="39"/>
  <c r="AO26" i="39" s="1"/>
  <c r="AN26" i="39"/>
  <c r="T59" i="39"/>
  <c r="AQ59" i="39"/>
  <c r="M251" i="39"/>
  <c r="BD251" i="39"/>
  <c r="P217" i="39"/>
  <c r="AZ217" i="39"/>
  <c r="AQ17" i="39"/>
  <c r="T218" i="39"/>
  <c r="AV218" i="39"/>
  <c r="AX154" i="39"/>
  <c r="H20" i="41"/>
  <c r="BA171" i="39"/>
  <c r="M52" i="39"/>
  <c r="M51" i="39" s="1"/>
  <c r="AO52" i="39"/>
  <c r="AZ154" i="39"/>
  <c r="Q155" i="39"/>
  <c r="AG155" i="39" s="1"/>
  <c r="AZ156" i="39"/>
  <c r="M163" i="39"/>
  <c r="AO163" i="39"/>
  <c r="N240" i="39"/>
  <c r="AE240" i="39" s="1"/>
  <c r="AN242" i="39"/>
  <c r="N198" i="39"/>
  <c r="AE198" i="39" s="1"/>
  <c r="Q247" i="39"/>
  <c r="AG247" i="39" s="1"/>
  <c r="BE248" i="39"/>
  <c r="M244" i="39"/>
  <c r="M243" i="39" s="1"/>
  <c r="AO244" i="39"/>
  <c r="BO110" i="39"/>
  <c r="AX110" i="39"/>
  <c r="T242" i="39"/>
  <c r="AR242" i="39" s="1"/>
  <c r="AQ242" i="39"/>
  <c r="M157" i="39"/>
  <c r="G212" i="41" s="1"/>
  <c r="AY157" i="39"/>
  <c r="P111" i="39"/>
  <c r="AX111" i="39"/>
  <c r="P140" i="39"/>
  <c r="AX140" i="39"/>
  <c r="P61" i="39"/>
  <c r="AP61" i="39"/>
  <c r="P254" i="39"/>
  <c r="BC254" i="39"/>
  <c r="T241" i="39"/>
  <c r="AQ241" i="39"/>
  <c r="M162" i="39"/>
  <c r="G14" i="41" s="1"/>
  <c r="AO162" i="39"/>
  <c r="T26" i="39"/>
  <c r="AR26" i="39" s="1"/>
  <c r="AQ26" i="39"/>
  <c r="Q256" i="39"/>
  <c r="AG256" i="39" s="1"/>
  <c r="BE258" i="39"/>
  <c r="BO113" i="39"/>
  <c r="AX113" i="39"/>
  <c r="AS123" i="39"/>
  <c r="AU123" i="39"/>
  <c r="AO123" i="39"/>
  <c r="AY123" i="39"/>
  <c r="AN123" i="39"/>
  <c r="AP123" i="39"/>
  <c r="AT123" i="39"/>
  <c r="AV123" i="39"/>
  <c r="AX123" i="39"/>
  <c r="BA123" i="39"/>
  <c r="AZ123" i="39"/>
  <c r="T138" i="39"/>
  <c r="AR138" i="39" s="1"/>
  <c r="M101" i="39"/>
  <c r="G82" i="41" s="1"/>
  <c r="AY101" i="39"/>
  <c r="H11" i="41"/>
  <c r="AV200" i="39"/>
  <c r="M95" i="39"/>
  <c r="AY95" i="39"/>
  <c r="T41" i="39"/>
  <c r="AR41" i="39" s="1"/>
  <c r="AQ41" i="39"/>
  <c r="AQ16" i="39"/>
  <c r="BO249" i="39"/>
  <c r="BN249" i="39" s="1"/>
  <c r="BC249" i="39"/>
  <c r="M94" i="39"/>
  <c r="AY94" i="39"/>
  <c r="AY255" i="39"/>
  <c r="Q259" i="39"/>
  <c r="AG259" i="39" s="1"/>
  <c r="BE260" i="39"/>
  <c r="Q168" i="39"/>
  <c r="AG168" i="39" s="1"/>
  <c r="AZ171" i="39"/>
  <c r="BO77" i="39"/>
  <c r="AZ77" i="39"/>
  <c r="AQ146" i="39"/>
  <c r="T43" i="39"/>
  <c r="AR43" i="39" s="1"/>
  <c r="AQ43" i="39"/>
  <c r="P257" i="39"/>
  <c r="BD257" i="39" s="1"/>
  <c r="BC257" i="39"/>
  <c r="AX191" i="39"/>
  <c r="AY130" i="39"/>
  <c r="L207" i="39"/>
  <c r="BO78" i="39"/>
  <c r="P113" i="39"/>
  <c r="H19" i="41"/>
  <c r="T68" i="39"/>
  <c r="H44" i="41"/>
  <c r="O34" i="41" s="1"/>
  <c r="BO253" i="39"/>
  <c r="BN253" i="39" s="1"/>
  <c r="P249" i="39"/>
  <c r="BD249" i="39" s="1"/>
  <c r="AL202" i="39"/>
  <c r="AM202" i="39"/>
  <c r="BO199" i="39"/>
  <c r="AL204" i="39"/>
  <c r="AM204" i="39"/>
  <c r="AL203" i="39"/>
  <c r="AM203" i="39"/>
  <c r="BN203" i="39"/>
  <c r="BN211" i="39"/>
  <c r="BN200" i="39"/>
  <c r="BO125" i="39"/>
  <c r="T117" i="39"/>
  <c r="AL117" i="39"/>
  <c r="P200" i="39"/>
  <c r="AK203" i="39"/>
  <c r="P129" i="39"/>
  <c r="P243" i="39"/>
  <c r="T78" i="39"/>
  <c r="V78" i="39" s="1"/>
  <c r="AL78" i="39"/>
  <c r="T111" i="39"/>
  <c r="V111" i="39" s="1"/>
  <c r="AL111" i="39"/>
  <c r="BO189" i="39"/>
  <c r="T171" i="39"/>
  <c r="AR171" i="39" s="1"/>
  <c r="AL171" i="39"/>
  <c r="T32" i="39"/>
  <c r="AL32" i="39"/>
  <c r="T110" i="39"/>
  <c r="V110" i="39" s="1"/>
  <c r="AL110" i="39"/>
  <c r="T151" i="39"/>
  <c r="V151" i="39" s="1"/>
  <c r="AL151" i="39"/>
  <c r="T79" i="39"/>
  <c r="AL79" i="39"/>
  <c r="T36" i="39"/>
  <c r="AL36" i="39"/>
  <c r="AK53" i="39"/>
  <c r="AL53" i="39"/>
  <c r="T116" i="39"/>
  <c r="AL116" i="39"/>
  <c r="T190" i="39"/>
  <c r="V190" i="39" s="1"/>
  <c r="AL190" i="39"/>
  <c r="T113" i="39"/>
  <c r="V113" i="39" s="1"/>
  <c r="AL113" i="39"/>
  <c r="T150" i="39"/>
  <c r="V150" i="39" s="1"/>
  <c r="AL150" i="39"/>
  <c r="T192" i="39"/>
  <c r="V192" i="39" s="1"/>
  <c r="AL192" i="39"/>
  <c r="T84" i="39"/>
  <c r="AL84" i="39"/>
  <c r="T62" i="39"/>
  <c r="AL62" i="39"/>
  <c r="T30" i="39"/>
  <c r="AL30" i="39"/>
  <c r="T215" i="39"/>
  <c r="V215" i="39" s="1"/>
  <c r="AL215" i="39"/>
  <c r="T81" i="39"/>
  <c r="V81" i="39" s="1"/>
  <c r="AL81" i="39"/>
  <c r="T83" i="39"/>
  <c r="V83" i="39" s="1"/>
  <c r="AL83" i="39"/>
  <c r="T222" i="39"/>
  <c r="V222" i="39" s="1"/>
  <c r="AL222" i="39"/>
  <c r="T77" i="39"/>
  <c r="V77" i="39" s="1"/>
  <c r="AL77" i="39"/>
  <c r="T86" i="39"/>
  <c r="AL86" i="39"/>
  <c r="T217" i="39"/>
  <c r="V217" i="39" s="1"/>
  <c r="AL217" i="39"/>
  <c r="T200" i="39"/>
  <c r="V200" i="39" s="1"/>
  <c r="AL200" i="39"/>
  <c r="T191" i="39"/>
  <c r="V191" i="39" s="1"/>
  <c r="AL191" i="39"/>
  <c r="T82" i="39"/>
  <c r="V82" i="39" s="1"/>
  <c r="AL82" i="39"/>
  <c r="T115" i="39"/>
  <c r="V115" i="39" s="1"/>
  <c r="AL115" i="39"/>
  <c r="T199" i="39"/>
  <c r="V199" i="39" s="1"/>
  <c r="AL199" i="39"/>
  <c r="Q177" i="39"/>
  <c r="AG177" i="39" s="1"/>
  <c r="T15" i="39"/>
  <c r="AR15" i="39" s="1"/>
  <c r="AK202" i="39"/>
  <c r="BO204" i="39"/>
  <c r="AK204" i="39"/>
  <c r="P202" i="39"/>
  <c r="M202" i="39" s="1"/>
  <c r="G13" i="41" s="1"/>
  <c r="N247" i="39"/>
  <c r="AE247" i="39" s="1"/>
  <c r="BO202" i="39"/>
  <c r="L208" i="39"/>
  <c r="BN201" i="39"/>
  <c r="S89" i="39"/>
  <c r="AI89" i="39" s="1"/>
  <c r="BO111" i="39"/>
  <c r="BO102" i="39"/>
  <c r="P221" i="39"/>
  <c r="BO129" i="39"/>
  <c r="P253" i="39"/>
  <c r="P199" i="39"/>
  <c r="M199" i="39" s="1"/>
  <c r="BO62" i="39"/>
  <c r="P110" i="39"/>
  <c r="M34" i="39"/>
  <c r="P188" i="39"/>
  <c r="S177" i="39"/>
  <c r="AI177" i="39" s="1"/>
  <c r="BO252" i="39"/>
  <c r="BN252" i="39" s="1"/>
  <c r="P252" i="39"/>
  <c r="Q250" i="39"/>
  <c r="AG250" i="39" s="1"/>
  <c r="N250" i="39"/>
  <c r="AE250" i="39" s="1"/>
  <c r="BO257" i="39"/>
  <c r="BN257" i="39" s="1"/>
  <c r="N256" i="39"/>
  <c r="AE256" i="39" s="1"/>
  <c r="P223" i="39"/>
  <c r="S34" i="39"/>
  <c r="AI34" i="39" s="1"/>
  <c r="Q214" i="39"/>
  <c r="AG214" i="39" s="1"/>
  <c r="BO200" i="39"/>
  <c r="BO191" i="39"/>
  <c r="BO188" i="39"/>
  <c r="P189" i="39"/>
  <c r="Q159" i="39"/>
  <c r="AG159" i="39" s="1"/>
  <c r="S76" i="39"/>
  <c r="AI76" i="39" s="1"/>
  <c r="Q67" i="39"/>
  <c r="AG67" i="39" s="1"/>
  <c r="P51" i="39"/>
  <c r="Q51" i="39"/>
  <c r="AG51" i="39" s="1"/>
  <c r="Q187" i="39"/>
  <c r="AG187" i="39" s="1"/>
  <c r="P78" i="39"/>
  <c r="Q80" i="39"/>
  <c r="AG80" i="39" s="1"/>
  <c r="P92" i="39"/>
  <c r="M131" i="39"/>
  <c r="G186" i="41" s="1"/>
  <c r="BO227" i="39"/>
  <c r="S187" i="39"/>
  <c r="AI187" i="39" s="1"/>
  <c r="BO82" i="39"/>
  <c r="P82" i="39"/>
  <c r="P190" i="39"/>
  <c r="BO190" i="39"/>
  <c r="P149" i="39"/>
  <c r="BO149" i="39"/>
  <c r="S80" i="39"/>
  <c r="AI80" i="39" s="1"/>
  <c r="BN210" i="39"/>
  <c r="BO210" i="39"/>
  <c r="Q76" i="39"/>
  <c r="AG76" i="39" s="1"/>
  <c r="P41" i="39"/>
  <c r="AO41" i="39" s="1"/>
  <c r="BO41" i="39"/>
  <c r="BO86" i="39"/>
  <c r="P83" i="39"/>
  <c r="BO83" i="39"/>
  <c r="P6" i="39"/>
  <c r="N5" i="39"/>
  <c r="BO6" i="39"/>
  <c r="N58" i="39"/>
  <c r="AE58" i="39" s="1"/>
  <c r="P59" i="39"/>
  <c r="AO59" i="39" s="1"/>
  <c r="N97" i="39"/>
  <c r="AE97" i="39" s="1"/>
  <c r="Q34" i="39"/>
  <c r="AG34" i="39" s="1"/>
  <c r="Q58" i="39"/>
  <c r="AG58" i="39" s="1"/>
  <c r="P122" i="39"/>
  <c r="BO122" i="39"/>
  <c r="P156" i="39"/>
  <c r="N155" i="39"/>
  <c r="AE155" i="39" s="1"/>
  <c r="P151" i="39"/>
  <c r="P60" i="39"/>
  <c r="BO28" i="39"/>
  <c r="N27" i="39"/>
  <c r="AE27" i="39" s="1"/>
  <c r="P171" i="39"/>
  <c r="AO171" i="39" s="1"/>
  <c r="BO171" i="39"/>
  <c r="BO180" i="39"/>
  <c r="P154" i="39"/>
  <c r="M93" i="39"/>
  <c r="P7" i="39"/>
  <c r="M8" i="39"/>
  <c r="M7" i="39" s="1"/>
  <c r="M27" i="39"/>
  <c r="P81" i="39"/>
  <c r="BO81" i="39"/>
  <c r="N80" i="39"/>
  <c r="AE80" i="39" s="1"/>
  <c r="BO179" i="39"/>
  <c r="P115" i="39"/>
  <c r="BO115" i="39"/>
  <c r="BO79" i="39"/>
  <c r="P79" i="39"/>
  <c r="M79" i="39" s="1"/>
  <c r="N187" i="39"/>
  <c r="AE187" i="39" s="1"/>
  <c r="Q27" i="39"/>
  <c r="AG27" i="39" s="1"/>
  <c r="P150" i="39"/>
  <c r="BO150" i="39"/>
  <c r="P242" i="39"/>
  <c r="N168" i="39"/>
  <c r="AE168" i="39" s="1"/>
  <c r="BO148" i="39"/>
  <c r="N147" i="39"/>
  <c r="AE147" i="39" s="1"/>
  <c r="P148" i="39"/>
  <c r="AY148" i="39" s="1"/>
  <c r="M153" i="39"/>
  <c r="BO260" i="39"/>
  <c r="BN260" i="39" s="1"/>
  <c r="P260" i="39"/>
  <c r="N259" i="39"/>
  <c r="AE259" i="39" s="1"/>
  <c r="N214" i="39"/>
  <c r="AE214" i="39" s="1"/>
  <c r="P215" i="39"/>
  <c r="AY215" i="39" s="1"/>
  <c r="Q240" i="39"/>
  <c r="AG240" i="39" s="1"/>
  <c r="P161" i="39"/>
  <c r="BO161" i="39"/>
  <c r="Q147" i="39"/>
  <c r="AG147" i="39" s="1"/>
  <c r="N177" i="39"/>
  <c r="AE177" i="39" s="1"/>
  <c r="BO178" i="39"/>
  <c r="N67" i="39"/>
  <c r="AE67" i="39" s="1"/>
  <c r="BO258" i="39"/>
  <c r="BN258" i="39" s="1"/>
  <c r="P258" i="39"/>
  <c r="P77" i="39"/>
  <c r="AY77" i="39" s="1"/>
  <c r="P224" i="39"/>
  <c r="S240" i="39"/>
  <c r="AI240" i="39" s="1"/>
  <c r="BN204" i="39"/>
  <c r="AM212" i="39"/>
  <c r="BO160" i="39"/>
  <c r="N159" i="39"/>
  <c r="AE159" i="39" s="1"/>
  <c r="P160" i="39"/>
  <c r="AO160" i="39" s="1"/>
  <c r="P222" i="39"/>
  <c r="AY222" i="39" s="1"/>
  <c r="BO192" i="39"/>
  <c r="P192" i="39"/>
  <c r="P16" i="39"/>
  <c r="AO16" i="39" s="1"/>
  <c r="BO16" i="39"/>
  <c r="N76" i="39"/>
  <c r="AE76" i="39" s="1"/>
  <c r="AG52" i="38"/>
  <c r="I36" i="38"/>
  <c r="K35" i="38"/>
  <c r="K36" i="38"/>
  <c r="G36" i="38"/>
  <c r="K32" i="38"/>
  <c r="J31" i="38"/>
  <c r="K30" i="38"/>
  <c r="J29" i="38"/>
  <c r="K33" i="38"/>
  <c r="R213" i="39" l="1"/>
  <c r="AH213" i="39" s="1"/>
  <c r="AH220" i="39"/>
  <c r="R121" i="39"/>
  <c r="AH121" i="39" s="1"/>
  <c r="AH124" i="39"/>
  <c r="O195" i="39"/>
  <c r="AF196" i="39"/>
  <c r="P124" i="39"/>
  <c r="BO24" i="39"/>
  <c r="AE201" i="39"/>
  <c r="R195" i="39"/>
  <c r="AH195" i="39" s="1"/>
  <c r="AH196" i="39"/>
  <c r="O121" i="39"/>
  <c r="AF121" i="39" s="1"/>
  <c r="AF124" i="39"/>
  <c r="AU236" i="39"/>
  <c r="R54" i="39"/>
  <c r="AH55" i="39"/>
  <c r="O198" i="39"/>
  <c r="AF198" i="39" s="1"/>
  <c r="AF201" i="39"/>
  <c r="R97" i="38"/>
  <c r="AH98" i="38"/>
  <c r="AN42" i="39"/>
  <c r="P14" i="39"/>
  <c r="AO14" i="39" s="1"/>
  <c r="R198" i="39"/>
  <c r="AH198" i="39" s="1"/>
  <c r="AH201" i="39"/>
  <c r="AU196" i="39"/>
  <c r="AS236" i="39"/>
  <c r="R136" i="39"/>
  <c r="AH136" i="39" s="1"/>
  <c r="AH137" i="39"/>
  <c r="AG139" i="39"/>
  <c r="H188" i="41"/>
  <c r="T17" i="39"/>
  <c r="AR17" i="39" s="1"/>
  <c r="AQ138" i="39"/>
  <c r="Q54" i="39"/>
  <c r="AG54" i="39" s="1"/>
  <c r="R88" i="39"/>
  <c r="AE16" i="39"/>
  <c r="R141" i="39"/>
  <c r="AH141" i="39" s="1"/>
  <c r="AE196" i="39"/>
  <c r="AE17" i="39"/>
  <c r="M12" i="39"/>
  <c r="M11" i="39" s="1"/>
  <c r="O6" i="40" s="1"/>
  <c r="T133" i="39"/>
  <c r="AR133" i="39" s="1"/>
  <c r="O54" i="39"/>
  <c r="AQ15" i="39"/>
  <c r="BO109" i="39"/>
  <c r="AK223" i="39"/>
  <c r="R256" i="39"/>
  <c r="O132" i="39"/>
  <c r="AF132" i="39" s="1"/>
  <c r="R144" i="39"/>
  <c r="AH144" i="39" s="1"/>
  <c r="O136" i="39"/>
  <c r="AF136" i="39" s="1"/>
  <c r="O144" i="39"/>
  <c r="AF144" i="39" s="1"/>
  <c r="O213" i="39"/>
  <c r="AF213" i="39" s="1"/>
  <c r="R132" i="39"/>
  <c r="T112" i="39"/>
  <c r="V112" i="39" s="1"/>
  <c r="O12" i="39"/>
  <c r="AN13" i="39"/>
  <c r="O88" i="39"/>
  <c r="O108" i="39"/>
  <c r="R66" i="39"/>
  <c r="AH66" i="39" s="1"/>
  <c r="R12" i="39"/>
  <c r="T16" i="39"/>
  <c r="AR16" i="39" s="1"/>
  <c r="AQ137" i="39"/>
  <c r="R39" i="39"/>
  <c r="R108" i="39"/>
  <c r="AE137" i="39"/>
  <c r="O39" i="39"/>
  <c r="T137" i="39"/>
  <c r="AR137" i="39" s="1"/>
  <c r="AQ45" i="39"/>
  <c r="T45" i="39"/>
  <c r="AR45" i="39" s="1"/>
  <c r="T124" i="39"/>
  <c r="AW124" i="39" s="1"/>
  <c r="O66" i="39"/>
  <c r="AF66" i="39" s="1"/>
  <c r="O141" i="39"/>
  <c r="AQ238" i="39"/>
  <c r="O23" i="39"/>
  <c r="AL112" i="39"/>
  <c r="H68" i="41"/>
  <c r="T146" i="39"/>
  <c r="AR146" i="39" s="1"/>
  <c r="BA112" i="39"/>
  <c r="AN45" i="39"/>
  <c r="R233" i="39"/>
  <c r="R23" i="39"/>
  <c r="O233" i="39"/>
  <c r="Q29" i="38"/>
  <c r="O29" i="38"/>
  <c r="AF29" i="38" s="1"/>
  <c r="R29" i="38"/>
  <c r="AH29" i="38" s="1"/>
  <c r="O97" i="38"/>
  <c r="R70" i="38"/>
  <c r="AH70" i="38" s="1"/>
  <c r="Q70" i="38"/>
  <c r="O70" i="38"/>
  <c r="AF70" i="38" s="1"/>
  <c r="R86" i="38"/>
  <c r="AH86" i="38" s="1"/>
  <c r="Q86" i="38"/>
  <c r="O86" i="38"/>
  <c r="AF86" i="38" s="1"/>
  <c r="O31" i="38"/>
  <c r="AF31" i="38" s="1"/>
  <c r="R31" i="38"/>
  <c r="AH31" i="38" s="1"/>
  <c r="Q31" i="38"/>
  <c r="Q73" i="38"/>
  <c r="R73" i="38"/>
  <c r="AH73" i="38" s="1"/>
  <c r="O73" i="38"/>
  <c r="AF73" i="38" s="1"/>
  <c r="O83" i="38"/>
  <c r="AF83" i="38" s="1"/>
  <c r="Q83" i="38"/>
  <c r="R83" i="38"/>
  <c r="AH83" i="38" s="1"/>
  <c r="R84" i="38"/>
  <c r="AH84" i="38" s="1"/>
  <c r="Q84" i="38"/>
  <c r="AG84" i="38" s="1"/>
  <c r="O84" i="38"/>
  <c r="AF84" i="38" s="1"/>
  <c r="R72" i="38"/>
  <c r="AH72" i="38" s="1"/>
  <c r="Q72" i="38"/>
  <c r="O72" i="38"/>
  <c r="AF72" i="38" s="1"/>
  <c r="O71" i="38"/>
  <c r="AF71" i="38" s="1"/>
  <c r="R71" i="38"/>
  <c r="AH71" i="38" s="1"/>
  <c r="Q71" i="38"/>
  <c r="Q53" i="38"/>
  <c r="AZ53" i="38" s="1"/>
  <c r="R53" i="38"/>
  <c r="O53" i="38"/>
  <c r="AX116" i="38"/>
  <c r="Q79" i="38"/>
  <c r="R79" i="38"/>
  <c r="AH79" i="38" s="1"/>
  <c r="O79" i="38"/>
  <c r="AF79" i="38" s="1"/>
  <c r="R85" i="38"/>
  <c r="AH85" i="38" s="1"/>
  <c r="Q85" i="38"/>
  <c r="AG85" i="38" s="1"/>
  <c r="O85" i="38"/>
  <c r="AF85" i="38" s="1"/>
  <c r="AN143" i="39"/>
  <c r="T13" i="39"/>
  <c r="AR13" i="39" s="1"/>
  <c r="S144" i="39"/>
  <c r="AI144" i="39" s="1"/>
  <c r="P42" i="39"/>
  <c r="AO42" i="39" s="1"/>
  <c r="W235" i="39"/>
  <c r="BO42" i="39"/>
  <c r="AV235" i="39"/>
  <c r="AQ143" i="39"/>
  <c r="AN137" i="39"/>
  <c r="P238" i="39"/>
  <c r="M238" i="39" s="1"/>
  <c r="BO14" i="39"/>
  <c r="Q121" i="39"/>
  <c r="AG121" i="39" s="1"/>
  <c r="AS124" i="39"/>
  <c r="P56" i="39"/>
  <c r="M56" i="39" s="1"/>
  <c r="Q88" i="39"/>
  <c r="AG88" i="39" s="1"/>
  <c r="AN44" i="39"/>
  <c r="AQ13" i="39"/>
  <c r="AE237" i="39"/>
  <c r="N144" i="39"/>
  <c r="AE144" i="39" s="1"/>
  <c r="AV124" i="39"/>
  <c r="BA109" i="39"/>
  <c r="AZ114" i="39"/>
  <c r="AL235" i="39"/>
  <c r="AE14" i="39"/>
  <c r="AG138" i="39"/>
  <c r="P133" i="39"/>
  <c r="AO133" i="39" s="1"/>
  <c r="AG40" i="39"/>
  <c r="AI112" i="39"/>
  <c r="P146" i="39"/>
  <c r="M146" i="39" s="1"/>
  <c r="G201" i="41" s="1"/>
  <c r="AP137" i="39"/>
  <c r="AP14" i="39"/>
  <c r="AP17" i="39"/>
  <c r="S195" i="39"/>
  <c r="AI195" i="39" s="1"/>
  <c r="AE138" i="39"/>
  <c r="AE133" i="39"/>
  <c r="T90" i="39"/>
  <c r="AG56" i="39"/>
  <c r="AN146" i="39"/>
  <c r="T14" i="39"/>
  <c r="AR14" i="39" s="1"/>
  <c r="P17" i="39"/>
  <c r="AO17" i="39" s="1"/>
  <c r="AQ14" i="39"/>
  <c r="Q136" i="39"/>
  <c r="AG136" i="39" s="1"/>
  <c r="AP133" i="39"/>
  <c r="S12" i="39"/>
  <c r="AI12" i="39" s="1"/>
  <c r="H179" i="41"/>
  <c r="AG42" i="39"/>
  <c r="T238" i="39"/>
  <c r="AR238" i="39" s="1"/>
  <c r="M23" i="39"/>
  <c r="AP146" i="39"/>
  <c r="S23" i="39"/>
  <c r="AI23" i="39" s="1"/>
  <c r="Q144" i="39"/>
  <c r="AG144" i="39" s="1"/>
  <c r="AG143" i="39"/>
  <c r="M248" i="39"/>
  <c r="BO124" i="39"/>
  <c r="BB223" i="39"/>
  <c r="AC36" i="38" a="1"/>
  <c r="AC36" i="38" s="1"/>
  <c r="N70" i="38"/>
  <c r="AX217" i="38"/>
  <c r="BI86" i="38"/>
  <c r="BM86" i="38" s="1"/>
  <c r="N86" i="38"/>
  <c r="N53" i="38"/>
  <c r="AE53" i="38" s="1"/>
  <c r="N72" i="38"/>
  <c r="AD53" i="38" a="1"/>
  <c r="AD53" i="38" s="1"/>
  <c r="AV219" i="38"/>
  <c r="AD86" i="38" a="1"/>
  <c r="AD86" i="38" s="1"/>
  <c r="AL219" i="38"/>
  <c r="N84" i="38"/>
  <c r="AS84" i="38" s="1"/>
  <c r="N31" i="38"/>
  <c r="S85" i="38"/>
  <c r="AI85" i="38" s="1"/>
  <c r="N85" i="38"/>
  <c r="AE85" i="38" s="1"/>
  <c r="N79" i="38"/>
  <c r="N73" i="38"/>
  <c r="N29" i="38"/>
  <c r="N83" i="38"/>
  <c r="W219" i="38"/>
  <c r="T219" i="38"/>
  <c r="V219" i="38" s="1"/>
  <c r="N71" i="38"/>
  <c r="T143" i="39"/>
  <c r="AR143" i="39" s="1"/>
  <c r="P236" i="39"/>
  <c r="M236" i="39" s="1"/>
  <c r="AQ133" i="39"/>
  <c r="Q195" i="39"/>
  <c r="AG195" i="39" s="1"/>
  <c r="H200" i="41"/>
  <c r="T145" i="39"/>
  <c r="T142" i="39"/>
  <c r="AR142" i="39" s="1"/>
  <c r="N141" i="39"/>
  <c r="AE141" i="39" s="1"/>
  <c r="AN14" i="39"/>
  <c r="AS235" i="39"/>
  <c r="P196" i="39"/>
  <c r="AT196" i="39" s="1"/>
  <c r="BO196" i="39"/>
  <c r="W196" i="39"/>
  <c r="AP43" i="39"/>
  <c r="AN138" i="39"/>
  <c r="AX109" i="39"/>
  <c r="AN43" i="39"/>
  <c r="AP15" i="39"/>
  <c r="P15" i="39"/>
  <c r="AO15" i="39" s="1"/>
  <c r="AV196" i="39"/>
  <c r="P43" i="39"/>
  <c r="AO43" i="39" s="1"/>
  <c r="AN142" i="39"/>
  <c r="BO43" i="39"/>
  <c r="N233" i="39"/>
  <c r="AE233" i="39" s="1"/>
  <c r="AL196" i="39"/>
  <c r="T196" i="39"/>
  <c r="T195" i="39" s="1"/>
  <c r="V195" i="39" s="1"/>
  <c r="N23" i="39"/>
  <c r="AE23" i="39" s="1"/>
  <c r="P114" i="39"/>
  <c r="AY114" i="39" s="1"/>
  <c r="BO15" i="39"/>
  <c r="AT199" i="39"/>
  <c r="AP143" i="39"/>
  <c r="AQ142" i="39"/>
  <c r="H198" i="41"/>
  <c r="AZ109" i="39"/>
  <c r="AP24" i="39"/>
  <c r="P24" i="39"/>
  <c r="AO24" i="39" s="1"/>
  <c r="T109" i="39"/>
  <c r="V109" i="39" s="1"/>
  <c r="AU199" i="39"/>
  <c r="BO114" i="39"/>
  <c r="AX114" i="39"/>
  <c r="AV236" i="39"/>
  <c r="H197" i="41"/>
  <c r="AN15" i="39"/>
  <c r="P235" i="39"/>
  <c r="M235" i="39" s="1"/>
  <c r="T236" i="39"/>
  <c r="V236" i="39" s="1"/>
  <c r="AL109" i="39"/>
  <c r="Q108" i="39"/>
  <c r="AG108" i="39" s="1"/>
  <c r="AU235" i="39"/>
  <c r="W236" i="39"/>
  <c r="AL236" i="39"/>
  <c r="P109" i="39"/>
  <c r="AY109" i="39" s="1"/>
  <c r="W109" i="39"/>
  <c r="AQ24" i="39"/>
  <c r="T24" i="39"/>
  <c r="AR24" i="39" s="1"/>
  <c r="S141" i="39"/>
  <c r="AI141" i="39" s="1"/>
  <c r="N12" i="39"/>
  <c r="AE12" i="39" s="1"/>
  <c r="N132" i="39"/>
  <c r="AE132" i="39" s="1"/>
  <c r="H65" i="41"/>
  <c r="AN24" i="39"/>
  <c r="AP142" i="39"/>
  <c r="AP25" i="39"/>
  <c r="BA199" i="39"/>
  <c r="AQ25" i="39"/>
  <c r="BH199" i="39"/>
  <c r="BL199" i="39" s="1"/>
  <c r="P25" i="39"/>
  <c r="AO25" i="39" s="1"/>
  <c r="AS199" i="39"/>
  <c r="AQ199" i="39"/>
  <c r="T25" i="39"/>
  <c r="AR25" i="39" s="1"/>
  <c r="BI199" i="39"/>
  <c r="BM199" i="39" s="1"/>
  <c r="Q23" i="39"/>
  <c r="AG23" i="39" s="1"/>
  <c r="AQ145" i="39"/>
  <c r="AN134" i="39"/>
  <c r="T44" i="39"/>
  <c r="AR44" i="39" s="1"/>
  <c r="AN25" i="39"/>
  <c r="Q141" i="39"/>
  <c r="AG141" i="39" s="1"/>
  <c r="BO25" i="39"/>
  <c r="P142" i="39"/>
  <c r="AO142" i="39" s="1"/>
  <c r="AQ44" i="39"/>
  <c r="AZ217" i="38"/>
  <c r="P217" i="38"/>
  <c r="M217" i="38" s="1"/>
  <c r="H12" i="41"/>
  <c r="O6" i="41" s="1"/>
  <c r="AL234" i="39"/>
  <c r="Q132" i="39"/>
  <c r="AG132" i="39" s="1"/>
  <c r="W201" i="39"/>
  <c r="AP44" i="39"/>
  <c r="BO44" i="39"/>
  <c r="S198" i="39"/>
  <c r="AI198" i="39" s="1"/>
  <c r="AK112" i="39"/>
  <c r="P134" i="39"/>
  <c r="M134" i="39" s="1"/>
  <c r="G189" i="41" s="1"/>
  <c r="P44" i="39"/>
  <c r="AO44" i="39" s="1"/>
  <c r="M39" i="39"/>
  <c r="M38" i="39" s="1"/>
  <c r="O8" i="40" s="1"/>
  <c r="Z8" i="40" s="1"/>
  <c r="Q12" i="39"/>
  <c r="AG12" i="39" s="1"/>
  <c r="P139" i="39"/>
  <c r="P136" i="39" s="1"/>
  <c r="M191" i="39"/>
  <c r="N108" i="39"/>
  <c r="AE108" i="39" s="1"/>
  <c r="S39" i="39"/>
  <c r="AI39" i="39" s="1"/>
  <c r="AQ56" i="39"/>
  <c r="N54" i="39"/>
  <c r="AE54" i="39" s="1"/>
  <c r="AE55" i="39"/>
  <c r="T40" i="39"/>
  <c r="T56" i="39"/>
  <c r="AR56" i="39" s="1"/>
  <c r="AQ42" i="39"/>
  <c r="T234" i="39"/>
  <c r="V234" i="39" s="1"/>
  <c r="T42" i="39"/>
  <c r="AR42" i="39" s="1"/>
  <c r="BO112" i="39"/>
  <c r="AG112" i="39"/>
  <c r="N136" i="39"/>
  <c r="AE136" i="39" s="1"/>
  <c r="BA217" i="38"/>
  <c r="AI217" i="38"/>
  <c r="P40" i="39"/>
  <c r="AO40" i="39" s="1"/>
  <c r="AE40" i="39"/>
  <c r="AV139" i="39"/>
  <c r="AI139" i="39"/>
  <c r="P237" i="39"/>
  <c r="M237" i="39" s="1"/>
  <c r="P201" i="39"/>
  <c r="AT201" i="39" s="1"/>
  <c r="BO201" i="39"/>
  <c r="AM208" i="39"/>
  <c r="AR208" i="39" s="1"/>
  <c r="Z208" i="39"/>
  <c r="V208" i="39"/>
  <c r="X208" i="39"/>
  <c r="W208" i="39"/>
  <c r="AK30" i="39"/>
  <c r="V30" i="39"/>
  <c r="P55" i="39"/>
  <c r="N39" i="39"/>
  <c r="AE39" i="39" s="1"/>
  <c r="BG199" i="39"/>
  <c r="BK199" i="39" s="1"/>
  <c r="AN145" i="39"/>
  <c r="AS139" i="39"/>
  <c r="AP45" i="39"/>
  <c r="AP13" i="39"/>
  <c r="BA234" i="39"/>
  <c r="W234" i="39"/>
  <c r="AV201" i="39"/>
  <c r="AL207" i="39"/>
  <c r="W207" i="39"/>
  <c r="V207" i="39"/>
  <c r="Z207" i="39"/>
  <c r="X207" i="39"/>
  <c r="T89" i="39"/>
  <c r="AU201" i="39"/>
  <c r="H189" i="41"/>
  <c r="AK116" i="39"/>
  <c r="V116" i="39"/>
  <c r="W177" i="39"/>
  <c r="AZ234" i="39"/>
  <c r="Q39" i="39"/>
  <c r="AG39" i="39" s="1"/>
  <c r="AP134" i="39"/>
  <c r="BO40" i="39"/>
  <c r="Q198" i="39"/>
  <c r="AG198" i="39" s="1"/>
  <c r="AP237" i="39"/>
  <c r="AZ112" i="39"/>
  <c r="W114" i="39"/>
  <c r="W144" i="39"/>
  <c r="AK79" i="39"/>
  <c r="V79" i="39"/>
  <c r="AL114" i="39"/>
  <c r="P13" i="39"/>
  <c r="AO13" i="39" s="1"/>
  <c r="BO13" i="39"/>
  <c r="AK86" i="39"/>
  <c r="V86" i="39"/>
  <c r="T114" i="39"/>
  <c r="V114" i="39" s="1"/>
  <c r="P234" i="39"/>
  <c r="AY234" i="39" s="1"/>
  <c r="AW218" i="39"/>
  <c r="V218" i="39"/>
  <c r="AW199" i="39"/>
  <c r="AR199" i="39"/>
  <c r="Q96" i="39"/>
  <c r="AG96" i="39" s="1"/>
  <c r="AL201" i="39"/>
  <c r="BO206" i="39"/>
  <c r="X206" i="39"/>
  <c r="V206" i="39"/>
  <c r="Z206" i="39"/>
  <c r="W206" i="39"/>
  <c r="Q233" i="39"/>
  <c r="AG233" i="39" s="1"/>
  <c r="BO34" i="39"/>
  <c r="T201" i="39"/>
  <c r="V201" i="39" s="1"/>
  <c r="AP199" i="39"/>
  <c r="BO209" i="39"/>
  <c r="Z209" i="39"/>
  <c r="X209" i="39"/>
  <c r="W209" i="39"/>
  <c r="V209" i="39"/>
  <c r="W139" i="39"/>
  <c r="AK62" i="39"/>
  <c r="V62" i="39"/>
  <c r="P145" i="39"/>
  <c r="AO145" i="39" s="1"/>
  <c r="AK84" i="39"/>
  <c r="V84" i="39"/>
  <c r="T134" i="39"/>
  <c r="AR134" i="39" s="1"/>
  <c r="W195" i="39"/>
  <c r="H194" i="41"/>
  <c r="W240" i="39"/>
  <c r="BO152" i="39"/>
  <c r="W34" i="39"/>
  <c r="AK117" i="39"/>
  <c r="V117" i="39"/>
  <c r="AO199" i="39"/>
  <c r="AW235" i="39"/>
  <c r="AQ134" i="39"/>
  <c r="H70" i="41"/>
  <c r="AN40" i="39"/>
  <c r="AK36" i="39"/>
  <c r="V36" i="39"/>
  <c r="AQ40" i="39"/>
  <c r="AK235" i="39"/>
  <c r="AN56" i="39"/>
  <c r="BA114" i="39"/>
  <c r="AN55" i="39"/>
  <c r="S132" i="39"/>
  <c r="AI132" i="39" s="1"/>
  <c r="N88" i="39"/>
  <c r="AE88" i="39" s="1"/>
  <c r="T139" i="39"/>
  <c r="V139" i="39" s="1"/>
  <c r="AX199" i="39"/>
  <c r="P112" i="39"/>
  <c r="AY112" i="39" s="1"/>
  <c r="AQ237" i="39"/>
  <c r="T237" i="39"/>
  <c r="AR237" i="39" s="1"/>
  <c r="AK32" i="39"/>
  <c r="V32" i="39"/>
  <c r="AN199" i="39"/>
  <c r="N96" i="39"/>
  <c r="AE96" i="39" s="1"/>
  <c r="AL139" i="39"/>
  <c r="AZ199" i="39"/>
  <c r="BO45" i="39"/>
  <c r="S233" i="39"/>
  <c r="AI233" i="39" s="1"/>
  <c r="AX112" i="39"/>
  <c r="P45" i="39"/>
  <c r="AO45" i="39" s="1"/>
  <c r="S108" i="39"/>
  <c r="AI108" i="39" s="1"/>
  <c r="AZ116" i="38"/>
  <c r="P116" i="38"/>
  <c r="AY116" i="38" s="1"/>
  <c r="P219" i="38"/>
  <c r="M219" i="38" s="1"/>
  <c r="W217" i="38"/>
  <c r="AL217" i="38"/>
  <c r="BH85" i="38"/>
  <c r="BL85" i="38" s="1"/>
  <c r="BH84" i="38"/>
  <c r="BL84" i="38" s="1"/>
  <c r="J32" i="38"/>
  <c r="AS219" i="38"/>
  <c r="J36" i="38"/>
  <c r="J35" i="38"/>
  <c r="J33" i="38"/>
  <c r="AU219" i="38"/>
  <c r="J30" i="38"/>
  <c r="S84" i="38"/>
  <c r="AI84" i="38" s="1"/>
  <c r="BI53" i="38"/>
  <c r="BM53" i="38" s="1"/>
  <c r="BN209" i="39"/>
  <c r="BE262" i="39"/>
  <c r="P206" i="39"/>
  <c r="M206" i="39" s="1"/>
  <c r="AK209" i="39"/>
  <c r="AM206" i="39"/>
  <c r="AL206" i="39"/>
  <c r="P247" i="39"/>
  <c r="AM209" i="39"/>
  <c r="AW209" i="39" s="1"/>
  <c r="P209" i="39"/>
  <c r="M209" i="39" s="1"/>
  <c r="G24" i="41" s="1"/>
  <c r="AL209" i="39"/>
  <c r="BN208" i="39"/>
  <c r="AK206" i="39"/>
  <c r="M92" i="39"/>
  <c r="P220" i="39"/>
  <c r="BN206" i="39"/>
  <c r="BC262" i="39"/>
  <c r="C15" i="45" s="1"/>
  <c r="M249" i="39"/>
  <c r="T34" i="39"/>
  <c r="V34" i="39" s="1"/>
  <c r="T187" i="39"/>
  <c r="V187" i="39" s="1"/>
  <c r="AK199" i="39"/>
  <c r="Q50" i="39"/>
  <c r="AG50" i="39" s="1"/>
  <c r="G6" i="41"/>
  <c r="AR59" i="39"/>
  <c r="M129" i="39"/>
  <c r="G184" i="41" s="1"/>
  <c r="G208" i="41"/>
  <c r="P121" i="39"/>
  <c r="T76" i="39"/>
  <c r="V76" i="39" s="1"/>
  <c r="T80" i="39"/>
  <c r="V80" i="39" s="1"/>
  <c r="AW68" i="39"/>
  <c r="AR241" i="39"/>
  <c r="T240" i="39"/>
  <c r="V240" i="39" s="1"/>
  <c r="AR145" i="39"/>
  <c r="BB212" i="39"/>
  <c r="BG212" i="39"/>
  <c r="BK212" i="39" s="1"/>
  <c r="BH212" i="39"/>
  <c r="BL212" i="39" s="1"/>
  <c r="BI212" i="39"/>
  <c r="BM212" i="39" s="1"/>
  <c r="BB203" i="39"/>
  <c r="BG203" i="39"/>
  <c r="BK203" i="39" s="1"/>
  <c r="BH203" i="39"/>
  <c r="BL203" i="39" s="1"/>
  <c r="BI203" i="39"/>
  <c r="BM203" i="39" s="1"/>
  <c r="BB202" i="39"/>
  <c r="BI202" i="39"/>
  <c r="BM202" i="39" s="1"/>
  <c r="BH202" i="39"/>
  <c r="BL202" i="39" s="1"/>
  <c r="BG202" i="39"/>
  <c r="BK202" i="39" s="1"/>
  <c r="BB204" i="39"/>
  <c r="BG204" i="39"/>
  <c r="BK204" i="39" s="1"/>
  <c r="BH204" i="39"/>
  <c r="BL204" i="39" s="1"/>
  <c r="BI204" i="39"/>
  <c r="BM204" i="39" s="1"/>
  <c r="AK77" i="39"/>
  <c r="BB77" i="39"/>
  <c r="AK81" i="39"/>
  <c r="BB81" i="39"/>
  <c r="AK110" i="39"/>
  <c r="BB110" i="39"/>
  <c r="AK217" i="39"/>
  <c r="BB217" i="39"/>
  <c r="AK111" i="39"/>
  <c r="BB111" i="39"/>
  <c r="AK222" i="39"/>
  <c r="BB222" i="39"/>
  <c r="AK215" i="39"/>
  <c r="BB215" i="39"/>
  <c r="AK109" i="39"/>
  <c r="BB109" i="39"/>
  <c r="AK113" i="39"/>
  <c r="BB113" i="39"/>
  <c r="BB199" i="39"/>
  <c r="AK191" i="39"/>
  <c r="BB191" i="39"/>
  <c r="AK83" i="39"/>
  <c r="BB83" i="39"/>
  <c r="AK151" i="39"/>
  <c r="BB151" i="39"/>
  <c r="AK171" i="39"/>
  <c r="BB171" i="39"/>
  <c r="P52" i="38"/>
  <c r="AP52" i="38"/>
  <c r="AK217" i="38"/>
  <c r="BB217" i="38"/>
  <c r="AK200" i="39"/>
  <c r="AW200" i="39"/>
  <c r="AR203" i="39"/>
  <c r="AW203" i="39"/>
  <c r="AK115" i="39"/>
  <c r="AW115" i="39"/>
  <c r="AK150" i="39"/>
  <c r="AW150" i="39"/>
  <c r="P207" i="39"/>
  <c r="M207" i="39" s="1"/>
  <c r="G22" i="41" s="1"/>
  <c r="AK196" i="39"/>
  <c r="AW196" i="39"/>
  <c r="AK82" i="39"/>
  <c r="AW82" i="39"/>
  <c r="AR202" i="39"/>
  <c r="AW202" i="39"/>
  <c r="AR204" i="39"/>
  <c r="AW204" i="39"/>
  <c r="BN207" i="39"/>
  <c r="AR212" i="39"/>
  <c r="AW212" i="39"/>
  <c r="AK192" i="39"/>
  <c r="AW192" i="39"/>
  <c r="AK190" i="39"/>
  <c r="AW190" i="39"/>
  <c r="AK78" i="39"/>
  <c r="AW78" i="39"/>
  <c r="R19" i="40"/>
  <c r="M257" i="39"/>
  <c r="M149" i="39"/>
  <c r="G204" i="41" s="1"/>
  <c r="AY149" i="39"/>
  <c r="AV202" i="39"/>
  <c r="AN202" i="39"/>
  <c r="AX202" i="39"/>
  <c r="AO202" i="39"/>
  <c r="AY202" i="39"/>
  <c r="AP202" i="39"/>
  <c r="AZ202" i="39"/>
  <c r="AQ202" i="39"/>
  <c r="BA202" i="39"/>
  <c r="AU202" i="39"/>
  <c r="AT202" i="39"/>
  <c r="AS202" i="39"/>
  <c r="P256" i="39"/>
  <c r="BD258" i="39"/>
  <c r="M60" i="39"/>
  <c r="AO60" i="39"/>
  <c r="M188" i="39"/>
  <c r="AY188" i="39"/>
  <c r="M200" i="39"/>
  <c r="G11" i="41" s="1"/>
  <c r="AT200" i="39"/>
  <c r="AV204" i="39"/>
  <c r="AN204" i="39"/>
  <c r="AX204" i="39"/>
  <c r="AO204" i="39"/>
  <c r="AY204" i="39"/>
  <c r="AP204" i="39"/>
  <c r="AZ204" i="39"/>
  <c r="AQ204" i="39"/>
  <c r="BA204" i="39"/>
  <c r="AT204" i="39"/>
  <c r="AU204" i="39"/>
  <c r="AS204" i="39"/>
  <c r="M140" i="39"/>
  <c r="G195" i="41" s="1"/>
  <c r="AY140" i="39"/>
  <c r="M192" i="39"/>
  <c r="AT192" i="39"/>
  <c r="P259" i="39"/>
  <c r="BD260" i="39"/>
  <c r="M81" i="39"/>
  <c r="AY81" i="39"/>
  <c r="M124" i="39"/>
  <c r="G179" i="41" s="1"/>
  <c r="AT124" i="39"/>
  <c r="M151" i="39"/>
  <c r="G206" i="41" s="1"/>
  <c r="AY151" i="39"/>
  <c r="M83" i="39"/>
  <c r="AY83" i="39"/>
  <c r="M190" i="39"/>
  <c r="AT190" i="39"/>
  <c r="M138" i="39"/>
  <c r="G193" i="41" s="1"/>
  <c r="AO138" i="39"/>
  <c r="M161" i="39"/>
  <c r="AO161" i="39"/>
  <c r="M242" i="39"/>
  <c r="AO242" i="39"/>
  <c r="P155" i="39"/>
  <c r="AY156" i="39"/>
  <c r="M82" i="39"/>
  <c r="AT82" i="39"/>
  <c r="M78" i="39"/>
  <c r="AT78" i="39"/>
  <c r="M252" i="39"/>
  <c r="BD252" i="39"/>
  <c r="M110" i="39"/>
  <c r="G66" i="41" s="1"/>
  <c r="AY110" i="39"/>
  <c r="M253" i="39"/>
  <c r="BD253" i="39"/>
  <c r="M113" i="39"/>
  <c r="G69" i="41" s="1"/>
  <c r="AY113" i="39"/>
  <c r="M254" i="39"/>
  <c r="BD254" i="39"/>
  <c r="M111" i="39"/>
  <c r="G67" i="41" s="1"/>
  <c r="AY111" i="39"/>
  <c r="M217" i="39"/>
  <c r="AY217" i="39"/>
  <c r="M224" i="39"/>
  <c r="AY224" i="39"/>
  <c r="M115" i="39"/>
  <c r="G74" i="41" s="1"/>
  <c r="N65" i="41" s="1"/>
  <c r="AT115" i="39"/>
  <c r="M171" i="39"/>
  <c r="G20" i="41" s="1"/>
  <c r="AY171" i="39"/>
  <c r="M114" i="39"/>
  <c r="G70" i="41" s="1"/>
  <c r="M143" i="39"/>
  <c r="G198" i="41" s="1"/>
  <c r="AO143" i="39"/>
  <c r="AV212" i="39"/>
  <c r="AN212" i="39"/>
  <c r="AX212" i="39"/>
  <c r="AO212" i="39"/>
  <c r="AY212" i="39"/>
  <c r="AQ212" i="39"/>
  <c r="BA212" i="39"/>
  <c r="AP212" i="39"/>
  <c r="AS212" i="39"/>
  <c r="AT212" i="39"/>
  <c r="AU212" i="39"/>
  <c r="AZ212" i="39"/>
  <c r="M150" i="39"/>
  <c r="G205" i="41" s="1"/>
  <c r="AT150" i="39"/>
  <c r="P152" i="39"/>
  <c r="AY154" i="39"/>
  <c r="M189" i="39"/>
  <c r="AT189" i="39"/>
  <c r="AP209" i="39"/>
  <c r="AY199" i="39"/>
  <c r="M61" i="39"/>
  <c r="G49" i="41" s="1"/>
  <c r="AO61" i="39"/>
  <c r="M122" i="39"/>
  <c r="AY122" i="39"/>
  <c r="P5" i="39"/>
  <c r="AO6" i="39"/>
  <c r="M223" i="39"/>
  <c r="AY223" i="39"/>
  <c r="M221" i="39"/>
  <c r="AY221" i="39"/>
  <c r="AQ203" i="39"/>
  <c r="BA203" i="39"/>
  <c r="AS203" i="39"/>
  <c r="AT203" i="39"/>
  <c r="AU203" i="39"/>
  <c r="AV203" i="39"/>
  <c r="AN203" i="39"/>
  <c r="AO203" i="39"/>
  <c r="AP203" i="39"/>
  <c r="AX203" i="39"/>
  <c r="AY203" i="39"/>
  <c r="AZ203" i="39"/>
  <c r="M241" i="39"/>
  <c r="AO241" i="39"/>
  <c r="AM207" i="39"/>
  <c r="AK207" i="39"/>
  <c r="BO207" i="39"/>
  <c r="BO208" i="39"/>
  <c r="P208" i="39"/>
  <c r="M208" i="39" s="1"/>
  <c r="G23" i="41" s="1"/>
  <c r="P19" i="40"/>
  <c r="AK211" i="39"/>
  <c r="AM211" i="39"/>
  <c r="BO211" i="39"/>
  <c r="AL211" i="39"/>
  <c r="AK212" i="39"/>
  <c r="AL212" i="39"/>
  <c r="M260" i="39"/>
  <c r="M259" i="39" s="1"/>
  <c r="AK208" i="39"/>
  <c r="AL208" i="39"/>
  <c r="Q158" i="39"/>
  <c r="AG158" i="39" s="1"/>
  <c r="M258" i="39"/>
  <c r="P250" i="39"/>
  <c r="P240" i="39"/>
  <c r="BO80" i="39"/>
  <c r="M6" i="39"/>
  <c r="M5" i="39" s="1"/>
  <c r="N213" i="39"/>
  <c r="AE213" i="39" s="1"/>
  <c r="Q213" i="39"/>
  <c r="AG213" i="39" s="1"/>
  <c r="Q66" i="39"/>
  <c r="AG66" i="39" s="1"/>
  <c r="M154" i="39"/>
  <c r="G209" i="41" s="1"/>
  <c r="M156" i="39"/>
  <c r="P187" i="39"/>
  <c r="P159" i="39"/>
  <c r="P147" i="39"/>
  <c r="P177" i="39"/>
  <c r="P34" i="39"/>
  <c r="M222" i="39"/>
  <c r="P58" i="39"/>
  <c r="P76" i="39"/>
  <c r="M77" i="39"/>
  <c r="N66" i="39"/>
  <c r="AE66" i="39" s="1"/>
  <c r="M148" i="39"/>
  <c r="M22" i="39"/>
  <c r="O7" i="40" s="1"/>
  <c r="BO27" i="39"/>
  <c r="N158" i="39"/>
  <c r="AE158" i="39" s="1"/>
  <c r="M215" i="39"/>
  <c r="N186" i="39"/>
  <c r="AE186" i="39" s="1"/>
  <c r="P27" i="39"/>
  <c r="M177" i="39"/>
  <c r="P80" i="39"/>
  <c r="M59" i="39"/>
  <c r="M137" i="39"/>
  <c r="M160" i="39"/>
  <c r="BN212" i="39"/>
  <c r="BO212" i="39"/>
  <c r="R232" i="39" l="1"/>
  <c r="AH232" i="39" s="1"/>
  <c r="AH233" i="39"/>
  <c r="O87" i="39"/>
  <c r="AF87" i="39" s="1"/>
  <c r="AF88" i="39"/>
  <c r="R50" i="39"/>
  <c r="AH50" i="39" s="1"/>
  <c r="AH54" i="39"/>
  <c r="R87" i="39"/>
  <c r="AH87" i="39" s="1"/>
  <c r="AH88" i="39"/>
  <c r="R51" i="38"/>
  <c r="AH51" i="38" s="1"/>
  <c r="AH53" i="38"/>
  <c r="O120" i="39"/>
  <c r="AF120" i="39" s="1"/>
  <c r="AF141" i="39"/>
  <c r="R120" i="39"/>
  <c r="AH120" i="39" s="1"/>
  <c r="AH132" i="39"/>
  <c r="O51" i="38"/>
  <c r="AF51" i="38" s="1"/>
  <c r="AF53" i="38"/>
  <c r="O11" i="39"/>
  <c r="AF11" i="39" s="1"/>
  <c r="AF12" i="39"/>
  <c r="R96" i="38"/>
  <c r="AH96" i="38" s="1"/>
  <c r="AH97" i="38"/>
  <c r="O107" i="39"/>
  <c r="AF107" i="39" s="1"/>
  <c r="AF108" i="39"/>
  <c r="O96" i="38"/>
  <c r="AF96" i="38" s="1"/>
  <c r="AF97" i="38"/>
  <c r="O38" i="39"/>
  <c r="AF38" i="39" s="1"/>
  <c r="AF39" i="39"/>
  <c r="O186" i="39"/>
  <c r="AF186" i="39" s="1"/>
  <c r="AF195" i="39"/>
  <c r="R22" i="39"/>
  <c r="AH22" i="39" s="1"/>
  <c r="AH23" i="39"/>
  <c r="O22" i="39"/>
  <c r="AF22" i="39" s="1"/>
  <c r="AF23" i="39"/>
  <c r="R186" i="39"/>
  <c r="AH186" i="39" s="1"/>
  <c r="R107" i="39"/>
  <c r="AH107" i="39" s="1"/>
  <c r="AH108" i="39"/>
  <c r="R11" i="39"/>
  <c r="AH11" i="39" s="1"/>
  <c r="AH12" i="39"/>
  <c r="AO238" i="39"/>
  <c r="O232" i="39"/>
  <c r="AF232" i="39" s="1"/>
  <c r="AF233" i="39"/>
  <c r="R38" i="39"/>
  <c r="AH38" i="39" s="1"/>
  <c r="AH39" i="39"/>
  <c r="O50" i="39"/>
  <c r="AF50" i="39" s="1"/>
  <c r="AF54" i="39"/>
  <c r="T141" i="39"/>
  <c r="V141" i="39" s="1"/>
  <c r="BB112" i="39"/>
  <c r="T144" i="39"/>
  <c r="V144" i="39" s="1"/>
  <c r="BB209" i="39"/>
  <c r="Q87" i="39"/>
  <c r="AG87" i="39" s="1"/>
  <c r="S232" i="39"/>
  <c r="AI232" i="39" s="1"/>
  <c r="O99" i="41"/>
  <c r="R80" i="38"/>
  <c r="AH80" i="38" s="1"/>
  <c r="W85" i="38"/>
  <c r="AL85" i="38"/>
  <c r="O80" i="38"/>
  <c r="AF80" i="38" s="1"/>
  <c r="T85" i="38"/>
  <c r="V85" i="38" s="1"/>
  <c r="R36" i="38"/>
  <c r="AH36" i="38" s="1"/>
  <c r="Q36" i="38"/>
  <c r="O36" i="38"/>
  <c r="AF36" i="38" s="1"/>
  <c r="R32" i="38"/>
  <c r="AH32" i="38" s="1"/>
  <c r="Q32" i="38"/>
  <c r="O32" i="38"/>
  <c r="AF32" i="38" s="1"/>
  <c r="O30" i="38"/>
  <c r="AF30" i="38" s="1"/>
  <c r="R30" i="38"/>
  <c r="AH30" i="38" s="1"/>
  <c r="Q30" i="38"/>
  <c r="O33" i="38"/>
  <c r="AF33" i="38" s="1"/>
  <c r="R33" i="38"/>
  <c r="AH33" i="38" s="1"/>
  <c r="Q33" i="38"/>
  <c r="R35" i="38"/>
  <c r="Q35" i="38"/>
  <c r="O35" i="38"/>
  <c r="AO56" i="39"/>
  <c r="Q11" i="39"/>
  <c r="AG11" i="39" s="1"/>
  <c r="P54" i="39"/>
  <c r="P50" i="39" s="1"/>
  <c r="Q9" i="40" s="1"/>
  <c r="M247" i="39"/>
  <c r="T12" i="39"/>
  <c r="T11" i="39" s="1"/>
  <c r="V11" i="39" s="1"/>
  <c r="AO146" i="39"/>
  <c r="S11" i="39"/>
  <c r="AI11" i="39" s="1"/>
  <c r="N22" i="39"/>
  <c r="AE22" i="39" s="1"/>
  <c r="N232" i="39"/>
  <c r="AE232" i="39" s="1"/>
  <c r="AT209" i="39"/>
  <c r="BH209" i="39"/>
  <c r="BL209" i="39" s="1"/>
  <c r="V196" i="39"/>
  <c r="M133" i="39"/>
  <c r="M132" i="39" s="1"/>
  <c r="G187" i="41" s="1"/>
  <c r="BA209" i="39"/>
  <c r="BG209" i="39"/>
  <c r="BK209" i="39" s="1"/>
  <c r="W23" i="39"/>
  <c r="AK219" i="38"/>
  <c r="AW219" i="38"/>
  <c r="AE84" i="38"/>
  <c r="N33" i="38"/>
  <c r="N35" i="38"/>
  <c r="AG53" i="38"/>
  <c r="BI36" i="38"/>
  <c r="BM36" i="38" s="1"/>
  <c r="N36" i="38"/>
  <c r="N32" i="38"/>
  <c r="AX53" i="38"/>
  <c r="P53" i="38"/>
  <c r="AY53" i="38" s="1"/>
  <c r="AV85" i="38"/>
  <c r="AD36" i="38" a="1"/>
  <c r="AD36" i="38" s="1"/>
  <c r="N30" i="38"/>
  <c r="M196" i="39"/>
  <c r="M195" i="39" s="1"/>
  <c r="AT236" i="39"/>
  <c r="P132" i="39"/>
  <c r="Q107" i="39"/>
  <c r="AG107" i="39" s="1"/>
  <c r="N11" i="39"/>
  <c r="AE11" i="39" s="1"/>
  <c r="M109" i="39"/>
  <c r="G65" i="41" s="1"/>
  <c r="P141" i="39"/>
  <c r="O66" i="41"/>
  <c r="AY206" i="39"/>
  <c r="N107" i="39"/>
  <c r="AE107" i="39" s="1"/>
  <c r="Q22" i="39"/>
  <c r="AG22" i="39" s="1"/>
  <c r="T23" i="39"/>
  <c r="V23" i="39" s="1"/>
  <c r="P195" i="39"/>
  <c r="AK236" i="39"/>
  <c r="P23" i="39"/>
  <c r="P22" i="39" s="1"/>
  <c r="Q7" i="40" s="1"/>
  <c r="W141" i="39"/>
  <c r="AT235" i="39"/>
  <c r="T39" i="39"/>
  <c r="T38" i="39" s="1"/>
  <c r="AW236" i="39"/>
  <c r="AO134" i="39"/>
  <c r="AO237" i="39"/>
  <c r="AT139" i="39"/>
  <c r="M139" i="39"/>
  <c r="G194" i="41" s="1"/>
  <c r="N99" i="41" s="1"/>
  <c r="AN208" i="39"/>
  <c r="AV208" i="39"/>
  <c r="BO59" i="39"/>
  <c r="T132" i="39"/>
  <c r="V132" i="39" s="1"/>
  <c r="M142" i="39"/>
  <c r="G197" i="41" s="1"/>
  <c r="Q120" i="39"/>
  <c r="AG120" i="39" s="1"/>
  <c r="AZ208" i="39"/>
  <c r="AX208" i="39"/>
  <c r="AU208" i="39"/>
  <c r="BI208" i="39"/>
  <c r="BM208" i="39" s="1"/>
  <c r="AR40" i="39"/>
  <c r="AO208" i="39"/>
  <c r="BH208" i="39"/>
  <c r="BL208" i="39" s="1"/>
  <c r="AT208" i="39"/>
  <c r="AS208" i="39"/>
  <c r="BG208" i="39"/>
  <c r="BK208" i="39" s="1"/>
  <c r="BA208" i="39"/>
  <c r="BB208" i="39"/>
  <c r="AW208" i="39"/>
  <c r="AQ208" i="39"/>
  <c r="AP208" i="39"/>
  <c r="AY217" i="38"/>
  <c r="N50" i="39"/>
  <c r="AE50" i="39" s="1"/>
  <c r="M201" i="39"/>
  <c r="G12" i="41" s="1"/>
  <c r="N6" i="41" s="1"/>
  <c r="AT219" i="38"/>
  <c r="P198" i="39"/>
  <c r="S107" i="39"/>
  <c r="AI107" i="39" s="1"/>
  <c r="N87" i="39"/>
  <c r="AE87" i="39" s="1"/>
  <c r="S186" i="39"/>
  <c r="AI186" i="39" s="1"/>
  <c r="AK139" i="39"/>
  <c r="W39" i="39"/>
  <c r="M234" i="39"/>
  <c r="M233" i="39" s="1"/>
  <c r="M112" i="39"/>
  <c r="G68" i="41" s="1"/>
  <c r="S38" i="39"/>
  <c r="AI38" i="39" s="1"/>
  <c r="P144" i="39"/>
  <c r="M55" i="39"/>
  <c r="G46" i="41" s="1"/>
  <c r="BB234" i="39"/>
  <c r="N120" i="39"/>
  <c r="AE120" i="39" s="1"/>
  <c r="AK234" i="39"/>
  <c r="AO55" i="39"/>
  <c r="AW139" i="39"/>
  <c r="M116" i="38"/>
  <c r="E75" i="41" s="1"/>
  <c r="R15" i="40"/>
  <c r="P12" i="39"/>
  <c r="P11" i="39" s="1"/>
  <c r="Q6" i="40" s="1"/>
  <c r="P15" i="40"/>
  <c r="P39" i="39"/>
  <c r="P38" i="39" s="1"/>
  <c r="Q8" i="40" s="1"/>
  <c r="T198" i="39"/>
  <c r="V198" i="39" s="1"/>
  <c r="R12" i="40"/>
  <c r="P16" i="40"/>
  <c r="Q232" i="39"/>
  <c r="AG232" i="39" s="1"/>
  <c r="AW201" i="39"/>
  <c r="R9" i="40"/>
  <c r="P233" i="39"/>
  <c r="P232" i="39" s="1"/>
  <c r="Q18" i="40" s="1"/>
  <c r="AK201" i="39"/>
  <c r="M145" i="39"/>
  <c r="G200" i="41" s="1"/>
  <c r="R10" i="40"/>
  <c r="N38" i="39"/>
  <c r="AE38" i="39" s="1"/>
  <c r="Q186" i="39"/>
  <c r="AG186" i="39" s="1"/>
  <c r="P108" i="39"/>
  <c r="P107" i="39" s="1"/>
  <c r="Q13" i="40" s="1"/>
  <c r="AR209" i="39"/>
  <c r="R17" i="40"/>
  <c r="H187" i="41"/>
  <c r="W132" i="39"/>
  <c r="P10" i="40"/>
  <c r="P17" i="40"/>
  <c r="R11" i="40"/>
  <c r="T233" i="39"/>
  <c r="V233" i="39" s="1"/>
  <c r="P12" i="40"/>
  <c r="R6" i="40"/>
  <c r="BB114" i="39"/>
  <c r="T108" i="39"/>
  <c r="AK114" i="39"/>
  <c r="Q38" i="39"/>
  <c r="AG38" i="39" s="1"/>
  <c r="P84" i="38"/>
  <c r="M84" i="38" s="1"/>
  <c r="P85" i="38"/>
  <c r="M85" i="38" s="1"/>
  <c r="T84" i="38"/>
  <c r="V84" i="38" s="1"/>
  <c r="W84" i="38"/>
  <c r="AS85" i="38"/>
  <c r="AU85" i="38"/>
  <c r="AL84" i="38"/>
  <c r="AU84" i="38"/>
  <c r="AV84" i="38"/>
  <c r="AU206" i="39"/>
  <c r="AS206" i="39"/>
  <c r="BA206" i="39"/>
  <c r="AO206" i="39"/>
  <c r="AX206" i="39"/>
  <c r="AR206" i="39"/>
  <c r="AO209" i="39"/>
  <c r="AN206" i="39"/>
  <c r="AV206" i="39"/>
  <c r="AQ206" i="39"/>
  <c r="AW206" i="39"/>
  <c r="AS209" i="39"/>
  <c r="BI206" i="39"/>
  <c r="BM206" i="39" s="1"/>
  <c r="BH206" i="39"/>
  <c r="BL206" i="39" s="1"/>
  <c r="BG206" i="39"/>
  <c r="BK206" i="39" s="1"/>
  <c r="BB206" i="39"/>
  <c r="AT206" i="39"/>
  <c r="AQ209" i="39"/>
  <c r="BI209" i="39"/>
  <c r="BM209" i="39" s="1"/>
  <c r="M220" i="39"/>
  <c r="AN209" i="39"/>
  <c r="AZ209" i="39"/>
  <c r="AY209" i="39"/>
  <c r="AX209" i="39"/>
  <c r="AZ206" i="39"/>
  <c r="AU209" i="39"/>
  <c r="AP206" i="39"/>
  <c r="AV209" i="39"/>
  <c r="M159" i="39"/>
  <c r="BD262" i="39"/>
  <c r="BC264" i="39" s="1"/>
  <c r="M76" i="39"/>
  <c r="Q19" i="40"/>
  <c r="M58" i="39"/>
  <c r="M80" i="39"/>
  <c r="G21" i="41"/>
  <c r="N7" i="41" s="1"/>
  <c r="M205" i="39"/>
  <c r="G177" i="41"/>
  <c r="M121" i="39"/>
  <c r="G203" i="41"/>
  <c r="M147" i="39"/>
  <c r="M240" i="39"/>
  <c r="M187" i="39"/>
  <c r="G192" i="41"/>
  <c r="G211" i="41"/>
  <c r="M155" i="39"/>
  <c r="M152" i="39"/>
  <c r="BB211" i="39"/>
  <c r="BG211" i="39"/>
  <c r="BK211" i="39" s="1"/>
  <c r="BH211" i="39"/>
  <c r="BL211" i="39" s="1"/>
  <c r="BI211" i="39"/>
  <c r="BM211" i="39" s="1"/>
  <c r="BB207" i="39"/>
  <c r="BG207" i="39"/>
  <c r="BK207" i="39" s="1"/>
  <c r="BH207" i="39"/>
  <c r="BL207" i="39" s="1"/>
  <c r="BI207" i="39"/>
  <c r="BM207" i="39" s="1"/>
  <c r="AK85" i="38"/>
  <c r="AW85" i="38"/>
  <c r="M52" i="38"/>
  <c r="AO52" i="38"/>
  <c r="E15" i="45"/>
  <c r="AR211" i="39"/>
  <c r="AW211" i="39"/>
  <c r="AR207" i="39"/>
  <c r="AW207" i="39"/>
  <c r="M256" i="39"/>
  <c r="M250" i="39"/>
  <c r="AY208" i="39"/>
  <c r="G47" i="41"/>
  <c r="AQ211" i="39"/>
  <c r="BA211" i="39"/>
  <c r="AS211" i="39"/>
  <c r="AT211" i="39"/>
  <c r="AV211" i="39"/>
  <c r="AN211" i="39"/>
  <c r="AO211" i="39"/>
  <c r="AP211" i="39"/>
  <c r="AU211" i="39"/>
  <c r="AX211" i="39"/>
  <c r="AY211" i="39"/>
  <c r="AZ211" i="39"/>
  <c r="AQ207" i="39"/>
  <c r="BA207" i="39"/>
  <c r="AS207" i="39"/>
  <c r="AT207" i="39"/>
  <c r="AU207" i="39"/>
  <c r="AV207" i="39"/>
  <c r="AZ207" i="39"/>
  <c r="AN207" i="39"/>
  <c r="AO207" i="39"/>
  <c r="AP207" i="39"/>
  <c r="AX207" i="39"/>
  <c r="AY207" i="39"/>
  <c r="P205" i="39"/>
  <c r="O34" i="38" l="1"/>
  <c r="AF34" i="38" s="1"/>
  <c r="AF35" i="38"/>
  <c r="R34" i="38"/>
  <c r="AH34" i="38" s="1"/>
  <c r="AH35" i="38"/>
  <c r="S6" i="40"/>
  <c r="AC6" i="40" s="1"/>
  <c r="S18" i="40"/>
  <c r="AC18" i="40" s="1"/>
  <c r="P13" i="40"/>
  <c r="P120" i="39"/>
  <c r="Q14" i="40" s="1"/>
  <c r="P6" i="40"/>
  <c r="P7" i="40"/>
  <c r="G188" i="41"/>
  <c r="V12" i="39"/>
  <c r="R13" i="40"/>
  <c r="P18" i="40"/>
  <c r="M53" i="38"/>
  <c r="M51" i="38" s="1"/>
  <c r="M198" i="39"/>
  <c r="M186" i="39" s="1"/>
  <c r="O16" i="40" s="1"/>
  <c r="Z16" i="40" s="1"/>
  <c r="M108" i="39"/>
  <c r="M107" i="39" s="1"/>
  <c r="O13" i="40" s="1"/>
  <c r="Z13" i="40" s="1"/>
  <c r="M136" i="39"/>
  <c r="G191" i="41" s="1"/>
  <c r="R7" i="40"/>
  <c r="V39" i="39"/>
  <c r="P186" i="39"/>
  <c r="Q16" i="40" s="1"/>
  <c r="R14" i="40"/>
  <c r="M141" i="39"/>
  <c r="P11" i="40"/>
  <c r="S13" i="40"/>
  <c r="AC13" i="40" s="1"/>
  <c r="W38" i="39"/>
  <c r="S8" i="40"/>
  <c r="AC8" i="40" s="1"/>
  <c r="AL8" i="40" s="1"/>
  <c r="N66" i="41"/>
  <c r="S16" i="40"/>
  <c r="AC16" i="40" s="1"/>
  <c r="M54" i="39"/>
  <c r="M50" i="39" s="1"/>
  <c r="O9" i="40" s="1"/>
  <c r="Z9" i="40" s="1"/>
  <c r="P9" i="40"/>
  <c r="AT84" i="38"/>
  <c r="P14" i="40"/>
  <c r="AT85" i="38"/>
  <c r="AW84" i="38"/>
  <c r="AK84" i="38"/>
  <c r="T186" i="39"/>
  <c r="V186" i="39" s="1"/>
  <c r="M144" i="39"/>
  <c r="R8" i="40"/>
  <c r="T8" i="40"/>
  <c r="AF8" i="40" s="1"/>
  <c r="AI8" i="40" s="1"/>
  <c r="V38" i="39"/>
  <c r="P8" i="40"/>
  <c r="T232" i="39"/>
  <c r="T107" i="39"/>
  <c r="V108" i="39"/>
  <c r="T6" i="40"/>
  <c r="AF6" i="40" s="1"/>
  <c r="R16" i="40"/>
  <c r="R18" i="40"/>
  <c r="M232" i="39"/>
  <c r="O18" i="40" s="1"/>
  <c r="Z18" i="40" s="1"/>
  <c r="N100" i="41"/>
  <c r="N98" i="41"/>
  <c r="O19" i="40"/>
  <c r="Z19" i="40" s="1"/>
  <c r="D15" i="45"/>
  <c r="N33" i="41"/>
  <c r="I29" i="38"/>
  <c r="I30" i="38"/>
  <c r="I31" i="38"/>
  <c r="I32" i="38"/>
  <c r="I33" i="38"/>
  <c r="G29" i="38"/>
  <c r="G30" i="38"/>
  <c r="G31" i="38"/>
  <c r="G32" i="38"/>
  <c r="G33" i="38"/>
  <c r="T16" i="40" l="1"/>
  <c r="AF16" i="40" s="1"/>
  <c r="AL13" i="40"/>
  <c r="AC33" i="38" a="1"/>
  <c r="AC33" i="38" s="1"/>
  <c r="AD33" i="38" a="1"/>
  <c r="AD33" i="38" s="1"/>
  <c r="AC31" i="38" a="1"/>
  <c r="AC31" i="38" s="1"/>
  <c r="AD31" i="38" a="1"/>
  <c r="AD31" i="38" s="1"/>
  <c r="AC32" i="38" a="1"/>
  <c r="AC32" i="38" s="1"/>
  <c r="AD32" i="38" a="1"/>
  <c r="AD32" i="38" s="1"/>
  <c r="AC29" i="38" a="1"/>
  <c r="AC29" i="38" s="1"/>
  <c r="AD29" i="38" a="1"/>
  <c r="AD29" i="38" s="1"/>
  <c r="AC30" i="38" a="1"/>
  <c r="AC30" i="38" s="1"/>
  <c r="AD30" i="38" a="1"/>
  <c r="AD30" i="38" s="1"/>
  <c r="M120" i="39"/>
  <c r="O14" i="40" s="1"/>
  <c r="Z14" i="40" s="1"/>
  <c r="BI33" i="38"/>
  <c r="BM33" i="38" s="1"/>
  <c r="BI30" i="38"/>
  <c r="BM30" i="38" s="1"/>
  <c r="BH32" i="38"/>
  <c r="BL32" i="38" s="1"/>
  <c r="BI31" i="38"/>
  <c r="BM31" i="38" s="1"/>
  <c r="BI29" i="38"/>
  <c r="BM29" i="38" s="1"/>
  <c r="T13" i="40"/>
  <c r="AF13" i="40" s="1"/>
  <c r="AI13" i="40" s="1"/>
  <c r="V107" i="39"/>
  <c r="T18" i="40"/>
  <c r="AF18" i="40" s="1"/>
  <c r="AI18" i="40" s="1"/>
  <c r="V232" i="39"/>
  <c r="AL18" i="40"/>
  <c r="AI19" i="40"/>
  <c r="AL19" i="40"/>
  <c r="AI16" i="40"/>
  <c r="AL16" i="40"/>
  <c r="AE29" i="38"/>
  <c r="AG29" i="38"/>
  <c r="K16" i="38"/>
  <c r="J16" i="38" s="1"/>
  <c r="K15" i="38"/>
  <c r="J261" i="38"/>
  <c r="I261" i="38"/>
  <c r="G261" i="38"/>
  <c r="E261" i="38"/>
  <c r="BN260" i="38"/>
  <c r="J259" i="38"/>
  <c r="I259" i="38"/>
  <c r="G259" i="38"/>
  <c r="E259" i="38"/>
  <c r="J258" i="38"/>
  <c r="I258" i="38"/>
  <c r="G258" i="38"/>
  <c r="E258" i="38"/>
  <c r="BN257" i="38"/>
  <c r="BN256" i="38"/>
  <c r="AE256" i="38"/>
  <c r="I256" i="38"/>
  <c r="G256" i="38"/>
  <c r="E256" i="38"/>
  <c r="BN255" i="38"/>
  <c r="J255" i="38"/>
  <c r="I255" i="38"/>
  <c r="G255" i="38"/>
  <c r="E255" i="38"/>
  <c r="J254" i="38"/>
  <c r="H254" i="38"/>
  <c r="AB254" i="38" s="1"/>
  <c r="J253" i="38"/>
  <c r="I253" i="38"/>
  <c r="G253" i="38"/>
  <c r="E253" i="38"/>
  <c r="AE252" i="38"/>
  <c r="I252" i="38"/>
  <c r="G252" i="38"/>
  <c r="E252" i="38"/>
  <c r="BN251" i="38"/>
  <c r="J250" i="38"/>
  <c r="R250" i="38" s="1"/>
  <c r="I250" i="38"/>
  <c r="G250" i="38"/>
  <c r="E250" i="38"/>
  <c r="J249" i="38"/>
  <c r="R249" i="38" s="1"/>
  <c r="R248" i="38" s="1"/>
  <c r="I249" i="38"/>
  <c r="G249" i="38"/>
  <c r="E249" i="38"/>
  <c r="T246" i="38"/>
  <c r="S245" i="38"/>
  <c r="AI245" i="38" s="1"/>
  <c r="AG245" i="38"/>
  <c r="AE245" i="38"/>
  <c r="S243" i="38"/>
  <c r="AI243" i="38" s="1"/>
  <c r="AG243" i="38"/>
  <c r="S242" i="38"/>
  <c r="AI242" i="38" s="1"/>
  <c r="K239" i="38"/>
  <c r="I239" i="38"/>
  <c r="G239" i="38"/>
  <c r="K238" i="38"/>
  <c r="I238" i="38"/>
  <c r="G238" i="38"/>
  <c r="J237" i="38"/>
  <c r="I237" i="38"/>
  <c r="G237" i="38"/>
  <c r="J236" i="38"/>
  <c r="I236" i="38"/>
  <c r="G236" i="38"/>
  <c r="K235" i="38"/>
  <c r="I235" i="38"/>
  <c r="G235" i="38"/>
  <c r="E234" i="38"/>
  <c r="T232" i="38"/>
  <c r="V232" i="38" s="1"/>
  <c r="BP229" i="38"/>
  <c r="T229" i="38"/>
  <c r="V229" i="38" s="1"/>
  <c r="BN228" i="38"/>
  <c r="J227" i="38"/>
  <c r="I227" i="38"/>
  <c r="G227" i="38"/>
  <c r="I225" i="38"/>
  <c r="G225" i="38"/>
  <c r="J224" i="38"/>
  <c r="I224" i="38"/>
  <c r="G224" i="38"/>
  <c r="J223" i="38"/>
  <c r="I223" i="38"/>
  <c r="G223" i="38"/>
  <c r="J221" i="38"/>
  <c r="I221" i="38"/>
  <c r="G221" i="38"/>
  <c r="AE220" i="38"/>
  <c r="I220" i="38"/>
  <c r="G220" i="38"/>
  <c r="K218" i="38"/>
  <c r="I218" i="38"/>
  <c r="G218" i="38"/>
  <c r="E216" i="38"/>
  <c r="T214" i="38"/>
  <c r="V214" i="38" s="1"/>
  <c r="T213" i="38"/>
  <c r="V213" i="38" s="1"/>
  <c r="T212" i="38"/>
  <c r="V212" i="38" s="1"/>
  <c r="S211" i="38"/>
  <c r="AI211" i="38" s="1"/>
  <c r="AG211" i="38"/>
  <c r="AE211" i="38"/>
  <c r="I211" i="38"/>
  <c r="S210" i="38"/>
  <c r="AI210" i="38" s="1"/>
  <c r="AG210" i="38"/>
  <c r="AE210" i="38"/>
  <c r="I210" i="38"/>
  <c r="G210" i="38"/>
  <c r="S209" i="38"/>
  <c r="AI209" i="38" s="1"/>
  <c r="AG209" i="38"/>
  <c r="AE209" i="38"/>
  <c r="I209" i="38"/>
  <c r="G209" i="38"/>
  <c r="S208" i="38"/>
  <c r="AI208" i="38" s="1"/>
  <c r="AG208" i="38"/>
  <c r="AE208" i="38"/>
  <c r="I208" i="38"/>
  <c r="G208" i="38"/>
  <c r="E207" i="38"/>
  <c r="T206" i="38"/>
  <c r="V206" i="38" s="1"/>
  <c r="T205" i="38"/>
  <c r="V205" i="38" s="1"/>
  <c r="T204" i="38"/>
  <c r="V204" i="38" s="1"/>
  <c r="T203" i="38"/>
  <c r="V203" i="38" s="1"/>
  <c r="J202" i="38"/>
  <c r="I202" i="38"/>
  <c r="G202" i="38"/>
  <c r="J201" i="38"/>
  <c r="I201" i="38"/>
  <c r="G201" i="38"/>
  <c r="K200" i="38"/>
  <c r="I200" i="38"/>
  <c r="G200" i="38"/>
  <c r="E199" i="38"/>
  <c r="S198" i="38"/>
  <c r="AI198" i="38" s="1"/>
  <c r="AG198" i="38"/>
  <c r="AE198" i="38"/>
  <c r="L198" i="38"/>
  <c r="I198" i="38"/>
  <c r="G198" i="38"/>
  <c r="L197" i="38"/>
  <c r="K197" i="38"/>
  <c r="I197" i="38"/>
  <c r="G197" i="38"/>
  <c r="E196" i="38"/>
  <c r="T195" i="38"/>
  <c r="V195" i="38" s="1"/>
  <c r="T194" i="38"/>
  <c r="V194" i="38" s="1"/>
  <c r="S193" i="38"/>
  <c r="AI193" i="38" s="1"/>
  <c r="AG193" i="38"/>
  <c r="AE193" i="38"/>
  <c r="L193" i="38"/>
  <c r="I193" i="38"/>
  <c r="L192" i="38"/>
  <c r="J192" i="38"/>
  <c r="I192" i="38"/>
  <c r="G192" i="38"/>
  <c r="L191" i="38"/>
  <c r="J191" i="38"/>
  <c r="I191" i="38"/>
  <c r="G191" i="38"/>
  <c r="L190" i="38"/>
  <c r="J190" i="38"/>
  <c r="I190" i="38"/>
  <c r="G190" i="38"/>
  <c r="L189" i="38"/>
  <c r="K189" i="38"/>
  <c r="I189" i="38"/>
  <c r="G189" i="38"/>
  <c r="E188" i="38"/>
  <c r="BN184" i="38"/>
  <c r="BN183" i="38"/>
  <c r="BN182" i="38"/>
  <c r="BN181" i="38"/>
  <c r="BN179" i="38"/>
  <c r="E178" i="38"/>
  <c r="BN175" i="38"/>
  <c r="BN174" i="38"/>
  <c r="BN173" i="38"/>
  <c r="J172" i="38"/>
  <c r="I172" i="38"/>
  <c r="G172" i="38"/>
  <c r="J171" i="38"/>
  <c r="I171" i="38"/>
  <c r="G171" i="38"/>
  <c r="J170" i="38"/>
  <c r="I170" i="38"/>
  <c r="G170" i="38"/>
  <c r="E169" i="38"/>
  <c r="BN166" i="38"/>
  <c r="BN165" i="38"/>
  <c r="BN164" i="38"/>
  <c r="J163" i="38"/>
  <c r="I163" i="38"/>
  <c r="G163" i="38"/>
  <c r="K162" i="38"/>
  <c r="I162" i="38"/>
  <c r="G162" i="38"/>
  <c r="K161" i="38"/>
  <c r="I161" i="38"/>
  <c r="G161" i="38"/>
  <c r="E160" i="38"/>
  <c r="S158" i="38"/>
  <c r="AI158" i="38" s="1"/>
  <c r="AG158" i="38"/>
  <c r="AE158" i="38"/>
  <c r="I158" i="38"/>
  <c r="G158" i="38"/>
  <c r="B173" i="41" s="1"/>
  <c r="J157" i="38"/>
  <c r="I157" i="38"/>
  <c r="G157" i="38"/>
  <c r="B172" i="41" s="1"/>
  <c r="L155" i="38"/>
  <c r="K155" i="38"/>
  <c r="I155" i="38"/>
  <c r="G155" i="38"/>
  <c r="L154" i="38"/>
  <c r="J154" i="38"/>
  <c r="I154" i="38"/>
  <c r="G154" i="38"/>
  <c r="B169" i="41" s="1"/>
  <c r="BN153" i="38"/>
  <c r="J152" i="38"/>
  <c r="I152" i="38"/>
  <c r="G152" i="38"/>
  <c r="L151" i="38"/>
  <c r="J151" i="38"/>
  <c r="I151" i="38"/>
  <c r="G151" i="38"/>
  <c r="B166" i="41" s="1"/>
  <c r="L150" i="38"/>
  <c r="I150" i="38"/>
  <c r="G150" i="38"/>
  <c r="L149" i="38"/>
  <c r="J149" i="38"/>
  <c r="I149" i="38"/>
  <c r="G149" i="38"/>
  <c r="E148" i="38"/>
  <c r="K147" i="38"/>
  <c r="I147" i="38"/>
  <c r="G147" i="38"/>
  <c r="K146" i="38"/>
  <c r="I146" i="38"/>
  <c r="G146" i="38"/>
  <c r="B161" i="41" s="1"/>
  <c r="K144" i="38"/>
  <c r="I144" i="38"/>
  <c r="G144" i="38"/>
  <c r="K143" i="38"/>
  <c r="I143" i="38"/>
  <c r="G143" i="38"/>
  <c r="B158" i="41" s="1"/>
  <c r="J141" i="38"/>
  <c r="I141" i="38"/>
  <c r="G141" i="38"/>
  <c r="K140" i="38"/>
  <c r="I140" i="38"/>
  <c r="G140" i="38"/>
  <c r="B155" i="41" s="1"/>
  <c r="K139" i="38"/>
  <c r="I139" i="38"/>
  <c r="G139" i="38"/>
  <c r="K138" i="38"/>
  <c r="I138" i="38"/>
  <c r="G138" i="38"/>
  <c r="K135" i="38"/>
  <c r="I135" i="38"/>
  <c r="G135" i="38"/>
  <c r="B150" i="41" s="1"/>
  <c r="K134" i="38"/>
  <c r="I134" i="38"/>
  <c r="G134" i="38"/>
  <c r="S132" i="38"/>
  <c r="AI132" i="38" s="1"/>
  <c r="AG132" i="38"/>
  <c r="AE132" i="38"/>
  <c r="I132" i="38"/>
  <c r="G132" i="38"/>
  <c r="S131" i="38"/>
  <c r="AI131" i="38" s="1"/>
  <c r="AG131" i="38"/>
  <c r="AE131" i="38"/>
  <c r="L131" i="38"/>
  <c r="I131" i="38"/>
  <c r="G131" i="38"/>
  <c r="B146" i="41" s="1"/>
  <c r="BN130" i="38"/>
  <c r="L124" i="38"/>
  <c r="J124" i="38"/>
  <c r="I124" i="38"/>
  <c r="G124" i="38"/>
  <c r="J123" i="38"/>
  <c r="I123" i="38"/>
  <c r="G123" i="38"/>
  <c r="B138" i="41" s="1"/>
  <c r="L122" i="38"/>
  <c r="I122" i="38"/>
  <c r="G122" i="38"/>
  <c r="J121" i="38"/>
  <c r="I121" i="38"/>
  <c r="G121" i="38"/>
  <c r="E120" i="38"/>
  <c r="J115" i="38"/>
  <c r="I115" i="38"/>
  <c r="G115" i="38"/>
  <c r="J114" i="38"/>
  <c r="I114" i="38"/>
  <c r="G114" i="38"/>
  <c r="K113" i="38"/>
  <c r="I113" i="38"/>
  <c r="G113" i="38"/>
  <c r="J112" i="38"/>
  <c r="I112" i="38"/>
  <c r="G112" i="38"/>
  <c r="K111" i="38"/>
  <c r="I111" i="38"/>
  <c r="G111" i="38"/>
  <c r="J110" i="38"/>
  <c r="I110" i="38"/>
  <c r="G110" i="38"/>
  <c r="J109" i="38"/>
  <c r="I109" i="38"/>
  <c r="G109" i="38"/>
  <c r="K108" i="38"/>
  <c r="I108" i="38"/>
  <c r="G108" i="38"/>
  <c r="E107" i="38"/>
  <c r="T104" i="38"/>
  <c r="V104" i="38" s="1"/>
  <c r="T103" i="38"/>
  <c r="V103" i="38" s="1"/>
  <c r="T102" i="38"/>
  <c r="V102" i="38" s="1"/>
  <c r="BN101" i="38"/>
  <c r="AE100" i="38"/>
  <c r="I100" i="38"/>
  <c r="G100" i="38"/>
  <c r="AE99" i="38"/>
  <c r="I99" i="38"/>
  <c r="G99" i="38"/>
  <c r="S98" i="38"/>
  <c r="AI98" i="38" s="1"/>
  <c r="I98" i="38"/>
  <c r="G98" i="38"/>
  <c r="E97" i="38"/>
  <c r="S95" i="38"/>
  <c r="AI95" i="38" s="1"/>
  <c r="AG95" i="38"/>
  <c r="AE95" i="38"/>
  <c r="I95" i="38"/>
  <c r="G95" i="38"/>
  <c r="S94" i="38"/>
  <c r="AI94" i="38" s="1"/>
  <c r="AG94" i="38"/>
  <c r="AE94" i="38"/>
  <c r="I94" i="38"/>
  <c r="G94" i="38"/>
  <c r="S93" i="38"/>
  <c r="AI93" i="38" s="1"/>
  <c r="AG93" i="38"/>
  <c r="AE93" i="38"/>
  <c r="I93" i="38"/>
  <c r="G93" i="38"/>
  <c r="J91" i="38"/>
  <c r="I91" i="38"/>
  <c r="G91" i="38"/>
  <c r="I90" i="38"/>
  <c r="G90" i="38"/>
  <c r="I89" i="38"/>
  <c r="G89" i="38"/>
  <c r="J88" i="38"/>
  <c r="E88" i="38"/>
  <c r="BN86" i="38"/>
  <c r="S86" i="38"/>
  <c r="AI86" i="38" s="1"/>
  <c r="AG86" i="38"/>
  <c r="AE86" i="38"/>
  <c r="BN83" i="38"/>
  <c r="S83" i="38"/>
  <c r="AI83" i="38" s="1"/>
  <c r="AG83" i="38"/>
  <c r="AE83" i="38"/>
  <c r="I83" i="38"/>
  <c r="I82" i="38"/>
  <c r="G82" i="38"/>
  <c r="I81" i="38"/>
  <c r="G81" i="38"/>
  <c r="BN80" i="38"/>
  <c r="BN79" i="38"/>
  <c r="S79" i="38"/>
  <c r="AI79" i="38" s="1"/>
  <c r="AG79" i="38"/>
  <c r="AE79" i="38"/>
  <c r="I79" i="38"/>
  <c r="J78" i="38"/>
  <c r="I78" i="38"/>
  <c r="G78" i="38"/>
  <c r="J77" i="38"/>
  <c r="I77" i="38"/>
  <c r="G77" i="38"/>
  <c r="E76" i="38"/>
  <c r="BN75" i="38"/>
  <c r="T74" i="38"/>
  <c r="V74" i="38" s="1"/>
  <c r="S73" i="38"/>
  <c r="AI73" i="38" s="1"/>
  <c r="AG73" i="38"/>
  <c r="AE73" i="38"/>
  <c r="I73" i="38"/>
  <c r="S72" i="38"/>
  <c r="AI72" i="38" s="1"/>
  <c r="AG72" i="38"/>
  <c r="AE72" i="38"/>
  <c r="I72" i="38"/>
  <c r="S71" i="38"/>
  <c r="AI71" i="38" s="1"/>
  <c r="AG71" i="38"/>
  <c r="AE71" i="38"/>
  <c r="I71" i="38"/>
  <c r="S70" i="38"/>
  <c r="AI70" i="38" s="1"/>
  <c r="AG70" i="38"/>
  <c r="AE70" i="38"/>
  <c r="I70" i="38"/>
  <c r="I69" i="38"/>
  <c r="G69" i="38"/>
  <c r="J68" i="38"/>
  <c r="I68" i="38"/>
  <c r="G68" i="38"/>
  <c r="E67" i="38"/>
  <c r="BN65" i="38"/>
  <c r="J62" i="38"/>
  <c r="I62" i="38"/>
  <c r="J61" i="38"/>
  <c r="I61" i="38"/>
  <c r="G61" i="38"/>
  <c r="J60" i="38"/>
  <c r="I60" i="38"/>
  <c r="G60" i="38"/>
  <c r="BN59" i="38"/>
  <c r="J59" i="38"/>
  <c r="I59" i="38"/>
  <c r="G59" i="38"/>
  <c r="K56" i="38"/>
  <c r="I56" i="38"/>
  <c r="G56" i="38"/>
  <c r="K55" i="38"/>
  <c r="I55" i="38"/>
  <c r="G55" i="38"/>
  <c r="E51" i="38"/>
  <c r="BO49" i="38"/>
  <c r="BN49" i="38"/>
  <c r="BO48" i="38"/>
  <c r="BN48" i="38"/>
  <c r="BO46" i="38"/>
  <c r="BN46" i="38"/>
  <c r="K45" i="38"/>
  <c r="I45" i="38"/>
  <c r="G45" i="38"/>
  <c r="K44" i="38"/>
  <c r="I44" i="38"/>
  <c r="G44" i="38"/>
  <c r="K43" i="38"/>
  <c r="I43" i="38"/>
  <c r="G43" i="38"/>
  <c r="K42" i="38"/>
  <c r="I42" i="38"/>
  <c r="G42" i="38"/>
  <c r="J41" i="38"/>
  <c r="I41" i="38"/>
  <c r="G41" i="38"/>
  <c r="K40" i="38"/>
  <c r="I40" i="38"/>
  <c r="G40" i="38"/>
  <c r="E39" i="38"/>
  <c r="S36" i="38"/>
  <c r="AI36" i="38" s="1"/>
  <c r="AG36" i="38"/>
  <c r="AE36" i="38"/>
  <c r="BN35" i="38"/>
  <c r="S35" i="38"/>
  <c r="AI35" i="38" s="1"/>
  <c r="AG35" i="38"/>
  <c r="AE35" i="38"/>
  <c r="I35" i="38"/>
  <c r="G35" i="38"/>
  <c r="BN34" i="38"/>
  <c r="J28" i="38"/>
  <c r="I28" i="38"/>
  <c r="G28" i="38"/>
  <c r="BN27" i="38"/>
  <c r="J26" i="38"/>
  <c r="I26" i="38"/>
  <c r="G26" i="38"/>
  <c r="J25" i="38"/>
  <c r="I25" i="38"/>
  <c r="G25" i="38"/>
  <c r="J24" i="38"/>
  <c r="I24" i="38"/>
  <c r="G24" i="38"/>
  <c r="E23" i="38"/>
  <c r="K17" i="38"/>
  <c r="I17" i="38"/>
  <c r="G17" i="38"/>
  <c r="I16" i="38"/>
  <c r="G16" i="38"/>
  <c r="I15" i="38"/>
  <c r="G15" i="38"/>
  <c r="K14" i="38"/>
  <c r="I14" i="38"/>
  <c r="G14" i="38"/>
  <c r="K13" i="38"/>
  <c r="I13" i="38"/>
  <c r="G13" i="38"/>
  <c r="E12" i="38"/>
  <c r="S9" i="38"/>
  <c r="AI9" i="38" s="1"/>
  <c r="BN8" i="38"/>
  <c r="AG8" i="38"/>
  <c r="AE8" i="38"/>
  <c r="S7" i="38"/>
  <c r="AI7" i="38" s="1"/>
  <c r="AM6" i="38"/>
  <c r="H6" i="38"/>
  <c r="Q6" i="38" s="1"/>
  <c r="R6" i="38" s="1"/>
  <c r="G6" i="38"/>
  <c r="B4" i="42" s="1" a="1"/>
  <c r="B4" i="42" s="1"/>
  <c r="S5" i="38"/>
  <c r="W5" i="38" s="1"/>
  <c r="I247" i="31"/>
  <c r="I245" i="31"/>
  <c r="I244" i="31"/>
  <c r="I242" i="31"/>
  <c r="I241" i="31"/>
  <c r="I239" i="31"/>
  <c r="I238" i="31"/>
  <c r="I236" i="31"/>
  <c r="I235" i="31"/>
  <c r="J241" i="31"/>
  <c r="R5" i="38" l="1"/>
  <c r="AH6" i="38"/>
  <c r="R16" i="38"/>
  <c r="AH16" i="38" s="1"/>
  <c r="Q16" i="38"/>
  <c r="O16" i="38"/>
  <c r="AF16" i="38" s="1"/>
  <c r="R68" i="38"/>
  <c r="O68" i="38"/>
  <c r="Q68" i="38"/>
  <c r="O124" i="38"/>
  <c r="AF124" i="38" s="1"/>
  <c r="R124" i="38"/>
  <c r="AH124" i="38" s="1"/>
  <c r="Q124" i="38"/>
  <c r="Q227" i="38"/>
  <c r="R227" i="38"/>
  <c r="AH227" i="38" s="1"/>
  <c r="O227" i="38"/>
  <c r="AF227" i="38" s="1"/>
  <c r="R121" i="38"/>
  <c r="AH121" i="38" s="1"/>
  <c r="O121" i="38"/>
  <c r="AF121" i="38" s="1"/>
  <c r="Q121" i="38"/>
  <c r="R236" i="38"/>
  <c r="AH236" i="38" s="1"/>
  <c r="Q236" i="38"/>
  <c r="AG236" i="38" s="1"/>
  <c r="O236" i="38"/>
  <c r="AF236" i="38" s="1"/>
  <c r="R112" i="38"/>
  <c r="AH112" i="38" s="1"/>
  <c r="Q112" i="38"/>
  <c r="AG112" i="38" s="1"/>
  <c r="O112" i="38"/>
  <c r="AF112" i="38" s="1"/>
  <c r="R28" i="38"/>
  <c r="O28" i="38"/>
  <c r="Q28" i="38"/>
  <c r="R77" i="38"/>
  <c r="AH77" i="38" s="1"/>
  <c r="Q77" i="38"/>
  <c r="O77" i="38"/>
  <c r="AF77" i="38" s="1"/>
  <c r="R154" i="38"/>
  <c r="AH154" i="38" s="1"/>
  <c r="Q154" i="38"/>
  <c r="O154" i="38"/>
  <c r="AF154" i="38" s="1"/>
  <c r="R192" i="38"/>
  <c r="AH192" i="38" s="1"/>
  <c r="O192" i="38"/>
  <c r="AF192" i="38" s="1"/>
  <c r="Q192" i="38"/>
  <c r="Q59" i="38"/>
  <c r="AG59" i="38" s="1"/>
  <c r="O59" i="38"/>
  <c r="AF59" i="38" s="1"/>
  <c r="R59" i="38"/>
  <c r="AH59" i="38" s="1"/>
  <c r="R114" i="38"/>
  <c r="AH114" i="38" s="1"/>
  <c r="O114" i="38"/>
  <c r="AF114" i="38" s="1"/>
  <c r="Q114" i="38"/>
  <c r="AG114" i="38" s="1"/>
  <c r="Q78" i="38"/>
  <c r="AG78" i="38" s="1"/>
  <c r="O78" i="38"/>
  <c r="AF78" i="38" s="1"/>
  <c r="R78" i="38"/>
  <c r="AH78" i="38" s="1"/>
  <c r="R163" i="38"/>
  <c r="AH163" i="38" s="1"/>
  <c r="Q163" i="38"/>
  <c r="AG163" i="38" s="1"/>
  <c r="O163" i="38"/>
  <c r="AF163" i="38" s="1"/>
  <c r="Q149" i="38"/>
  <c r="O149" i="38"/>
  <c r="AF149" i="38" s="1"/>
  <c r="R149" i="38"/>
  <c r="AH149" i="38" s="1"/>
  <c r="O115" i="38"/>
  <c r="AF115" i="38" s="1"/>
  <c r="R115" i="38"/>
  <c r="AH115" i="38" s="1"/>
  <c r="Q115" i="38"/>
  <c r="AG115" i="38" s="1"/>
  <c r="Q60" i="38"/>
  <c r="R60" i="38"/>
  <c r="AH60" i="38" s="1"/>
  <c r="O60" i="38"/>
  <c r="AF60" i="38" s="1"/>
  <c r="R201" i="38"/>
  <c r="AH201" i="38" s="1"/>
  <c r="Q201" i="38"/>
  <c r="AG201" i="38" s="1"/>
  <c r="O201" i="38"/>
  <c r="AF201" i="38" s="1"/>
  <c r="R221" i="38"/>
  <c r="AH221" i="38" s="1"/>
  <c r="Q221" i="38"/>
  <c r="AG221" i="38" s="1"/>
  <c r="O221" i="38"/>
  <c r="AF221" i="38" s="1"/>
  <c r="R25" i="38"/>
  <c r="AH25" i="38" s="1"/>
  <c r="Q25" i="38"/>
  <c r="O25" i="38"/>
  <c r="AF25" i="38" s="1"/>
  <c r="R110" i="38"/>
  <c r="AH110" i="38" s="1"/>
  <c r="Q110" i="38"/>
  <c r="O110" i="38"/>
  <c r="AF110" i="38" s="1"/>
  <c r="Q223" i="38"/>
  <c r="R223" i="38"/>
  <c r="AH223" i="38" s="1"/>
  <c r="O223" i="38"/>
  <c r="AF223" i="38" s="1"/>
  <c r="R157" i="38"/>
  <c r="Q157" i="38"/>
  <c r="O157" i="38"/>
  <c r="R62" i="38"/>
  <c r="AH62" i="38" s="1"/>
  <c r="Q62" i="38"/>
  <c r="AG62" i="38" s="1"/>
  <c r="O62" i="38"/>
  <c r="AF62" i="38" s="1"/>
  <c r="R26" i="38"/>
  <c r="AH26" i="38" s="1"/>
  <c r="Q26" i="38"/>
  <c r="AG26" i="38" s="1"/>
  <c r="O26" i="38"/>
  <c r="AF26" i="38" s="1"/>
  <c r="Q109" i="38"/>
  <c r="AG109" i="38" s="1"/>
  <c r="R109" i="38"/>
  <c r="AH109" i="38" s="1"/>
  <c r="O109" i="38"/>
  <c r="AF109" i="38" s="1"/>
  <c r="O61" i="38"/>
  <c r="AF61" i="38" s="1"/>
  <c r="Q61" i="38"/>
  <c r="R61" i="38"/>
  <c r="AH61" i="38" s="1"/>
  <c r="Q141" i="38"/>
  <c r="O141" i="38"/>
  <c r="AF141" i="38" s="1"/>
  <c r="R141" i="38"/>
  <c r="AH141" i="38" s="1"/>
  <c r="Q170" i="38"/>
  <c r="R170" i="38"/>
  <c r="AH170" i="38" s="1"/>
  <c r="O170" i="38"/>
  <c r="AF170" i="38" s="1"/>
  <c r="Q202" i="38"/>
  <c r="AG202" i="38" s="1"/>
  <c r="R202" i="38"/>
  <c r="AH202" i="38" s="1"/>
  <c r="O202" i="38"/>
  <c r="AF202" i="38" s="1"/>
  <c r="O91" i="38"/>
  <c r="AF91" i="38" s="1"/>
  <c r="R91" i="38"/>
  <c r="AH91" i="38" s="1"/>
  <c r="Q91" i="38"/>
  <c r="AG91" i="38" s="1"/>
  <c r="O151" i="38"/>
  <c r="AF151" i="38" s="1"/>
  <c r="R151" i="38"/>
  <c r="AH151" i="38" s="1"/>
  <c r="Q151" i="38"/>
  <c r="AG151" i="38" s="1"/>
  <c r="Q237" i="38"/>
  <c r="AG237" i="38" s="1"/>
  <c r="O237" i="38"/>
  <c r="AF237" i="38" s="1"/>
  <c r="R237" i="38"/>
  <c r="AH237" i="38" s="1"/>
  <c r="R171" i="38"/>
  <c r="AH171" i="38" s="1"/>
  <c r="Q171" i="38"/>
  <c r="AG171" i="38" s="1"/>
  <c r="O171" i="38"/>
  <c r="AF171" i="38" s="1"/>
  <c r="R190" i="38"/>
  <c r="AH190" i="38" s="1"/>
  <c r="O190" i="38"/>
  <c r="AF190" i="38" s="1"/>
  <c r="Q190" i="38"/>
  <c r="O224" i="38"/>
  <c r="AF224" i="38" s="1"/>
  <c r="R224" i="38"/>
  <c r="AH224" i="38" s="1"/>
  <c r="Q224" i="38"/>
  <c r="AG224" i="38" s="1"/>
  <c r="Q41" i="38"/>
  <c r="R41" i="38"/>
  <c r="AH41" i="38" s="1"/>
  <c r="O41" i="38"/>
  <c r="AF41" i="38" s="1"/>
  <c r="R24" i="38"/>
  <c r="AH24" i="38" s="1"/>
  <c r="Q24" i="38"/>
  <c r="AG24" i="38" s="1"/>
  <c r="O24" i="38"/>
  <c r="AF24" i="38" s="1"/>
  <c r="R123" i="38"/>
  <c r="AH123" i="38" s="1"/>
  <c r="O123" i="38"/>
  <c r="AF123" i="38" s="1"/>
  <c r="Q123" i="38"/>
  <c r="AG123" i="38" s="1"/>
  <c r="R152" i="38"/>
  <c r="AH152" i="38" s="1"/>
  <c r="Q152" i="38"/>
  <c r="O152" i="38"/>
  <c r="AF152" i="38" s="1"/>
  <c r="Q172" i="38"/>
  <c r="O172" i="38"/>
  <c r="AF172" i="38" s="1"/>
  <c r="R172" i="38"/>
  <c r="AH172" i="38" s="1"/>
  <c r="R191" i="38"/>
  <c r="AH191" i="38" s="1"/>
  <c r="Q191" i="38"/>
  <c r="O191" i="38"/>
  <c r="AF191" i="38" s="1"/>
  <c r="AC95" i="38" a="1"/>
  <c r="AC95" i="38" s="1"/>
  <c r="AD95" i="38" s="1" a="1"/>
  <c r="AD95" i="38" s="1"/>
  <c r="AC155" i="38" a="1"/>
  <c r="AC155" i="38" s="1"/>
  <c r="N163" i="38"/>
  <c r="AC193" i="38" a="1"/>
  <c r="AC193" i="38" s="1"/>
  <c r="AD193" i="38" a="1"/>
  <c r="AD193" i="38" s="1"/>
  <c r="AC200" i="38" a="1"/>
  <c r="AC200" i="38" s="1"/>
  <c r="AC220" i="38" a="1"/>
  <c r="AC220" i="38" s="1"/>
  <c r="AD220" i="38" s="1" a="1"/>
  <c r="AD220" i="38" s="1"/>
  <c r="Q259" i="38"/>
  <c r="R259" i="38" s="1"/>
  <c r="N259" i="38"/>
  <c r="N124" i="38"/>
  <c r="AE124" i="38" s="1"/>
  <c r="AG124" i="38"/>
  <c r="AC43" i="38" a="1"/>
  <c r="AC43" i="38" s="1"/>
  <c r="AC59" i="38" a="1"/>
  <c r="AC59" i="38" s="1"/>
  <c r="AD59" i="38" a="1"/>
  <c r="AD59" i="38" s="1"/>
  <c r="N78" i="38"/>
  <c r="AE78" i="38" s="1"/>
  <c r="AC108" i="38" a="1"/>
  <c r="AC108" i="38" s="1"/>
  <c r="AC79" i="38" a="1"/>
  <c r="AC79" i="38" s="1"/>
  <c r="AD79" i="38" a="1"/>
  <c r="AD79" i="38" s="1"/>
  <c r="D6" i="46"/>
  <c r="AD92" i="38" s="1" a="1"/>
  <c r="AD92" i="38" s="1"/>
  <c r="AC115" i="38" a="1"/>
  <c r="AC115" i="38" s="1"/>
  <c r="AD115" i="38" s="1" a="1"/>
  <c r="AD115" i="38" s="1"/>
  <c r="AC149" i="38" a="1"/>
  <c r="AC149" i="38" s="1"/>
  <c r="AD149" i="38" a="1"/>
  <c r="AD149" i="38" s="1"/>
  <c r="N254" i="38"/>
  <c r="Q254" i="38"/>
  <c r="AC201" i="38" a="1"/>
  <c r="AC201" i="38" s="1"/>
  <c r="AD201" i="38" a="1"/>
  <c r="AD201" i="38" s="1"/>
  <c r="AC210" i="38" a="1"/>
  <c r="AC210" i="38" s="1"/>
  <c r="AD210" i="38" s="1" a="1"/>
  <c r="AD210" i="38" s="1"/>
  <c r="N221" i="38"/>
  <c r="AE221" i="38" s="1"/>
  <c r="AC255" i="38" a="1"/>
  <c r="AC255" i="38" s="1"/>
  <c r="AD255" i="38" s="1" a="1"/>
  <c r="AD255" i="38" s="1"/>
  <c r="AC261" i="38" a="1"/>
  <c r="AC261" i="38" s="1"/>
  <c r="AD261" i="38" s="1" a="1"/>
  <c r="AD261" i="38" s="1"/>
  <c r="AC236" i="38" a="1"/>
  <c r="AC236" i="38" s="1"/>
  <c r="AD236" i="38" a="1"/>
  <c r="AD236" i="38" s="1"/>
  <c r="AC249" i="38" a="1"/>
  <c r="AC249" i="38" s="1"/>
  <c r="AD249" i="38" s="1" a="1"/>
  <c r="AD249" i="38" s="1"/>
  <c r="Q255" i="38"/>
  <c r="N255" i="38"/>
  <c r="Q261" i="38"/>
  <c r="N261" i="38"/>
  <c r="AC69" i="38" a="1"/>
  <c r="AC69" i="38" s="1"/>
  <c r="AD69" i="38" a="1"/>
  <c r="AD69" i="38" s="1"/>
  <c r="N192" i="38"/>
  <c r="AC163" i="38" a="1"/>
  <c r="AC163" i="38" s="1"/>
  <c r="AD163" i="38" a="1"/>
  <c r="AD163" i="38" s="1"/>
  <c r="AP60" i="38"/>
  <c r="N60" i="38"/>
  <c r="AE60" i="38" s="1"/>
  <c r="AC223" i="38" a="1"/>
  <c r="AC223" i="38" s="1"/>
  <c r="AD223" i="38" a="1"/>
  <c r="AD223" i="38" s="1"/>
  <c r="N236" i="38"/>
  <c r="AS236" i="38" s="1"/>
  <c r="Q249" i="38"/>
  <c r="AG249" i="38" s="1"/>
  <c r="N249" i="38"/>
  <c r="O249" i="38" s="1"/>
  <c r="N114" i="38"/>
  <c r="AC235" i="38" a="1"/>
  <c r="AC235" i="38" s="1"/>
  <c r="AC109" i="38" a="1"/>
  <c r="AC109" i="38" s="1"/>
  <c r="AD109" i="38" a="1"/>
  <c r="AD109" i="38" s="1"/>
  <c r="AC158" i="38" a="1"/>
  <c r="AC158" i="38" s="1"/>
  <c r="AD158" i="38" a="1"/>
  <c r="AD158" i="38" s="1"/>
  <c r="S170" i="38"/>
  <c r="AI170" i="38" s="1"/>
  <c r="N170" i="38"/>
  <c r="AG170" i="38"/>
  <c r="N202" i="38"/>
  <c r="AE202" i="38" s="1"/>
  <c r="S223" i="38"/>
  <c r="AI223" i="38" s="1"/>
  <c r="AG223" i="38"/>
  <c r="N223" i="38"/>
  <c r="AE223" i="38" s="1"/>
  <c r="AC221" i="38" a="1"/>
  <c r="AC221" i="38" s="1"/>
  <c r="AD221" i="38" a="1"/>
  <c r="AD221" i="38" s="1"/>
  <c r="AC237" i="38" a="1"/>
  <c r="AC237" i="38" s="1"/>
  <c r="AD237" i="38" a="1"/>
  <c r="AD237" i="38" s="1"/>
  <c r="AC94" i="38" a="1"/>
  <c r="AC94" i="38" s="1"/>
  <c r="AD94" i="38" s="1" a="1"/>
  <c r="AD94" i="38" s="1"/>
  <c r="AC70" i="38" a="1"/>
  <c r="AC70" i="38" s="1"/>
  <c r="AD70" i="38" a="1"/>
  <c r="AD70" i="38" s="1"/>
  <c r="AC35" i="38" a="1"/>
  <c r="AC35" i="38" s="1"/>
  <c r="AD35" i="38" a="1"/>
  <c r="AD35" i="38" s="1"/>
  <c r="AC218" i="38" a="1"/>
  <c r="AC218" i="38" s="1"/>
  <c r="Q253" i="38"/>
  <c r="N253" i="38"/>
  <c r="AC150" i="38" a="1"/>
  <c r="AC150" i="38" s="1"/>
  <c r="AD150" i="38" a="1"/>
  <c r="AD150" i="38" s="1"/>
  <c r="AC62" i="38" a="1"/>
  <c r="AC62" i="38" s="1"/>
  <c r="AD62" i="38" a="1"/>
  <c r="AD62" i="38" s="1"/>
  <c r="AC73" i="38" a="1"/>
  <c r="AC73" i="38" s="1"/>
  <c r="AD73" i="38" a="1"/>
  <c r="AD73" i="38" s="1"/>
  <c r="AC111" i="38" a="1"/>
  <c r="AC111" i="38" s="1"/>
  <c r="AC171" i="38" a="1"/>
  <c r="AC171" i="38" s="1"/>
  <c r="AD171" i="38" a="1"/>
  <c r="AD171" i="38" s="1"/>
  <c r="AC190" i="38" a="1"/>
  <c r="AC190" i="38" s="1"/>
  <c r="AD190" i="38" a="1"/>
  <c r="AD190" i="38" s="1"/>
  <c r="AC197" i="38" a="1"/>
  <c r="AC197" i="38" s="1"/>
  <c r="AC224" i="38" a="1"/>
  <c r="AC224" i="38" s="1"/>
  <c r="AD224" i="38" a="1"/>
  <c r="AD224" i="38" s="1"/>
  <c r="N237" i="38"/>
  <c r="AC250" i="38" a="1"/>
  <c r="AC250" i="38" s="1"/>
  <c r="AD250" i="38" s="1" a="1"/>
  <c r="AD250" i="38" s="1"/>
  <c r="AC256" i="38" a="1"/>
  <c r="AC256" i="38" s="1"/>
  <c r="AD256" i="38" s="1" a="1"/>
  <c r="AD256" i="38" s="1"/>
  <c r="AC16" i="38" a="1"/>
  <c r="AC16" i="38" s="1"/>
  <c r="AD16" i="38" a="1"/>
  <c r="AD16" i="38" s="1"/>
  <c r="AG154" i="38"/>
  <c r="N154" i="38"/>
  <c r="AE154" i="38" s="1"/>
  <c r="AC202" i="38" a="1"/>
  <c r="AC202" i="38" s="1"/>
  <c r="AD202" i="38" a="1"/>
  <c r="AD202" i="38" s="1"/>
  <c r="AC56" i="38" a="1"/>
  <c r="AC56" i="38" s="1"/>
  <c r="AG227" i="38"/>
  <c r="N227" i="38"/>
  <c r="AE227" i="38" s="1"/>
  <c r="N6" i="38"/>
  <c r="AG6" i="38"/>
  <c r="AC209" i="38" a="1"/>
  <c r="AC209" i="38" s="1"/>
  <c r="AD209" i="38" s="1" a="1"/>
  <c r="AD209" i="38" s="1"/>
  <c r="AC45" i="38" a="1"/>
  <c r="AC45" i="38" s="1"/>
  <c r="AC132" i="38" a="1"/>
  <c r="AC132" i="38" s="1"/>
  <c r="AD132" i="38" s="1" a="1"/>
  <c r="AD132" i="38" s="1"/>
  <c r="AC25" i="38" a="1"/>
  <c r="AC25" i="38" s="1"/>
  <c r="AD25" i="38" a="1"/>
  <c r="AD25" i="38" s="1"/>
  <c r="AC98" i="38" a="1"/>
  <c r="AC98" i="38" s="1"/>
  <c r="AD98" i="38" a="1"/>
  <c r="AD98" i="38" s="1"/>
  <c r="N121" i="38"/>
  <c r="BN25" i="38"/>
  <c r="AG25" i="38"/>
  <c r="N25" i="38"/>
  <c r="AE25" i="38" s="1"/>
  <c r="N110" i="38"/>
  <c r="AE110" i="38" s="1"/>
  <c r="AG110" i="38"/>
  <c r="AC13" i="38" a="1"/>
  <c r="AC13" i="38" s="1"/>
  <c r="AC81" i="38" a="1"/>
  <c r="AC81" i="38" s="1"/>
  <c r="AD81" i="38" a="1"/>
  <c r="AD81" i="38" s="1"/>
  <c r="AC143" i="38" a="1"/>
  <c r="AC143" i="38" s="1"/>
  <c r="AC99" i="38" a="1"/>
  <c r="AC99" i="38" s="1"/>
  <c r="AD99" i="38" a="1"/>
  <c r="AD99" i="38" s="1"/>
  <c r="N151" i="38"/>
  <c r="S26" i="38"/>
  <c r="AI26" i="38" s="1"/>
  <c r="N26" i="38"/>
  <c r="AC82" i="38" a="1"/>
  <c r="AC82" i="38" s="1"/>
  <c r="AD82" i="38" a="1"/>
  <c r="AD82" i="38" s="1"/>
  <c r="AC134" i="38" a="1"/>
  <c r="AC134" i="38" s="1"/>
  <c r="N171" i="38"/>
  <c r="AE171" i="38" s="1"/>
  <c r="Q250" i="38"/>
  <c r="BE250" i="38" s="1"/>
  <c r="N250" i="38"/>
  <c r="S41" i="38"/>
  <c r="AI41" i="38" s="1"/>
  <c r="N41" i="38"/>
  <c r="AE41" i="38" s="1"/>
  <c r="AC83" i="38" a="1"/>
  <c r="AC83" i="38" s="1"/>
  <c r="AD83" i="38" a="1"/>
  <c r="AD83" i="38" s="1"/>
  <c r="AC123" i="38" a="1"/>
  <c r="AC123" i="38" s="1"/>
  <c r="AD123" i="38" a="1"/>
  <c r="AD123" i="38" s="1"/>
  <c r="AC144" i="38" a="1"/>
  <c r="AC144" i="38" s="1"/>
  <c r="AC238" i="38" a="1"/>
  <c r="AC238" i="38" s="1"/>
  <c r="AC113" i="38" a="1"/>
  <c r="AC113" i="38" s="1"/>
  <c r="AC77" i="38" a="1"/>
  <c r="AC77" i="38" s="1"/>
  <c r="AD77" i="38" a="1"/>
  <c r="AD77" i="38" s="1"/>
  <c r="AC138" i="38" a="1"/>
  <c r="AC138" i="38" s="1"/>
  <c r="AC162" i="38" a="1"/>
  <c r="AC162" i="38" s="1"/>
  <c r="AG16" i="38"/>
  <c r="N16" i="38"/>
  <c r="AE16" i="38" s="1"/>
  <c r="N77" i="38"/>
  <c r="AE77" i="38" s="1"/>
  <c r="AG77" i="38"/>
  <c r="AC147" i="38" a="1"/>
  <c r="AC147" i="38" s="1"/>
  <c r="AC17" i="38" a="1"/>
  <c r="AC17" i="38" s="1"/>
  <c r="N59" i="38"/>
  <c r="AN59" i="38" s="1"/>
  <c r="AC71" i="38" a="1"/>
  <c r="AC71" i="38" s="1"/>
  <c r="AD71" i="38" a="1"/>
  <c r="AD71" i="38" s="1"/>
  <c r="AC121" i="38" a="1"/>
  <c r="AC121" i="38" s="1"/>
  <c r="AD121" i="38" a="1"/>
  <c r="AD121" i="38" s="1"/>
  <c r="AG141" i="38"/>
  <c r="N141" i="38"/>
  <c r="AE141" i="38" s="1"/>
  <c r="AC40" i="38" a="1"/>
  <c r="AC40" i="38" s="1"/>
  <c r="AC91" i="38" a="1"/>
  <c r="AC91" i="38" s="1"/>
  <c r="AD91" i="38" s="1" a="1"/>
  <c r="AD91" i="38" s="1"/>
  <c r="N62" i="38"/>
  <c r="AE62" i="38" s="1"/>
  <c r="N91" i="38"/>
  <c r="AC122" i="38" a="1"/>
  <c r="AC122" i="38" s="1"/>
  <c r="AD122" i="38" a="1"/>
  <c r="AD122" i="38" s="1"/>
  <c r="AC211" i="38" a="1"/>
  <c r="AC211" i="38" s="1"/>
  <c r="AD211" i="38" s="1" a="1"/>
  <c r="AD211" i="38" s="1"/>
  <c r="AC41" i="38" a="1"/>
  <c r="AC41" i="38" s="1"/>
  <c r="AD41" i="38" a="1"/>
  <c r="AD41" i="38" s="1"/>
  <c r="AC93" i="38" a="1"/>
  <c r="AC93" i="38" s="1"/>
  <c r="AD93" i="38" s="1" a="1"/>
  <c r="AD93" i="38" s="1"/>
  <c r="AC14" i="38" a="1"/>
  <c r="AC14" i="38" s="1"/>
  <c r="AC55" i="38" a="1"/>
  <c r="AC55" i="38" s="1"/>
  <c r="AC68" i="38" a="1"/>
  <c r="AC68" i="38" s="1"/>
  <c r="AD68" i="38" a="1"/>
  <c r="AD68" i="38" s="1"/>
  <c r="AC100" i="38" a="1"/>
  <c r="AC100" i="38" s="1"/>
  <c r="AD100" i="38" a="1"/>
  <c r="AD100" i="38" s="1"/>
  <c r="AC112" i="38" a="1"/>
  <c r="AC112" i="38" s="1"/>
  <c r="AD112" i="38" a="1"/>
  <c r="AD112" i="38" s="1"/>
  <c r="N123" i="38"/>
  <c r="AE123" i="38" s="1"/>
  <c r="AC152" i="38" a="1"/>
  <c r="AC152" i="38" s="1"/>
  <c r="AD152" i="38" a="1"/>
  <c r="AD152" i="38" s="1"/>
  <c r="AC172" i="38" a="1"/>
  <c r="AC172" i="38" s="1"/>
  <c r="AD172" i="38" a="1"/>
  <c r="AD172" i="38" s="1"/>
  <c r="AC225" i="38" a="1"/>
  <c r="AC225" i="38" s="1"/>
  <c r="AD225" i="38" a="1"/>
  <c r="AD225" i="38" s="1"/>
  <c r="AC258" i="38" a="1"/>
  <c r="AC258" i="38" s="1"/>
  <c r="AD258" i="38" s="1" a="1"/>
  <c r="AD258" i="38" s="1"/>
  <c r="AC154" i="38" a="1"/>
  <c r="AC154" i="38" s="1"/>
  <c r="AD154" i="38" a="1"/>
  <c r="AD154" i="38" s="1"/>
  <c r="Q258" i="38"/>
  <c r="N258" i="38"/>
  <c r="AC192" i="38" a="1"/>
  <c r="AC192" i="38" s="1"/>
  <c r="AD192" i="38" a="1"/>
  <c r="AD192" i="38" s="1"/>
  <c r="AC253" i="38" a="1"/>
  <c r="AC253" i="38" s="1"/>
  <c r="AD253" i="38" s="1" a="1"/>
  <c r="AD253" i="38" s="1"/>
  <c r="AC44" i="38" a="1"/>
  <c r="AC44" i="38" s="1"/>
  <c r="AC131" i="38" a="1"/>
  <c r="AC131" i="38" s="1"/>
  <c r="AD131" i="38" s="1" a="1"/>
  <c r="AD131" i="38" s="1"/>
  <c r="AC259" i="38" a="1"/>
  <c r="AC259" i="38" s="1"/>
  <c r="AD259" i="38" s="1" a="1"/>
  <c r="AD259" i="38" s="1"/>
  <c r="AC60" i="38" a="1"/>
  <c r="AC60" i="38" s="1"/>
  <c r="AD60" i="38" a="1"/>
  <c r="AD60" i="38" s="1"/>
  <c r="S115" i="38"/>
  <c r="AI115" i="38" s="1"/>
  <c r="N115" i="38"/>
  <c r="AE115" i="38" s="1"/>
  <c r="AC140" i="38" a="1"/>
  <c r="AC140" i="38" s="1"/>
  <c r="AG149" i="38"/>
  <c r="N149" i="38"/>
  <c r="AE149" i="38" s="1"/>
  <c r="AC24" i="38" a="1"/>
  <c r="AC24" i="38" s="1"/>
  <c r="AD24" i="38" a="1"/>
  <c r="AD24" i="38" s="1"/>
  <c r="AC89" i="38" a="1"/>
  <c r="AC89" i="38" s="1"/>
  <c r="AC61" i="38" a="1"/>
  <c r="AC61" i="38" s="1"/>
  <c r="AD61" i="38" a="1"/>
  <c r="AD61" i="38" s="1"/>
  <c r="AC189" i="38" a="1"/>
  <c r="AC189" i="38" s="1"/>
  <c r="AC26" i="38" a="1"/>
  <c r="AC26" i="38" s="1"/>
  <c r="AD26" i="38" a="1"/>
  <c r="AD26" i="38" s="1"/>
  <c r="N190" i="38"/>
  <c r="AE190" i="38" s="1"/>
  <c r="N224" i="38"/>
  <c r="AE224" i="38" s="1"/>
  <c r="AC28" i="38" a="1"/>
  <c r="AC28" i="38" s="1"/>
  <c r="AD28" i="38" a="1"/>
  <c r="AD28" i="38" s="1"/>
  <c r="AC42" i="38" a="1"/>
  <c r="AC42" i="38" s="1"/>
  <c r="AG68" i="38"/>
  <c r="N68" i="38"/>
  <c r="AE68" i="38" s="1"/>
  <c r="BN112" i="38"/>
  <c r="N112" i="38"/>
  <c r="AE112" i="38" s="1"/>
  <c r="AC135" i="38" a="1"/>
  <c r="AC135" i="38" s="1"/>
  <c r="AZ152" i="38"/>
  <c r="N152" i="38"/>
  <c r="AE152" i="38" s="1"/>
  <c r="AC161" i="38" a="1"/>
  <c r="AC161" i="38" s="1"/>
  <c r="N172" i="38"/>
  <c r="AE172" i="38" s="1"/>
  <c r="AC191" i="38" a="1"/>
  <c r="AC191" i="38" s="1"/>
  <c r="AD191" i="38" a="1"/>
  <c r="AD191" i="38" s="1"/>
  <c r="AC198" i="38" a="1"/>
  <c r="AC198" i="38" s="1"/>
  <c r="AD198" i="38" s="1" a="1"/>
  <c r="AD198" i="38" s="1"/>
  <c r="AC114" i="38" a="1"/>
  <c r="AC114" i="38" s="1"/>
  <c r="AD114" i="38" a="1"/>
  <c r="AD114" i="38" s="1"/>
  <c r="AC78" i="38" a="1"/>
  <c r="AC78" i="38" s="1"/>
  <c r="AD78" i="38" a="1"/>
  <c r="AD78" i="38" s="1"/>
  <c r="AC139" i="38" a="1"/>
  <c r="AC139" i="38" s="1"/>
  <c r="N24" i="38"/>
  <c r="AE24" i="38" s="1"/>
  <c r="AC72" i="38" a="1"/>
  <c r="AC72" i="38" s="1"/>
  <c r="AD72" i="38" a="1"/>
  <c r="AD72" i="38" s="1"/>
  <c r="N109" i="38"/>
  <c r="AE109" i="38" s="1"/>
  <c r="AC157" i="38" a="1"/>
  <c r="AC157" i="38" s="1"/>
  <c r="AD157" i="38" a="1"/>
  <c r="AD157" i="38" s="1"/>
  <c r="N201" i="38"/>
  <c r="AE201" i="38" s="1"/>
  <c r="AC90" i="38" a="1"/>
  <c r="AC90" i="38" s="1"/>
  <c r="AC141" i="38" a="1"/>
  <c r="AC141" i="38" s="1"/>
  <c r="AD141" i="38" a="1"/>
  <c r="AD141" i="38" s="1"/>
  <c r="N157" i="38"/>
  <c r="AE157" i="38" s="1"/>
  <c r="AG157" i="38"/>
  <c r="N61" i="38"/>
  <c r="AE61" i="38" s="1"/>
  <c r="AG61" i="38"/>
  <c r="AC110" i="38" a="1"/>
  <c r="AC110" i="38" s="1"/>
  <c r="AD110" i="38" a="1"/>
  <c r="AD110" i="38" s="1"/>
  <c r="AC170" i="38" a="1"/>
  <c r="AC170" i="38" s="1"/>
  <c r="AD170" i="38" a="1"/>
  <c r="AD170" i="38" s="1"/>
  <c r="AC151" i="38" a="1"/>
  <c r="AC151" i="38" s="1"/>
  <c r="AD151" i="38" a="1"/>
  <c r="AD151" i="38" s="1"/>
  <c r="AC15" i="38" a="1"/>
  <c r="AC15" i="38" s="1"/>
  <c r="AG28" i="38"/>
  <c r="N28" i="38"/>
  <c r="AE28" i="38" s="1"/>
  <c r="AC124" i="38" a="1"/>
  <c r="AC124" i="38" s="1"/>
  <c r="AD124" i="38" a="1"/>
  <c r="AD124" i="38" s="1"/>
  <c r="AC146" i="38" a="1"/>
  <c r="AC146" i="38" s="1"/>
  <c r="N191" i="38"/>
  <c r="AE191" i="38" s="1"/>
  <c r="AG191" i="38"/>
  <c r="AC208" i="38" a="1"/>
  <c r="AC208" i="38" s="1"/>
  <c r="AD208" i="38" s="1" a="1"/>
  <c r="AD208" i="38" s="1"/>
  <c r="AC227" i="38" a="1"/>
  <c r="AC227" i="38" s="1"/>
  <c r="AD227" i="38" a="1"/>
  <c r="AD227" i="38" s="1"/>
  <c r="AC239" i="38" a="1"/>
  <c r="AC239" i="38" s="1"/>
  <c r="AD239" i="38" a="1"/>
  <c r="AD239" i="38" s="1"/>
  <c r="AC252" i="38" a="1"/>
  <c r="AC252" i="38" s="1"/>
  <c r="AD252" i="38" s="1" a="1"/>
  <c r="AD252" i="38" s="1"/>
  <c r="AC236" i="31" a="1"/>
  <c r="AC236" i="31" s="1"/>
  <c r="AD236" i="31" s="1" a="1"/>
  <c r="AD236" i="31" s="1"/>
  <c r="AC241" i="31" a="1"/>
  <c r="AC241" i="31" s="1"/>
  <c r="AD241" i="31" s="1" a="1"/>
  <c r="AD241" i="31" s="1"/>
  <c r="AC247" i="31" a="1"/>
  <c r="AC247" i="31" s="1"/>
  <c r="AC245" i="31" a="1"/>
  <c r="AC245" i="31" s="1"/>
  <c r="AC238" i="31" a="1"/>
  <c r="AC238" i="31" s="1"/>
  <c r="AD238" i="31" s="1" a="1"/>
  <c r="AD238" i="31" s="1"/>
  <c r="AC242" i="31" a="1"/>
  <c r="AC242" i="31" s="1"/>
  <c r="AD242" i="31" s="1" a="1"/>
  <c r="AD242" i="31" s="1"/>
  <c r="Q241" i="31"/>
  <c r="N241" i="31"/>
  <c r="AC235" i="31" a="1"/>
  <c r="AC235" i="31" s="1"/>
  <c r="AC244" i="31" a="1"/>
  <c r="AC244" i="31" s="1"/>
  <c r="AC239" i="31" a="1"/>
  <c r="AC239" i="31" s="1"/>
  <c r="BG100" i="38"/>
  <c r="BK100" i="38" s="1"/>
  <c r="BH71" i="38"/>
  <c r="BL71" i="38" s="1"/>
  <c r="BI95" i="38"/>
  <c r="BM95" i="38" s="1"/>
  <c r="BH193" i="38"/>
  <c r="BL193" i="38" s="1"/>
  <c r="BG26" i="38"/>
  <c r="BK26" i="38" s="1"/>
  <c r="BI225" i="38"/>
  <c r="BM225" i="38" s="1"/>
  <c r="BH70" i="38"/>
  <c r="BL70" i="38" s="1"/>
  <c r="BG35" i="38"/>
  <c r="BK35" i="38" s="1"/>
  <c r="BH72" i="38"/>
  <c r="BL72" i="38" s="1"/>
  <c r="BI82" i="38"/>
  <c r="BM82" i="38" s="1"/>
  <c r="BI93" i="38"/>
  <c r="BM93" i="38" s="1"/>
  <c r="BI94" i="38"/>
  <c r="BM94" i="38" s="1"/>
  <c r="BI115" i="38"/>
  <c r="BM115" i="38" s="1"/>
  <c r="BI132" i="38"/>
  <c r="BM132" i="38" s="1"/>
  <c r="BI158" i="38"/>
  <c r="BM158" i="38" s="1"/>
  <c r="BH83" i="38"/>
  <c r="BL83" i="38" s="1"/>
  <c r="BH79" i="38"/>
  <c r="BL79" i="38" s="1"/>
  <c r="BI81" i="38"/>
  <c r="BM81" i="38" s="1"/>
  <c r="Z193" i="38"/>
  <c r="W193" i="38"/>
  <c r="Y193" i="38"/>
  <c r="W94" i="38"/>
  <c r="Z155" i="38"/>
  <c r="Y155" i="38"/>
  <c r="AK246" i="38"/>
  <c r="V246" i="38"/>
  <c r="Z149" i="38"/>
  <c r="Y149" i="38"/>
  <c r="BE255" i="38"/>
  <c r="Z189" i="38"/>
  <c r="Y189" i="38"/>
  <c r="Z151" i="38"/>
  <c r="Y151" i="38"/>
  <c r="W158" i="38"/>
  <c r="Z154" i="38"/>
  <c r="Y154" i="38"/>
  <c r="W9" i="38"/>
  <c r="W211" i="38"/>
  <c r="Z191" i="38"/>
  <c r="Y191" i="38"/>
  <c r="BC252" i="38"/>
  <c r="Y124" i="38"/>
  <c r="Z124" i="38"/>
  <c r="BE253" i="38"/>
  <c r="BE259" i="38"/>
  <c r="W95" i="38"/>
  <c r="Z190" i="38"/>
  <c r="Y190" i="38"/>
  <c r="Z197" i="38"/>
  <c r="Y197" i="38"/>
  <c r="W86" i="38"/>
  <c r="BJ254" i="38"/>
  <c r="BL254" i="38" s="1"/>
  <c r="W7" i="38"/>
  <c r="W79" i="38"/>
  <c r="Z150" i="38"/>
  <c r="Y150" i="38"/>
  <c r="W93" i="38"/>
  <c r="J43" i="38"/>
  <c r="Y192" i="38"/>
  <c r="Z192" i="38"/>
  <c r="Z131" i="38"/>
  <c r="Y131" i="38"/>
  <c r="W131" i="38"/>
  <c r="W36" i="38"/>
  <c r="W132" i="38"/>
  <c r="Z122" i="38"/>
  <c r="W122" i="38"/>
  <c r="Y122" i="38"/>
  <c r="V122" i="38"/>
  <c r="W83" i="38"/>
  <c r="Z198" i="38"/>
  <c r="Y198" i="38"/>
  <c r="W198" i="38"/>
  <c r="AX86" i="38"/>
  <c r="J113" i="38"/>
  <c r="AZ86" i="38"/>
  <c r="J138" i="38"/>
  <c r="J162" i="38"/>
  <c r="AD162" i="38" s="1" a="1"/>
  <c r="AD162" i="38" s="1"/>
  <c r="AP243" i="38"/>
  <c r="BA86" i="38"/>
  <c r="AN245" i="38"/>
  <c r="AP163" i="38"/>
  <c r="J108" i="38"/>
  <c r="AM155" i="38"/>
  <c r="BH155" i="38" s="1"/>
  <c r="BL155" i="38" s="1"/>
  <c r="AU79" i="38"/>
  <c r="AX132" i="38"/>
  <c r="AM150" i="38"/>
  <c r="BH150" i="38" s="1"/>
  <c r="BL150" i="38" s="1"/>
  <c r="J189" i="38"/>
  <c r="J15" i="38"/>
  <c r="J140" i="38"/>
  <c r="AZ132" i="38"/>
  <c r="AZ29" i="38"/>
  <c r="J17" i="38"/>
  <c r="J44" i="38"/>
  <c r="AP245" i="38"/>
  <c r="J155" i="38"/>
  <c r="J143" i="38"/>
  <c r="AZ158" i="38"/>
  <c r="J197" i="38"/>
  <c r="J239" i="38"/>
  <c r="AX94" i="38"/>
  <c r="AM124" i="38"/>
  <c r="BE124" i="38" s="1"/>
  <c r="AZ94" i="38"/>
  <c r="T198" i="38"/>
  <c r="AK198" i="38" s="1"/>
  <c r="T228" i="38"/>
  <c r="V228" i="38" s="1"/>
  <c r="BA94" i="38"/>
  <c r="J147" i="38"/>
  <c r="J218" i="38"/>
  <c r="AM131" i="38"/>
  <c r="AS131" i="38" s="1"/>
  <c r="J139" i="38"/>
  <c r="AD139" i="38" s="1" a="1"/>
  <c r="AD139" i="38" s="1"/>
  <c r="AX95" i="38"/>
  <c r="AN8" i="38"/>
  <c r="AZ95" i="38"/>
  <c r="AS193" i="38"/>
  <c r="AM149" i="38"/>
  <c r="AU149" i="38" s="1"/>
  <c r="AV79" i="38"/>
  <c r="AX158" i="38"/>
  <c r="J13" i="38"/>
  <c r="J111" i="38"/>
  <c r="J134" i="38"/>
  <c r="AM190" i="38"/>
  <c r="AT190" i="38" s="1"/>
  <c r="AS79" i="38"/>
  <c r="AZ36" i="38"/>
  <c r="J45" i="38"/>
  <c r="AU193" i="38"/>
  <c r="T72" i="38"/>
  <c r="T170" i="38"/>
  <c r="AM189" i="38"/>
  <c r="J40" i="38"/>
  <c r="J14" i="38"/>
  <c r="AS83" i="38"/>
  <c r="AZ93" i="38"/>
  <c r="J144" i="38"/>
  <c r="J238" i="38"/>
  <c r="BA95" i="38"/>
  <c r="BA36" i="38"/>
  <c r="J55" i="38"/>
  <c r="AU83" i="38"/>
  <c r="BA93" i="38"/>
  <c r="AN100" i="38"/>
  <c r="J146" i="38"/>
  <c r="J56" i="38"/>
  <c r="AD56" i="38" s="1" a="1"/>
  <c r="AD56" i="38" s="1"/>
  <c r="AM154" i="38"/>
  <c r="AP154" i="38" s="1"/>
  <c r="AP35" i="38"/>
  <c r="J200" i="38"/>
  <c r="J235" i="38"/>
  <c r="J42" i="38"/>
  <c r="AV83" i="38"/>
  <c r="J135" i="38"/>
  <c r="AD135" i="38" s="1" a="1"/>
  <c r="AD135" i="38" s="1"/>
  <c r="J161" i="38"/>
  <c r="AM198" i="38"/>
  <c r="BC198" i="38" s="1"/>
  <c r="BH192" i="38"/>
  <c r="BL192" i="38" s="1"/>
  <c r="T101" i="38"/>
  <c r="V101" i="38" s="1"/>
  <c r="BI110" i="38"/>
  <c r="BM110" i="38" s="1"/>
  <c r="BH201" i="38"/>
  <c r="BL201" i="38" s="1"/>
  <c r="B137" i="41"/>
  <c r="B159" i="41"/>
  <c r="B167" i="41"/>
  <c r="S123" i="38"/>
  <c r="AI123" i="38" s="1"/>
  <c r="B139" i="41"/>
  <c r="B153" i="41"/>
  <c r="B162" i="41"/>
  <c r="B154" i="41"/>
  <c r="B170" i="41"/>
  <c r="B164" i="41"/>
  <c r="B136" i="41"/>
  <c r="B147" i="41"/>
  <c r="B156" i="41"/>
  <c r="B165" i="41"/>
  <c r="BG61" i="38"/>
  <c r="BK61" i="38" s="1"/>
  <c r="BI121" i="38"/>
  <c r="BM121" i="38" s="1"/>
  <c r="BI141" i="38"/>
  <c r="BM141" i="38" s="1"/>
  <c r="BH236" i="38"/>
  <c r="BL236" i="38" s="1"/>
  <c r="BI223" i="38"/>
  <c r="BM223" i="38" s="1"/>
  <c r="BG223" i="38"/>
  <c r="BK223" i="38" s="1"/>
  <c r="B149" i="41"/>
  <c r="BI224" i="38"/>
  <c r="BM224" i="38" s="1"/>
  <c r="BI227" i="38"/>
  <c r="BM227" i="38" s="1"/>
  <c r="AX36" i="38"/>
  <c r="BA158" i="38"/>
  <c r="F173" i="41"/>
  <c r="AX29" i="38"/>
  <c r="BA132" i="38"/>
  <c r="F147" i="41"/>
  <c r="AX93" i="38"/>
  <c r="N92" i="38"/>
  <c r="AE92" i="38" s="1"/>
  <c r="T98" i="38"/>
  <c r="F76" i="41"/>
  <c r="T131" i="38"/>
  <c r="V131" i="38" s="1"/>
  <c r="F146" i="41"/>
  <c r="BA223" i="38"/>
  <c r="BI77" i="38"/>
  <c r="BM77" i="38" s="1"/>
  <c r="BN6" i="38"/>
  <c r="BJ6" i="38"/>
  <c r="BH191" i="38"/>
  <c r="BL191" i="38" s="1"/>
  <c r="BH202" i="38"/>
  <c r="BL202" i="38" s="1"/>
  <c r="BG25" i="38"/>
  <c r="BK25" i="38" s="1"/>
  <c r="BI112" i="38"/>
  <c r="BM112" i="38" s="1"/>
  <c r="BI152" i="38"/>
  <c r="BM152" i="38" s="1"/>
  <c r="BG172" i="38"/>
  <c r="BK172" i="38" s="1"/>
  <c r="BI256" i="38"/>
  <c r="BM256" i="38" s="1"/>
  <c r="BH256" i="38"/>
  <c r="BL256" i="38" s="1"/>
  <c r="BG256" i="38"/>
  <c r="BK256" i="38" s="1"/>
  <c r="BG41" i="38"/>
  <c r="BK41" i="38" s="1"/>
  <c r="BG60" i="38"/>
  <c r="BK60" i="38" s="1"/>
  <c r="BH123" i="38"/>
  <c r="BL123" i="38" s="1"/>
  <c r="BG163" i="38"/>
  <c r="BK163" i="38" s="1"/>
  <c r="BH151" i="38"/>
  <c r="BL151" i="38" s="1"/>
  <c r="BI157" i="38"/>
  <c r="BM157" i="38" s="1"/>
  <c r="BH237" i="38"/>
  <c r="BL237" i="38" s="1"/>
  <c r="BG24" i="38"/>
  <c r="BK24" i="38" s="1"/>
  <c r="BI6" i="38"/>
  <c r="BH6" i="38"/>
  <c r="BG6" i="38"/>
  <c r="BG16" i="38"/>
  <c r="BK16" i="38" s="1"/>
  <c r="BG59" i="38"/>
  <c r="BK59" i="38" s="1"/>
  <c r="BH114" i="38"/>
  <c r="BL114" i="38" s="1"/>
  <c r="BI28" i="38"/>
  <c r="BM28" i="38" s="1"/>
  <c r="BI62" i="38"/>
  <c r="BM62" i="38" s="1"/>
  <c r="BI78" i="38"/>
  <c r="BM78" i="38" s="1"/>
  <c r="BI109" i="38"/>
  <c r="BM109" i="38" s="1"/>
  <c r="T193" i="38"/>
  <c r="AW193" i="38" s="1"/>
  <c r="AV193" i="38"/>
  <c r="Q7" i="38"/>
  <c r="AG7" i="38" s="1"/>
  <c r="AP8" i="38"/>
  <c r="T245" i="38"/>
  <c r="AQ245" i="38"/>
  <c r="BE256" i="38"/>
  <c r="BF256" i="38"/>
  <c r="BC256" i="38"/>
  <c r="AZ256" i="38"/>
  <c r="BA256" i="38"/>
  <c r="BB256" i="38"/>
  <c r="AX256" i="38"/>
  <c r="AW256" i="38"/>
  <c r="AS256" i="38"/>
  <c r="AT256" i="38"/>
  <c r="AU256" i="38"/>
  <c r="AV256" i="38"/>
  <c r="AN256" i="38"/>
  <c r="AO256" i="38"/>
  <c r="AP256" i="38"/>
  <c r="AQ256" i="38"/>
  <c r="AR256" i="38"/>
  <c r="T26" i="38"/>
  <c r="AR26" i="38" s="1"/>
  <c r="T242" i="38"/>
  <c r="AQ242" i="38"/>
  <c r="P35" i="38"/>
  <c r="AO35" i="38" s="1"/>
  <c r="AN35" i="38"/>
  <c r="T243" i="38"/>
  <c r="AR243" i="38" s="1"/>
  <c r="AQ243" i="38"/>
  <c r="B57" i="42" a="1"/>
  <c r="B57" i="42" s="1"/>
  <c r="B58" i="42" s="1" a="1"/>
  <c r="B58" i="42" s="1"/>
  <c r="B59" i="42" s="1" a="1"/>
  <c r="B59" i="42" s="1"/>
  <c r="BE6" i="38"/>
  <c r="BF6" i="38"/>
  <c r="BC6" i="38"/>
  <c r="BD6" i="38"/>
  <c r="BB6" i="38"/>
  <c r="AX6" i="38"/>
  <c r="AZ6" i="38"/>
  <c r="BA6" i="38"/>
  <c r="AY6" i="38"/>
  <c r="AW6" i="38"/>
  <c r="AS6" i="38"/>
  <c r="AT6" i="38"/>
  <c r="AU6" i="38"/>
  <c r="AV6" i="38"/>
  <c r="AQ6" i="38"/>
  <c r="AR6" i="38"/>
  <c r="T35" i="38"/>
  <c r="AQ35" i="38"/>
  <c r="T70" i="38"/>
  <c r="F40" i="41"/>
  <c r="T71" i="38"/>
  <c r="F41" i="41"/>
  <c r="T73" i="38"/>
  <c r="F43" i="41"/>
  <c r="T209" i="38"/>
  <c r="F22" i="41"/>
  <c r="T210" i="38"/>
  <c r="F23" i="41"/>
  <c r="T211" i="38"/>
  <c r="V211" i="38" s="1"/>
  <c r="F24" i="41"/>
  <c r="T208" i="38"/>
  <c r="F21" i="41"/>
  <c r="AL122" i="38"/>
  <c r="AM122" i="38"/>
  <c r="P36" i="38"/>
  <c r="AY36" i="38" s="1"/>
  <c r="AE242" i="38"/>
  <c r="AE243" i="38"/>
  <c r="AG242" i="38"/>
  <c r="AL193" i="38"/>
  <c r="T158" i="38"/>
  <c r="V158" i="38" s="1"/>
  <c r="AL158" i="38"/>
  <c r="T173" i="38"/>
  <c r="V173" i="38" s="1"/>
  <c r="AL173" i="38"/>
  <c r="T176" i="38"/>
  <c r="V176" i="38" s="1"/>
  <c r="AL176" i="38"/>
  <c r="T93" i="38"/>
  <c r="V93" i="38" s="1"/>
  <c r="AL93" i="38"/>
  <c r="T165" i="38"/>
  <c r="V165" i="38" s="1"/>
  <c r="AL165" i="38"/>
  <c r="T79" i="38"/>
  <c r="V79" i="38" s="1"/>
  <c r="AL79" i="38"/>
  <c r="T164" i="38"/>
  <c r="AL164" i="38"/>
  <c r="AK184" i="38"/>
  <c r="AL184" i="38"/>
  <c r="AL195" i="38"/>
  <c r="T65" i="38"/>
  <c r="V65" i="38" s="1"/>
  <c r="AL65" i="38"/>
  <c r="AK185" i="38"/>
  <c r="AL185" i="38"/>
  <c r="T95" i="38"/>
  <c r="V95" i="38" s="1"/>
  <c r="AL95" i="38"/>
  <c r="T75" i="38"/>
  <c r="V75" i="38" s="1"/>
  <c r="AL75" i="38"/>
  <c r="AL131" i="38"/>
  <c r="T132" i="38"/>
  <c r="V132" i="38" s="1"/>
  <c r="AL132" i="38"/>
  <c r="T175" i="38"/>
  <c r="AL175" i="38"/>
  <c r="T94" i="38"/>
  <c r="V94" i="38" s="1"/>
  <c r="AL94" i="38"/>
  <c r="T167" i="38"/>
  <c r="V167" i="38" s="1"/>
  <c r="AL167" i="38"/>
  <c r="AK183" i="38"/>
  <c r="AL183" i="38"/>
  <c r="T223" i="38"/>
  <c r="AL223" i="38"/>
  <c r="T86" i="38"/>
  <c r="V86" i="38" s="1"/>
  <c r="AL86" i="38"/>
  <c r="T174" i="38"/>
  <c r="V174" i="38" s="1"/>
  <c r="AL174" i="38"/>
  <c r="AL194" i="38"/>
  <c r="T83" i="38"/>
  <c r="V83" i="38" s="1"/>
  <c r="AL83" i="38"/>
  <c r="T36" i="38"/>
  <c r="V36" i="38" s="1"/>
  <c r="AL36" i="38"/>
  <c r="T166" i="38"/>
  <c r="V166" i="38" s="1"/>
  <c r="AL166" i="38"/>
  <c r="AK182" i="38"/>
  <c r="AL182" i="38"/>
  <c r="AL198" i="38"/>
  <c r="BN193" i="38"/>
  <c r="L202" i="38"/>
  <c r="AK195" i="38"/>
  <c r="BN194" i="38"/>
  <c r="AK194" i="38"/>
  <c r="AK122" i="38"/>
  <c r="BN203" i="38"/>
  <c r="BN198" i="38"/>
  <c r="N228" i="38"/>
  <c r="AE228" i="38" s="1"/>
  <c r="BO86" i="38"/>
  <c r="Q101" i="38"/>
  <c r="AG101" i="38" s="1"/>
  <c r="BO182" i="38"/>
  <c r="S244" i="38"/>
  <c r="AI244" i="38" s="1"/>
  <c r="S241" i="38"/>
  <c r="AI241" i="38" s="1"/>
  <c r="BN131" i="38"/>
  <c r="BN41" i="38"/>
  <c r="BO183" i="38"/>
  <c r="P95" i="38"/>
  <c r="AG220" i="38"/>
  <c r="S124" i="38"/>
  <c r="AI124" i="38" s="1"/>
  <c r="BO164" i="38"/>
  <c r="BO184" i="38"/>
  <c r="S34" i="38"/>
  <c r="AI34" i="38" s="1"/>
  <c r="P29" i="38"/>
  <c r="AY29" i="38" s="1"/>
  <c r="S30" i="38"/>
  <c r="AI30" i="38" s="1"/>
  <c r="AG30" i="38"/>
  <c r="AE30" i="38"/>
  <c r="AE121" i="38"/>
  <c r="S121" i="38"/>
  <c r="AI121" i="38" s="1"/>
  <c r="BO176" i="38"/>
  <c r="BN110" i="38"/>
  <c r="AE163" i="38"/>
  <c r="S163" i="38"/>
  <c r="AI163" i="38" s="1"/>
  <c r="BO175" i="38"/>
  <c r="S112" i="38"/>
  <c r="AI112" i="38" s="1"/>
  <c r="N130" i="38"/>
  <c r="AE130" i="38" s="1"/>
  <c r="BN163" i="38"/>
  <c r="BO174" i="38"/>
  <c r="AK181" i="38"/>
  <c r="S130" i="38"/>
  <c r="AI130" i="38" s="1"/>
  <c r="BN154" i="38"/>
  <c r="P193" i="38"/>
  <c r="Q244" i="38"/>
  <c r="AG244" i="38" s="1"/>
  <c r="BN180" i="38"/>
  <c r="S60" i="38"/>
  <c r="AI60" i="38" s="1"/>
  <c r="S110" i="38"/>
  <c r="AI110" i="38" s="1"/>
  <c r="BN150" i="38"/>
  <c r="Q228" i="38"/>
  <c r="AG228" i="38" s="1"/>
  <c r="AE150" i="38"/>
  <c r="S228" i="38"/>
  <c r="AI228" i="38" s="1"/>
  <c r="S100" i="38"/>
  <c r="AI100" i="38" s="1"/>
  <c r="S101" i="38"/>
  <c r="AI101" i="38" s="1"/>
  <c r="AG150" i="38"/>
  <c r="AK179" i="38"/>
  <c r="N34" i="38"/>
  <c r="AE34" i="38" s="1"/>
  <c r="BN124" i="38"/>
  <c r="BO173" i="38"/>
  <c r="BO204" i="38"/>
  <c r="BO83" i="38"/>
  <c r="S152" i="38"/>
  <c r="AI152" i="38" s="1"/>
  <c r="AG100" i="38"/>
  <c r="S16" i="38"/>
  <c r="AI16" i="38" s="1"/>
  <c r="P83" i="38"/>
  <c r="AG121" i="38"/>
  <c r="BO195" i="38"/>
  <c r="BO252" i="38"/>
  <c r="BN252" i="38" s="1"/>
  <c r="S25" i="38"/>
  <c r="AI25" i="38" s="1"/>
  <c r="P86" i="38"/>
  <c r="S92" i="38"/>
  <c r="AI92" i="38" s="1"/>
  <c r="BO198" i="38"/>
  <c r="Q130" i="38"/>
  <c r="AG130" i="38" s="1"/>
  <c r="Q207" i="38"/>
  <c r="AG207" i="38" s="1"/>
  <c r="N244" i="38"/>
  <c r="AE244" i="38" s="1"/>
  <c r="BO65" i="38"/>
  <c r="S24" i="38"/>
  <c r="AI24" i="38" s="1"/>
  <c r="BN24" i="38"/>
  <c r="AE69" i="38"/>
  <c r="AG69" i="38"/>
  <c r="BN77" i="38"/>
  <c r="BN28" i="38"/>
  <c r="P79" i="38"/>
  <c r="BO79" i="38"/>
  <c r="N7" i="38"/>
  <c r="AE7" i="38" s="1"/>
  <c r="AE26" i="38"/>
  <c r="BN82" i="38"/>
  <c r="AG82" i="38"/>
  <c r="AE82" i="38"/>
  <c r="AE91" i="38"/>
  <c r="AE98" i="38"/>
  <c r="BO165" i="38"/>
  <c r="BN191" i="38"/>
  <c r="S191" i="38"/>
  <c r="AI191" i="38" s="1"/>
  <c r="BO75" i="38"/>
  <c r="S91" i="38"/>
  <c r="AI91" i="38" s="1"/>
  <c r="Q92" i="38"/>
  <c r="AG92" i="38" s="1"/>
  <c r="P93" i="38"/>
  <c r="AY93" i="38" s="1"/>
  <c r="AG98" i="38"/>
  <c r="BN100" i="38"/>
  <c r="N101" i="38"/>
  <c r="AE101" i="38" s="1"/>
  <c r="BN109" i="38"/>
  <c r="S109" i="38"/>
  <c r="AI109" i="38" s="1"/>
  <c r="AE122" i="38"/>
  <c r="AG122" i="38"/>
  <c r="BN43" i="38"/>
  <c r="BN81" i="38"/>
  <c r="AG81" i="38"/>
  <c r="BO8" i="38"/>
  <c r="BN16" i="38"/>
  <c r="S59" i="38"/>
  <c r="AI59" i="38" s="1"/>
  <c r="AE81" i="38"/>
  <c r="P8" i="38"/>
  <c r="AG41" i="38"/>
  <c r="BN62" i="38"/>
  <c r="S99" i="38"/>
  <c r="AI99" i="38" s="1"/>
  <c r="AG99" i="38"/>
  <c r="AE114" i="38"/>
  <c r="BN114" i="38"/>
  <c r="S114" i="38"/>
  <c r="AI114" i="38" s="1"/>
  <c r="BN122" i="38"/>
  <c r="Q34" i="38"/>
  <c r="AG34" i="38" s="1"/>
  <c r="BO35" i="38"/>
  <c r="J90" i="38"/>
  <c r="J89" i="38"/>
  <c r="P94" i="38"/>
  <c r="BN78" i="38"/>
  <c r="BN123" i="38"/>
  <c r="S135" i="38"/>
  <c r="AI135" i="38" s="1"/>
  <c r="S171" i="38"/>
  <c r="AI171" i="38" s="1"/>
  <c r="P158" i="38"/>
  <c r="P256" i="38"/>
  <c r="BD256" i="38" s="1"/>
  <c r="P132" i="38"/>
  <c r="BO203" i="38"/>
  <c r="BO131" i="38"/>
  <c r="P131" i="38"/>
  <c r="S190" i="38"/>
  <c r="AI190" i="38" s="1"/>
  <c r="AG190" i="38"/>
  <c r="BN190" i="38"/>
  <c r="BN151" i="38"/>
  <c r="S151" i="38"/>
  <c r="AI151" i="38" s="1"/>
  <c r="AE151" i="38"/>
  <c r="L201" i="38"/>
  <c r="S149" i="38"/>
  <c r="AI149" i="38" s="1"/>
  <c r="BN149" i="38"/>
  <c r="S207" i="38"/>
  <c r="AI207" i="38" s="1"/>
  <c r="S202" i="38"/>
  <c r="AI202" i="38" s="1"/>
  <c r="S154" i="38"/>
  <c r="AI154" i="38" s="1"/>
  <c r="BN172" i="38"/>
  <c r="S172" i="38"/>
  <c r="AI172" i="38" s="1"/>
  <c r="BO194" i="38"/>
  <c r="S192" i="38"/>
  <c r="AI192" i="38" s="1"/>
  <c r="AG192" i="38"/>
  <c r="AE192" i="38"/>
  <c r="BN192" i="38"/>
  <c r="AE237" i="38"/>
  <c r="S237" i="38"/>
  <c r="AI237" i="38" s="1"/>
  <c r="BN121" i="38"/>
  <c r="S201" i="38"/>
  <c r="AI201" i="38" s="1"/>
  <c r="S224" i="38"/>
  <c r="AI224" i="38" s="1"/>
  <c r="P198" i="38"/>
  <c r="M198" i="38" s="1"/>
  <c r="BN204" i="38"/>
  <c r="AE170" i="38"/>
  <c r="AG172" i="38"/>
  <c r="BN195" i="38"/>
  <c r="BO166" i="38"/>
  <c r="AK180" i="38"/>
  <c r="L200" i="38"/>
  <c r="N207" i="38"/>
  <c r="AE207" i="38" s="1"/>
  <c r="S225" i="38"/>
  <c r="AI225" i="38" s="1"/>
  <c r="AG225" i="38"/>
  <c r="AE225" i="38"/>
  <c r="S220" i="38"/>
  <c r="AI220" i="38" s="1"/>
  <c r="S236" i="38"/>
  <c r="AI236" i="38" s="1"/>
  <c r="G254" i="38"/>
  <c r="P252" i="38"/>
  <c r="I254" i="38"/>
  <c r="BO193" i="38"/>
  <c r="P245" i="38"/>
  <c r="AO245" i="38" s="1"/>
  <c r="S221" i="38"/>
  <c r="AI221" i="38" s="1"/>
  <c r="O156" i="38" l="1"/>
  <c r="AF156" i="38" s="1"/>
  <c r="AF157" i="38"/>
  <c r="R156" i="38"/>
  <c r="AH156" i="38" s="1"/>
  <c r="AH157" i="38"/>
  <c r="O67" i="38"/>
  <c r="AF67" i="38" s="1"/>
  <c r="AF68" i="38"/>
  <c r="R67" i="38"/>
  <c r="AH67" i="38" s="1"/>
  <c r="AH68" i="38"/>
  <c r="O27" i="38"/>
  <c r="AF27" i="38" s="1"/>
  <c r="AF28" i="38"/>
  <c r="R27" i="38"/>
  <c r="AH27" i="38" s="1"/>
  <c r="AH28" i="38"/>
  <c r="AG259" i="38"/>
  <c r="O23" i="38"/>
  <c r="AN16" i="38"/>
  <c r="AE249" i="38"/>
  <c r="AD113" i="38" a="1"/>
  <c r="AD113" i="38" s="1"/>
  <c r="R113" i="38"/>
  <c r="AH113" i="38" s="1"/>
  <c r="Q113" i="38"/>
  <c r="AZ113" i="38" s="1"/>
  <c r="O113" i="38"/>
  <c r="AF113" i="38" s="1"/>
  <c r="AD238" i="38" a="1"/>
  <c r="AD238" i="38" s="1"/>
  <c r="Q238" i="38"/>
  <c r="AG238" i="38" s="1"/>
  <c r="R238" i="38"/>
  <c r="AH238" i="38" s="1"/>
  <c r="O238" i="38"/>
  <c r="AF238" i="38" s="1"/>
  <c r="AD44" i="38" a="1"/>
  <c r="AD44" i="38" s="1"/>
  <c r="O44" i="38"/>
  <c r="AF44" i="38" s="1"/>
  <c r="R44" i="38"/>
  <c r="AH44" i="38" s="1"/>
  <c r="Q44" i="38"/>
  <c r="AG44" i="38" s="1"/>
  <c r="R144" i="38"/>
  <c r="AH144" i="38" s="1"/>
  <c r="Q144" i="38"/>
  <c r="AG144" i="38" s="1"/>
  <c r="O144" i="38"/>
  <c r="AF144" i="38" s="1"/>
  <c r="AD17" i="38" a="1"/>
  <c r="AD17" i="38" s="1"/>
  <c r="O17" i="38"/>
  <c r="AF17" i="38" s="1"/>
  <c r="Q17" i="38"/>
  <c r="AG17" i="38" s="1"/>
  <c r="R17" i="38"/>
  <c r="AH17" i="38" s="1"/>
  <c r="AE6" i="38"/>
  <c r="O6" i="38"/>
  <c r="O5" i="38" s="1"/>
  <c r="AG254" i="38"/>
  <c r="R254" i="38"/>
  <c r="AE254" i="38"/>
  <c r="O254" i="38"/>
  <c r="R58" i="38"/>
  <c r="AH58" i="38" s="1"/>
  <c r="R23" i="38"/>
  <c r="O58" i="38"/>
  <c r="AF58" i="38" s="1"/>
  <c r="AD200" i="38" a="1"/>
  <c r="AD200" i="38" s="1"/>
  <c r="O200" i="38"/>
  <c r="Q200" i="38"/>
  <c r="R200" i="38"/>
  <c r="Q90" i="38"/>
  <c r="O90" i="38"/>
  <c r="AF90" i="38" s="1"/>
  <c r="R90" i="38"/>
  <c r="AH90" i="38" s="1"/>
  <c r="AD161" i="38" a="1"/>
  <c r="AD161" i="38" s="1"/>
  <c r="Q161" i="38"/>
  <c r="AG161" i="38" s="1"/>
  <c r="R161" i="38"/>
  <c r="AH161" i="38" s="1"/>
  <c r="O161" i="38"/>
  <c r="AF161" i="38" s="1"/>
  <c r="AD14" i="38" a="1"/>
  <c r="AD14" i="38" s="1"/>
  <c r="Q14" i="38"/>
  <c r="R14" i="38"/>
  <c r="AH14" i="38" s="1"/>
  <c r="O14" i="38"/>
  <c r="AF14" i="38" s="1"/>
  <c r="R139" i="38"/>
  <c r="AH139" i="38" s="1"/>
  <c r="Q139" i="38"/>
  <c r="O139" i="38"/>
  <c r="AF139" i="38" s="1"/>
  <c r="AD140" i="38" a="1"/>
  <c r="AD140" i="38" s="1"/>
  <c r="Q140" i="38"/>
  <c r="R140" i="38"/>
  <c r="AH140" i="38" s="1"/>
  <c r="O140" i="38"/>
  <c r="AF140" i="38" s="1"/>
  <c r="R135" i="38"/>
  <c r="AH135" i="38" s="1"/>
  <c r="Q135" i="38"/>
  <c r="AG135" i="38" s="1"/>
  <c r="O135" i="38"/>
  <c r="AF135" i="38" s="1"/>
  <c r="AD40" i="38" a="1"/>
  <c r="AD40" i="38" s="1"/>
  <c r="O40" i="38"/>
  <c r="R40" i="38"/>
  <c r="Q40" i="38"/>
  <c r="AG40" i="38" s="1"/>
  <c r="R15" i="38"/>
  <c r="AH15" i="38" s="1"/>
  <c r="Q15" i="38"/>
  <c r="AG15" i="38" s="1"/>
  <c r="O15" i="38"/>
  <c r="AF15" i="38" s="1"/>
  <c r="O120" i="38"/>
  <c r="AF120" i="38" s="1"/>
  <c r="R218" i="38"/>
  <c r="Q218" i="38"/>
  <c r="AG218" i="38" s="1"/>
  <c r="O218" i="38"/>
  <c r="AD189" i="38" a="1"/>
  <c r="AD189" i="38" s="1"/>
  <c r="O189" i="38"/>
  <c r="R189" i="38"/>
  <c r="Q189" i="38"/>
  <c r="AD88" i="38" a="1"/>
  <c r="AD88" i="38" s="1"/>
  <c r="R120" i="38"/>
  <c r="AH120" i="38" s="1"/>
  <c r="AE258" i="38"/>
  <c r="O258" i="38"/>
  <c r="AE261" i="38"/>
  <c r="O261" i="38"/>
  <c r="O260" i="38" s="1"/>
  <c r="AD235" i="38" a="1"/>
  <c r="AD235" i="38" s="1"/>
  <c r="R235" i="38"/>
  <c r="O235" i="38"/>
  <c r="AF235" i="38" s="1"/>
  <c r="Q235" i="38"/>
  <c r="AG235" i="38" s="1"/>
  <c r="AG258" i="38"/>
  <c r="R258" i="38"/>
  <c r="R257" i="38" s="1"/>
  <c r="AE59" i="38"/>
  <c r="Q260" i="38"/>
  <c r="AG260" i="38" s="1"/>
  <c r="R261" i="38"/>
  <c r="R260" i="38" s="1"/>
  <c r="O169" i="38"/>
  <c r="AF169" i="38" s="1"/>
  <c r="AE255" i="38"/>
  <c r="O255" i="38"/>
  <c r="R169" i="38"/>
  <c r="AH169" i="38" s="1"/>
  <c r="O222" i="38"/>
  <c r="AF222" i="38" s="1"/>
  <c r="AG253" i="38"/>
  <c r="R253" i="38"/>
  <c r="AG255" i="38"/>
  <c r="R255" i="38"/>
  <c r="R222" i="38"/>
  <c r="AH222" i="38" s="1"/>
  <c r="R148" i="38"/>
  <c r="AH148" i="38" s="1"/>
  <c r="O148" i="38"/>
  <c r="AF148" i="38" s="1"/>
  <c r="R153" i="38"/>
  <c r="AH153" i="38" s="1"/>
  <c r="O76" i="38"/>
  <c r="AD134" i="38" a="1"/>
  <c r="AD134" i="38" s="1"/>
  <c r="O134" i="38"/>
  <c r="Q134" i="38"/>
  <c r="R134" i="38"/>
  <c r="Q239" i="38"/>
  <c r="AG239" i="38" s="1"/>
  <c r="O239" i="38"/>
  <c r="AF239" i="38" s="1"/>
  <c r="R239" i="38"/>
  <c r="AH239" i="38" s="1"/>
  <c r="R76" i="38"/>
  <c r="AH76" i="38" s="1"/>
  <c r="R42" i="38"/>
  <c r="AH42" i="38" s="1"/>
  <c r="Q42" i="38"/>
  <c r="O42" i="38"/>
  <c r="AF42" i="38" s="1"/>
  <c r="AD147" i="38" a="1"/>
  <c r="AD147" i="38" s="1"/>
  <c r="R147" i="38"/>
  <c r="AH147" i="38" s="1"/>
  <c r="Q147" i="38"/>
  <c r="AG147" i="38" s="1"/>
  <c r="O147" i="38"/>
  <c r="AF147" i="38" s="1"/>
  <c r="Q108" i="38"/>
  <c r="AZ108" i="38" s="1"/>
  <c r="O108" i="38"/>
  <c r="AF108" i="38" s="1"/>
  <c r="R108" i="38"/>
  <c r="AH108" i="38" s="1"/>
  <c r="O111" i="38"/>
  <c r="AF111" i="38" s="1"/>
  <c r="Q111" i="38"/>
  <c r="AG111" i="38" s="1"/>
  <c r="R111" i="38"/>
  <c r="AH111" i="38" s="1"/>
  <c r="BN197" i="38"/>
  <c r="Q197" i="38"/>
  <c r="O197" i="38"/>
  <c r="R197" i="38"/>
  <c r="R66" i="38"/>
  <c r="AH66" i="38" s="1"/>
  <c r="R45" i="38"/>
  <c r="AH45" i="38" s="1"/>
  <c r="Q45" i="38"/>
  <c r="O45" i="38"/>
  <c r="AF45" i="38" s="1"/>
  <c r="AE250" i="38"/>
  <c r="O250" i="38"/>
  <c r="O248" i="38" s="1"/>
  <c r="AE253" i="38"/>
  <c r="O253" i="38"/>
  <c r="O251" i="38" s="1"/>
  <c r="AD90" i="38" a="1"/>
  <c r="AD90" i="38" s="1"/>
  <c r="O56" i="38"/>
  <c r="AF56" i="38" s="1"/>
  <c r="R56" i="38"/>
  <c r="AH56" i="38" s="1"/>
  <c r="Q56" i="38"/>
  <c r="AG56" i="38" s="1"/>
  <c r="AD146" i="38" a="1"/>
  <c r="AD146" i="38" s="1"/>
  <c r="R146" i="38"/>
  <c r="O146" i="38"/>
  <c r="AF146" i="38" s="1"/>
  <c r="Q146" i="38"/>
  <c r="S13" i="38"/>
  <c r="AI13" i="38" s="1"/>
  <c r="R13" i="38"/>
  <c r="AH13" i="38" s="1"/>
  <c r="Q13" i="38"/>
  <c r="O13" i="38"/>
  <c r="AF13" i="38" s="1"/>
  <c r="Q162" i="38"/>
  <c r="Q160" i="38" s="1"/>
  <c r="AG160" i="38" s="1"/>
  <c r="R162" i="38"/>
  <c r="AH162" i="38" s="1"/>
  <c r="O162" i="38"/>
  <c r="AF162" i="38" s="1"/>
  <c r="R43" i="38"/>
  <c r="AH43" i="38" s="1"/>
  <c r="Q43" i="38"/>
  <c r="O43" i="38"/>
  <c r="AF43" i="38" s="1"/>
  <c r="AE259" i="38"/>
  <c r="O259" i="38"/>
  <c r="O55" i="38"/>
  <c r="AF55" i="38" s="1"/>
  <c r="R55" i="38"/>
  <c r="AH55" i="38" s="1"/>
  <c r="Q55" i="38"/>
  <c r="AG55" i="38" s="1"/>
  <c r="R143" i="38"/>
  <c r="AH143" i="38" s="1"/>
  <c r="Q143" i="38"/>
  <c r="AG143" i="38" s="1"/>
  <c r="O143" i="38"/>
  <c r="S138" i="38"/>
  <c r="AI138" i="38" s="1"/>
  <c r="R138" i="38"/>
  <c r="AH138" i="38" s="1"/>
  <c r="Q138" i="38"/>
  <c r="AG138" i="38" s="1"/>
  <c r="O138" i="38"/>
  <c r="AF138" i="38" s="1"/>
  <c r="O89" i="38"/>
  <c r="AF89" i="38" s="1"/>
  <c r="R89" i="38"/>
  <c r="AH89" i="38" s="1"/>
  <c r="Q89" i="38"/>
  <c r="AG89" i="38" s="1"/>
  <c r="AD155" i="38" a="1"/>
  <c r="AD155" i="38" s="1"/>
  <c r="R155" i="38"/>
  <c r="AH155" i="38" s="1"/>
  <c r="Q155" i="38"/>
  <c r="O155" i="38"/>
  <c r="AD42" i="38" a="1"/>
  <c r="AD42" i="38" s="1"/>
  <c r="O241" i="31"/>
  <c r="AE241" i="31"/>
  <c r="BP241" i="31"/>
  <c r="R241" i="31"/>
  <c r="AD138" i="38" a="1"/>
  <c r="AD138" i="38" s="1"/>
  <c r="AG60" i="38"/>
  <c r="AS190" i="38"/>
  <c r="AW190" i="38"/>
  <c r="BF190" i="38"/>
  <c r="BD190" i="38"/>
  <c r="AL115" i="38"/>
  <c r="T41" i="38"/>
  <c r="AR41" i="38" s="1"/>
  <c r="T115" i="38"/>
  <c r="V115" i="38" s="1"/>
  <c r="AD197" i="38" a="1"/>
  <c r="AD197" i="38" s="1"/>
  <c r="AQ41" i="38"/>
  <c r="F72" i="41"/>
  <c r="BA115" i="38"/>
  <c r="W115" i="38"/>
  <c r="AQ223" i="38"/>
  <c r="AX78" i="38"/>
  <c r="AD13" i="38" a="1"/>
  <c r="AD13" i="38" s="1"/>
  <c r="N143" i="38"/>
  <c r="BN162" i="38"/>
  <c r="N162" i="38"/>
  <c r="AE162" i="38" s="1"/>
  <c r="N43" i="38"/>
  <c r="AE43" i="38" s="1"/>
  <c r="AG43" i="38"/>
  <c r="AG250" i="38"/>
  <c r="AX110" i="38"/>
  <c r="N135" i="38"/>
  <c r="S17" i="38"/>
  <c r="AI17" i="38" s="1"/>
  <c r="N17" i="38"/>
  <c r="AE236" i="38"/>
  <c r="BE261" i="38"/>
  <c r="S144" i="38"/>
  <c r="AI144" i="38" s="1"/>
  <c r="N144" i="38"/>
  <c r="AE144" i="38" s="1"/>
  <c r="AC254" i="38" a="1"/>
  <c r="AC254" i="38" s="1"/>
  <c r="AD254" i="38" s="1" a="1"/>
  <c r="AD254" i="38" s="1"/>
  <c r="AT149" i="38"/>
  <c r="N14" i="38"/>
  <c r="AE14" i="38" s="1"/>
  <c r="N108" i="38"/>
  <c r="N111" i="38"/>
  <c r="AX111" i="38" s="1"/>
  <c r="N238" i="38"/>
  <c r="AN238" i="38" s="1"/>
  <c r="BE258" i="38"/>
  <c r="S139" i="38"/>
  <c r="AI139" i="38" s="1"/>
  <c r="AG139" i="38"/>
  <c r="N139" i="38"/>
  <c r="AN139" i="38" s="1"/>
  <c r="AD144" i="38" a="1"/>
  <c r="AD144" i="38" s="1"/>
  <c r="S134" i="38"/>
  <c r="AI134" i="38" s="1"/>
  <c r="N134" i="38"/>
  <c r="AD108" i="38" a="1"/>
  <c r="AD108" i="38" s="1"/>
  <c r="BG43" i="38"/>
  <c r="BK43" i="38" s="1"/>
  <c r="S42" i="38"/>
  <c r="AI42" i="38" s="1"/>
  <c r="AG42" i="38"/>
  <c r="N42" i="38"/>
  <c r="S40" i="38"/>
  <c r="AI40" i="38" s="1"/>
  <c r="N40" i="38"/>
  <c r="AE40" i="38" s="1"/>
  <c r="BN108" i="38"/>
  <c r="S235" i="38"/>
  <c r="AI235" i="38" s="1"/>
  <c r="N235" i="38"/>
  <c r="AE235" i="38" s="1"/>
  <c r="S140" i="38"/>
  <c r="AI140" i="38" s="1"/>
  <c r="AG140" i="38"/>
  <c r="N140" i="38"/>
  <c r="AE140" i="38" s="1"/>
  <c r="S200" i="38"/>
  <c r="AI200" i="38" s="1"/>
  <c r="N200" i="38"/>
  <c r="AE200" i="38" s="1"/>
  <c r="AG200" i="38"/>
  <c r="BN15" i="38"/>
  <c r="N15" i="38"/>
  <c r="S155" i="38"/>
  <c r="AI155" i="38" s="1"/>
  <c r="S218" i="38"/>
  <c r="AI218" i="38" s="1"/>
  <c r="N218" i="38"/>
  <c r="AE218" i="38" s="1"/>
  <c r="AD15" i="38" a="1"/>
  <c r="AD15" i="38" s="1"/>
  <c r="N55" i="38"/>
  <c r="AE55" i="38" s="1"/>
  <c r="N90" i="38"/>
  <c r="AE90" i="38" s="1"/>
  <c r="AQ26" i="38"/>
  <c r="BG56" i="38"/>
  <c r="BK56" i="38" s="1"/>
  <c r="N56" i="38"/>
  <c r="AE56" i="38" s="1"/>
  <c r="S45" i="38"/>
  <c r="AI45" i="38" s="1"/>
  <c r="N45" i="38"/>
  <c r="AE45" i="38" s="1"/>
  <c r="AG152" i="38"/>
  <c r="AD143" i="38" a="1"/>
  <c r="AD143" i="38" s="1"/>
  <c r="AD45" i="38" a="1"/>
  <c r="AD45" i="38" s="1"/>
  <c r="S239" i="38"/>
  <c r="AI239" i="38" s="1"/>
  <c r="N239" i="38"/>
  <c r="AE239" i="38" s="1"/>
  <c r="AD55" i="38" a="1"/>
  <c r="AD55" i="38" s="1"/>
  <c r="AG261" i="38"/>
  <c r="AN149" i="38"/>
  <c r="S108" i="38"/>
  <c r="AI108" i="38" s="1"/>
  <c r="S146" i="38"/>
  <c r="AI146" i="38" s="1"/>
  <c r="N146" i="38"/>
  <c r="AE146" i="38" s="1"/>
  <c r="AD218" i="38" a="1"/>
  <c r="AD218" i="38" s="1"/>
  <c r="BH197" i="38"/>
  <c r="BL197" i="38" s="1"/>
  <c r="N197" i="38"/>
  <c r="AE197" i="38" s="1"/>
  <c r="AG197" i="38"/>
  <c r="AG155" i="38"/>
  <c r="N155" i="38"/>
  <c r="AE155" i="38" s="1"/>
  <c r="Q153" i="38"/>
  <c r="AG153" i="38" s="1"/>
  <c r="N138" i="38"/>
  <c r="AE138" i="38" s="1"/>
  <c r="AD111" i="38" a="1"/>
  <c r="AD111" i="38" s="1"/>
  <c r="N89" i="38"/>
  <c r="AE89" i="38" s="1"/>
  <c r="S43" i="38"/>
  <c r="AI43" i="38" s="1"/>
  <c r="S147" i="38"/>
  <c r="AI147" i="38" s="1"/>
  <c r="N147" i="38"/>
  <c r="AE147" i="38" s="1"/>
  <c r="AG189" i="38"/>
  <c r="N189" i="38"/>
  <c r="AE189" i="38" s="1"/>
  <c r="Q257" i="38"/>
  <c r="AG257" i="38" s="1"/>
  <c r="BG138" i="38"/>
  <c r="BK138" i="38" s="1"/>
  <c r="AD89" i="38" a="1"/>
  <c r="AD89" i="38" s="1"/>
  <c r="BN13" i="38"/>
  <c r="N13" i="38"/>
  <c r="AE13" i="38" s="1"/>
  <c r="AG13" i="38"/>
  <c r="S161" i="38"/>
  <c r="AI161" i="38" s="1"/>
  <c r="N161" i="38"/>
  <c r="AE161" i="38" s="1"/>
  <c r="S44" i="38"/>
  <c r="AI44" i="38" s="1"/>
  <c r="N44" i="38"/>
  <c r="AE44" i="38" s="1"/>
  <c r="N113" i="38"/>
  <c r="S238" i="38"/>
  <c r="AI238" i="38" s="1"/>
  <c r="BI108" i="38"/>
  <c r="BM108" i="38" s="1"/>
  <c r="AD43" i="38" a="1"/>
  <c r="AD43" i="38" s="1"/>
  <c r="AG241" i="31"/>
  <c r="BE241" i="31"/>
  <c r="AR198" i="38"/>
  <c r="AQ198" i="38"/>
  <c r="BN113" i="38"/>
  <c r="AQ17" i="38"/>
  <c r="S113" i="38"/>
  <c r="AI113" i="38" s="1"/>
  <c r="T17" i="38"/>
  <c r="AR17" i="38" s="1"/>
  <c r="BI113" i="38"/>
  <c r="BM113" i="38" s="1"/>
  <c r="AG14" i="38"/>
  <c r="BN44" i="38"/>
  <c r="S14" i="38"/>
  <c r="AI14" i="38" s="1"/>
  <c r="AR124" i="38"/>
  <c r="BN14" i="38"/>
  <c r="AQ124" i="38"/>
  <c r="BA198" i="38"/>
  <c r="AZ198" i="38"/>
  <c r="BN161" i="38"/>
  <c r="BH124" i="38"/>
  <c r="BL124" i="38" s="1"/>
  <c r="BG135" i="38"/>
  <c r="BK135" i="38" s="1"/>
  <c r="W190" i="38"/>
  <c r="BK254" i="38"/>
  <c r="V198" i="38"/>
  <c r="W154" i="38"/>
  <c r="W109" i="38"/>
  <c r="BG124" i="38"/>
  <c r="BK124" i="38" s="1"/>
  <c r="W149" i="38"/>
  <c r="W121" i="38"/>
  <c r="W241" i="38"/>
  <c r="AR155" i="38"/>
  <c r="AP124" i="38"/>
  <c r="W152" i="38"/>
  <c r="W244" i="38"/>
  <c r="AO155" i="38"/>
  <c r="AU124" i="38"/>
  <c r="BG143" i="38"/>
  <c r="BK143" i="38" s="1"/>
  <c r="AQ155" i="38"/>
  <c r="AN198" i="38"/>
  <c r="AO124" i="38"/>
  <c r="BG161" i="38"/>
  <c r="BK161" i="38" s="1"/>
  <c r="AU155" i="38"/>
  <c r="AT124" i="38"/>
  <c r="W101" i="38"/>
  <c r="W224" i="38"/>
  <c r="W110" i="38"/>
  <c r="W225" i="38"/>
  <c r="W30" i="38"/>
  <c r="AP155" i="38"/>
  <c r="AN124" i="38"/>
  <c r="BC254" i="38"/>
  <c r="AT155" i="38"/>
  <c r="AS124" i="38"/>
  <c r="W124" i="38"/>
  <c r="AG45" i="38"/>
  <c r="S56" i="38"/>
  <c r="AI56" i="38" s="1"/>
  <c r="W207" i="38"/>
  <c r="S162" i="38"/>
  <c r="AI162" i="38" s="1"/>
  <c r="AU198" i="38"/>
  <c r="W114" i="38"/>
  <c r="W92" i="38"/>
  <c r="W34" i="38"/>
  <c r="AS155" i="38"/>
  <c r="AT198" i="38"/>
  <c r="AW124" i="38"/>
  <c r="BG190" i="38"/>
  <c r="BK190" i="38" s="1"/>
  <c r="W151" i="38"/>
  <c r="BC249" i="38"/>
  <c r="W236" i="38"/>
  <c r="W130" i="38"/>
  <c r="Z200" i="38"/>
  <c r="Y200" i="38"/>
  <c r="AW155" i="38"/>
  <c r="AX124" i="38"/>
  <c r="BE254" i="38"/>
  <c r="W220" i="38"/>
  <c r="BD155" i="38"/>
  <c r="BF124" i="38"/>
  <c r="W192" i="38"/>
  <c r="BF150" i="38"/>
  <c r="BF198" i="38"/>
  <c r="BD124" i="38"/>
  <c r="AX189" i="38"/>
  <c r="V193" i="38"/>
  <c r="BC259" i="38"/>
  <c r="AN155" i="38"/>
  <c r="AV124" i="38"/>
  <c r="W112" i="38"/>
  <c r="W237" i="38"/>
  <c r="BC253" i="38"/>
  <c r="AE17" i="38"/>
  <c r="BD150" i="38"/>
  <c r="BE198" i="38"/>
  <c r="BC124" i="38"/>
  <c r="BI198" i="38"/>
  <c r="BM198" i="38" s="1"/>
  <c r="BM254" i="38"/>
  <c r="W191" i="38"/>
  <c r="Y202" i="38"/>
  <c r="Z202" i="38"/>
  <c r="W202" i="38"/>
  <c r="W123" i="38"/>
  <c r="W228" i="38"/>
  <c r="AK175" i="38"/>
  <c r="V175" i="38"/>
  <c r="BI124" i="38"/>
  <c r="BM124" i="38" s="1"/>
  <c r="S143" i="38"/>
  <c r="AI143" i="38" s="1"/>
  <c r="W201" i="38"/>
  <c r="Y201" i="38"/>
  <c r="Z201" i="38"/>
  <c r="BE249" i="38"/>
  <c r="BC150" i="38"/>
  <c r="BG238" i="38"/>
  <c r="BK238" i="38" s="1"/>
  <c r="BG17" i="38"/>
  <c r="BK17" i="38" s="1"/>
  <c r="AN154" i="38"/>
  <c r="AN131" i="38"/>
  <c r="BG42" i="38"/>
  <c r="BK42" i="38" s="1"/>
  <c r="AV154" i="38"/>
  <c r="AV155" i="38"/>
  <c r="AR131" i="38"/>
  <c r="BG154" i="38"/>
  <c r="BK154" i="38" s="1"/>
  <c r="BI235" i="38"/>
  <c r="BM235" i="38" s="1"/>
  <c r="AU154" i="38"/>
  <c r="BA131" i="38"/>
  <c r="AS154" i="38"/>
  <c r="BE155" i="38"/>
  <c r="AX131" i="38"/>
  <c r="BI150" i="38"/>
  <c r="BM150" i="38" s="1"/>
  <c r="BG139" i="38"/>
  <c r="BK139" i="38" s="1"/>
  <c r="BH131" i="38"/>
  <c r="BL131" i="38" s="1"/>
  <c r="BC155" i="38"/>
  <c r="BG146" i="38"/>
  <c r="BK146" i="38" s="1"/>
  <c r="AY131" i="38"/>
  <c r="AW154" i="38"/>
  <c r="AT150" i="38"/>
  <c r="BD131" i="38"/>
  <c r="BH140" i="38"/>
  <c r="BL140" i="38" s="1"/>
  <c r="BB198" i="38"/>
  <c r="BN42" i="38"/>
  <c r="AP131" i="38"/>
  <c r="AG146" i="38"/>
  <c r="AR154" i="38"/>
  <c r="AV131" i="38"/>
  <c r="BH154" i="38"/>
  <c r="BL154" i="38" s="1"/>
  <c r="BN40" i="38"/>
  <c r="BG147" i="38"/>
  <c r="BK147" i="38" s="1"/>
  <c r="BE154" i="38"/>
  <c r="AS150" i="38"/>
  <c r="BC131" i="38"/>
  <c r="BD198" i="38"/>
  <c r="AU131" i="38"/>
  <c r="BI131" i="38"/>
  <c r="BM131" i="38" s="1"/>
  <c r="S15" i="38"/>
  <c r="AI15" i="38" s="1"/>
  <c r="AO154" i="38"/>
  <c r="AT131" i="38"/>
  <c r="BI154" i="38"/>
  <c r="BM154" i="38" s="1"/>
  <c r="AQ154" i="38"/>
  <c r="BG155" i="38"/>
  <c r="BK155" i="38" s="1"/>
  <c r="BG15" i="38"/>
  <c r="BK15" i="38" s="1"/>
  <c r="AT154" i="38"/>
  <c r="BF155" i="38"/>
  <c r="AZ131" i="38"/>
  <c r="BF154" i="38"/>
  <c r="AW150" i="38"/>
  <c r="BF131" i="38"/>
  <c r="BG131" i="38"/>
  <c r="BK131" i="38" s="1"/>
  <c r="AQ131" i="38"/>
  <c r="BB131" i="38"/>
  <c r="BG40" i="38"/>
  <c r="BK40" i="38" s="1"/>
  <c r="AW131" i="38"/>
  <c r="BD154" i="38"/>
  <c r="BE150" i="38"/>
  <c r="BE131" i="38"/>
  <c r="AZ227" i="38"/>
  <c r="AP61" i="38"/>
  <c r="T221" i="38"/>
  <c r="AN61" i="38"/>
  <c r="AU202" i="38"/>
  <c r="AS202" i="38"/>
  <c r="S197" i="38"/>
  <c r="AI197" i="38" s="1"/>
  <c r="AZ149" i="38"/>
  <c r="AU237" i="38"/>
  <c r="AE134" i="38"/>
  <c r="AS189" i="38"/>
  <c r="BG45" i="38"/>
  <c r="BK45" i="38" s="1"/>
  <c r="BG239" i="38"/>
  <c r="BK239" i="38" s="1"/>
  <c r="AX225" i="38"/>
  <c r="AK65" i="38"/>
  <c r="AZ82" i="38"/>
  <c r="P124" i="38"/>
  <c r="M124" i="38" s="1"/>
  <c r="E139" i="41" s="1"/>
  <c r="F145" i="41"/>
  <c r="F153" i="41"/>
  <c r="AN242" i="38"/>
  <c r="AX224" i="38"/>
  <c r="AU151" i="38"/>
  <c r="AX141" i="38"/>
  <c r="AX154" i="38"/>
  <c r="AQ189" i="38"/>
  <c r="BC190" i="38"/>
  <c r="AS114" i="38"/>
  <c r="AP24" i="38"/>
  <c r="AZ81" i="38"/>
  <c r="BG134" i="38"/>
  <c r="BK134" i="38" s="1"/>
  <c r="T190" i="38"/>
  <c r="V190" i="38" s="1"/>
  <c r="BD149" i="38"/>
  <c r="AN55" i="38"/>
  <c r="AZ150" i="38"/>
  <c r="AV237" i="38"/>
  <c r="AG134" i="38"/>
  <c r="AX62" i="38"/>
  <c r="AV189" i="38"/>
  <c r="BF149" i="38"/>
  <c r="BC154" i="38"/>
  <c r="AP198" i="38"/>
  <c r="BG189" i="38"/>
  <c r="BK189" i="38" s="1"/>
  <c r="BG44" i="38"/>
  <c r="BK44" i="38" s="1"/>
  <c r="BI111" i="38"/>
  <c r="BM111" i="38" s="1"/>
  <c r="AX82" i="38"/>
  <c r="BA225" i="38"/>
  <c r="AS149" i="38"/>
  <c r="AZ224" i="38"/>
  <c r="AR189" i="38"/>
  <c r="AR149" i="38"/>
  <c r="AV114" i="38"/>
  <c r="BE190" i="38"/>
  <c r="AZ112" i="38"/>
  <c r="AK166" i="38"/>
  <c r="AO189" i="38"/>
  <c r="AX121" i="38"/>
  <c r="AZ30" i="38"/>
  <c r="AK165" i="38"/>
  <c r="AT189" i="38"/>
  <c r="AZ62" i="38"/>
  <c r="S55" i="38"/>
  <c r="AI55" i="38" s="1"/>
  <c r="AN162" i="38"/>
  <c r="BA30" i="38"/>
  <c r="BC149" i="38"/>
  <c r="AS237" i="38"/>
  <c r="T171" i="38"/>
  <c r="BN45" i="38"/>
  <c r="AP26" i="38"/>
  <c r="F79" i="41"/>
  <c r="S189" i="38"/>
  <c r="AI189" i="38" s="1"/>
  <c r="AW189" i="38"/>
  <c r="BE149" i="38"/>
  <c r="AN190" i="38"/>
  <c r="AO198" i="38"/>
  <c r="BH189" i="38"/>
  <c r="BL189" i="38" s="1"/>
  <c r="BG13" i="38"/>
  <c r="BK13" i="38" s="1"/>
  <c r="BG198" i="38"/>
  <c r="BK198" i="38" s="1"/>
  <c r="BG162" i="38"/>
  <c r="BK162" i="38" s="1"/>
  <c r="F138" i="41"/>
  <c r="AP138" i="38"/>
  <c r="AR150" i="38"/>
  <c r="AR190" i="38"/>
  <c r="AV198" i="38"/>
  <c r="BI189" i="38"/>
  <c r="BM189" i="38" s="1"/>
  <c r="BH198" i="38"/>
  <c r="BL198" i="38" s="1"/>
  <c r="AZ141" i="38"/>
  <c r="T91" i="38"/>
  <c r="AP41" i="38"/>
  <c r="AK176" i="38"/>
  <c r="AK75" i="38"/>
  <c r="BC189" i="38"/>
  <c r="AQ150" i="38"/>
  <c r="AQ190" i="38"/>
  <c r="BG149" i="38"/>
  <c r="BK149" i="38" s="1"/>
  <c r="AN135" i="38"/>
  <c r="AN243" i="38"/>
  <c r="AU123" i="38"/>
  <c r="BH190" i="38"/>
  <c r="BL190" i="38" s="1"/>
  <c r="AM200" i="38"/>
  <c r="BI200" i="38" s="1"/>
  <c r="BM200" i="38" s="1"/>
  <c r="AP172" i="38"/>
  <c r="AU191" i="38"/>
  <c r="AK174" i="38"/>
  <c r="AK173" i="38"/>
  <c r="BD189" i="38"/>
  <c r="AP150" i="38"/>
  <c r="AP190" i="38"/>
  <c r="BH149" i="38"/>
  <c r="BL149" i="38" s="1"/>
  <c r="AS151" i="38"/>
  <c r="F166" i="41"/>
  <c r="AZ121" i="38"/>
  <c r="AP189" i="38"/>
  <c r="AN172" i="38"/>
  <c r="AN6" i="38"/>
  <c r="AS191" i="38"/>
  <c r="AS192" i="38"/>
  <c r="T220" i="38"/>
  <c r="V220" i="38" s="1"/>
  <c r="Q5" i="38"/>
  <c r="AV192" i="38"/>
  <c r="BF189" i="38"/>
  <c r="AO150" i="38"/>
  <c r="AO190" i="38"/>
  <c r="AS198" i="38"/>
  <c r="BI149" i="38"/>
  <c r="BM149" i="38" s="1"/>
  <c r="BG55" i="38"/>
  <c r="BK55" i="38" s="1"/>
  <c r="AQ172" i="38"/>
  <c r="BA224" i="38"/>
  <c r="AP149" i="38"/>
  <c r="BI190" i="38"/>
  <c r="BM190" i="38" s="1"/>
  <c r="AX190" i="38"/>
  <c r="AU189" i="38"/>
  <c r="F150" i="41"/>
  <c r="AU192" i="38"/>
  <c r="AX149" i="38"/>
  <c r="S111" i="38"/>
  <c r="AI111" i="38" s="1"/>
  <c r="AZ77" i="38"/>
  <c r="BN111" i="38"/>
  <c r="AP25" i="38"/>
  <c r="AX150" i="38"/>
  <c r="BE189" i="38"/>
  <c r="AV150" i="38"/>
  <c r="AO131" i="38"/>
  <c r="AV190" i="38"/>
  <c r="AW198" i="38"/>
  <c r="BI155" i="38"/>
  <c r="BM155" i="38" s="1"/>
  <c r="AZ225" i="38"/>
  <c r="AK167" i="38"/>
  <c r="AU201" i="38"/>
  <c r="AQ149" i="38"/>
  <c r="AS201" i="38"/>
  <c r="AV149" i="38"/>
  <c r="AU114" i="38"/>
  <c r="AN189" i="38"/>
  <c r="AW149" i="38"/>
  <c r="BG144" i="38"/>
  <c r="BK144" i="38" s="1"/>
  <c r="AQ13" i="38"/>
  <c r="AZ28" i="38"/>
  <c r="AV191" i="38"/>
  <c r="AZ115" i="38"/>
  <c r="AX152" i="38"/>
  <c r="AS123" i="38"/>
  <c r="AX109" i="38"/>
  <c r="AO149" i="38"/>
  <c r="AN150" i="38"/>
  <c r="AU190" i="38"/>
  <c r="AX198" i="38"/>
  <c r="BG150" i="38"/>
  <c r="BK150" i="38" s="1"/>
  <c r="AX115" i="38"/>
  <c r="AX112" i="38"/>
  <c r="AZ190" i="38"/>
  <c r="BG14" i="38"/>
  <c r="BK14" i="38" s="1"/>
  <c r="AV236" i="38"/>
  <c r="AX227" i="38"/>
  <c r="AX81" i="38"/>
  <c r="AZ109" i="38"/>
  <c r="BN189" i="38"/>
  <c r="AU150" i="38"/>
  <c r="AK131" i="38"/>
  <c r="AV123" i="38"/>
  <c r="AL123" i="38"/>
  <c r="T123" i="38"/>
  <c r="V123" i="38" s="1"/>
  <c r="BM6" i="38"/>
  <c r="BC261" i="38"/>
  <c r="Q251" i="38"/>
  <c r="AG251" i="38" s="1"/>
  <c r="BK6" i="38"/>
  <c r="AK193" i="38"/>
  <c r="M35" i="38"/>
  <c r="BA112" i="38"/>
  <c r="F69" i="41"/>
  <c r="T149" i="38"/>
  <c r="V149" i="38" s="1"/>
  <c r="F164" i="41"/>
  <c r="AN24" i="38"/>
  <c r="AN41" i="38"/>
  <c r="AR223" i="38"/>
  <c r="T92" i="38"/>
  <c r="V92" i="38" s="1"/>
  <c r="T207" i="38"/>
  <c r="V207" i="38" s="1"/>
  <c r="AN25" i="38"/>
  <c r="AX30" i="38"/>
  <c r="AX223" i="38"/>
  <c r="AN223" i="38"/>
  <c r="T124" i="38"/>
  <c r="F139" i="41"/>
  <c r="T130" i="38"/>
  <c r="V130" i="38" s="1"/>
  <c r="BA110" i="38"/>
  <c r="F67" i="41"/>
  <c r="N58" i="38"/>
  <c r="AE58" i="38" s="1"/>
  <c r="BA121" i="38"/>
  <c r="F136" i="41"/>
  <c r="BA108" i="38"/>
  <c r="BA109" i="38"/>
  <c r="F66" i="41"/>
  <c r="AN26" i="38"/>
  <c r="AX28" i="38"/>
  <c r="BA152" i="38"/>
  <c r="F167" i="41"/>
  <c r="AR35" i="38"/>
  <c r="T34" i="38"/>
  <c r="V34" i="38" s="1"/>
  <c r="AR245" i="38"/>
  <c r="T244" i="38"/>
  <c r="V244" i="38" s="1"/>
  <c r="M29" i="38"/>
  <c r="T99" i="38"/>
  <c r="F77" i="41"/>
  <c r="AZ223" i="38"/>
  <c r="AP223" i="38"/>
  <c r="F70" i="41"/>
  <c r="M36" i="38"/>
  <c r="T154" i="38"/>
  <c r="V154" i="38" s="1"/>
  <c r="F169" i="41"/>
  <c r="T155" i="38"/>
  <c r="V155" i="38" s="1"/>
  <c r="AR242" i="38"/>
  <c r="T241" i="38"/>
  <c r="V241" i="38" s="1"/>
  <c r="BL6" i="38"/>
  <c r="Q58" i="38"/>
  <c r="AG58" i="38" s="1"/>
  <c r="BI122" i="38"/>
  <c r="BM122" i="38" s="1"/>
  <c r="BH122" i="38"/>
  <c r="BL122" i="38" s="1"/>
  <c r="BG122" i="38"/>
  <c r="BK122" i="38" s="1"/>
  <c r="AZ154" i="38"/>
  <c r="AY198" i="38"/>
  <c r="P163" i="38"/>
  <c r="AN163" i="38"/>
  <c r="AK86" i="38"/>
  <c r="BB86" i="38"/>
  <c r="AK94" i="38"/>
  <c r="BB94" i="38"/>
  <c r="AK158" i="38"/>
  <c r="BB158" i="38"/>
  <c r="AZ124" i="38"/>
  <c r="Q241" i="38"/>
  <c r="AG241" i="38" s="1"/>
  <c r="AP242" i="38"/>
  <c r="T201" i="38"/>
  <c r="AK201" i="38" s="1"/>
  <c r="AV201" i="38"/>
  <c r="M158" i="38"/>
  <c r="E173" i="41" s="1"/>
  <c r="AY158" i="38"/>
  <c r="M79" i="38"/>
  <c r="E42" i="41" s="1"/>
  <c r="AT79" i="38"/>
  <c r="P236" i="38"/>
  <c r="AU236" i="38"/>
  <c r="N156" i="38"/>
  <c r="AE156" i="38" s="1"/>
  <c r="AX157" i="38"/>
  <c r="AK83" i="38"/>
  <c r="AW83" i="38"/>
  <c r="BA149" i="38"/>
  <c r="AP6" i="38"/>
  <c r="M94" i="38"/>
  <c r="AY94" i="38"/>
  <c r="M83" i="38"/>
  <c r="AT83" i="38"/>
  <c r="M193" i="38"/>
  <c r="E9" i="41" s="1"/>
  <c r="AT193" i="38"/>
  <c r="T24" i="38"/>
  <c r="AQ24" i="38"/>
  <c r="T16" i="38"/>
  <c r="AR16" i="38" s="1"/>
  <c r="AQ16" i="38"/>
  <c r="T60" i="38"/>
  <c r="AR60" i="38" s="1"/>
  <c r="AQ60" i="38"/>
  <c r="BO249" i="38"/>
  <c r="BN249" i="38" s="1"/>
  <c r="AK95" i="38"/>
  <c r="BB95" i="38"/>
  <c r="BA190" i="38"/>
  <c r="AK223" i="38"/>
  <c r="BB223" i="38"/>
  <c r="T151" i="38"/>
  <c r="V151" i="38" s="1"/>
  <c r="AV151" i="38"/>
  <c r="T59" i="38"/>
  <c r="AQ59" i="38"/>
  <c r="P16" i="38"/>
  <c r="AP16" i="38"/>
  <c r="BO110" i="38"/>
  <c r="AZ110" i="38"/>
  <c r="N248" i="38"/>
  <c r="AE248" i="38" s="1"/>
  <c r="BC250" i="38"/>
  <c r="AK132" i="38"/>
  <c r="BB132" i="38"/>
  <c r="AK164" i="38"/>
  <c r="AR164" i="38"/>
  <c r="P78" i="38"/>
  <c r="AZ78" i="38"/>
  <c r="P60" i="38"/>
  <c r="AO60" i="38" s="1"/>
  <c r="AN60" i="38"/>
  <c r="P7" i="38"/>
  <c r="AO8" i="38"/>
  <c r="P59" i="38"/>
  <c r="M59" i="38" s="1"/>
  <c r="AP59" i="38"/>
  <c r="P258" i="38"/>
  <c r="BD258" i="38" s="1"/>
  <c r="BC258" i="38"/>
  <c r="M86" i="38"/>
  <c r="AY86" i="38"/>
  <c r="BO100" i="38"/>
  <c r="AP100" i="38"/>
  <c r="T163" i="38"/>
  <c r="AR163" i="38" s="1"/>
  <c r="AQ163" i="38"/>
  <c r="BA154" i="38"/>
  <c r="AK93" i="38"/>
  <c r="BB93" i="38"/>
  <c r="AP238" i="38"/>
  <c r="T202" i="38"/>
  <c r="AW202" i="38" s="1"/>
  <c r="AV202" i="38"/>
  <c r="T135" i="38"/>
  <c r="AR135" i="38" s="1"/>
  <c r="AQ135" i="38"/>
  <c r="N76" i="38"/>
  <c r="AE76" i="38" s="1"/>
  <c r="AX77" i="38"/>
  <c r="Q156" i="38"/>
  <c r="AG156" i="38" s="1"/>
  <c r="AZ157" i="38"/>
  <c r="AK79" i="38"/>
  <c r="AW79" i="38"/>
  <c r="BC122" i="38"/>
  <c r="BD122" i="38"/>
  <c r="BF122" i="38"/>
  <c r="BA122" i="38"/>
  <c r="BB122" i="38"/>
  <c r="BE122" i="38"/>
  <c r="AY122" i="38"/>
  <c r="AZ122" i="38"/>
  <c r="AX122" i="38"/>
  <c r="AW122" i="38"/>
  <c r="AP122" i="38"/>
  <c r="AS122" i="38"/>
  <c r="AT122" i="38"/>
  <c r="AU122" i="38"/>
  <c r="AV122" i="38"/>
  <c r="AN122" i="38"/>
  <c r="M132" i="38"/>
  <c r="E147" i="41" s="1"/>
  <c r="AY132" i="38"/>
  <c r="T25" i="38"/>
  <c r="AR25" i="38" s="1"/>
  <c r="AQ25" i="38"/>
  <c r="T100" i="38"/>
  <c r="AR100" i="38" s="1"/>
  <c r="AQ100" i="38"/>
  <c r="P255" i="38"/>
  <c r="BD255" i="38" s="1"/>
  <c r="BC255" i="38"/>
  <c r="M95" i="38"/>
  <c r="AY95" i="38"/>
  <c r="AK36" i="38"/>
  <c r="BB36" i="38"/>
  <c r="BB115" i="38"/>
  <c r="BA124" i="38"/>
  <c r="M256" i="38"/>
  <c r="AY256" i="38"/>
  <c r="M252" i="38"/>
  <c r="BD252" i="38"/>
  <c r="T172" i="38"/>
  <c r="AR172" i="38" s="1"/>
  <c r="F17" i="41"/>
  <c r="M5" i="41" s="1"/>
  <c r="T191" i="38"/>
  <c r="V191" i="38" s="1"/>
  <c r="F11" i="41"/>
  <c r="M7" i="41"/>
  <c r="T192" i="38"/>
  <c r="V192" i="38" s="1"/>
  <c r="F12" i="41"/>
  <c r="M34" i="41"/>
  <c r="P242" i="38"/>
  <c r="AO242" i="38" s="1"/>
  <c r="T13" i="38"/>
  <c r="BN202" i="38"/>
  <c r="L210" i="38"/>
  <c r="BN210" i="38" s="1"/>
  <c r="N241" i="38"/>
  <c r="AE241" i="38" s="1"/>
  <c r="AL211" i="38"/>
  <c r="AM211" i="38"/>
  <c r="AL212" i="38"/>
  <c r="AM212" i="38"/>
  <c r="AL205" i="38"/>
  <c r="AM205" i="38"/>
  <c r="AL206" i="38"/>
  <c r="AM206" i="38"/>
  <c r="P243" i="38"/>
  <c r="BO101" i="38"/>
  <c r="AL151" i="38"/>
  <c r="AK203" i="38"/>
  <c r="AL203" i="38"/>
  <c r="T109" i="38"/>
  <c r="V109" i="38" s="1"/>
  <c r="AL109" i="38"/>
  <c r="T152" i="38"/>
  <c r="V152" i="38" s="1"/>
  <c r="AL152" i="38"/>
  <c r="AL154" i="38"/>
  <c r="T121" i="38"/>
  <c r="V121" i="38" s="1"/>
  <c r="AL121" i="38"/>
  <c r="AL149" i="38"/>
  <c r="T224" i="38"/>
  <c r="V224" i="38" s="1"/>
  <c r="AL224" i="38"/>
  <c r="T237" i="38"/>
  <c r="V237" i="38" s="1"/>
  <c r="AL237" i="38"/>
  <c r="AL201" i="38"/>
  <c r="AL202" i="38"/>
  <c r="AL124" i="38"/>
  <c r="AL191" i="38"/>
  <c r="T112" i="38"/>
  <c r="V112" i="38" s="1"/>
  <c r="AL112" i="38"/>
  <c r="T225" i="38"/>
  <c r="V225" i="38" s="1"/>
  <c r="AL225" i="38"/>
  <c r="T114" i="38"/>
  <c r="V114" i="38" s="1"/>
  <c r="AL114" i="38"/>
  <c r="T63" i="38"/>
  <c r="V63" i="38" s="1"/>
  <c r="AL63" i="38"/>
  <c r="AL108" i="38"/>
  <c r="AK204" i="38"/>
  <c r="AL204" i="38"/>
  <c r="T236" i="38"/>
  <c r="V236" i="38" s="1"/>
  <c r="AL236" i="38"/>
  <c r="AL192" i="38"/>
  <c r="T110" i="38"/>
  <c r="V110" i="38" s="1"/>
  <c r="AL110" i="38"/>
  <c r="T30" i="38"/>
  <c r="V30" i="38" s="1"/>
  <c r="AL30" i="38"/>
  <c r="AL190" i="38"/>
  <c r="AK212" i="38"/>
  <c r="AK205" i="38"/>
  <c r="BN201" i="38"/>
  <c r="BO206" i="38"/>
  <c r="AK206" i="38"/>
  <c r="P211" i="38"/>
  <c r="M211" i="38" s="1"/>
  <c r="E24" i="41" s="1"/>
  <c r="AK211" i="38"/>
  <c r="BO228" i="38"/>
  <c r="Q76" i="38"/>
  <c r="AG76" i="38" s="1"/>
  <c r="BO150" i="38"/>
  <c r="BO121" i="38"/>
  <c r="N80" i="38"/>
  <c r="AE80" i="38" s="1"/>
  <c r="Q80" i="38"/>
  <c r="AG80" i="38" s="1"/>
  <c r="Q148" i="38"/>
  <c r="AG148" i="38" s="1"/>
  <c r="P110" i="38"/>
  <c r="BO130" i="38"/>
  <c r="BO78" i="38"/>
  <c r="Q67" i="38"/>
  <c r="AG67" i="38" s="1"/>
  <c r="N67" i="38"/>
  <c r="AE67" i="38" s="1"/>
  <c r="BO25" i="38"/>
  <c r="P141" i="38"/>
  <c r="BO258" i="38"/>
  <c r="BN258" i="38" s="1"/>
  <c r="P100" i="38"/>
  <c r="S97" i="38"/>
  <c r="AI97" i="38" s="1"/>
  <c r="Q51" i="38"/>
  <c r="AG51" i="38" s="1"/>
  <c r="P249" i="38"/>
  <c r="Q248" i="38"/>
  <c r="AG248" i="38" s="1"/>
  <c r="BO250" i="38"/>
  <c r="BN250" i="38" s="1"/>
  <c r="Q120" i="38"/>
  <c r="AG120" i="38" s="1"/>
  <c r="BO163" i="38"/>
  <c r="P250" i="38"/>
  <c r="BN205" i="38"/>
  <c r="P157" i="38"/>
  <c r="BO124" i="38"/>
  <c r="BO34" i="38"/>
  <c r="P34" i="38"/>
  <c r="BO205" i="38"/>
  <c r="S23" i="38"/>
  <c r="AI23" i="38" s="1"/>
  <c r="P30" i="38"/>
  <c r="AY30" i="38" s="1"/>
  <c r="P28" i="38"/>
  <c r="AY28" i="38" s="1"/>
  <c r="AG31" i="38"/>
  <c r="AE31" i="38"/>
  <c r="BO254" i="38"/>
  <c r="BN254" i="38" s="1"/>
  <c r="P254" i="38"/>
  <c r="BO41" i="38"/>
  <c r="N251" i="38"/>
  <c r="AE251" i="38" s="1"/>
  <c r="BO212" i="38"/>
  <c r="P150" i="38"/>
  <c r="P62" i="38"/>
  <c r="Q222" i="38"/>
  <c r="AG222" i="38" s="1"/>
  <c r="P121" i="38"/>
  <c r="S178" i="38"/>
  <c r="AI178" i="38" s="1"/>
  <c r="BO16" i="38"/>
  <c r="P25" i="38"/>
  <c r="AO25" i="38" s="1"/>
  <c r="BO181" i="38"/>
  <c r="Q178" i="38"/>
  <c r="AG178" i="38" s="1"/>
  <c r="S169" i="38"/>
  <c r="AI169" i="38" s="1"/>
  <c r="AG90" i="38"/>
  <c r="S90" i="38"/>
  <c r="AI90" i="38" s="1"/>
  <c r="P224" i="38"/>
  <c r="BO123" i="38"/>
  <c r="P123" i="38"/>
  <c r="BO82" i="38"/>
  <c r="P82" i="38"/>
  <c r="P26" i="38"/>
  <c r="AO26" i="38" s="1"/>
  <c r="BO179" i="38"/>
  <c r="P244" i="38"/>
  <c r="M245" i="38"/>
  <c r="M244" i="38" s="1"/>
  <c r="P41" i="38"/>
  <c r="AO41" i="38" s="1"/>
  <c r="P24" i="38"/>
  <c r="AO24" i="38" s="1"/>
  <c r="N23" i="38"/>
  <c r="AE23" i="38" s="1"/>
  <c r="BO24" i="38"/>
  <c r="AM214" i="38"/>
  <c r="BN206" i="38"/>
  <c r="BO201" i="38"/>
  <c r="P201" i="38"/>
  <c r="N120" i="38"/>
  <c r="AE120" i="38" s="1"/>
  <c r="BO114" i="38"/>
  <c r="P114" i="38"/>
  <c r="BO108" i="38"/>
  <c r="BO62" i="38"/>
  <c r="P61" i="38"/>
  <c r="P77" i="38"/>
  <c r="AY77" i="38" s="1"/>
  <c r="BO77" i="38"/>
  <c r="BO259" i="38"/>
  <c r="BN259" i="38" s="1"/>
  <c r="P259" i="38"/>
  <c r="P152" i="38"/>
  <c r="P237" i="38"/>
  <c r="BO211" i="38"/>
  <c r="P149" i="38"/>
  <c r="BO149" i="38"/>
  <c r="N148" i="38"/>
  <c r="AE148" i="38" s="1"/>
  <c r="P122" i="38"/>
  <c r="AO122" i="38" s="1"/>
  <c r="BO122" i="38"/>
  <c r="Q97" i="38"/>
  <c r="AG97" i="38" s="1"/>
  <c r="M8" i="38"/>
  <c r="M7" i="38" s="1"/>
  <c r="P14" i="38"/>
  <c r="AO14" i="38" s="1"/>
  <c r="BO14" i="38"/>
  <c r="Q23" i="38"/>
  <c r="AG23" i="38" s="1"/>
  <c r="BO190" i="38"/>
  <c r="P190" i="38"/>
  <c r="AY190" i="38" s="1"/>
  <c r="N188" i="38"/>
  <c r="AE188" i="38" s="1"/>
  <c r="P225" i="38"/>
  <c r="BN212" i="38"/>
  <c r="N257" i="38"/>
  <c r="AE257" i="38" s="1"/>
  <c r="L209" i="38"/>
  <c r="BO112" i="38"/>
  <c r="P112" i="38"/>
  <c r="P130" i="38"/>
  <c r="M131" i="38"/>
  <c r="P92" i="38"/>
  <c r="M93" i="38"/>
  <c r="BO191" i="38"/>
  <c r="P191" i="38"/>
  <c r="BO6" i="38"/>
  <c r="P6" i="38"/>
  <c r="N5" i="38"/>
  <c r="BO28" i="38"/>
  <c r="P227" i="38"/>
  <c r="Q169" i="38"/>
  <c r="AG169" i="38" s="1"/>
  <c r="P109" i="38"/>
  <c r="BO109" i="38"/>
  <c r="P192" i="38"/>
  <c r="BO192" i="38"/>
  <c r="N169" i="38"/>
  <c r="AE169" i="38" s="1"/>
  <c r="BN211" i="38"/>
  <c r="P223" i="38"/>
  <c r="AO223" i="38" s="1"/>
  <c r="N222" i="38"/>
  <c r="AE222" i="38" s="1"/>
  <c r="L208" i="38"/>
  <c r="BO180" i="38"/>
  <c r="P202" i="38"/>
  <c r="BO202" i="38"/>
  <c r="P253" i="38"/>
  <c r="BO253" i="38"/>
  <c r="BN253" i="38" s="1"/>
  <c r="BO261" i="38"/>
  <c r="BN261" i="38" s="1"/>
  <c r="P261" i="38"/>
  <c r="N260" i="38"/>
  <c r="AE260" i="38" s="1"/>
  <c r="N178" i="38"/>
  <c r="AE178" i="38" s="1"/>
  <c r="BO172" i="38"/>
  <c r="P172" i="38"/>
  <c r="P154" i="38"/>
  <c r="BO154" i="38"/>
  <c r="P151" i="38"/>
  <c r="BO151" i="38"/>
  <c r="P115" i="38"/>
  <c r="S89" i="38"/>
  <c r="AI89" i="38" s="1"/>
  <c r="P81" i="38"/>
  <c r="AY81" i="38" s="1"/>
  <c r="BO81" i="38"/>
  <c r="N97" i="38"/>
  <c r="AE97" i="38" s="1"/>
  <c r="O216" i="38" l="1"/>
  <c r="AF216" i="38" s="1"/>
  <c r="AF218" i="38"/>
  <c r="O133" i="38"/>
  <c r="AF133" i="38" s="1"/>
  <c r="AF134" i="38"/>
  <c r="O196" i="38"/>
  <c r="AF196" i="38" s="1"/>
  <c r="AF197" i="38"/>
  <c r="R133" i="38"/>
  <c r="AH133" i="38" s="1"/>
  <c r="AH134" i="38"/>
  <c r="O22" i="38"/>
  <c r="AF22" i="38" s="1"/>
  <c r="AF23" i="38"/>
  <c r="R145" i="38"/>
  <c r="AH145" i="38" s="1"/>
  <c r="AH146" i="38"/>
  <c r="O39" i="38"/>
  <c r="AF40" i="38"/>
  <c r="R199" i="38"/>
  <c r="AH199" i="38" s="1"/>
  <c r="AH200" i="38"/>
  <c r="R216" i="38"/>
  <c r="AH216" i="38" s="1"/>
  <c r="AH218" i="38"/>
  <c r="O66" i="38"/>
  <c r="AF66" i="38" s="1"/>
  <c r="AF76" i="38"/>
  <c r="O199" i="38"/>
  <c r="AF199" i="38" s="1"/>
  <c r="AF200" i="38"/>
  <c r="O142" i="38"/>
  <c r="AF142" i="38" s="1"/>
  <c r="AF143" i="38"/>
  <c r="P108" i="38"/>
  <c r="AY108" i="38" s="1"/>
  <c r="P113" i="38"/>
  <c r="R39" i="38"/>
  <c r="AH40" i="38"/>
  <c r="AG162" i="38"/>
  <c r="O153" i="38"/>
  <c r="AF153" i="38" s="1"/>
  <c r="AF155" i="38"/>
  <c r="R188" i="38"/>
  <c r="AH188" i="38" s="1"/>
  <c r="AH189" i="38"/>
  <c r="R22" i="38"/>
  <c r="AH22" i="38" s="1"/>
  <c r="AH23" i="38"/>
  <c r="R234" i="38"/>
  <c r="AH235" i="38"/>
  <c r="O188" i="38"/>
  <c r="AF188" i="38" s="1"/>
  <c r="AF189" i="38"/>
  <c r="R196" i="38"/>
  <c r="AH196" i="38" s="1"/>
  <c r="AH197" i="38"/>
  <c r="BO162" i="38"/>
  <c r="O107" i="38"/>
  <c r="AP162" i="38"/>
  <c r="P162" i="38"/>
  <c r="AO162" i="38" s="1"/>
  <c r="O215" i="38"/>
  <c r="AF215" i="38" s="1"/>
  <c r="O160" i="38"/>
  <c r="R160" i="38"/>
  <c r="O145" i="38"/>
  <c r="AF145" i="38" s="1"/>
  <c r="O234" i="38"/>
  <c r="R142" i="38"/>
  <c r="AH142" i="38" s="1"/>
  <c r="R107" i="38"/>
  <c r="O257" i="38"/>
  <c r="O54" i="38"/>
  <c r="R251" i="38"/>
  <c r="AN14" i="38"/>
  <c r="AQ138" i="38"/>
  <c r="P43" i="38"/>
  <c r="AO43" i="38" s="1"/>
  <c r="AX108" i="38"/>
  <c r="AK115" i="38"/>
  <c r="AQ44" i="38"/>
  <c r="P143" i="38"/>
  <c r="AO143" i="38" s="1"/>
  <c r="AE108" i="38"/>
  <c r="AP17" i="38"/>
  <c r="R88" i="38"/>
  <c r="O12" i="38"/>
  <c r="T235" i="38"/>
  <c r="V235" i="38" s="1"/>
  <c r="R54" i="38"/>
  <c r="T138" i="38"/>
  <c r="AR138" i="38" s="1"/>
  <c r="O88" i="38"/>
  <c r="O137" i="38"/>
  <c r="R12" i="38"/>
  <c r="BO43" i="38"/>
  <c r="AN43" i="38"/>
  <c r="BA235" i="38"/>
  <c r="R137" i="38"/>
  <c r="AH137" i="38" s="1"/>
  <c r="BA155" i="38"/>
  <c r="T239" i="38"/>
  <c r="AR239" i="38" s="1"/>
  <c r="BO113" i="38"/>
  <c r="P138" i="38"/>
  <c r="AO138" i="38" s="1"/>
  <c r="AQ43" i="38"/>
  <c r="AE113" i="38"/>
  <c r="AP161" i="38"/>
  <c r="AN143" i="38"/>
  <c r="P135" i="38"/>
  <c r="AQ147" i="38"/>
  <c r="T43" i="38"/>
  <c r="AR43" i="38" s="1"/>
  <c r="T134" i="38"/>
  <c r="AR134" i="38" s="1"/>
  <c r="AQ134" i="38"/>
  <c r="AQ42" i="38"/>
  <c r="AE143" i="38"/>
  <c r="F149" i="41"/>
  <c r="T218" i="38"/>
  <c r="V218" i="38" s="1"/>
  <c r="AP143" i="38"/>
  <c r="AG113" i="38"/>
  <c r="AQ239" i="38"/>
  <c r="AP15" i="38"/>
  <c r="S153" i="38"/>
  <c r="AI153" i="38" s="1"/>
  <c r="AL155" i="38"/>
  <c r="AN44" i="38"/>
  <c r="T44" i="38"/>
  <c r="AR44" i="38" s="1"/>
  <c r="W218" i="38"/>
  <c r="S216" i="38"/>
  <c r="AI216" i="38" s="1"/>
  <c r="T42" i="38"/>
  <c r="AR42" i="38" s="1"/>
  <c r="AN138" i="38"/>
  <c r="W155" i="38"/>
  <c r="F170" i="41"/>
  <c r="T161" i="38"/>
  <c r="AR161" i="38" s="1"/>
  <c r="T108" i="38"/>
  <c r="V108" i="38" s="1"/>
  <c r="AV140" i="38"/>
  <c r="F161" i="41"/>
  <c r="AZ155" i="38"/>
  <c r="AQ45" i="38"/>
  <c r="AE238" i="38"/>
  <c r="S39" i="38"/>
  <c r="AI39" i="38" s="1"/>
  <c r="AQ144" i="38"/>
  <c r="AE111" i="38"/>
  <c r="AE135" i="38"/>
  <c r="T45" i="38"/>
  <c r="AR45" i="38" s="1"/>
  <c r="AE139" i="38"/>
  <c r="W235" i="38"/>
  <c r="AL113" i="38"/>
  <c r="T140" i="38"/>
  <c r="V140" i="38" s="1"/>
  <c r="AL200" i="38"/>
  <c r="F154" i="41"/>
  <c r="AG108" i="38"/>
  <c r="F159" i="41"/>
  <c r="F155" i="41"/>
  <c r="M99" i="41" s="1"/>
  <c r="W200" i="38"/>
  <c r="T144" i="38"/>
  <c r="AR144" i="38" s="1"/>
  <c r="T143" i="38"/>
  <c r="AL140" i="38"/>
  <c r="S234" i="38"/>
  <c r="AI234" i="38" s="1"/>
  <c r="T238" i="38"/>
  <c r="AR238" i="38" s="1"/>
  <c r="S145" i="38"/>
  <c r="AI145" i="38" s="1"/>
  <c r="AL235" i="38"/>
  <c r="AQ238" i="38"/>
  <c r="T146" i="38"/>
  <c r="AR146" i="38" s="1"/>
  <c r="AP135" i="38"/>
  <c r="T200" i="38"/>
  <c r="AK200" i="38" s="1"/>
  <c r="AQ139" i="38"/>
  <c r="W140" i="38"/>
  <c r="AP43" i="38"/>
  <c r="T147" i="38"/>
  <c r="AR147" i="38" s="1"/>
  <c r="AU197" i="38"/>
  <c r="S199" i="38"/>
  <c r="AI199" i="38" s="1"/>
  <c r="Q196" i="38"/>
  <c r="AG196" i="38" s="1"/>
  <c r="T56" i="38"/>
  <c r="AR56" i="38" s="1"/>
  <c r="T113" i="38"/>
  <c r="V113" i="38" s="1"/>
  <c r="W108" i="38"/>
  <c r="P238" i="38"/>
  <c r="M238" i="38" s="1"/>
  <c r="AQ146" i="38"/>
  <c r="T139" i="38"/>
  <c r="AR139" i="38" s="1"/>
  <c r="AQ161" i="38"/>
  <c r="S133" i="38"/>
  <c r="AI133" i="38" s="1"/>
  <c r="F65" i="41"/>
  <c r="F162" i="41"/>
  <c r="T40" i="38"/>
  <c r="AR40" i="38" s="1"/>
  <c r="AQ40" i="38"/>
  <c r="BA113" i="38"/>
  <c r="AP14" i="38"/>
  <c r="AX113" i="38"/>
  <c r="AQ14" i="38"/>
  <c r="T162" i="38"/>
  <c r="AR162" i="38" s="1"/>
  <c r="W113" i="38"/>
  <c r="T14" i="38"/>
  <c r="AR14" i="38" s="1"/>
  <c r="AP139" i="38"/>
  <c r="P161" i="38"/>
  <c r="AO161" i="38" s="1"/>
  <c r="BO161" i="38"/>
  <c r="N160" i="38"/>
  <c r="AE160" i="38" s="1"/>
  <c r="AN161" i="38"/>
  <c r="P111" i="38"/>
  <c r="AY111" i="38" s="1"/>
  <c r="AN40" i="38"/>
  <c r="P139" i="38"/>
  <c r="M139" i="38" s="1"/>
  <c r="E154" i="41" s="1"/>
  <c r="AQ162" i="38"/>
  <c r="BB190" i="38"/>
  <c r="AZ111" i="38"/>
  <c r="BO111" i="38"/>
  <c r="AP56" i="38"/>
  <c r="S142" i="38"/>
  <c r="AI142" i="38" s="1"/>
  <c r="AN15" i="38"/>
  <c r="AE15" i="38"/>
  <c r="Q133" i="38"/>
  <c r="AG133" i="38" s="1"/>
  <c r="N54" i="38"/>
  <c r="AE54" i="38" s="1"/>
  <c r="Q107" i="38"/>
  <c r="AG107" i="38" s="1"/>
  <c r="AQ15" i="38"/>
  <c r="T15" i="38"/>
  <c r="AR15" i="38" s="1"/>
  <c r="N39" i="38"/>
  <c r="AE39" i="38" s="1"/>
  <c r="AE42" i="38"/>
  <c r="V201" i="38"/>
  <c r="S160" i="38"/>
  <c r="AI160" i="38" s="1"/>
  <c r="T111" i="38"/>
  <c r="V111" i="38" s="1"/>
  <c r="W111" i="38"/>
  <c r="P239" i="38"/>
  <c r="M239" i="38" s="1"/>
  <c r="S188" i="38"/>
  <c r="W189" i="38"/>
  <c r="Q142" i="38"/>
  <c r="AG142" i="38" s="1"/>
  <c r="BO45" i="38"/>
  <c r="BO15" i="38"/>
  <c r="N142" i="38"/>
  <c r="AE142" i="38" s="1"/>
  <c r="AP45" i="38"/>
  <c r="P44" i="38"/>
  <c r="AO44" i="38" s="1"/>
  <c r="AZ189" i="38"/>
  <c r="AK124" i="38"/>
  <c r="V124" i="38"/>
  <c r="P189" i="38"/>
  <c r="P188" i="38" s="1"/>
  <c r="AN42" i="38"/>
  <c r="AN56" i="38"/>
  <c r="Q188" i="38"/>
  <c r="AG188" i="38" s="1"/>
  <c r="W169" i="38"/>
  <c r="N216" i="38"/>
  <c r="AE216" i="38" s="1"/>
  <c r="W97" i="38"/>
  <c r="F158" i="41"/>
  <c r="AU140" i="38"/>
  <c r="BO13" i="38"/>
  <c r="AL197" i="38"/>
  <c r="W197" i="38"/>
  <c r="T197" i="38"/>
  <c r="V197" i="38" s="1"/>
  <c r="Z209" i="38"/>
  <c r="Y209" i="38"/>
  <c r="W209" i="38"/>
  <c r="V209" i="38"/>
  <c r="AQ143" i="38"/>
  <c r="P55" i="38"/>
  <c r="AO55" i="38" s="1"/>
  <c r="N145" i="38"/>
  <c r="AE145" i="38" s="1"/>
  <c r="AN134" i="38"/>
  <c r="BO189" i="38"/>
  <c r="Q199" i="38"/>
  <c r="AG199" i="38" s="1"/>
  <c r="S12" i="38"/>
  <c r="AI12" i="38" s="1"/>
  <c r="P45" i="38"/>
  <c r="AO45" i="38" s="1"/>
  <c r="Z208" i="38"/>
  <c r="Y208" i="38"/>
  <c r="W208" i="38"/>
  <c r="V208" i="38"/>
  <c r="BO42" i="38"/>
  <c r="Q216" i="38"/>
  <c r="AG216" i="38" s="1"/>
  <c r="V210" i="38"/>
  <c r="Y210" i="38"/>
  <c r="W210" i="38"/>
  <c r="Z210" i="38"/>
  <c r="T55" i="38"/>
  <c r="AR55" i="38" s="1"/>
  <c r="BO40" i="38"/>
  <c r="N234" i="38"/>
  <c r="AE234" i="38" s="1"/>
  <c r="AL189" i="38"/>
  <c r="AP42" i="38"/>
  <c r="S196" i="38"/>
  <c r="AI196" i="38" s="1"/>
  <c r="AN17" i="38"/>
  <c r="V202" i="38"/>
  <c r="BO44" i="38"/>
  <c r="W178" i="38"/>
  <c r="P197" i="38"/>
  <c r="AT197" i="38" s="1"/>
  <c r="Q145" i="38"/>
  <c r="AG145" i="38" s="1"/>
  <c r="P15" i="38"/>
  <c r="AO15" i="38" s="1"/>
  <c r="AN45" i="38"/>
  <c r="P17" i="38"/>
  <c r="AO17" i="38" s="1"/>
  <c r="W23" i="38"/>
  <c r="P140" i="38"/>
  <c r="AT140" i="38" s="1"/>
  <c r="P56" i="38"/>
  <c r="M56" i="38" s="1"/>
  <c r="N107" i="38"/>
  <c r="AE107" i="38" s="1"/>
  <c r="AQ56" i="38"/>
  <c r="AP40" i="38"/>
  <c r="Q137" i="38"/>
  <c r="AG137" i="38" s="1"/>
  <c r="AX200" i="38"/>
  <c r="F68" i="41"/>
  <c r="AN146" i="38"/>
  <c r="BA111" i="38"/>
  <c r="AP55" i="38"/>
  <c r="BA189" i="38"/>
  <c r="N133" i="38"/>
  <c r="AE133" i="38" s="1"/>
  <c r="Q54" i="38"/>
  <c r="AG54" i="38" s="1"/>
  <c r="AV197" i="38"/>
  <c r="AP146" i="38"/>
  <c r="AY124" i="38"/>
  <c r="AL111" i="38"/>
  <c r="P235" i="38"/>
  <c r="M235" i="38" s="1"/>
  <c r="P144" i="38"/>
  <c r="N137" i="38"/>
  <c r="AE137" i="38" s="1"/>
  <c r="P42" i="38"/>
  <c r="AO42" i="38" s="1"/>
  <c r="M34" i="38"/>
  <c r="Q39" i="38"/>
  <c r="AG39" i="38" s="1"/>
  <c r="Q234" i="38"/>
  <c r="AG234" i="38" s="1"/>
  <c r="AS140" i="38"/>
  <c r="S54" i="38"/>
  <c r="AI54" i="38" s="1"/>
  <c r="AN144" i="38"/>
  <c r="P146" i="38"/>
  <c r="M146" i="38" s="1"/>
  <c r="P40" i="38"/>
  <c r="M40" i="38" s="1"/>
  <c r="AQ55" i="38"/>
  <c r="BF200" i="38"/>
  <c r="AW123" i="38"/>
  <c r="P200" i="38"/>
  <c r="M200" i="38" s="1"/>
  <c r="T90" i="38"/>
  <c r="AO200" i="38"/>
  <c r="AK190" i="38"/>
  <c r="AP147" i="38"/>
  <c r="AK210" i="38"/>
  <c r="AN200" i="38"/>
  <c r="AK155" i="38"/>
  <c r="F73" i="41"/>
  <c r="M65" i="41" s="1"/>
  <c r="AN147" i="38"/>
  <c r="AP44" i="38"/>
  <c r="AK63" i="38"/>
  <c r="BE200" i="38"/>
  <c r="AP200" i="38"/>
  <c r="T89" i="38"/>
  <c r="P134" i="38"/>
  <c r="N96" i="38"/>
  <c r="AE96" i="38" s="1"/>
  <c r="BO200" i="38"/>
  <c r="AQ200" i="38"/>
  <c r="AV200" i="38"/>
  <c r="AU200" i="38"/>
  <c r="BB149" i="38"/>
  <c r="AM208" i="38"/>
  <c r="AW208" i="38" s="1"/>
  <c r="Q96" i="38"/>
  <c r="AG96" i="38" s="1"/>
  <c r="P147" i="38"/>
  <c r="M147" i="38" s="1"/>
  <c r="E162" i="41" s="1"/>
  <c r="AT200" i="38"/>
  <c r="BB154" i="38"/>
  <c r="T189" i="38"/>
  <c r="V189" i="38" s="1"/>
  <c r="AP134" i="38"/>
  <c r="AS197" i="38"/>
  <c r="AZ235" i="38"/>
  <c r="AX235" i="38"/>
  <c r="AN239" i="38"/>
  <c r="N199" i="38"/>
  <c r="AE199" i="38" s="1"/>
  <c r="N12" i="38"/>
  <c r="AE12" i="38" s="1"/>
  <c r="AS200" i="38"/>
  <c r="AW200" i="38"/>
  <c r="AN13" i="38"/>
  <c r="AP144" i="38"/>
  <c r="AM209" i="38"/>
  <c r="AS209" i="38" s="1"/>
  <c r="BC200" i="38"/>
  <c r="P155" i="38"/>
  <c r="P153" i="38" s="1"/>
  <c r="AP13" i="38"/>
  <c r="AX155" i="38"/>
  <c r="BA200" i="38"/>
  <c r="BG200" i="38"/>
  <c r="BK200" i="38" s="1"/>
  <c r="AP239" i="38"/>
  <c r="AR200" i="38"/>
  <c r="F168" i="41"/>
  <c r="P13" i="38"/>
  <c r="AO13" i="38" s="1"/>
  <c r="N153" i="38"/>
  <c r="AE153" i="38" s="1"/>
  <c r="N196" i="38"/>
  <c r="AE196" i="38" s="1"/>
  <c r="AZ31" i="38"/>
  <c r="BD200" i="38"/>
  <c r="BH200" i="38"/>
  <c r="BL200" i="38" s="1"/>
  <c r="AK123" i="38"/>
  <c r="BO197" i="38"/>
  <c r="Q12" i="38"/>
  <c r="AG12" i="38" s="1"/>
  <c r="AZ200" i="38"/>
  <c r="N88" i="38"/>
  <c r="AE88" i="38" s="1"/>
  <c r="BB124" i="38"/>
  <c r="M258" i="38"/>
  <c r="BB155" i="38"/>
  <c r="M143" i="38"/>
  <c r="E158" i="41" s="1"/>
  <c r="M60" i="38"/>
  <c r="M92" i="38"/>
  <c r="L19" i="40"/>
  <c r="BO210" i="38"/>
  <c r="T97" i="38"/>
  <c r="V97" i="38" s="1"/>
  <c r="AO16" i="38"/>
  <c r="M16" i="38"/>
  <c r="AR143" i="38"/>
  <c r="E146" i="41"/>
  <c r="M130" i="38"/>
  <c r="E145" i="41" s="1"/>
  <c r="AX31" i="38"/>
  <c r="M14" i="38"/>
  <c r="M25" i="38"/>
  <c r="M41" i="38"/>
  <c r="AK149" i="38"/>
  <c r="AK154" i="38"/>
  <c r="T153" i="38"/>
  <c r="V153" i="38" s="1"/>
  <c r="M28" i="38"/>
  <c r="AR59" i="38"/>
  <c r="M26" i="38"/>
  <c r="M24" i="38"/>
  <c r="AR13" i="38"/>
  <c r="AR24" i="38"/>
  <c r="T23" i="38"/>
  <c r="V23" i="38" s="1"/>
  <c r="AW201" i="38"/>
  <c r="M30" i="38"/>
  <c r="T169" i="38"/>
  <c r="V169" i="38" s="1"/>
  <c r="P210" i="38"/>
  <c r="M210" i="38" s="1"/>
  <c r="E23" i="41" s="1"/>
  <c r="AO59" i="38"/>
  <c r="P58" i="38"/>
  <c r="AK202" i="38"/>
  <c r="BI212" i="38"/>
  <c r="BM212" i="38" s="1"/>
  <c r="BH212" i="38"/>
  <c r="BL212" i="38" s="1"/>
  <c r="BG212" i="38"/>
  <c r="BK212" i="38" s="1"/>
  <c r="M255" i="38"/>
  <c r="BI211" i="38"/>
  <c r="BM211" i="38" s="1"/>
  <c r="BH211" i="38"/>
  <c r="BL211" i="38" s="1"/>
  <c r="BG211" i="38"/>
  <c r="BK211" i="38" s="1"/>
  <c r="BI206" i="38"/>
  <c r="BM206" i="38" s="1"/>
  <c r="BH206" i="38"/>
  <c r="BL206" i="38" s="1"/>
  <c r="BG206" i="38"/>
  <c r="BK206" i="38" s="1"/>
  <c r="BI214" i="38"/>
  <c r="BM214" i="38" s="1"/>
  <c r="BH214" i="38"/>
  <c r="BL214" i="38" s="1"/>
  <c r="BG214" i="38"/>
  <c r="BK214" i="38" s="1"/>
  <c r="BI205" i="38"/>
  <c r="BM205" i="38" s="1"/>
  <c r="BH205" i="38"/>
  <c r="BL205" i="38" s="1"/>
  <c r="BG205" i="38"/>
  <c r="BK205" i="38" s="1"/>
  <c r="M157" i="38"/>
  <c r="AY157" i="38"/>
  <c r="M100" i="38"/>
  <c r="E79" i="41" s="1"/>
  <c r="AO100" i="38"/>
  <c r="M172" i="38"/>
  <c r="E17" i="41" s="1"/>
  <c r="AO172" i="38"/>
  <c r="M225" i="38"/>
  <c r="AY225" i="38"/>
  <c r="M149" i="38"/>
  <c r="AY149" i="38"/>
  <c r="M114" i="38"/>
  <c r="E73" i="41" s="1"/>
  <c r="L65" i="41" s="1"/>
  <c r="AT114" i="38"/>
  <c r="M201" i="38"/>
  <c r="AT201" i="38"/>
  <c r="AK30" i="38"/>
  <c r="BB30" i="38"/>
  <c r="AK121" i="38"/>
  <c r="BB121" i="38"/>
  <c r="M243" i="38"/>
  <c r="AO243" i="38"/>
  <c r="AK191" i="38"/>
  <c r="AW191" i="38"/>
  <c r="M135" i="38"/>
  <c r="E150" i="41" s="1"/>
  <c r="AO135" i="38"/>
  <c r="M121" i="38"/>
  <c r="AY121" i="38"/>
  <c r="M191" i="38"/>
  <c r="AT191" i="38"/>
  <c r="M109" i="38"/>
  <c r="E66" i="41" s="1"/>
  <c r="AY109" i="38"/>
  <c r="M115" i="38"/>
  <c r="E72" i="41" s="1"/>
  <c r="AY115" i="38"/>
  <c r="M202" i="38"/>
  <c r="AT202" i="38"/>
  <c r="M223" i="38"/>
  <c r="AY223" i="38"/>
  <c r="M150" i="38"/>
  <c r="E165" i="41" s="1"/>
  <c r="AY150" i="38"/>
  <c r="M162" i="38"/>
  <c r="AK114" i="38"/>
  <c r="AW114" i="38"/>
  <c r="AK112" i="38"/>
  <c r="BB112" i="38"/>
  <c r="AK237" i="38"/>
  <c r="AW237" i="38"/>
  <c r="BC206" i="38"/>
  <c r="BE206" i="38"/>
  <c r="BF206" i="38"/>
  <c r="AY206" i="38"/>
  <c r="AZ206" i="38"/>
  <c r="BA206" i="38"/>
  <c r="BB206" i="38"/>
  <c r="AX206" i="38"/>
  <c r="BD206" i="38"/>
  <c r="AW206" i="38"/>
  <c r="AS206" i="38"/>
  <c r="AT206" i="38"/>
  <c r="AU206" i="38"/>
  <c r="AV206" i="38"/>
  <c r="AO206" i="38"/>
  <c r="AP206" i="38"/>
  <c r="AQ206" i="38"/>
  <c r="AR206" i="38"/>
  <c r="AN206" i="38"/>
  <c r="M163" i="38"/>
  <c r="AO163" i="38"/>
  <c r="P5" i="38"/>
  <c r="AO6" i="38"/>
  <c r="M112" i="38"/>
  <c r="E69" i="41" s="1"/>
  <c r="AY112" i="38"/>
  <c r="M224" i="38"/>
  <c r="AY224" i="38"/>
  <c r="M113" i="38"/>
  <c r="E70" i="41" s="1"/>
  <c r="AY113" i="38"/>
  <c r="AK224" i="38"/>
  <c r="BB224" i="38"/>
  <c r="AK152" i="38"/>
  <c r="BB152" i="38"/>
  <c r="BE205" i="38"/>
  <c r="BF205" i="38"/>
  <c r="BD205" i="38"/>
  <c r="BC205" i="38"/>
  <c r="AX205" i="38"/>
  <c r="AY205" i="38"/>
  <c r="AZ205" i="38"/>
  <c r="BB205" i="38"/>
  <c r="BA205" i="38"/>
  <c r="AW205" i="38"/>
  <c r="AV205" i="38"/>
  <c r="AS205" i="38"/>
  <c r="AT205" i="38"/>
  <c r="AU205" i="38"/>
  <c r="AN205" i="38"/>
  <c r="AO205" i="38"/>
  <c r="AP205" i="38"/>
  <c r="AQ205" i="38"/>
  <c r="AR205" i="38"/>
  <c r="AK192" i="38"/>
  <c r="AW192" i="38"/>
  <c r="AK110" i="38"/>
  <c r="BB110" i="38"/>
  <c r="AK151" i="38"/>
  <c r="AW151" i="38"/>
  <c r="BC214" i="38"/>
  <c r="BE214" i="38"/>
  <c r="BF214" i="38"/>
  <c r="AY214" i="38"/>
  <c r="BD214" i="38"/>
  <c r="AZ214" i="38"/>
  <c r="BA214" i="38"/>
  <c r="BB214" i="38"/>
  <c r="AX214" i="38"/>
  <c r="AW214" i="38"/>
  <c r="AS214" i="38"/>
  <c r="AT214" i="38"/>
  <c r="AU214" i="38"/>
  <c r="AV214" i="38"/>
  <c r="AO214" i="38"/>
  <c r="AP214" i="38"/>
  <c r="AQ214" i="38"/>
  <c r="AR214" i="38"/>
  <c r="AN214" i="38"/>
  <c r="M237" i="38"/>
  <c r="AT237" i="38"/>
  <c r="AK109" i="38"/>
  <c r="BB109" i="38"/>
  <c r="BC212" i="38"/>
  <c r="BE212" i="38"/>
  <c r="BF212" i="38"/>
  <c r="BD212" i="38"/>
  <c r="BA212" i="38"/>
  <c r="BB212" i="38"/>
  <c r="AY212" i="38"/>
  <c r="AZ212" i="38"/>
  <c r="AW212" i="38"/>
  <c r="AX212" i="38"/>
  <c r="AS212" i="38"/>
  <c r="AT212" i="38"/>
  <c r="AU212" i="38"/>
  <c r="AV212" i="38"/>
  <c r="AQ212" i="38"/>
  <c r="AR212" i="38"/>
  <c r="AN212" i="38"/>
  <c r="AO212" i="38"/>
  <c r="AP212" i="38"/>
  <c r="AO61" i="38"/>
  <c r="M82" i="38"/>
  <c r="AY82" i="38"/>
  <c r="M151" i="38"/>
  <c r="E166" i="41" s="1"/>
  <c r="AT151" i="38"/>
  <c r="M227" i="38"/>
  <c r="AY227" i="38"/>
  <c r="M192" i="38"/>
  <c r="AT192" i="38"/>
  <c r="M152" i="38"/>
  <c r="E167" i="41" s="1"/>
  <c r="AY152" i="38"/>
  <c r="AY154" i="38"/>
  <c r="M141" i="38"/>
  <c r="E156" i="41" s="1"/>
  <c r="AY141" i="38"/>
  <c r="AK236" i="38"/>
  <c r="AW236" i="38"/>
  <c r="M78" i="38"/>
  <c r="AY78" i="38"/>
  <c r="M236" i="38"/>
  <c r="AT236" i="38"/>
  <c r="M62" i="38"/>
  <c r="E50" i="41" s="1"/>
  <c r="AY62" i="38"/>
  <c r="M110" i="38"/>
  <c r="E67" i="41" s="1"/>
  <c r="AY110" i="38"/>
  <c r="AK225" i="38"/>
  <c r="BB225" i="38"/>
  <c r="BC211" i="38"/>
  <c r="BD211" i="38"/>
  <c r="BE211" i="38"/>
  <c r="BF211" i="38"/>
  <c r="AX211" i="38"/>
  <c r="AY211" i="38"/>
  <c r="AZ211" i="38"/>
  <c r="BA211" i="38"/>
  <c r="BB211" i="38"/>
  <c r="AW211" i="38"/>
  <c r="AV211" i="38"/>
  <c r="AS211" i="38"/>
  <c r="AT211" i="38"/>
  <c r="AU211" i="38"/>
  <c r="AN211" i="38"/>
  <c r="AO211" i="38"/>
  <c r="AP211" i="38"/>
  <c r="AQ211" i="38"/>
  <c r="AR211" i="38"/>
  <c r="P260" i="38"/>
  <c r="BD261" i="38"/>
  <c r="P257" i="38"/>
  <c r="BD259" i="38"/>
  <c r="M254" i="38"/>
  <c r="BD254" i="38"/>
  <c r="M253" i="38"/>
  <c r="BD253" i="38"/>
  <c r="M250" i="38"/>
  <c r="BD250" i="38"/>
  <c r="M249" i="38"/>
  <c r="BD249" i="38"/>
  <c r="M123" i="38"/>
  <c r="E138" i="41" s="1"/>
  <c r="AT123" i="38"/>
  <c r="J19" i="40"/>
  <c r="P241" i="38"/>
  <c r="M6" i="41"/>
  <c r="M242" i="38"/>
  <c r="AL210" i="38"/>
  <c r="AM210" i="38"/>
  <c r="AL213" i="38"/>
  <c r="AM213" i="38"/>
  <c r="AK214" i="38"/>
  <c r="AL214" i="38"/>
  <c r="AK208" i="38"/>
  <c r="AL208" i="38"/>
  <c r="AK209" i="38"/>
  <c r="AL209" i="38"/>
  <c r="S96" i="38"/>
  <c r="AI96" i="38" s="1"/>
  <c r="BN213" i="38"/>
  <c r="AK213" i="38"/>
  <c r="P248" i="38"/>
  <c r="M108" i="38"/>
  <c r="Q88" i="38"/>
  <c r="AG88" i="38" s="1"/>
  <c r="N66" i="38"/>
  <c r="AE66" i="38" s="1"/>
  <c r="Q66" i="38"/>
  <c r="AG66" i="38" s="1"/>
  <c r="M81" i="38"/>
  <c r="P80" i="38"/>
  <c r="BO213" i="38"/>
  <c r="M77" i="38"/>
  <c r="P76" i="38"/>
  <c r="N51" i="38"/>
  <c r="AE51" i="38" s="1"/>
  <c r="M61" i="38"/>
  <c r="M259" i="38"/>
  <c r="P156" i="38"/>
  <c r="P51" i="38"/>
  <c r="P31" i="38"/>
  <c r="AY31" i="38" s="1"/>
  <c r="S32" i="38"/>
  <c r="AI32" i="38" s="1"/>
  <c r="AG32" i="38"/>
  <c r="AE32" i="38"/>
  <c r="P120" i="38"/>
  <c r="P251" i="38"/>
  <c r="M6" i="38"/>
  <c r="M5" i="38" s="1"/>
  <c r="Q159" i="38"/>
  <c r="AG159" i="38" s="1"/>
  <c r="P23" i="38"/>
  <c r="S88" i="38"/>
  <c r="AI88" i="38" s="1"/>
  <c r="M122" i="38"/>
  <c r="E137" i="41" s="1"/>
  <c r="M190" i="38"/>
  <c r="P148" i="38"/>
  <c r="BN214" i="38"/>
  <c r="BO214" i="38"/>
  <c r="BN208" i="38"/>
  <c r="BO208" i="38"/>
  <c r="P208" i="38"/>
  <c r="M178" i="38"/>
  <c r="P178" i="38"/>
  <c r="M154" i="38"/>
  <c r="P222" i="38"/>
  <c r="BO209" i="38"/>
  <c r="BN209" i="38"/>
  <c r="P209" i="38"/>
  <c r="M209" i="38" s="1"/>
  <c r="E22" i="41" s="1"/>
  <c r="M261" i="38"/>
  <c r="M260" i="38" s="1"/>
  <c r="R215" i="38" l="1"/>
  <c r="AH215" i="38" s="1"/>
  <c r="R11" i="38"/>
  <c r="AH11" i="38" s="1"/>
  <c r="AH12" i="38"/>
  <c r="O50" i="38"/>
  <c r="AF50" i="38" s="1"/>
  <c r="AF54" i="38"/>
  <c r="O119" i="38"/>
  <c r="AF119" i="38" s="1"/>
  <c r="AF137" i="38"/>
  <c r="R50" i="38"/>
  <c r="AH50" i="38" s="1"/>
  <c r="AH54" i="38"/>
  <c r="O233" i="38"/>
  <c r="AF233" i="38" s="1"/>
  <c r="AF234" i="38"/>
  <c r="O38" i="38"/>
  <c r="AF38" i="38" s="1"/>
  <c r="AF39" i="38"/>
  <c r="R106" i="38"/>
  <c r="AH106" i="38" s="1"/>
  <c r="AH107" i="38"/>
  <c r="M43" i="38"/>
  <c r="O11" i="38"/>
  <c r="AF11" i="38" s="1"/>
  <c r="AF12" i="38"/>
  <c r="R159" i="38"/>
  <c r="AH159" i="38" s="1"/>
  <c r="AH160" i="38"/>
  <c r="R87" i="38"/>
  <c r="AH87" i="38" s="1"/>
  <c r="AH88" i="38"/>
  <c r="O159" i="38"/>
  <c r="AF159" i="38" s="1"/>
  <c r="AF160" i="38"/>
  <c r="R38" i="38"/>
  <c r="AH38" i="38" s="1"/>
  <c r="AH39" i="38"/>
  <c r="O187" i="38"/>
  <c r="AF187" i="38" s="1"/>
  <c r="O106" i="38"/>
  <c r="AF106" i="38" s="1"/>
  <c r="AF107" i="38"/>
  <c r="R233" i="38"/>
  <c r="AH233" i="38" s="1"/>
  <c r="AH234" i="38"/>
  <c r="O87" i="38"/>
  <c r="AF87" i="38" s="1"/>
  <c r="AF88" i="38"/>
  <c r="R187" i="38"/>
  <c r="AH187" i="38" s="1"/>
  <c r="R119" i="38"/>
  <c r="AH119" i="38" s="1"/>
  <c r="T133" i="38"/>
  <c r="V133" i="38" s="1"/>
  <c r="T142" i="38"/>
  <c r="V142" i="38" s="1"/>
  <c r="P142" i="38"/>
  <c r="M138" i="38"/>
  <c r="E153" i="41" s="1"/>
  <c r="T145" i="38"/>
  <c r="V145" i="38" s="1"/>
  <c r="BB235" i="38"/>
  <c r="W153" i="38"/>
  <c r="W216" i="38"/>
  <c r="W39" i="38"/>
  <c r="T234" i="38"/>
  <c r="T233" i="38" s="1"/>
  <c r="T199" i="38"/>
  <c r="V199" i="38" s="1"/>
  <c r="P133" i="38"/>
  <c r="AK235" i="38"/>
  <c r="AO139" i="38"/>
  <c r="AO238" i="38"/>
  <c r="BB108" i="38"/>
  <c r="M111" i="38"/>
  <c r="E68" i="41" s="1"/>
  <c r="T216" i="38"/>
  <c r="V216" i="38" s="1"/>
  <c r="M66" i="41"/>
  <c r="P107" i="38"/>
  <c r="P106" i="38" s="1"/>
  <c r="K13" i="40" s="1"/>
  <c r="BB200" i="38"/>
  <c r="F160" i="41"/>
  <c r="W145" i="38"/>
  <c r="S233" i="38"/>
  <c r="W234" i="38"/>
  <c r="S38" i="38"/>
  <c r="AI38" i="38" s="1"/>
  <c r="F148" i="41"/>
  <c r="AK108" i="38"/>
  <c r="T39" i="38"/>
  <c r="V39" i="38" s="1"/>
  <c r="T12" i="38"/>
  <c r="V12" i="38" s="1"/>
  <c r="AK140" i="38"/>
  <c r="BB113" i="38"/>
  <c r="W133" i="38"/>
  <c r="M161" i="38"/>
  <c r="M160" i="38" s="1"/>
  <c r="P160" i="38"/>
  <c r="V200" i="38"/>
  <c r="AW140" i="38"/>
  <c r="AK113" i="38"/>
  <c r="F157" i="41"/>
  <c r="W199" i="38"/>
  <c r="M13" i="38"/>
  <c r="N187" i="38"/>
  <c r="AE187" i="38" s="1"/>
  <c r="M45" i="38"/>
  <c r="N159" i="38"/>
  <c r="AE159" i="38" s="1"/>
  <c r="M241" i="38"/>
  <c r="T160" i="38"/>
  <c r="V160" i="38" s="1"/>
  <c r="M44" i="38"/>
  <c r="AW197" i="38"/>
  <c r="AK197" i="38"/>
  <c r="W160" i="38"/>
  <c r="M17" i="38"/>
  <c r="Q50" i="38"/>
  <c r="AG50" i="38" s="1"/>
  <c r="W142" i="38"/>
  <c r="M15" i="38"/>
  <c r="N215" i="38"/>
  <c r="AE215" i="38" s="1"/>
  <c r="BB111" i="38"/>
  <c r="AK111" i="38"/>
  <c r="T54" i="38"/>
  <c r="V54" i="38" s="1"/>
  <c r="AO146" i="38"/>
  <c r="Q187" i="38"/>
  <c r="AG187" i="38" s="1"/>
  <c r="S11" i="38"/>
  <c r="AI11" i="38" s="1"/>
  <c r="Q106" i="38"/>
  <c r="AG106" i="38" s="1"/>
  <c r="N38" i="38"/>
  <c r="AE38" i="38" s="1"/>
  <c r="E47" i="41"/>
  <c r="N233" i="38"/>
  <c r="AE233" i="38" s="1"/>
  <c r="S187" i="38"/>
  <c r="AI187" i="38" s="1"/>
  <c r="AI188" i="38"/>
  <c r="S159" i="38"/>
  <c r="AI159" i="38" s="1"/>
  <c r="M18" i="40"/>
  <c r="AB18" i="40" s="1"/>
  <c r="AI233" i="38"/>
  <c r="W38" i="38"/>
  <c r="W54" i="38"/>
  <c r="N106" i="38"/>
  <c r="AE106" i="38" s="1"/>
  <c r="AO56" i="38"/>
  <c r="P137" i="38"/>
  <c r="P196" i="38"/>
  <c r="M197" i="38"/>
  <c r="M196" i="38" s="1"/>
  <c r="W12" i="38"/>
  <c r="Q119" i="38"/>
  <c r="AG119" i="38" s="1"/>
  <c r="M189" i="38"/>
  <c r="E5" i="41" s="1"/>
  <c r="AY189" i="38"/>
  <c r="P199" i="38"/>
  <c r="P145" i="38"/>
  <c r="BO59" i="38"/>
  <c r="W196" i="38"/>
  <c r="Q215" i="38"/>
  <c r="AG215" i="38" s="1"/>
  <c r="BD209" i="38"/>
  <c r="T188" i="38"/>
  <c r="V188" i="38" s="1"/>
  <c r="N119" i="38"/>
  <c r="AE119" i="38" s="1"/>
  <c r="W88" i="38"/>
  <c r="Q233" i="38"/>
  <c r="AG233" i="38" s="1"/>
  <c r="P234" i="38"/>
  <c r="P233" i="38" s="1"/>
  <c r="K18" i="40" s="1"/>
  <c r="M55" i="38"/>
  <c r="M54" i="38" s="1"/>
  <c r="W96" i="38"/>
  <c r="BC209" i="38"/>
  <c r="M140" i="38"/>
  <c r="E155" i="41" s="1"/>
  <c r="L99" i="41" s="1"/>
  <c r="P54" i="38"/>
  <c r="P50" i="38" s="1"/>
  <c r="K9" i="40" s="1"/>
  <c r="AO239" i="38"/>
  <c r="M134" i="38"/>
  <c r="E149" i="41" s="1"/>
  <c r="M257" i="38"/>
  <c r="W32" i="38"/>
  <c r="T196" i="38"/>
  <c r="V196" i="38" s="1"/>
  <c r="W233" i="38"/>
  <c r="Q38" i="38"/>
  <c r="AG38" i="38" s="1"/>
  <c r="W188" i="38"/>
  <c r="AQ209" i="38"/>
  <c r="AP209" i="38"/>
  <c r="BG209" i="38"/>
  <c r="BK209" i="38" s="1"/>
  <c r="AU209" i="38"/>
  <c r="BH209" i="38"/>
  <c r="BL209" i="38" s="1"/>
  <c r="AO144" i="38"/>
  <c r="AW209" i="38"/>
  <c r="M144" i="38"/>
  <c r="E159" i="41" s="1"/>
  <c r="AO40" i="38"/>
  <c r="BB209" i="38"/>
  <c r="AX209" i="38"/>
  <c r="AO134" i="38"/>
  <c r="BA209" i="38"/>
  <c r="BI209" i="38"/>
  <c r="BM209" i="38" s="1"/>
  <c r="AZ209" i="38"/>
  <c r="AY235" i="38"/>
  <c r="T88" i="38"/>
  <c r="P12" i="38"/>
  <c r="P11" i="38" s="1"/>
  <c r="K6" i="40" s="1"/>
  <c r="BF209" i="38"/>
  <c r="M42" i="38"/>
  <c r="AT209" i="38"/>
  <c r="AV209" i="38"/>
  <c r="P39" i="38"/>
  <c r="P38" i="38" s="1"/>
  <c r="K8" i="40" s="1"/>
  <c r="BE209" i="38"/>
  <c r="BD208" i="38"/>
  <c r="BA208" i="38"/>
  <c r="M12" i="40"/>
  <c r="AB12" i="40" s="1"/>
  <c r="BF208" i="38"/>
  <c r="BC208" i="38"/>
  <c r="M155" i="38"/>
  <c r="E170" i="41" s="1"/>
  <c r="AY155" i="38"/>
  <c r="AR208" i="38"/>
  <c r="AQ208" i="38"/>
  <c r="AO209" i="38"/>
  <c r="J12" i="40"/>
  <c r="BB208" i="38"/>
  <c r="AZ208" i="38"/>
  <c r="AX208" i="38"/>
  <c r="BE208" i="38"/>
  <c r="BO153" i="38"/>
  <c r="BB189" i="38"/>
  <c r="AK189" i="38"/>
  <c r="AO147" i="38"/>
  <c r="S87" i="38"/>
  <c r="AI87" i="38" s="1"/>
  <c r="AP208" i="38"/>
  <c r="AN209" i="38"/>
  <c r="N87" i="38"/>
  <c r="AE87" i="38" s="1"/>
  <c r="AY208" i="38"/>
  <c r="L15" i="40"/>
  <c r="AO208" i="38"/>
  <c r="AR209" i="38"/>
  <c r="N11" i="38"/>
  <c r="AE11" i="38" s="1"/>
  <c r="AN208" i="38"/>
  <c r="AV208" i="38"/>
  <c r="AU208" i="38"/>
  <c r="BG208" i="38"/>
  <c r="BK208" i="38" s="1"/>
  <c r="L12" i="40"/>
  <c r="Q11" i="38"/>
  <c r="AG11" i="38" s="1"/>
  <c r="L10" i="40"/>
  <c r="J10" i="40"/>
  <c r="AT208" i="38"/>
  <c r="BH208" i="38"/>
  <c r="BL208" i="38" s="1"/>
  <c r="AU32" i="38"/>
  <c r="AS208" i="38"/>
  <c r="BI208" i="38"/>
  <c r="BM208" i="38" s="1"/>
  <c r="AV32" i="38"/>
  <c r="AY200" i="38"/>
  <c r="T96" i="38"/>
  <c r="V96" i="38" s="1"/>
  <c r="M251" i="38"/>
  <c r="M248" i="38"/>
  <c r="M199" i="38"/>
  <c r="E12" i="41"/>
  <c r="M222" i="38"/>
  <c r="M58" i="38"/>
  <c r="E169" i="41"/>
  <c r="M31" i="38"/>
  <c r="M234" i="38"/>
  <c r="E136" i="41"/>
  <c r="M120" i="38"/>
  <c r="M23" i="38"/>
  <c r="N50" i="38"/>
  <c r="AE50" i="38" s="1"/>
  <c r="Q87" i="38"/>
  <c r="AG87" i="38" s="1"/>
  <c r="M76" i="38"/>
  <c r="E164" i="41"/>
  <c r="M148" i="38"/>
  <c r="E163" i="41" s="1"/>
  <c r="M156" i="38"/>
  <c r="E171" i="41" s="1"/>
  <c r="E172" i="41"/>
  <c r="AS32" i="38"/>
  <c r="E161" i="41"/>
  <c r="M145" i="38"/>
  <c r="E160" i="41" s="1"/>
  <c r="M80" i="38"/>
  <c r="E11" i="41"/>
  <c r="BG210" i="38"/>
  <c r="BK210" i="38" s="1"/>
  <c r="BH210" i="38"/>
  <c r="BL210" i="38" s="1"/>
  <c r="BI210" i="38"/>
  <c r="BM210" i="38" s="1"/>
  <c r="BI213" i="38"/>
  <c r="BM213" i="38" s="1"/>
  <c r="BH213" i="38"/>
  <c r="BL213" i="38" s="1"/>
  <c r="BG213" i="38"/>
  <c r="BK213" i="38" s="1"/>
  <c r="AY209" i="38"/>
  <c r="BC213" i="38"/>
  <c r="BD213" i="38"/>
  <c r="BE213" i="38"/>
  <c r="BF213" i="38"/>
  <c r="AX213" i="38"/>
  <c r="AY213" i="38"/>
  <c r="AZ213" i="38"/>
  <c r="BB213" i="38"/>
  <c r="AW213" i="38"/>
  <c r="BA213" i="38"/>
  <c r="AV213" i="38"/>
  <c r="AS213" i="38"/>
  <c r="AT213" i="38"/>
  <c r="AU213" i="38"/>
  <c r="AN213" i="38"/>
  <c r="AO213" i="38"/>
  <c r="AP213" i="38"/>
  <c r="AQ213" i="38"/>
  <c r="AR213" i="38"/>
  <c r="BC210" i="38"/>
  <c r="BE210" i="38"/>
  <c r="BF210" i="38"/>
  <c r="AX210" i="38"/>
  <c r="AY210" i="38"/>
  <c r="BA210" i="38"/>
  <c r="BD210" i="38"/>
  <c r="BB210" i="38"/>
  <c r="AW210" i="38"/>
  <c r="AZ210" i="38"/>
  <c r="AS210" i="38"/>
  <c r="AT210" i="38"/>
  <c r="AU210" i="38"/>
  <c r="AV210" i="38"/>
  <c r="AN210" i="38"/>
  <c r="AO210" i="38"/>
  <c r="AP210" i="38"/>
  <c r="AQ210" i="38"/>
  <c r="AR210" i="38"/>
  <c r="E49" i="41"/>
  <c r="K19" i="40"/>
  <c r="E25" i="41"/>
  <c r="E65" i="41"/>
  <c r="T32" i="38"/>
  <c r="V32" i="38" s="1"/>
  <c r="AL32" i="38"/>
  <c r="P32" i="38"/>
  <c r="AT32" i="38" s="1"/>
  <c r="AG33" i="38"/>
  <c r="AE33" i="38"/>
  <c r="P207" i="38"/>
  <c r="M208" i="38"/>
  <c r="M207" i="38" s="1"/>
  <c r="BO80" i="38"/>
  <c r="M107" i="38" l="1"/>
  <c r="M106" i="38" s="1"/>
  <c r="I13" i="40" s="1"/>
  <c r="Y13" i="40" s="1"/>
  <c r="T38" i="38"/>
  <c r="V38" i="38" s="1"/>
  <c r="M8" i="40"/>
  <c r="AB8" i="40" s="1"/>
  <c r="V234" i="38"/>
  <c r="M6" i="40"/>
  <c r="AB6" i="40" s="1"/>
  <c r="W11" i="38"/>
  <c r="L66" i="41"/>
  <c r="T11" i="38"/>
  <c r="V11" i="38" s="1"/>
  <c r="M12" i="38"/>
  <c r="M11" i="38" s="1"/>
  <c r="M39" i="38"/>
  <c r="M38" i="38" s="1"/>
  <c r="J13" i="40"/>
  <c r="J15" i="40"/>
  <c r="J16" i="40"/>
  <c r="M233" i="38"/>
  <c r="I18" i="40" s="1"/>
  <c r="Y18" i="40" s="1"/>
  <c r="AK18" i="40" s="1"/>
  <c r="M188" i="38"/>
  <c r="M187" i="38" s="1"/>
  <c r="I16" i="40" s="1"/>
  <c r="Y16" i="40" s="1"/>
  <c r="J8" i="40"/>
  <c r="L16" i="40"/>
  <c r="M137" i="38"/>
  <c r="E152" i="41" s="1"/>
  <c r="L17" i="40"/>
  <c r="T159" i="38"/>
  <c r="V159" i="38" s="1"/>
  <c r="W159" i="38"/>
  <c r="M133" i="38"/>
  <c r="E148" i="41" s="1"/>
  <c r="L13" i="40"/>
  <c r="W187" i="38"/>
  <c r="M142" i="38"/>
  <c r="E157" i="41" s="1"/>
  <c r="L9" i="40"/>
  <c r="J17" i="40"/>
  <c r="P119" i="38"/>
  <c r="K14" i="40" s="1"/>
  <c r="M15" i="40"/>
  <c r="AB15" i="40" s="1"/>
  <c r="J18" i="40"/>
  <c r="M16" i="40"/>
  <c r="AB16" i="40" s="1"/>
  <c r="N18" i="40"/>
  <c r="AE18" i="40" s="1"/>
  <c r="V233" i="38"/>
  <c r="E10" i="41"/>
  <c r="L6" i="41" s="1"/>
  <c r="L18" i="40"/>
  <c r="T87" i="38"/>
  <c r="V87" i="38" s="1"/>
  <c r="V88" i="38"/>
  <c r="M50" i="38"/>
  <c r="T187" i="38"/>
  <c r="V187" i="38" s="1"/>
  <c r="E46" i="41"/>
  <c r="L33" i="41" s="1"/>
  <c r="M11" i="40"/>
  <c r="AB11" i="40" s="1"/>
  <c r="W87" i="38"/>
  <c r="L8" i="40"/>
  <c r="J14" i="40"/>
  <c r="P187" i="38"/>
  <c r="K16" i="40" s="1"/>
  <c r="L14" i="40"/>
  <c r="I19" i="40"/>
  <c r="Y19" i="40" s="1"/>
  <c r="AH19" i="40" s="1"/>
  <c r="M153" i="38"/>
  <c r="E168" i="41" s="1"/>
  <c r="J11" i="40"/>
  <c r="L11" i="40"/>
  <c r="J9" i="40"/>
  <c r="J6" i="40"/>
  <c r="N12" i="40"/>
  <c r="AE12" i="40" s="1"/>
  <c r="L6" i="40"/>
  <c r="L98" i="41"/>
  <c r="M32" i="38"/>
  <c r="L100" i="41"/>
  <c r="AK32" i="38"/>
  <c r="AW32" i="38"/>
  <c r="N27" i="38"/>
  <c r="AE27" i="38" s="1"/>
  <c r="AX33" i="38"/>
  <c r="Q27" i="38"/>
  <c r="AG27" i="38" s="1"/>
  <c r="AZ33" i="38"/>
  <c r="E21" i="41"/>
  <c r="L7" i="41" s="1"/>
  <c r="P33" i="38"/>
  <c r="M33" i="38" s="1"/>
  <c r="N8" i="40" l="1"/>
  <c r="AE8" i="40" s="1"/>
  <c r="N15" i="40"/>
  <c r="AE15" i="40" s="1"/>
  <c r="N6" i="40"/>
  <c r="AE6" i="40" s="1"/>
  <c r="AH18" i="40"/>
  <c r="M119" i="38"/>
  <c r="I14" i="40" s="1"/>
  <c r="Y14" i="40" s="1"/>
  <c r="AK19" i="40"/>
  <c r="N16" i="40"/>
  <c r="AE16" i="40" s="1"/>
  <c r="AH16" i="40" s="1"/>
  <c r="N11" i="40"/>
  <c r="AE11" i="40" s="1"/>
  <c r="Q22" i="38"/>
  <c r="AG22" i="38" s="1"/>
  <c r="N22" i="38"/>
  <c r="AE22" i="38" s="1"/>
  <c r="M27" i="38"/>
  <c r="M22" i="38" s="1"/>
  <c r="AK16" i="40"/>
  <c r="BO27" i="38"/>
  <c r="P27" i="38"/>
  <c r="P22" i="38" s="1"/>
  <c r="K7" i="40" s="1"/>
  <c r="AY33" i="38"/>
  <c r="G247" i="31"/>
  <c r="G244" i="31"/>
  <c r="G242" i="31"/>
  <c r="G241" i="31"/>
  <c r="G238" i="31"/>
  <c r="G236" i="31"/>
  <c r="G235" i="31"/>
  <c r="AG236" i="31"/>
  <c r="K135" i="31"/>
  <c r="K134" i="31"/>
  <c r="I135" i="31"/>
  <c r="G135" i="31"/>
  <c r="I134" i="31"/>
  <c r="G134" i="31"/>
  <c r="K132" i="31"/>
  <c r="K131" i="31"/>
  <c r="I132" i="31"/>
  <c r="G132" i="31"/>
  <c r="I131" i="31"/>
  <c r="G131" i="31"/>
  <c r="J129" i="31"/>
  <c r="K128" i="31"/>
  <c r="I128" i="31"/>
  <c r="I129" i="31"/>
  <c r="G128" i="31"/>
  <c r="G129" i="31"/>
  <c r="K127" i="31"/>
  <c r="K126" i="31"/>
  <c r="K123" i="31"/>
  <c r="K122" i="31"/>
  <c r="G126" i="31"/>
  <c r="I126" i="31"/>
  <c r="G127" i="31"/>
  <c r="I127" i="31"/>
  <c r="G122" i="31"/>
  <c r="I122" i="31"/>
  <c r="G123" i="31"/>
  <c r="I123" i="31"/>
  <c r="K28" i="31"/>
  <c r="G28" i="31"/>
  <c r="J151" i="31"/>
  <c r="G151" i="31"/>
  <c r="K185" i="31"/>
  <c r="J247" i="31"/>
  <c r="J245" i="31"/>
  <c r="J244" i="31"/>
  <c r="J240" i="31"/>
  <c r="J239" i="31"/>
  <c r="J235" i="31"/>
  <c r="N235" i="31" s="1"/>
  <c r="S120" i="31"/>
  <c r="AI120" i="31" s="1"/>
  <c r="AG120" i="31"/>
  <c r="G120" i="31"/>
  <c r="G119" i="31"/>
  <c r="S146" i="31"/>
  <c r="AI146" i="31" s="1"/>
  <c r="AG146" i="31"/>
  <c r="J145" i="31"/>
  <c r="I146" i="31"/>
  <c r="G146" i="31"/>
  <c r="K143" i="31"/>
  <c r="J142" i="31"/>
  <c r="J138" i="31"/>
  <c r="K139" i="31"/>
  <c r="K140" i="31"/>
  <c r="K137" i="31"/>
  <c r="I140" i="31"/>
  <c r="G140" i="31"/>
  <c r="K116" i="31"/>
  <c r="K115" i="31"/>
  <c r="K117" i="31"/>
  <c r="K114" i="31"/>
  <c r="G116" i="31"/>
  <c r="G117" i="31"/>
  <c r="O235" i="31" l="1"/>
  <c r="O234" i="31" s="1"/>
  <c r="AE235" i="31"/>
  <c r="O138" i="31"/>
  <c r="AF138" i="31" s="1"/>
  <c r="R138" i="31"/>
  <c r="AH138" i="31" s="1"/>
  <c r="O142" i="31"/>
  <c r="AF142" i="31" s="1"/>
  <c r="R142" i="31"/>
  <c r="AH142" i="31" s="1"/>
  <c r="R129" i="31"/>
  <c r="AH129" i="31" s="1"/>
  <c r="O129" i="31"/>
  <c r="AF129" i="31" s="1"/>
  <c r="R145" i="31"/>
  <c r="O145" i="31"/>
  <c r="R151" i="31"/>
  <c r="AH151" i="31" s="1"/>
  <c r="O151" i="31"/>
  <c r="AF151" i="31" s="1"/>
  <c r="Q245" i="31"/>
  <c r="N245" i="31"/>
  <c r="AD245" i="31" a="1"/>
  <c r="AD245" i="31" s="1"/>
  <c r="AC129" i="31" a="1"/>
  <c r="AC129" i="31" s="1"/>
  <c r="AD129" i="31" a="1"/>
  <c r="AD129" i="31" s="1"/>
  <c r="AC134" i="31" a="1"/>
  <c r="AC134" i="31" s="1"/>
  <c r="K145" i="31"/>
  <c r="Q145" i="31"/>
  <c r="N145" i="31"/>
  <c r="AE145" i="31" s="1"/>
  <c r="AC131" i="31" a="1"/>
  <c r="AC131" i="31" s="1"/>
  <c r="AC123" i="31" a="1"/>
  <c r="AC123" i="31" s="1"/>
  <c r="AC132" i="31" a="1"/>
  <c r="AC132" i="31" s="1"/>
  <c r="AC127" i="31" a="1"/>
  <c r="AC127" i="31" s="1"/>
  <c r="AC135" i="31" a="1"/>
  <c r="AC135" i="31" s="1"/>
  <c r="Q247" i="31"/>
  <c r="R247" i="31" s="1"/>
  <c r="N247" i="31"/>
  <c r="AD247" i="31" a="1"/>
  <c r="AD247" i="31" s="1"/>
  <c r="Q138" i="31"/>
  <c r="N138" i="31"/>
  <c r="AE138" i="31" s="1"/>
  <c r="Q142" i="31"/>
  <c r="N142" i="31"/>
  <c r="AE142" i="31" s="1"/>
  <c r="Q235" i="31"/>
  <c r="AD235" i="31" a="1"/>
  <c r="AD235" i="31" s="1"/>
  <c r="AC128" i="31" a="1"/>
  <c r="AC128" i="31" s="1"/>
  <c r="Q239" i="31"/>
  <c r="BE239" i="31" s="1"/>
  <c r="N239" i="31"/>
  <c r="AD239" i="31" a="1"/>
  <c r="AD239" i="31" s="1"/>
  <c r="K151" i="31"/>
  <c r="Q151" i="31"/>
  <c r="N151" i="31"/>
  <c r="AE151" i="31" s="1"/>
  <c r="K129" i="31"/>
  <c r="N129" i="31"/>
  <c r="AE129" i="31" s="1"/>
  <c r="Q129" i="31"/>
  <c r="AG129" i="31" s="1"/>
  <c r="AC146" i="31" a="1"/>
  <c r="AC146" i="31" s="1"/>
  <c r="AD146" i="31" a="1"/>
  <c r="AD146" i="31" s="1"/>
  <c r="AC122" i="31" a="1"/>
  <c r="AC122" i="31" s="1"/>
  <c r="AC126" i="31" a="1"/>
  <c r="AC126" i="31" s="1"/>
  <c r="AC140" i="31" a="1"/>
  <c r="AC140" i="31" s="1"/>
  <c r="Q244" i="31"/>
  <c r="N244" i="31"/>
  <c r="AE244" i="31" s="1"/>
  <c r="AD244" i="31" a="1"/>
  <c r="AD244" i="31" s="1"/>
  <c r="BI146" i="31"/>
  <c r="BM146" i="31" s="1"/>
  <c r="BI129" i="31"/>
  <c r="BM129" i="31" s="1"/>
  <c r="L7" i="40"/>
  <c r="J7" i="40"/>
  <c r="J139" i="31"/>
  <c r="BN242" i="31"/>
  <c r="BO242" i="31" s="1"/>
  <c r="J185" i="31"/>
  <c r="J128" i="31"/>
  <c r="J143" i="31"/>
  <c r="J28" i="31"/>
  <c r="J117" i="31"/>
  <c r="AX146" i="31"/>
  <c r="J131" i="31"/>
  <c r="D132" i="41"/>
  <c r="W146" i="31"/>
  <c r="J132" i="31"/>
  <c r="J115" i="31"/>
  <c r="J127" i="31"/>
  <c r="J135" i="31"/>
  <c r="J126" i="31"/>
  <c r="J140" i="31"/>
  <c r="D106" i="41"/>
  <c r="W120" i="31"/>
  <c r="J122" i="31"/>
  <c r="J134" i="31"/>
  <c r="J116" i="31"/>
  <c r="J123" i="31"/>
  <c r="J137" i="31"/>
  <c r="J114" i="31"/>
  <c r="AX120" i="31"/>
  <c r="B132" i="41"/>
  <c r="B126" i="41"/>
  <c r="B115" i="41"/>
  <c r="B118" i="41"/>
  <c r="B103" i="41"/>
  <c r="B106" i="41"/>
  <c r="B121" i="41"/>
  <c r="B117" i="41"/>
  <c r="B112" i="41"/>
  <c r="B109" i="41"/>
  <c r="B114" i="41"/>
  <c r="B108" i="41"/>
  <c r="B105" i="41"/>
  <c r="B120" i="41"/>
  <c r="B102" i="41"/>
  <c r="B113" i="41"/>
  <c r="BG122" i="31"/>
  <c r="BK122" i="31" s="1"/>
  <c r="BN241" i="31"/>
  <c r="BO241" i="31" s="1"/>
  <c r="BC241" i="31"/>
  <c r="BP236" i="31"/>
  <c r="BE236" i="31"/>
  <c r="BN238" i="31"/>
  <c r="BO238" i="31" s="1"/>
  <c r="BC238" i="31"/>
  <c r="BQ120" i="31"/>
  <c r="AZ120" i="31"/>
  <c r="BQ146" i="31"/>
  <c r="AZ146" i="31"/>
  <c r="AL146" i="31"/>
  <c r="BA146" i="31"/>
  <c r="AL120" i="31"/>
  <c r="BA120" i="31"/>
  <c r="BN145" i="31"/>
  <c r="BP145" i="31"/>
  <c r="BN151" i="31"/>
  <c r="BP151" i="31"/>
  <c r="BN138" i="31"/>
  <c r="BP138" i="31"/>
  <c r="BN142" i="31"/>
  <c r="BP142" i="31"/>
  <c r="BN129" i="31"/>
  <c r="BP129" i="31"/>
  <c r="P242" i="31"/>
  <c r="P238" i="31"/>
  <c r="BD238" i="31" s="1"/>
  <c r="P241" i="31"/>
  <c r="BD241" i="31" s="1"/>
  <c r="P120" i="31"/>
  <c r="P146" i="31"/>
  <c r="J212" i="31"/>
  <c r="J213" i="31"/>
  <c r="I213" i="31"/>
  <c r="I212" i="31"/>
  <c r="I211" i="31"/>
  <c r="I210" i="31"/>
  <c r="G213" i="31"/>
  <c r="G212" i="31"/>
  <c r="G211" i="31"/>
  <c r="G210" i="31"/>
  <c r="K211" i="31"/>
  <c r="K210" i="31"/>
  <c r="J85" i="31"/>
  <c r="J82" i="31"/>
  <c r="O144" i="31" l="1"/>
  <c r="AF144" i="31" s="1"/>
  <c r="AF145" i="31"/>
  <c r="R144" i="31"/>
  <c r="AH144" i="31" s="1"/>
  <c r="AH145" i="31"/>
  <c r="O247" i="31"/>
  <c r="O246" i="31" s="1"/>
  <c r="AE247" i="31"/>
  <c r="O239" i="31"/>
  <c r="AE239" i="31"/>
  <c r="O245" i="31"/>
  <c r="AE245" i="31"/>
  <c r="AG247" i="31"/>
  <c r="R116" i="31"/>
  <c r="AH116" i="31" s="1"/>
  <c r="O116" i="31"/>
  <c r="AF116" i="31" s="1"/>
  <c r="R213" i="31"/>
  <c r="AH213" i="31" s="1"/>
  <c r="O213" i="31"/>
  <c r="AF213" i="31" s="1"/>
  <c r="O212" i="31"/>
  <c r="AF212" i="31" s="1"/>
  <c r="R212" i="31"/>
  <c r="AH212" i="31" s="1"/>
  <c r="O135" i="31"/>
  <c r="AF135" i="31" s="1"/>
  <c r="R135" i="31"/>
  <c r="AH135" i="31" s="1"/>
  <c r="O115" i="31"/>
  <c r="AF115" i="31" s="1"/>
  <c r="R115" i="31"/>
  <c r="AH115" i="31" s="1"/>
  <c r="O132" i="31"/>
  <c r="AF132" i="31" s="1"/>
  <c r="R132" i="31"/>
  <c r="AH132" i="31" s="1"/>
  <c r="R246" i="31"/>
  <c r="O114" i="31"/>
  <c r="AF114" i="31" s="1"/>
  <c r="R114" i="31"/>
  <c r="AH114" i="31" s="1"/>
  <c r="R143" i="31"/>
  <c r="AH143" i="31" s="1"/>
  <c r="O143" i="31"/>
  <c r="O123" i="31"/>
  <c r="AF123" i="31" s="1"/>
  <c r="R123" i="31"/>
  <c r="AH123" i="31" s="1"/>
  <c r="O185" i="31"/>
  <c r="R185" i="31"/>
  <c r="O134" i="31"/>
  <c r="AF134" i="31" s="1"/>
  <c r="R134" i="31"/>
  <c r="AH134" i="31" s="1"/>
  <c r="BN139" i="31"/>
  <c r="O139" i="31"/>
  <c r="AF139" i="31" s="1"/>
  <c r="R139" i="31"/>
  <c r="AH139" i="31" s="1"/>
  <c r="S122" i="31"/>
  <c r="AI122" i="31" s="1"/>
  <c r="O122" i="31"/>
  <c r="AF122" i="31" s="1"/>
  <c r="R122" i="31"/>
  <c r="AH122" i="31" s="1"/>
  <c r="AD140" i="31" a="1"/>
  <c r="AD140" i="31" s="1"/>
  <c r="O140" i="31"/>
  <c r="AF140" i="31" s="1"/>
  <c r="R140" i="31"/>
  <c r="AH140" i="31" s="1"/>
  <c r="O126" i="31"/>
  <c r="AF126" i="31" s="1"/>
  <c r="R126" i="31"/>
  <c r="AH126" i="31" s="1"/>
  <c r="R127" i="31"/>
  <c r="AH127" i="31" s="1"/>
  <c r="O127" i="31"/>
  <c r="AF127" i="31" s="1"/>
  <c r="R85" i="31"/>
  <c r="AH85" i="31" s="1"/>
  <c r="O85" i="31"/>
  <c r="AF85" i="31" s="1"/>
  <c r="BN131" i="31"/>
  <c r="O131" i="31"/>
  <c r="AF131" i="31" s="1"/>
  <c r="R131" i="31"/>
  <c r="AH131" i="31" s="1"/>
  <c r="S131" i="31"/>
  <c r="AI131" i="31" s="1"/>
  <c r="R117" i="31"/>
  <c r="AH117" i="31" s="1"/>
  <c r="O117" i="31"/>
  <c r="AF117" i="31" s="1"/>
  <c r="O28" i="31"/>
  <c r="R28" i="31"/>
  <c r="AH28" i="31" s="1"/>
  <c r="O137" i="31"/>
  <c r="AF137" i="31" s="1"/>
  <c r="R137" i="31"/>
  <c r="AH137" i="31" s="1"/>
  <c r="R128" i="31"/>
  <c r="AH128" i="31" s="1"/>
  <c r="O128" i="31"/>
  <c r="AF128" i="31" s="1"/>
  <c r="AG235" i="31"/>
  <c r="R235" i="31"/>
  <c r="AG245" i="31"/>
  <c r="R245" i="31"/>
  <c r="BP139" i="31"/>
  <c r="BP235" i="31"/>
  <c r="O244" i="31"/>
  <c r="BP244" i="31"/>
  <c r="R244" i="31"/>
  <c r="AD122" i="31" a="1"/>
  <c r="AD122" i="31" s="1"/>
  <c r="AD131" i="31" a="1"/>
  <c r="AD131" i="31" s="1"/>
  <c r="BG127" i="31"/>
  <c r="BK127" i="31" s="1"/>
  <c r="BP116" i="31"/>
  <c r="AD126" i="31" a="1"/>
  <c r="AD126" i="31" s="1"/>
  <c r="BP135" i="31"/>
  <c r="BE235" i="31"/>
  <c r="BG123" i="31"/>
  <c r="BK123" i="31" s="1"/>
  <c r="AD134" i="31" a="1"/>
  <c r="AD134" i="31" s="1"/>
  <c r="BP239" i="31"/>
  <c r="R239" i="31"/>
  <c r="BN122" i="31"/>
  <c r="BE245" i="31"/>
  <c r="BP122" i="31"/>
  <c r="BG132" i="31"/>
  <c r="BK132" i="31" s="1"/>
  <c r="BP245" i="31"/>
  <c r="S128" i="31"/>
  <c r="AI128" i="31" s="1"/>
  <c r="S134" i="31"/>
  <c r="AI134" i="31" s="1"/>
  <c r="BP131" i="31"/>
  <c r="BH128" i="31"/>
  <c r="BL128" i="31" s="1"/>
  <c r="AD123" i="31" a="1"/>
  <c r="AD123" i="31" s="1"/>
  <c r="AD128" i="31" a="1"/>
  <c r="AD128" i="31" s="1"/>
  <c r="BP128" i="31"/>
  <c r="BG131" i="31"/>
  <c r="BK131" i="31" s="1"/>
  <c r="BN114" i="31"/>
  <c r="Q114" i="31"/>
  <c r="N114" i="31"/>
  <c r="AE114" i="31" s="1"/>
  <c r="AC210" i="31" a="1"/>
  <c r="AC210" i="31" s="1"/>
  <c r="BN128" i="31"/>
  <c r="BP137" i="31"/>
  <c r="N137" i="31"/>
  <c r="AE137" i="31" s="1"/>
  <c r="Q137" i="31"/>
  <c r="BP28" i="31"/>
  <c r="N28" i="31"/>
  <c r="AE28" i="31" s="1"/>
  <c r="Q28" i="31"/>
  <c r="BP117" i="31"/>
  <c r="Q117" i="31"/>
  <c r="N117" i="31"/>
  <c r="AE117" i="31" s="1"/>
  <c r="S123" i="31"/>
  <c r="AI123" i="31" s="1"/>
  <c r="Q123" i="31"/>
  <c r="AG123" i="31" s="1"/>
  <c r="N123" i="31"/>
  <c r="AE123" i="31" s="1"/>
  <c r="BN143" i="31"/>
  <c r="N143" i="31"/>
  <c r="AE143" i="31" s="1"/>
  <c r="Q143" i="31"/>
  <c r="Q131" i="31"/>
  <c r="AG131" i="31" s="1"/>
  <c r="N131" i="31"/>
  <c r="AE131" i="31" s="1"/>
  <c r="BI212" i="31"/>
  <c r="BM212" i="31" s="1"/>
  <c r="AC212" i="31" a="1"/>
  <c r="AC212" i="31" s="1"/>
  <c r="AD212" i="31" s="1" a="1"/>
  <c r="AD212" i="31" s="1"/>
  <c r="BN116" i="31"/>
  <c r="Q116" i="31"/>
  <c r="N116" i="31"/>
  <c r="AE116" i="31" s="1"/>
  <c r="Q115" i="31"/>
  <c r="N115" i="31"/>
  <c r="AE115" i="31" s="1"/>
  <c r="S132" i="31"/>
  <c r="AI132" i="31" s="1"/>
  <c r="Q132" i="31"/>
  <c r="AG132" i="31" s="1"/>
  <c r="N132" i="31"/>
  <c r="AE132" i="31" s="1"/>
  <c r="AD132" i="31" a="1"/>
  <c r="AD132" i="31" s="1"/>
  <c r="AG239" i="31"/>
  <c r="BN115" i="31"/>
  <c r="C6" i="46"/>
  <c r="F6" i="46" s="1"/>
  <c r="AG244" i="31"/>
  <c r="AC213" i="31" a="1"/>
  <c r="AC213" i="31" s="1"/>
  <c r="AD213" i="31" a="1"/>
  <c r="AD213" i="31" s="1"/>
  <c r="N212" i="31"/>
  <c r="AE212" i="31" s="1"/>
  <c r="Q212" i="31"/>
  <c r="AG212" i="31" s="1"/>
  <c r="BN132" i="31"/>
  <c r="BP115" i="31"/>
  <c r="BP132" i="31"/>
  <c r="BO132" i="31" s="1"/>
  <c r="Q139" i="31"/>
  <c r="N139" i="31"/>
  <c r="AE139" i="31" s="1"/>
  <c r="BG135" i="31"/>
  <c r="BK135" i="31" s="1"/>
  <c r="N135" i="31"/>
  <c r="AE135" i="31" s="1"/>
  <c r="Q135" i="31"/>
  <c r="AG135" i="31" s="1"/>
  <c r="BP127" i="31"/>
  <c r="Q127" i="31"/>
  <c r="AG127" i="31" s="1"/>
  <c r="N127" i="31"/>
  <c r="AE127" i="31" s="1"/>
  <c r="Q85" i="31"/>
  <c r="N85" i="31"/>
  <c r="BN135" i="31"/>
  <c r="BN134" i="31"/>
  <c r="Q134" i="31"/>
  <c r="AG134" i="31" s="1"/>
  <c r="N134" i="31"/>
  <c r="AE134" i="31" s="1"/>
  <c r="Q128" i="31"/>
  <c r="AG128" i="31" s="1"/>
  <c r="N128" i="31"/>
  <c r="AE128" i="31" s="1"/>
  <c r="Q213" i="31"/>
  <c r="AG213" i="31" s="1"/>
  <c r="N213" i="31"/>
  <c r="AE213" i="31" s="1"/>
  <c r="BE244" i="31"/>
  <c r="BP140" i="31"/>
  <c r="Q140" i="31"/>
  <c r="AG140" i="31" s="1"/>
  <c r="N140" i="31"/>
  <c r="AE140" i="31" s="1"/>
  <c r="AD127" i="31" a="1"/>
  <c r="AD127" i="31" s="1"/>
  <c r="AC211" i="31" a="1"/>
  <c r="AC211" i="31" s="1"/>
  <c r="Q122" i="31"/>
  <c r="AG122" i="31" s="1"/>
  <c r="N122" i="31"/>
  <c r="AE122" i="31" s="1"/>
  <c r="BP185" i="31"/>
  <c r="Q185" i="31"/>
  <c r="N185" i="31"/>
  <c r="AE185" i="31" s="1"/>
  <c r="BN126" i="31"/>
  <c r="Q126" i="31"/>
  <c r="AP126" i="31" s="1"/>
  <c r="N126" i="31"/>
  <c r="AE126" i="31" s="1"/>
  <c r="AD135" i="31" a="1"/>
  <c r="AD135" i="31" s="1"/>
  <c r="BG126" i="31"/>
  <c r="BK126" i="31" s="1"/>
  <c r="BN28" i="31"/>
  <c r="S126" i="31"/>
  <c r="AI126" i="31" s="1"/>
  <c r="BP123" i="31"/>
  <c r="BN123" i="31"/>
  <c r="BP143" i="31"/>
  <c r="J211" i="31"/>
  <c r="BN117" i="31"/>
  <c r="BG134" i="31"/>
  <c r="BK134" i="31" s="1"/>
  <c r="BI140" i="31"/>
  <c r="BM140" i="31" s="1"/>
  <c r="BN137" i="31"/>
  <c r="S127" i="31"/>
  <c r="AI127" i="31" s="1"/>
  <c r="BC236" i="31"/>
  <c r="BN140" i="31"/>
  <c r="BC244" i="31"/>
  <c r="BN185" i="31"/>
  <c r="BP134" i="31"/>
  <c r="J210" i="31"/>
  <c r="AZ129" i="31"/>
  <c r="S140" i="31"/>
  <c r="AI140" i="31" s="1"/>
  <c r="BN127" i="31"/>
  <c r="BP114" i="31"/>
  <c r="S135" i="31"/>
  <c r="AI135" i="31" s="1"/>
  <c r="BP126" i="31"/>
  <c r="AX129" i="31"/>
  <c r="BI213" i="31"/>
  <c r="BM213" i="31" s="1"/>
  <c r="B1" i="31"/>
  <c r="C1" i="31" s="1"/>
  <c r="A69" i="31"/>
  <c r="AQ122" i="31"/>
  <c r="D108" i="41"/>
  <c r="AQ131" i="31"/>
  <c r="D117" i="41"/>
  <c r="BI210" i="31"/>
  <c r="BM210" i="31" s="1"/>
  <c r="BI211" i="31"/>
  <c r="BM211" i="31" s="1"/>
  <c r="BP247" i="31"/>
  <c r="BE247" i="31"/>
  <c r="BN247" i="31"/>
  <c r="BC247" i="31"/>
  <c r="AZ128" i="31"/>
  <c r="AX128" i="31"/>
  <c r="M120" i="31"/>
  <c r="C106" i="41" s="1"/>
  <c r="AY120" i="31"/>
  <c r="M146" i="31"/>
  <c r="C132" i="41" s="1"/>
  <c r="AY146" i="31"/>
  <c r="BA128" i="31"/>
  <c r="BO129" i="31"/>
  <c r="BP212" i="31"/>
  <c r="BN212" i="31"/>
  <c r="BO151" i="31"/>
  <c r="BN82" i="31"/>
  <c r="BP82" i="31"/>
  <c r="BP213" i="31"/>
  <c r="BN213" i="31"/>
  <c r="BP85" i="31"/>
  <c r="BN85" i="31"/>
  <c r="P129" i="31"/>
  <c r="BO145" i="31"/>
  <c r="BQ129" i="31"/>
  <c r="P247" i="31"/>
  <c r="P236" i="31"/>
  <c r="BD236" i="31" s="1"/>
  <c r="BN236" i="31"/>
  <c r="BO236" i="31" s="1"/>
  <c r="P244" i="31"/>
  <c r="BD244" i="31" s="1"/>
  <c r="BN244" i="31"/>
  <c r="J83" i="31"/>
  <c r="J84" i="31"/>
  <c r="S212" i="31"/>
  <c r="AI212" i="31" s="1"/>
  <c r="O184" i="31" l="1"/>
  <c r="AF184" i="31" s="1"/>
  <c r="AF185" i="31"/>
  <c r="O27" i="31"/>
  <c r="AF27" i="31" s="1"/>
  <c r="AF28" i="31"/>
  <c r="O141" i="31"/>
  <c r="AF141" i="31" s="1"/>
  <c r="AF143" i="31"/>
  <c r="R184" i="31"/>
  <c r="AH184" i="31" s="1"/>
  <c r="AH185" i="31"/>
  <c r="R141" i="31"/>
  <c r="AH141" i="31" s="1"/>
  <c r="AE85" i="31"/>
  <c r="O243" i="31"/>
  <c r="AV128" i="31"/>
  <c r="BO122" i="31"/>
  <c r="BO247" i="31"/>
  <c r="O211" i="31"/>
  <c r="AF211" i="31" s="1"/>
  <c r="R211" i="31"/>
  <c r="AH211" i="31" s="1"/>
  <c r="AG126" i="31"/>
  <c r="R27" i="31"/>
  <c r="AH27" i="31" s="1"/>
  <c r="O210" i="31"/>
  <c r="AF210" i="31" s="1"/>
  <c r="R210" i="31"/>
  <c r="AH210" i="31" s="1"/>
  <c r="R234" i="31"/>
  <c r="O84" i="31"/>
  <c r="AF84" i="31" s="1"/>
  <c r="R84" i="31"/>
  <c r="AH84" i="31" s="1"/>
  <c r="D109" i="41"/>
  <c r="BO131" i="31"/>
  <c r="AQ123" i="31"/>
  <c r="O83" i="31"/>
  <c r="R83" i="31"/>
  <c r="AH83" i="31" s="1"/>
  <c r="AN131" i="31"/>
  <c r="AL128" i="31"/>
  <c r="D114" i="41"/>
  <c r="K99" i="41" s="1"/>
  <c r="R243" i="31"/>
  <c r="O130" i="31"/>
  <c r="AF130" i="31" s="1"/>
  <c r="BQ128" i="31"/>
  <c r="R130" i="31"/>
  <c r="AH130" i="31" s="1"/>
  <c r="AN127" i="31"/>
  <c r="AD82" i="31" a="1"/>
  <c r="AD82" i="31" s="1"/>
  <c r="BO135" i="31"/>
  <c r="O121" i="31"/>
  <c r="AF121" i="31" s="1"/>
  <c r="R125" i="31"/>
  <c r="AH125" i="31" s="1"/>
  <c r="O136" i="31"/>
  <c r="AF136" i="31" s="1"/>
  <c r="R121" i="31"/>
  <c r="AH121" i="31" s="1"/>
  <c r="O125" i="31"/>
  <c r="AF125" i="31" s="1"/>
  <c r="R136" i="31"/>
  <c r="AH136" i="31" s="1"/>
  <c r="O133" i="31"/>
  <c r="AF133" i="31" s="1"/>
  <c r="P126" i="31"/>
  <c r="AO126" i="31" s="1"/>
  <c r="BQ131" i="31"/>
  <c r="BQ126" i="31"/>
  <c r="BO114" i="31"/>
  <c r="W128" i="31"/>
  <c r="S121" i="31"/>
  <c r="AI121" i="31" s="1"/>
  <c r="D120" i="41"/>
  <c r="AP134" i="31"/>
  <c r="BO123" i="31"/>
  <c r="BO128" i="31"/>
  <c r="R133" i="31"/>
  <c r="AH133" i="31" s="1"/>
  <c r="BG211" i="31"/>
  <c r="BK211" i="31" s="1"/>
  <c r="S130" i="31"/>
  <c r="AI130" i="31" s="1"/>
  <c r="R113" i="31"/>
  <c r="AH113" i="31" s="1"/>
  <c r="AD210" i="31" a="1"/>
  <c r="AD210" i="31" s="1"/>
  <c r="O113" i="31"/>
  <c r="AF113" i="31" s="1"/>
  <c r="P131" i="31"/>
  <c r="AO131" i="31" s="1"/>
  <c r="BO244" i="31"/>
  <c r="BQ127" i="31"/>
  <c r="AQ134" i="31"/>
  <c r="AP131" i="31"/>
  <c r="AN126" i="31"/>
  <c r="AQ126" i="31"/>
  <c r="AU128" i="31"/>
  <c r="BQ122" i="31"/>
  <c r="N125" i="31"/>
  <c r="AE125" i="31" s="1"/>
  <c r="AS128" i="31"/>
  <c r="D112" i="41"/>
  <c r="P128" i="31"/>
  <c r="AT128" i="31" s="1"/>
  <c r="BO126" i="31"/>
  <c r="BQ132" i="31"/>
  <c r="Q84" i="31"/>
  <c r="N84" i="31"/>
  <c r="AE84" i="31" s="1"/>
  <c r="BO140" i="31"/>
  <c r="P127" i="31"/>
  <c r="AO127" i="31" s="1"/>
  <c r="AP132" i="31"/>
  <c r="N130" i="31"/>
  <c r="AE130" i="31" s="1"/>
  <c r="BO28" i="31"/>
  <c r="Q83" i="31"/>
  <c r="N83" i="31"/>
  <c r="AE83" i="31" s="1"/>
  <c r="BN211" i="31"/>
  <c r="Q211" i="31"/>
  <c r="AG211" i="31" s="1"/>
  <c r="N211" i="31"/>
  <c r="AE211" i="31" s="1"/>
  <c r="AD211" i="31" a="1"/>
  <c r="AD211" i="31" s="1"/>
  <c r="P122" i="31"/>
  <c r="AO122" i="31" s="1"/>
  <c r="AN122" i="31"/>
  <c r="AN134" i="31"/>
  <c r="Q130" i="31"/>
  <c r="AG130" i="31" s="1"/>
  <c r="P132" i="31"/>
  <c r="M132" i="31" s="1"/>
  <c r="C118" i="41" s="1"/>
  <c r="BO127" i="31"/>
  <c r="AN132" i="31"/>
  <c r="Q210" i="31"/>
  <c r="AG210" i="31" s="1"/>
  <c r="N210" i="31"/>
  <c r="AE210" i="31" s="1"/>
  <c r="BO134" i="31"/>
  <c r="BN210" i="31"/>
  <c r="P134" i="31"/>
  <c r="AO134" i="31" s="1"/>
  <c r="D118" i="41"/>
  <c r="AP122" i="31"/>
  <c r="Q125" i="31"/>
  <c r="AG125" i="31" s="1"/>
  <c r="AQ132" i="31"/>
  <c r="AP127" i="31"/>
  <c r="BQ123" i="31"/>
  <c r="Q121" i="31"/>
  <c r="AG121" i="31" s="1"/>
  <c r="AQ135" i="31"/>
  <c r="D121" i="41"/>
  <c r="AL140" i="31"/>
  <c r="T140" i="31"/>
  <c r="V140" i="31" s="1"/>
  <c r="AP123" i="31"/>
  <c r="BQ134" i="31"/>
  <c r="N133" i="31"/>
  <c r="AE133" i="31" s="1"/>
  <c r="P140" i="31"/>
  <c r="AY140" i="31" s="1"/>
  <c r="BP211" i="31"/>
  <c r="S211" i="31"/>
  <c r="AI211" i="31" s="1"/>
  <c r="D126" i="41"/>
  <c r="BP210" i="31"/>
  <c r="BA140" i="31"/>
  <c r="W212" i="31"/>
  <c r="AX212" i="31"/>
  <c r="AN123" i="31"/>
  <c r="N121" i="31"/>
  <c r="AE121" i="31" s="1"/>
  <c r="AZ140" i="31"/>
  <c r="BG210" i="31"/>
  <c r="BK210" i="31" s="1"/>
  <c r="AZ213" i="31"/>
  <c r="AX213" i="31"/>
  <c r="AN135" i="31"/>
  <c r="W140" i="31"/>
  <c r="AX140" i="31"/>
  <c r="P123" i="31"/>
  <c r="M123" i="31" s="1"/>
  <c r="C109" i="41" s="1"/>
  <c r="S210" i="31"/>
  <c r="AI210" i="31" s="1"/>
  <c r="AP135" i="31"/>
  <c r="AZ212" i="31"/>
  <c r="Q133" i="31"/>
  <c r="AG133" i="31" s="1"/>
  <c r="P135" i="31"/>
  <c r="M135" i="31" s="1"/>
  <c r="C121" i="41" s="1"/>
  <c r="BQ135" i="31"/>
  <c r="BQ140" i="31"/>
  <c r="D113" i="41"/>
  <c r="S133" i="31"/>
  <c r="AI133" i="31" s="1"/>
  <c r="AQ127" i="31"/>
  <c r="BD247" i="31"/>
  <c r="AX211" i="31"/>
  <c r="AZ210" i="31"/>
  <c r="AX210" i="31"/>
  <c r="AZ211" i="31"/>
  <c r="M129" i="31"/>
  <c r="C115" i="41" s="1"/>
  <c r="AY129" i="31"/>
  <c r="AL211" i="31"/>
  <c r="BA211" i="31"/>
  <c r="AY128" i="31"/>
  <c r="AL210" i="31"/>
  <c r="BA210" i="31"/>
  <c r="AL212" i="31"/>
  <c r="BA212" i="31"/>
  <c r="BQ212" i="31"/>
  <c r="BP84" i="31"/>
  <c r="BN84" i="31"/>
  <c r="BO213" i="31"/>
  <c r="BN83" i="31"/>
  <c r="BP83" i="31"/>
  <c r="BQ213" i="31"/>
  <c r="BO212" i="31"/>
  <c r="P212" i="31"/>
  <c r="P213" i="31"/>
  <c r="O82" i="31" l="1"/>
  <c r="AF82" i="31" s="1"/>
  <c r="AF83" i="31"/>
  <c r="D116" i="41"/>
  <c r="W130" i="31"/>
  <c r="BO210" i="31"/>
  <c r="W121" i="31"/>
  <c r="D107" i="41"/>
  <c r="M122" i="31"/>
  <c r="M121" i="31" s="1"/>
  <c r="O81" i="31"/>
  <c r="AF81" i="31" s="1"/>
  <c r="R209" i="31"/>
  <c r="AH209" i="31" s="1"/>
  <c r="M128" i="31"/>
  <c r="C114" i="41" s="1"/>
  <c r="J99" i="41" s="1"/>
  <c r="O209" i="31"/>
  <c r="AF209" i="31" s="1"/>
  <c r="P130" i="31"/>
  <c r="O112" i="31"/>
  <c r="AF112" i="31" s="1"/>
  <c r="M131" i="31"/>
  <c r="M130" i="31" s="1"/>
  <c r="P125" i="31"/>
  <c r="R82" i="31"/>
  <c r="AH82" i="31" s="1"/>
  <c r="M126" i="31"/>
  <c r="R112" i="31"/>
  <c r="AH112" i="31" s="1"/>
  <c r="M134" i="31"/>
  <c r="M133" i="31" s="1"/>
  <c r="AN210" i="31"/>
  <c r="M127" i="31"/>
  <c r="C113" i="41" s="1"/>
  <c r="BQ125" i="31"/>
  <c r="AO132" i="31"/>
  <c r="BQ121" i="31"/>
  <c r="AK140" i="31"/>
  <c r="AP211" i="31"/>
  <c r="BQ130" i="31"/>
  <c r="BQ211" i="31"/>
  <c r="BB140" i="31"/>
  <c r="M140" i="31"/>
  <c r="C126" i="41" s="1"/>
  <c r="AQ211" i="31"/>
  <c r="BO211" i="31"/>
  <c r="AP210" i="31"/>
  <c r="AN211" i="31"/>
  <c r="P211" i="31"/>
  <c r="AO211" i="31" s="1"/>
  <c r="P121" i="31"/>
  <c r="BQ133" i="31"/>
  <c r="P133" i="31"/>
  <c r="AO123" i="31"/>
  <c r="P210" i="31"/>
  <c r="AO210" i="31" s="1"/>
  <c r="AO135" i="31"/>
  <c r="AQ210" i="31"/>
  <c r="BQ210" i="31"/>
  <c r="D119" i="41"/>
  <c r="W133" i="31"/>
  <c r="M213" i="31"/>
  <c r="AY213" i="31"/>
  <c r="M212" i="31"/>
  <c r="AY212" i="31"/>
  <c r="AY211" i="31"/>
  <c r="AY210" i="31"/>
  <c r="BQ232" i="31"/>
  <c r="S231" i="31"/>
  <c r="AI231" i="31" s="1"/>
  <c r="AG231" i="31"/>
  <c r="G231" i="31"/>
  <c r="G229" i="31"/>
  <c r="G228" i="31"/>
  <c r="J26" i="31"/>
  <c r="K57" i="31"/>
  <c r="K56" i="31"/>
  <c r="K55" i="31"/>
  <c r="K78" i="31"/>
  <c r="I78" i="31"/>
  <c r="G78" i="31"/>
  <c r="K77" i="31"/>
  <c r="I77" i="31"/>
  <c r="G77" i="31"/>
  <c r="J58" i="31"/>
  <c r="J59" i="31"/>
  <c r="G57" i="31"/>
  <c r="G56" i="31"/>
  <c r="G55" i="31"/>
  <c r="I59" i="31"/>
  <c r="I58" i="31"/>
  <c r="I57" i="31"/>
  <c r="I56" i="31"/>
  <c r="I55" i="31"/>
  <c r="K74" i="31"/>
  <c r="K73" i="31"/>
  <c r="G52" i="31"/>
  <c r="G51" i="31"/>
  <c r="I52" i="31"/>
  <c r="I51" i="31"/>
  <c r="K52" i="31"/>
  <c r="K51" i="31"/>
  <c r="K65" i="31"/>
  <c r="K64" i="31"/>
  <c r="K49" i="31"/>
  <c r="K48" i="31"/>
  <c r="K47" i="31"/>
  <c r="Q209" i="31"/>
  <c r="AG209" i="31" s="1"/>
  <c r="N209" i="31"/>
  <c r="AE209" i="31" s="1"/>
  <c r="J206" i="31"/>
  <c r="K208" i="31"/>
  <c r="K207" i="31"/>
  <c r="K205" i="31"/>
  <c r="I223" i="31"/>
  <c r="I224" i="31"/>
  <c r="I225" i="31"/>
  <c r="I226" i="31"/>
  <c r="K226" i="31"/>
  <c r="K225" i="31"/>
  <c r="K224" i="31"/>
  <c r="K223" i="31"/>
  <c r="K222" i="31"/>
  <c r="K221" i="31"/>
  <c r="G223" i="31"/>
  <c r="G224" i="31"/>
  <c r="G225" i="31"/>
  <c r="G226" i="31"/>
  <c r="C108" i="41" l="1"/>
  <c r="R26" i="31"/>
  <c r="AH26" i="31" s="1"/>
  <c r="O26" i="31"/>
  <c r="AF26" i="31" s="1"/>
  <c r="O206" i="31"/>
  <c r="AF206" i="31" s="1"/>
  <c r="R206" i="31"/>
  <c r="AH206" i="31" s="1"/>
  <c r="C120" i="41"/>
  <c r="O59" i="31"/>
  <c r="AF59" i="31" s="1"/>
  <c r="R59" i="31"/>
  <c r="AH59" i="31" s="1"/>
  <c r="O58" i="31"/>
  <c r="AF58" i="31" s="1"/>
  <c r="R58" i="31"/>
  <c r="AH58" i="31" s="1"/>
  <c r="R81" i="31"/>
  <c r="AH81" i="31" s="1"/>
  <c r="M125" i="31"/>
  <c r="C117" i="41"/>
  <c r="C112" i="41"/>
  <c r="P209" i="31"/>
  <c r="Q58" i="31"/>
  <c r="AG58" i="31" s="1"/>
  <c r="N58" i="31"/>
  <c r="AE58" i="31" s="1"/>
  <c r="M211" i="31"/>
  <c r="AC78" i="31" a="1"/>
  <c r="AC78" i="31" s="1"/>
  <c r="AC59" i="31" a="1"/>
  <c r="AC59" i="31" s="1"/>
  <c r="AD59" i="31" s="1" a="1"/>
  <c r="AD59" i="31" s="1"/>
  <c r="AC77" i="31" a="1"/>
  <c r="AC77" i="31" s="1"/>
  <c r="AC51" i="31" a="1"/>
  <c r="AC51" i="31" s="1"/>
  <c r="AC52" i="31" a="1"/>
  <c r="AC52" i="31" s="1"/>
  <c r="AC226" i="31" a="1"/>
  <c r="AC226" i="31" s="1"/>
  <c r="AC224" i="31" a="1"/>
  <c r="AC224" i="31" s="1"/>
  <c r="Q206" i="31"/>
  <c r="N206" i="31"/>
  <c r="AE206" i="31" s="1"/>
  <c r="Q59" i="31"/>
  <c r="AG59" i="31" s="1"/>
  <c r="N59" i="31"/>
  <c r="AE59" i="31" s="1"/>
  <c r="AC225" i="31" a="1"/>
  <c r="AC225" i="31" s="1"/>
  <c r="AC223" i="31" a="1"/>
  <c r="AC223" i="31" s="1"/>
  <c r="Q26" i="31"/>
  <c r="N26" i="31"/>
  <c r="AE26" i="31" s="1"/>
  <c r="AC55" i="31" a="1"/>
  <c r="AC55" i="31" s="1"/>
  <c r="AC58" i="31" a="1"/>
  <c r="AC58" i="31" s="1"/>
  <c r="AD58" i="31" s="1" a="1"/>
  <c r="AD58" i="31" s="1"/>
  <c r="AC56" i="31" a="1"/>
  <c r="AC56" i="31" s="1"/>
  <c r="AC57" i="31" a="1"/>
  <c r="AC57" i="31" s="1"/>
  <c r="J208" i="31"/>
  <c r="J74" i="31"/>
  <c r="J47" i="31"/>
  <c r="J48" i="31"/>
  <c r="M210" i="31"/>
  <c r="J49" i="31"/>
  <c r="J55" i="31"/>
  <c r="J57" i="31"/>
  <c r="J56" i="31"/>
  <c r="J73" i="31"/>
  <c r="AN231" i="31"/>
  <c r="AQ231" i="31"/>
  <c r="BQ209" i="31"/>
  <c r="J205" i="31"/>
  <c r="J207" i="31"/>
  <c r="J221" i="31"/>
  <c r="J64" i="31"/>
  <c r="J222" i="31"/>
  <c r="J65" i="31"/>
  <c r="J223" i="31"/>
  <c r="J51" i="31"/>
  <c r="J224" i="31"/>
  <c r="J52" i="31"/>
  <c r="J225" i="31"/>
  <c r="J226" i="31"/>
  <c r="J78" i="31"/>
  <c r="BQ231" i="31"/>
  <c r="AP231" i="31"/>
  <c r="BN58" i="31"/>
  <c r="BP58" i="31"/>
  <c r="BN168" i="31"/>
  <c r="BP168" i="31"/>
  <c r="BN169" i="31"/>
  <c r="BP169" i="31"/>
  <c r="BN228" i="31"/>
  <c r="BP228" i="31"/>
  <c r="BN167" i="31"/>
  <c r="BP167" i="31"/>
  <c r="BN59" i="31"/>
  <c r="BP59" i="31"/>
  <c r="BN206" i="31"/>
  <c r="BP206" i="31"/>
  <c r="BN26" i="31"/>
  <c r="BP26" i="31"/>
  <c r="BP229" i="31"/>
  <c r="BN229" i="31"/>
  <c r="S228" i="31"/>
  <c r="AI228" i="31" s="1"/>
  <c r="S58" i="31"/>
  <c r="AI58" i="31" s="1"/>
  <c r="AG229" i="31"/>
  <c r="S229" i="31"/>
  <c r="AI229" i="31" s="1"/>
  <c r="J77" i="31"/>
  <c r="AG228" i="31"/>
  <c r="N230" i="31"/>
  <c r="AE230" i="31" s="1"/>
  <c r="Q230" i="31"/>
  <c r="AG230" i="31" s="1"/>
  <c r="S230" i="31"/>
  <c r="AI230" i="31" s="1"/>
  <c r="S59" i="31"/>
  <c r="AI59" i="31" s="1"/>
  <c r="P231" i="31"/>
  <c r="AO231" i="31" s="1"/>
  <c r="O77" i="31" l="1"/>
  <c r="AF77" i="31" s="1"/>
  <c r="R77" i="31"/>
  <c r="AH77" i="31" s="1"/>
  <c r="O224" i="31"/>
  <c r="AF224" i="31" s="1"/>
  <c r="R224" i="31"/>
  <c r="AH224" i="31" s="1"/>
  <c r="O74" i="31"/>
  <c r="AF74" i="31" s="1"/>
  <c r="R74" i="31"/>
  <c r="AH74" i="31" s="1"/>
  <c r="O64" i="31"/>
  <c r="AF64" i="31" s="1"/>
  <c r="R64" i="31"/>
  <c r="AH64" i="31" s="1"/>
  <c r="AD57" i="31" a="1"/>
  <c r="AD57" i="31" s="1"/>
  <c r="O57" i="31"/>
  <c r="AF57" i="31" s="1"/>
  <c r="R57" i="31"/>
  <c r="AH57" i="31" s="1"/>
  <c r="O208" i="31"/>
  <c r="AF208" i="31" s="1"/>
  <c r="R208" i="31"/>
  <c r="AH208" i="31" s="1"/>
  <c r="O223" i="31"/>
  <c r="AF223" i="31" s="1"/>
  <c r="R223" i="31"/>
  <c r="AH223" i="31" s="1"/>
  <c r="O222" i="31"/>
  <c r="AF222" i="31" s="1"/>
  <c r="R222" i="31"/>
  <c r="AH222" i="31" s="1"/>
  <c r="BN73" i="31"/>
  <c r="O73" i="31"/>
  <c r="AF73" i="31" s="1"/>
  <c r="R73" i="31"/>
  <c r="AH73" i="31" s="1"/>
  <c r="BG56" i="31"/>
  <c r="BK56" i="31" s="1"/>
  <c r="O56" i="31"/>
  <c r="AF56" i="31" s="1"/>
  <c r="R56" i="31"/>
  <c r="AH56" i="31" s="1"/>
  <c r="O55" i="31"/>
  <c r="AF55" i="31" s="1"/>
  <c r="R55" i="31"/>
  <c r="AH55" i="31" s="1"/>
  <c r="R52" i="31"/>
  <c r="AH52" i="31" s="1"/>
  <c r="O52" i="31"/>
  <c r="AF52" i="31" s="1"/>
  <c r="R47" i="31"/>
  <c r="AH47" i="31" s="1"/>
  <c r="O47" i="31"/>
  <c r="AF47" i="31" s="1"/>
  <c r="O51" i="31"/>
  <c r="AF51" i="31" s="1"/>
  <c r="R51" i="31"/>
  <c r="AH51" i="31" s="1"/>
  <c r="O65" i="31"/>
  <c r="AF65" i="31" s="1"/>
  <c r="R65" i="31"/>
  <c r="AH65" i="31" s="1"/>
  <c r="R221" i="31"/>
  <c r="AH221" i="31" s="1"/>
  <c r="O221" i="31"/>
  <c r="AF221" i="31" s="1"/>
  <c r="O78" i="31"/>
  <c r="AF78" i="31" s="1"/>
  <c r="R78" i="31"/>
  <c r="AH78" i="31" s="1"/>
  <c r="R49" i="31"/>
  <c r="AH49" i="31" s="1"/>
  <c r="O49" i="31"/>
  <c r="AF49" i="31" s="1"/>
  <c r="O226" i="31"/>
  <c r="AF226" i="31" s="1"/>
  <c r="R226" i="31"/>
  <c r="AH226" i="31" s="1"/>
  <c r="M209" i="31"/>
  <c r="R207" i="31"/>
  <c r="AH207" i="31" s="1"/>
  <c r="O207" i="31"/>
  <c r="AF207" i="31" s="1"/>
  <c r="O205" i="31"/>
  <c r="AF205" i="31" s="1"/>
  <c r="R205" i="31"/>
  <c r="AH205" i="31" s="1"/>
  <c r="BN225" i="31"/>
  <c r="R225" i="31"/>
  <c r="AH225" i="31" s="1"/>
  <c r="O225" i="31"/>
  <c r="AF225" i="31" s="1"/>
  <c r="R48" i="31"/>
  <c r="AH48" i="31" s="1"/>
  <c r="O48" i="31"/>
  <c r="AF48" i="31" s="1"/>
  <c r="BP73" i="31"/>
  <c r="AD55" i="31" a="1"/>
  <c r="AD55" i="31" s="1"/>
  <c r="BN222" i="31"/>
  <c r="BP207" i="31"/>
  <c r="AD52" i="31" a="1"/>
  <c r="AD52" i="31" s="1"/>
  <c r="BP225" i="31"/>
  <c r="BO225" i="31" s="1"/>
  <c r="AD51" i="31" a="1"/>
  <c r="AD51" i="31" s="1"/>
  <c r="AD78" i="31" a="1"/>
  <c r="AD78" i="31" s="1"/>
  <c r="AD226" i="31" a="1"/>
  <c r="AD226" i="31" s="1"/>
  <c r="BP64" i="31"/>
  <c r="BN55" i="31"/>
  <c r="BP52" i="31"/>
  <c r="BP221" i="31"/>
  <c r="S78" i="31"/>
  <c r="AI78" i="31" s="1"/>
  <c r="AD56" i="31" a="1"/>
  <c r="AD56" i="31" s="1"/>
  <c r="BN207" i="31"/>
  <c r="BN65" i="31"/>
  <c r="Q65" i="31"/>
  <c r="N65" i="31"/>
  <c r="AE65" i="31" s="1"/>
  <c r="BN226" i="31"/>
  <c r="BP222" i="31"/>
  <c r="Q222" i="31"/>
  <c r="N222" i="31"/>
  <c r="AE222" i="31" s="1"/>
  <c r="S225" i="31"/>
  <c r="AI225" i="31" s="1"/>
  <c r="Q225" i="31"/>
  <c r="AG225" i="31" s="1"/>
  <c r="N225" i="31"/>
  <c r="AE225" i="31" s="1"/>
  <c r="BN48" i="31"/>
  <c r="Q48" i="31"/>
  <c r="N48" i="31"/>
  <c r="AE48" i="31" s="1"/>
  <c r="S223" i="31"/>
  <c r="AI223" i="31" s="1"/>
  <c r="Q223" i="31"/>
  <c r="AG223" i="31" s="1"/>
  <c r="N223" i="31"/>
  <c r="AE223" i="31" s="1"/>
  <c r="Q221" i="31"/>
  <c r="N221" i="31"/>
  <c r="AE221" i="31" s="1"/>
  <c r="BG51" i="31"/>
  <c r="BK51" i="31" s="1"/>
  <c r="Q51" i="31"/>
  <c r="N51" i="31"/>
  <c r="AE51" i="31" s="1"/>
  <c r="Q208" i="31"/>
  <c r="N208" i="31"/>
  <c r="AE208" i="31" s="1"/>
  <c r="BI77" i="31"/>
  <c r="BM77" i="31" s="1"/>
  <c r="Q77" i="31"/>
  <c r="AG77" i="31" s="1"/>
  <c r="N77" i="31"/>
  <c r="AE77" i="31" s="1"/>
  <c r="BN64" i="31"/>
  <c r="Q64" i="31"/>
  <c r="N64" i="31"/>
  <c r="AE64" i="31" s="1"/>
  <c r="Q207" i="31"/>
  <c r="N207" i="31"/>
  <c r="AE207" i="31" s="1"/>
  <c r="BP205" i="31"/>
  <c r="Q205" i="31"/>
  <c r="N205" i="31"/>
  <c r="AE205" i="31" s="1"/>
  <c r="AD77" i="31" a="1"/>
  <c r="AD77" i="31" s="1"/>
  <c r="BG224" i="31"/>
  <c r="BK224" i="31" s="1"/>
  <c r="Q224" i="31"/>
  <c r="AG224" i="31" s="1"/>
  <c r="N224" i="31"/>
  <c r="AE224" i="31" s="1"/>
  <c r="BN74" i="31"/>
  <c r="Q74" i="31"/>
  <c r="N74" i="31"/>
  <c r="AE74" i="31" s="1"/>
  <c r="AD224" i="31" a="1"/>
  <c r="AD224" i="31" s="1"/>
  <c r="BG225" i="31"/>
  <c r="BK225" i="31" s="1"/>
  <c r="BN52" i="31"/>
  <c r="Q52" i="31"/>
  <c r="N52" i="31"/>
  <c r="AE52" i="31" s="1"/>
  <c r="BP48" i="31"/>
  <c r="Q73" i="31"/>
  <c r="N73" i="31"/>
  <c r="AE73" i="31" s="1"/>
  <c r="AD223" i="31" a="1"/>
  <c r="AD223" i="31" s="1"/>
  <c r="BP226" i="31"/>
  <c r="Q226" i="31"/>
  <c r="AG226" i="31" s="1"/>
  <c r="N226" i="31"/>
  <c r="AE226" i="31" s="1"/>
  <c r="BN47" i="31"/>
  <c r="N47" i="31"/>
  <c r="AE47" i="31" s="1"/>
  <c r="Q47" i="31"/>
  <c r="BG52" i="31"/>
  <c r="BK52" i="31" s="1"/>
  <c r="BI57" i="31"/>
  <c r="BM57" i="31" s="1"/>
  <c r="Q57" i="31"/>
  <c r="AG57" i="31" s="1"/>
  <c r="N57" i="31"/>
  <c r="AD225" i="31" a="1"/>
  <c r="AD225" i="31" s="1"/>
  <c r="S226" i="31"/>
  <c r="AI226" i="31" s="1"/>
  <c r="Q56" i="31"/>
  <c r="AG56" i="31" s="1"/>
  <c r="N56" i="31"/>
  <c r="AE56" i="31" s="1"/>
  <c r="BP208" i="31"/>
  <c r="BI226" i="31"/>
  <c r="BM226" i="31" s="1"/>
  <c r="BP55" i="31"/>
  <c r="N55" i="31"/>
  <c r="AE55" i="31" s="1"/>
  <c r="Q55" i="31"/>
  <c r="AG55" i="31" s="1"/>
  <c r="BN221" i="31"/>
  <c r="BN208" i="31"/>
  <c r="BN78" i="31"/>
  <c r="N78" i="31"/>
  <c r="AE78" i="31" s="1"/>
  <c r="Q78" i="31"/>
  <c r="AG78" i="31" s="1"/>
  <c r="BN49" i="31"/>
  <c r="Q49" i="31"/>
  <c r="N49" i="31"/>
  <c r="AE49" i="31" s="1"/>
  <c r="BG55" i="31"/>
  <c r="BK55" i="31" s="1"/>
  <c r="S55" i="31"/>
  <c r="AI55" i="31" s="1"/>
  <c r="S57" i="31"/>
  <c r="AI57" i="31" s="1"/>
  <c r="BP51" i="31"/>
  <c r="BN51" i="31"/>
  <c r="BP49" i="31"/>
  <c r="S51" i="31"/>
  <c r="AI51" i="31" s="1"/>
  <c r="BH78" i="31"/>
  <c r="BL78" i="31" s="1"/>
  <c r="BN205" i="31"/>
  <c r="AQ229" i="31"/>
  <c r="BP223" i="31"/>
  <c r="BN223" i="31"/>
  <c r="BP224" i="31"/>
  <c r="BH223" i="31"/>
  <c r="BL223" i="31" s="1"/>
  <c r="BN224" i="31"/>
  <c r="S52" i="31"/>
  <c r="BP47" i="31"/>
  <c r="BP56" i="31"/>
  <c r="AN229" i="31"/>
  <c r="BN56" i="31"/>
  <c r="BP78" i="31"/>
  <c r="BP57" i="31"/>
  <c r="S224" i="31"/>
  <c r="AI224" i="31" s="1"/>
  <c r="S56" i="31"/>
  <c r="AI56" i="31" s="1"/>
  <c r="BN57" i="31"/>
  <c r="BP74" i="31"/>
  <c r="AL58" i="31"/>
  <c r="W58" i="31"/>
  <c r="AQ228" i="31"/>
  <c r="AL59" i="31"/>
  <c r="W59" i="31"/>
  <c r="AN228" i="31"/>
  <c r="AP229" i="31"/>
  <c r="BP65" i="31"/>
  <c r="W230" i="31"/>
  <c r="BQ230" i="31"/>
  <c r="AP228" i="31"/>
  <c r="AX223" i="31"/>
  <c r="AZ223" i="31"/>
  <c r="AX78" i="31"/>
  <c r="AZ78" i="31"/>
  <c r="BA223" i="31"/>
  <c r="BA78" i="31"/>
  <c r="BO229" i="31"/>
  <c r="BO169" i="31"/>
  <c r="N227" i="31"/>
  <c r="AE227" i="31" s="1"/>
  <c r="BQ229" i="31"/>
  <c r="BO228" i="31"/>
  <c r="BP77" i="31"/>
  <c r="BN77" i="31"/>
  <c r="BQ59" i="31"/>
  <c r="BO26" i="31"/>
  <c r="BQ228" i="31"/>
  <c r="P229" i="31"/>
  <c r="BO168" i="31"/>
  <c r="BO167" i="31"/>
  <c r="BQ58" i="31"/>
  <c r="S77" i="31"/>
  <c r="AI77" i="31" s="1"/>
  <c r="S227" i="31"/>
  <c r="AI227" i="31" s="1"/>
  <c r="P59" i="31"/>
  <c r="M59" i="31" s="1"/>
  <c r="P230" i="31"/>
  <c r="P228" i="31"/>
  <c r="AO228" i="31" s="1"/>
  <c r="Q227" i="31"/>
  <c r="AG227" i="31" s="1"/>
  <c r="M231" i="31"/>
  <c r="M230" i="31" s="1"/>
  <c r="P58" i="31"/>
  <c r="M58" i="31" s="1"/>
  <c r="T57" i="31" l="1"/>
  <c r="AK57" i="31" s="1"/>
  <c r="AP56" i="31"/>
  <c r="BO52" i="31"/>
  <c r="BA57" i="31"/>
  <c r="AL57" i="31"/>
  <c r="AX57" i="31"/>
  <c r="AE57" i="31"/>
  <c r="BO226" i="31"/>
  <c r="BO48" i="31"/>
  <c r="BO73" i="31"/>
  <c r="BO55" i="31"/>
  <c r="BQ56" i="31"/>
  <c r="AV78" i="31"/>
  <c r="AP225" i="31"/>
  <c r="BO222" i="31"/>
  <c r="AL226" i="31"/>
  <c r="AQ225" i="31"/>
  <c r="O72" i="31"/>
  <c r="AF72" i="31" s="1"/>
  <c r="R72" i="31"/>
  <c r="AH72" i="31" s="1"/>
  <c r="R50" i="31"/>
  <c r="AH50" i="31" s="1"/>
  <c r="O50" i="31"/>
  <c r="AF50" i="31" s="1"/>
  <c r="W226" i="31"/>
  <c r="R54" i="31"/>
  <c r="AH54" i="31" s="1"/>
  <c r="BO221" i="31"/>
  <c r="O220" i="31"/>
  <c r="AF220" i="31" s="1"/>
  <c r="AN51" i="31"/>
  <c r="R220" i="31"/>
  <c r="AH220" i="31" s="1"/>
  <c r="O204" i="31"/>
  <c r="AF204" i="31" s="1"/>
  <c r="O63" i="31"/>
  <c r="AF63" i="31" s="1"/>
  <c r="R63" i="31"/>
  <c r="AH63" i="31" s="1"/>
  <c r="P225" i="31"/>
  <c r="AO225" i="31" s="1"/>
  <c r="BA226" i="31"/>
  <c r="R76" i="31"/>
  <c r="AH76" i="31" s="1"/>
  <c r="R204" i="31"/>
  <c r="AH204" i="31" s="1"/>
  <c r="T226" i="31"/>
  <c r="V226" i="31" s="1"/>
  <c r="R46" i="31"/>
  <c r="AH46" i="31" s="1"/>
  <c r="O76" i="31"/>
  <c r="AF76" i="31" s="1"/>
  <c r="AL223" i="31"/>
  <c r="O46" i="31"/>
  <c r="AF46" i="31" s="1"/>
  <c r="O54" i="31"/>
  <c r="AF54" i="31" s="1"/>
  <c r="AL78" i="31"/>
  <c r="W78" i="31"/>
  <c r="BO74" i="31"/>
  <c r="BO51" i="31"/>
  <c r="P78" i="31"/>
  <c r="AT78" i="31" s="1"/>
  <c r="BQ78" i="31"/>
  <c r="BB57" i="31"/>
  <c r="BO224" i="31"/>
  <c r="BQ51" i="31"/>
  <c r="W223" i="31"/>
  <c r="BO223" i="31"/>
  <c r="W57" i="31"/>
  <c r="BO47" i="31"/>
  <c r="AX226" i="31"/>
  <c r="AG51" i="31"/>
  <c r="AQ55" i="31"/>
  <c r="P226" i="31"/>
  <c r="AY226" i="31" s="1"/>
  <c r="AU78" i="31"/>
  <c r="AV223" i="31"/>
  <c r="BQ225" i="31"/>
  <c r="AS78" i="31"/>
  <c r="AN225" i="31"/>
  <c r="BO49" i="31"/>
  <c r="AZ226" i="31"/>
  <c r="BQ226" i="31"/>
  <c r="P51" i="31"/>
  <c r="M51" i="31" s="1"/>
  <c r="AP51" i="31"/>
  <c r="AP55" i="31"/>
  <c r="P55" i="31"/>
  <c r="AO55" i="31" s="1"/>
  <c r="BO57" i="31"/>
  <c r="P57" i="31"/>
  <c r="M57" i="31" s="1"/>
  <c r="BO78" i="31"/>
  <c r="BQ52" i="31"/>
  <c r="AG52" i="31"/>
  <c r="P52" i="31"/>
  <c r="S50" i="31"/>
  <c r="AI50" i="31" s="1"/>
  <c r="AI52" i="31"/>
  <c r="AN55" i="31"/>
  <c r="BQ223" i="31"/>
  <c r="N54" i="31"/>
  <c r="AE54" i="31" s="1"/>
  <c r="BQ224" i="31"/>
  <c r="P56" i="31"/>
  <c r="M56" i="31" s="1"/>
  <c r="BQ55" i="31"/>
  <c r="P224" i="31"/>
  <c r="M224" i="31" s="1"/>
  <c r="AQ51" i="31"/>
  <c r="BO56" i="31"/>
  <c r="P223" i="31"/>
  <c r="AT223" i="31" s="1"/>
  <c r="AX77" i="31"/>
  <c r="AZ57" i="31"/>
  <c r="AQ56" i="31"/>
  <c r="AQ224" i="31"/>
  <c r="S54" i="31"/>
  <c r="AI54" i="31" s="1"/>
  <c r="AN56" i="31"/>
  <c r="AP224" i="31"/>
  <c r="Q50" i="31"/>
  <c r="AG50" i="31" s="1"/>
  <c r="AU223" i="31"/>
  <c r="BQ227" i="31"/>
  <c r="AS223" i="31"/>
  <c r="AP52" i="31"/>
  <c r="AZ77" i="31"/>
  <c r="BQ57" i="31"/>
  <c r="W227" i="31"/>
  <c r="AN52" i="31"/>
  <c r="N50" i="31"/>
  <c r="AE50" i="31" s="1"/>
  <c r="AN224" i="31"/>
  <c r="W77" i="31"/>
  <c r="Q54" i="31"/>
  <c r="AG54" i="31" s="1"/>
  <c r="AQ52" i="31"/>
  <c r="AL77" i="31"/>
  <c r="BA77" i="31"/>
  <c r="AY223" i="31"/>
  <c r="AY78" i="31"/>
  <c r="M229" i="31"/>
  <c r="AO229" i="31"/>
  <c r="P77" i="31"/>
  <c r="BO77" i="31"/>
  <c r="P227" i="31"/>
  <c r="BQ77" i="31"/>
  <c r="M228" i="31"/>
  <c r="V57" i="31" l="1"/>
  <c r="T54" i="31"/>
  <c r="V54" i="31" s="1"/>
  <c r="M55" i="31"/>
  <c r="M54" i="31" s="1"/>
  <c r="M225" i="31"/>
  <c r="M78" i="31"/>
  <c r="C36" i="41" s="1"/>
  <c r="R203" i="31"/>
  <c r="AH203" i="31" s="1"/>
  <c r="R219" i="31"/>
  <c r="AH219" i="31" s="1"/>
  <c r="O203" i="31"/>
  <c r="AF203" i="31" s="1"/>
  <c r="O219" i="31"/>
  <c r="AF219" i="31" s="1"/>
  <c r="AK226" i="31"/>
  <c r="AY57" i="31"/>
  <c r="R45" i="31"/>
  <c r="AH45" i="31" s="1"/>
  <c r="O45" i="31"/>
  <c r="AF45" i="31" s="1"/>
  <c r="T220" i="31"/>
  <c r="T219" i="31" s="1"/>
  <c r="H18" i="40" s="1"/>
  <c r="AD18" i="40" s="1"/>
  <c r="R62" i="31"/>
  <c r="AH62" i="31" s="1"/>
  <c r="O62" i="31"/>
  <c r="AF62" i="31" s="1"/>
  <c r="BB226" i="31"/>
  <c r="AO51" i="31"/>
  <c r="M226" i="31"/>
  <c r="P50" i="31"/>
  <c r="AO52" i="31"/>
  <c r="W50" i="31"/>
  <c r="P54" i="31"/>
  <c r="M52" i="31"/>
  <c r="M50" i="31" s="1"/>
  <c r="AO224" i="31"/>
  <c r="M223" i="31"/>
  <c r="AO56" i="31"/>
  <c r="BQ50" i="31"/>
  <c r="BQ54" i="31"/>
  <c r="M77" i="31"/>
  <c r="AY77" i="31"/>
  <c r="M227" i="31"/>
  <c r="K108" i="31"/>
  <c r="K107" i="31"/>
  <c r="K105" i="31"/>
  <c r="K102" i="31"/>
  <c r="K94" i="31"/>
  <c r="K93" i="31"/>
  <c r="K92" i="31"/>
  <c r="K190" i="31"/>
  <c r="K189" i="31"/>
  <c r="K188" i="31"/>
  <c r="K160" i="31"/>
  <c r="K159" i="31"/>
  <c r="K158" i="31"/>
  <c r="K150" i="31"/>
  <c r="K149" i="31"/>
  <c r="K180" i="31"/>
  <c r="K179" i="31"/>
  <c r="K178" i="31"/>
  <c r="K177" i="31"/>
  <c r="G180" i="31"/>
  <c r="V220" i="31" l="1"/>
  <c r="J177" i="31"/>
  <c r="J189" i="31"/>
  <c r="J93" i="31"/>
  <c r="J178" i="31"/>
  <c r="J179" i="31"/>
  <c r="J180" i="31"/>
  <c r="J188" i="31"/>
  <c r="J190" i="31"/>
  <c r="J94" i="31"/>
  <c r="BN94" i="31" s="1"/>
  <c r="J159" i="31"/>
  <c r="J92" i="31"/>
  <c r="J149" i="31"/>
  <c r="J150" i="31"/>
  <c r="J158" i="31"/>
  <c r="J160" i="31"/>
  <c r="BN180" i="31"/>
  <c r="BN178" i="31"/>
  <c r="BP149" i="31"/>
  <c r="J36" i="31"/>
  <c r="K40" i="31"/>
  <c r="K39" i="31"/>
  <c r="K38" i="31"/>
  <c r="K35" i="31"/>
  <c r="K37" i="31"/>
  <c r="AG26" i="31"/>
  <c r="I26" i="31"/>
  <c r="G26" i="31"/>
  <c r="R158" i="31" l="1"/>
  <c r="AH158" i="31" s="1"/>
  <c r="O158" i="31"/>
  <c r="AF158" i="31" s="1"/>
  <c r="O149" i="31"/>
  <c r="AF149" i="31" s="1"/>
  <c r="R149" i="31"/>
  <c r="AH149" i="31" s="1"/>
  <c r="O92" i="31"/>
  <c r="AF92" i="31" s="1"/>
  <c r="R92" i="31"/>
  <c r="AH92" i="31" s="1"/>
  <c r="R159" i="31"/>
  <c r="AH159" i="31" s="1"/>
  <c r="O159" i="31"/>
  <c r="AF159" i="31" s="1"/>
  <c r="BP94" i="31"/>
  <c r="R94" i="31"/>
  <c r="AH94" i="31" s="1"/>
  <c r="O94" i="31"/>
  <c r="AF94" i="31" s="1"/>
  <c r="O190" i="31"/>
  <c r="AF190" i="31" s="1"/>
  <c r="R190" i="31"/>
  <c r="AH190" i="31" s="1"/>
  <c r="O188" i="31"/>
  <c r="AF188" i="31" s="1"/>
  <c r="R188" i="31"/>
  <c r="AH188" i="31" s="1"/>
  <c r="O180" i="31"/>
  <c r="AF180" i="31" s="1"/>
  <c r="R180" i="31"/>
  <c r="AH180" i="31" s="1"/>
  <c r="O178" i="31"/>
  <c r="AF178" i="31" s="1"/>
  <c r="R178" i="31"/>
  <c r="AH178" i="31" s="1"/>
  <c r="O189" i="31"/>
  <c r="AF189" i="31" s="1"/>
  <c r="R189" i="31"/>
  <c r="AH189" i="31" s="1"/>
  <c r="O177" i="31"/>
  <c r="AF177" i="31" s="1"/>
  <c r="R177" i="31"/>
  <c r="AH177" i="31" s="1"/>
  <c r="O160" i="31"/>
  <c r="AF160" i="31" s="1"/>
  <c r="R160" i="31"/>
  <c r="AH160" i="31" s="1"/>
  <c r="R150" i="31"/>
  <c r="AH150" i="31" s="1"/>
  <c r="O150" i="31"/>
  <c r="AF150" i="31" s="1"/>
  <c r="O179" i="31"/>
  <c r="AF179" i="31" s="1"/>
  <c r="R179" i="31"/>
  <c r="AH179" i="31" s="1"/>
  <c r="O93" i="31"/>
  <c r="AF93" i="31" s="1"/>
  <c r="R93" i="31"/>
  <c r="AH93" i="31" s="1"/>
  <c r="O36" i="31"/>
  <c r="AF36" i="31" s="1"/>
  <c r="R36" i="31"/>
  <c r="AH36" i="31" s="1"/>
  <c r="BN160" i="31"/>
  <c r="Q160" i="31"/>
  <c r="N160" i="31"/>
  <c r="AE160" i="31" s="1"/>
  <c r="BN158" i="31"/>
  <c r="Q158" i="31"/>
  <c r="N158" i="31"/>
  <c r="AE158" i="31" s="1"/>
  <c r="BN150" i="31"/>
  <c r="Q150" i="31"/>
  <c r="N150" i="31"/>
  <c r="AE150" i="31" s="1"/>
  <c r="BN149" i="31"/>
  <c r="BO149" i="31" s="1"/>
  <c r="Q149" i="31"/>
  <c r="N149" i="31"/>
  <c r="AE149" i="31" s="1"/>
  <c r="BP92" i="31"/>
  <c r="Q92" i="31"/>
  <c r="N92" i="31"/>
  <c r="AE92" i="31" s="1"/>
  <c r="BN159" i="31"/>
  <c r="Q159" i="31"/>
  <c r="N159" i="31"/>
  <c r="AE159" i="31" s="1"/>
  <c r="BP180" i="31"/>
  <c r="Q180" i="31"/>
  <c r="N180" i="31"/>
  <c r="AE180" i="31" s="1"/>
  <c r="BP179" i="31"/>
  <c r="Q179" i="31"/>
  <c r="N179" i="31"/>
  <c r="AE179" i="31" s="1"/>
  <c r="BP178" i="31"/>
  <c r="Q178" i="31"/>
  <c r="N178" i="31"/>
  <c r="AE178" i="31" s="1"/>
  <c r="AC26" i="31" a="1"/>
  <c r="AC26" i="31" s="1"/>
  <c r="AD26" i="31" a="1"/>
  <c r="AD26" i="31" s="1"/>
  <c r="BP188" i="31"/>
  <c r="Q188" i="31"/>
  <c r="N188" i="31"/>
  <c r="AE188" i="31" s="1"/>
  <c r="BP93" i="31"/>
  <c r="N93" i="31"/>
  <c r="AE93" i="31" s="1"/>
  <c r="Q93" i="31"/>
  <c r="BN189" i="31"/>
  <c r="Q189" i="31"/>
  <c r="N189" i="31"/>
  <c r="AE189" i="31" s="1"/>
  <c r="Q94" i="31"/>
  <c r="N94" i="31"/>
  <c r="AE94" i="31" s="1"/>
  <c r="BN190" i="31"/>
  <c r="Q190" i="31"/>
  <c r="N190" i="31"/>
  <c r="AE190" i="31" s="1"/>
  <c r="Q36" i="31"/>
  <c r="N36" i="31"/>
  <c r="AE36" i="31" s="1"/>
  <c r="BP177" i="31"/>
  <c r="Q177" i="31"/>
  <c r="N177" i="31"/>
  <c r="AE177" i="31" s="1"/>
  <c r="BG26" i="31"/>
  <c r="BK26" i="31" s="1"/>
  <c r="BP159" i="31"/>
  <c r="BP190" i="31"/>
  <c r="J35" i="31"/>
  <c r="J39" i="31"/>
  <c r="J40" i="31"/>
  <c r="BN177" i="31"/>
  <c r="BP158" i="31"/>
  <c r="BP189" i="31"/>
  <c r="BN93" i="31"/>
  <c r="BN179" i="31"/>
  <c r="BP150" i="31"/>
  <c r="BP160" i="31"/>
  <c r="BO160" i="31" s="1"/>
  <c r="J37" i="31"/>
  <c r="BN92" i="31"/>
  <c r="BN188" i="31"/>
  <c r="J38" i="31"/>
  <c r="BQ26" i="31"/>
  <c r="AP26" i="31"/>
  <c r="BO94" i="31"/>
  <c r="BP36" i="31"/>
  <c r="BN36" i="31"/>
  <c r="S26" i="31"/>
  <c r="AI26" i="31" s="1"/>
  <c r="M26" i="31"/>
  <c r="J25" i="31"/>
  <c r="J24" i="31"/>
  <c r="K17" i="31"/>
  <c r="K16" i="31"/>
  <c r="K15" i="31"/>
  <c r="K14" i="31"/>
  <c r="K13" i="31"/>
  <c r="O24" i="31" l="1"/>
  <c r="AF24" i="31" s="1"/>
  <c r="R24" i="31"/>
  <c r="AH24" i="31" s="1"/>
  <c r="O38" i="31"/>
  <c r="AF38" i="31" s="1"/>
  <c r="R38" i="31"/>
  <c r="AH38" i="31" s="1"/>
  <c r="O25" i="31"/>
  <c r="R25" i="31"/>
  <c r="AH25" i="31" s="1"/>
  <c r="O37" i="31"/>
  <c r="AF37" i="31" s="1"/>
  <c r="R37" i="31"/>
  <c r="AH37" i="31" s="1"/>
  <c r="O35" i="31"/>
  <c r="AF35" i="31" s="1"/>
  <c r="R35" i="31"/>
  <c r="AH35" i="31" s="1"/>
  <c r="O40" i="31"/>
  <c r="AF40" i="31" s="1"/>
  <c r="R40" i="31"/>
  <c r="AH40" i="31" s="1"/>
  <c r="O39" i="31"/>
  <c r="AF39" i="31" s="1"/>
  <c r="R39" i="31"/>
  <c r="AH39" i="31" s="1"/>
  <c r="O91" i="31"/>
  <c r="AF91" i="31" s="1"/>
  <c r="BO150" i="31"/>
  <c r="R91" i="31"/>
  <c r="AH91" i="31" s="1"/>
  <c r="R187" i="31"/>
  <c r="AH187" i="31" s="1"/>
  <c r="R148" i="31"/>
  <c r="AH148" i="31" s="1"/>
  <c r="O176" i="31"/>
  <c r="AF176" i="31" s="1"/>
  <c r="O187" i="31"/>
  <c r="AF187" i="31" s="1"/>
  <c r="O148" i="31"/>
  <c r="AF148" i="31" s="1"/>
  <c r="R176" i="31"/>
  <c r="AH176" i="31" s="1"/>
  <c r="O157" i="31"/>
  <c r="AF157" i="31" s="1"/>
  <c r="R157" i="31"/>
  <c r="AH157" i="31" s="1"/>
  <c r="Q25" i="31"/>
  <c r="N25" i="31"/>
  <c r="AE25" i="31" s="1"/>
  <c r="Q40" i="31"/>
  <c r="N40" i="31"/>
  <c r="AE40" i="31" s="1"/>
  <c r="BP35" i="31"/>
  <c r="Q35" i="31"/>
  <c r="N35" i="31"/>
  <c r="AE35" i="31" s="1"/>
  <c r="BP40" i="31"/>
  <c r="Q24" i="31"/>
  <c r="N24" i="31"/>
  <c r="AE24" i="31" s="1"/>
  <c r="BN39" i="31"/>
  <c r="Q39" i="31"/>
  <c r="N39" i="31"/>
  <c r="AE39" i="31" s="1"/>
  <c r="BN40" i="31"/>
  <c r="BN37" i="31"/>
  <c r="Q37" i="31"/>
  <c r="N37" i="31"/>
  <c r="AE37" i="31" s="1"/>
  <c r="BN38" i="31"/>
  <c r="Q38" i="31"/>
  <c r="N38" i="31"/>
  <c r="AE38" i="31" s="1"/>
  <c r="BP39" i="31"/>
  <c r="BP38" i="31"/>
  <c r="J13" i="31"/>
  <c r="J14" i="31"/>
  <c r="BN35" i="31"/>
  <c r="J15" i="31"/>
  <c r="J16" i="31"/>
  <c r="BP37" i="31"/>
  <c r="J17" i="31"/>
  <c r="AQ26" i="31"/>
  <c r="P26" i="31"/>
  <c r="AO26" i="31" s="1"/>
  <c r="AN26" i="31"/>
  <c r="BN24" i="31"/>
  <c r="BP24" i="31"/>
  <c r="BN25" i="31"/>
  <c r="BP25" i="31"/>
  <c r="BO36" i="31"/>
  <c r="J103" i="31"/>
  <c r="J108" i="31"/>
  <c r="J102" i="31"/>
  <c r="J104" i="31"/>
  <c r="J106" i="31"/>
  <c r="J105" i="31"/>
  <c r="J107" i="31"/>
  <c r="J109" i="31"/>
  <c r="O23" i="31" l="1"/>
  <c r="AF23" i="31" s="1"/>
  <c r="AF25" i="31"/>
  <c r="BO35" i="31"/>
  <c r="O34" i="31"/>
  <c r="AF34" i="31" s="1"/>
  <c r="O109" i="31"/>
  <c r="AF109" i="31" s="1"/>
  <c r="R109" i="31"/>
  <c r="AH109" i="31" s="1"/>
  <c r="O17" i="31"/>
  <c r="AF17" i="31" s="1"/>
  <c r="R17" i="31"/>
  <c r="AH17" i="31" s="1"/>
  <c r="O107" i="31"/>
  <c r="AF107" i="31" s="1"/>
  <c r="R107" i="31"/>
  <c r="AH107" i="31" s="1"/>
  <c r="R14" i="31"/>
  <c r="AH14" i="31" s="1"/>
  <c r="O14" i="31"/>
  <c r="AF14" i="31" s="1"/>
  <c r="O108" i="31"/>
  <c r="AF108" i="31" s="1"/>
  <c r="R108" i="31"/>
  <c r="AH108" i="31" s="1"/>
  <c r="R103" i="31"/>
  <c r="AH103" i="31" s="1"/>
  <c r="O103" i="31"/>
  <c r="AF103" i="31" s="1"/>
  <c r="R15" i="31"/>
  <c r="AH15" i="31" s="1"/>
  <c r="O15" i="31"/>
  <c r="AF15" i="31" s="1"/>
  <c r="O105" i="31"/>
  <c r="AF105" i="31" s="1"/>
  <c r="R105" i="31"/>
  <c r="AH105" i="31" s="1"/>
  <c r="R13" i="31"/>
  <c r="AH13" i="31" s="1"/>
  <c r="O13" i="31"/>
  <c r="AF13" i="31" s="1"/>
  <c r="O106" i="31"/>
  <c r="AF106" i="31" s="1"/>
  <c r="R106" i="31"/>
  <c r="AH106" i="31" s="1"/>
  <c r="O16" i="31"/>
  <c r="AF16" i="31" s="1"/>
  <c r="R16" i="31"/>
  <c r="AH16" i="31" s="1"/>
  <c r="R104" i="31"/>
  <c r="AH104" i="31" s="1"/>
  <c r="O104" i="31"/>
  <c r="AF104" i="31" s="1"/>
  <c r="R102" i="31"/>
  <c r="AH102" i="31" s="1"/>
  <c r="O102" i="31"/>
  <c r="AF102" i="31" s="1"/>
  <c r="R147" i="31"/>
  <c r="AH147" i="31" s="1"/>
  <c r="R90" i="31"/>
  <c r="AH90" i="31" s="1"/>
  <c r="O22" i="31"/>
  <c r="AF22" i="31" s="1"/>
  <c r="O33" i="31"/>
  <c r="AF33" i="31" s="1"/>
  <c r="O90" i="31"/>
  <c r="AF90" i="31" s="1"/>
  <c r="BO40" i="31"/>
  <c r="R175" i="31"/>
  <c r="AH175" i="31" s="1"/>
  <c r="R23" i="31"/>
  <c r="AH23" i="31" s="1"/>
  <c r="O147" i="31"/>
  <c r="AF147" i="31" s="1"/>
  <c r="BP13" i="31"/>
  <c r="O175" i="31"/>
  <c r="AF175" i="31" s="1"/>
  <c r="R34" i="31"/>
  <c r="AH34" i="31" s="1"/>
  <c r="BN15" i="31"/>
  <c r="BP14" i="31"/>
  <c r="BN14" i="31"/>
  <c r="BO38" i="31"/>
  <c r="BP16" i="31"/>
  <c r="BO39" i="31"/>
  <c r="BP15" i="31"/>
  <c r="BN16" i="31"/>
  <c r="Q105" i="31"/>
  <c r="N105" i="31"/>
  <c r="AE105" i="31" s="1"/>
  <c r="Q104" i="31"/>
  <c r="N104" i="31"/>
  <c r="AE104" i="31" s="1"/>
  <c r="Q102" i="31"/>
  <c r="N102" i="31"/>
  <c r="AE102" i="31" s="1"/>
  <c r="Q108" i="31"/>
  <c r="N108" i="31"/>
  <c r="AE108" i="31" s="1"/>
  <c r="Q103" i="31"/>
  <c r="N103" i="31"/>
  <c r="AE103" i="31" s="1"/>
  <c r="Q106" i="31"/>
  <c r="N106" i="31"/>
  <c r="AE106" i="31" s="1"/>
  <c r="BN17" i="31"/>
  <c r="Q17" i="31"/>
  <c r="N17" i="31"/>
  <c r="AE17" i="31" s="1"/>
  <c r="N15" i="31"/>
  <c r="AE15" i="31" s="1"/>
  <c r="Q15" i="31"/>
  <c r="Q109" i="31"/>
  <c r="N109" i="31"/>
  <c r="AE109" i="31" s="1"/>
  <c r="Q14" i="31"/>
  <c r="N14" i="31"/>
  <c r="AE14" i="31" s="1"/>
  <c r="Q107" i="31"/>
  <c r="N107" i="31"/>
  <c r="AE107" i="31" s="1"/>
  <c r="BO37" i="31"/>
  <c r="Q16" i="31"/>
  <c r="N16" i="31"/>
  <c r="AE16" i="31" s="1"/>
  <c r="Q13" i="31"/>
  <c r="N13" i="31"/>
  <c r="AE13" i="31" s="1"/>
  <c r="BN13" i="31"/>
  <c r="BP17" i="31"/>
  <c r="BO25" i="31"/>
  <c r="BO24" i="31"/>
  <c r="BN107" i="31"/>
  <c r="BP107" i="31"/>
  <c r="BN105" i="31"/>
  <c r="BP105" i="31"/>
  <c r="BN104" i="31"/>
  <c r="BP104" i="31"/>
  <c r="BN102" i="31"/>
  <c r="BP102" i="31"/>
  <c r="BP108" i="31"/>
  <c r="BN108" i="31"/>
  <c r="BN103" i="31"/>
  <c r="BP103" i="31"/>
  <c r="BN106" i="31"/>
  <c r="BP106" i="31"/>
  <c r="BP109" i="31"/>
  <c r="BN109" i="31"/>
  <c r="C27" i="40"/>
  <c r="C26" i="40"/>
  <c r="AB235" i="3"/>
  <c r="AC235" i="3" s="1"/>
  <c r="AA235" i="3"/>
  <c r="Z235" i="3"/>
  <c r="Y235" i="3" s="1"/>
  <c r="BO15" i="31" l="1"/>
  <c r="BO13" i="31"/>
  <c r="BO14" i="31"/>
  <c r="R33" i="31"/>
  <c r="AH33" i="31" s="1"/>
  <c r="R22" i="31"/>
  <c r="AH22" i="31" s="1"/>
  <c r="BO16" i="31"/>
  <c r="R101" i="31"/>
  <c r="AH101" i="31" s="1"/>
  <c r="R12" i="31"/>
  <c r="AH12" i="31" s="1"/>
  <c r="O101" i="31"/>
  <c r="AF101" i="31" s="1"/>
  <c r="O12" i="31"/>
  <c r="AF12" i="31" s="1"/>
  <c r="BO17" i="31"/>
  <c r="BO108" i="31"/>
  <c r="BO106" i="31"/>
  <c r="BO104" i="31"/>
  <c r="I26" i="40"/>
  <c r="X26" i="40"/>
  <c r="I27" i="40"/>
  <c r="X27" i="40"/>
  <c r="BO102" i="31"/>
  <c r="BO109" i="31"/>
  <c r="BO103" i="31"/>
  <c r="BO105" i="31"/>
  <c r="BO107" i="31"/>
  <c r="I30" i="31"/>
  <c r="R11" i="31" l="1"/>
  <c r="AH11" i="31" s="1"/>
  <c r="R100" i="31"/>
  <c r="AH100" i="31" s="1"/>
  <c r="O100" i="31"/>
  <c r="AF100" i="31" s="1"/>
  <c r="O11" i="31"/>
  <c r="AF11" i="31" s="1"/>
  <c r="AC30" i="31" a="1"/>
  <c r="AC30" i="31" s="1"/>
  <c r="AD30" i="31" s="1" a="1"/>
  <c r="AD30" i="31" s="1"/>
  <c r="BG30" i="31"/>
  <c r="BK30" i="31" s="1"/>
  <c r="O27" i="40"/>
  <c r="Z27" i="40" s="1"/>
  <c r="Y27" i="40"/>
  <c r="O26" i="40"/>
  <c r="Z26" i="40" s="1"/>
  <c r="Y26" i="40"/>
  <c r="I8" i="40"/>
  <c r="Y8" i="40" s="1"/>
  <c r="AH8" i="40" l="1"/>
  <c r="AK8" i="40"/>
  <c r="I9" i="40"/>
  <c r="Y9" i="40" s="1"/>
  <c r="B19" i="40" l="1"/>
  <c r="B18" i="40"/>
  <c r="B17" i="40"/>
  <c r="G4" i="5"/>
  <c r="I85" i="31" l="1"/>
  <c r="G85" i="31"/>
  <c r="I17" i="31"/>
  <c r="I16" i="31"/>
  <c r="I15" i="31"/>
  <c r="I14" i="31"/>
  <c r="I13" i="31"/>
  <c r="G17" i="31"/>
  <c r="G16" i="31"/>
  <c r="G15" i="31"/>
  <c r="G14" i="31"/>
  <c r="G13" i="31"/>
  <c r="AC13" i="31" l="1" a="1"/>
  <c r="AC13" i="31" s="1"/>
  <c r="AD13" i="31" a="1"/>
  <c r="AD13" i="31" s="1"/>
  <c r="AC14" i="31" a="1"/>
  <c r="AC14" i="31" s="1"/>
  <c r="AD14" i="31" a="1"/>
  <c r="AD14" i="31" s="1"/>
  <c r="AC16" i="31" a="1"/>
  <c r="AC16" i="31" s="1"/>
  <c r="AD16" i="31" a="1"/>
  <c r="AD16" i="31" s="1"/>
  <c r="AC15" i="31" a="1"/>
  <c r="AC15" i="31" s="1"/>
  <c r="AD15" i="31" a="1"/>
  <c r="AD15" i="31" s="1"/>
  <c r="AC17" i="31" a="1"/>
  <c r="AC17" i="31" s="1"/>
  <c r="AD17" i="31" a="1"/>
  <c r="AD17" i="31" s="1"/>
  <c r="AC85" i="31" a="1"/>
  <c r="AC85" i="31" s="1"/>
  <c r="AD85" i="31" s="1" a="1"/>
  <c r="AD85" i="31" s="1"/>
  <c r="BG14" i="31"/>
  <c r="BK14" i="31" s="1"/>
  <c r="BG16" i="31"/>
  <c r="BK16" i="31" s="1"/>
  <c r="BG13" i="31"/>
  <c r="BK13" i="31" s="1"/>
  <c r="BG17" i="31"/>
  <c r="BK17" i="31" s="1"/>
  <c r="BG15" i="31"/>
  <c r="BK15" i="31" s="1"/>
  <c r="AG85" i="31"/>
  <c r="L143" i="31"/>
  <c r="I143" i="31"/>
  <c r="G143" i="31"/>
  <c r="L142" i="31"/>
  <c r="I142" i="31"/>
  <c r="G142" i="31"/>
  <c r="AG222" i="31"/>
  <c r="AG221" i="31"/>
  <c r="I222" i="31"/>
  <c r="I221" i="31"/>
  <c r="G222" i="31"/>
  <c r="G221" i="31"/>
  <c r="E220" i="31"/>
  <c r="AG88" i="31"/>
  <c r="AG89" i="31"/>
  <c r="AG87" i="31"/>
  <c r="I89" i="31"/>
  <c r="I88" i="31"/>
  <c r="I87" i="31"/>
  <c r="G89" i="31"/>
  <c r="G88" i="31"/>
  <c r="G87" i="31"/>
  <c r="I61" i="31"/>
  <c r="AG109" i="31"/>
  <c r="G109" i="31"/>
  <c r="I109" i="31"/>
  <c r="I94" i="31"/>
  <c r="I93" i="31"/>
  <c r="I92" i="31"/>
  <c r="M16" i="31"/>
  <c r="AG16" i="31"/>
  <c r="M17" i="31"/>
  <c r="AG17" i="31"/>
  <c r="I199" i="31"/>
  <c r="I198" i="31"/>
  <c r="I197" i="31"/>
  <c r="I196" i="31"/>
  <c r="I190" i="31"/>
  <c r="I189" i="31"/>
  <c r="I188" i="31"/>
  <c r="I185" i="31"/>
  <c r="I180" i="31"/>
  <c r="I179" i="31"/>
  <c r="I178" i="31"/>
  <c r="I177" i="31"/>
  <c r="G198" i="31"/>
  <c r="G197" i="31"/>
  <c r="G196" i="31"/>
  <c r="G190" i="31"/>
  <c r="G189" i="31"/>
  <c r="G188" i="31"/>
  <c r="G185" i="31"/>
  <c r="G179" i="31"/>
  <c r="G178" i="31"/>
  <c r="G177" i="31"/>
  <c r="I145" i="31"/>
  <c r="I139" i="31"/>
  <c r="I138" i="31"/>
  <c r="I137" i="31"/>
  <c r="G145" i="31"/>
  <c r="G139" i="31"/>
  <c r="G138" i="31"/>
  <c r="G137" i="31"/>
  <c r="I120" i="31"/>
  <c r="I119" i="31"/>
  <c r="I117" i="31"/>
  <c r="I116" i="31"/>
  <c r="I115" i="31"/>
  <c r="I114" i="31"/>
  <c r="G115" i="31"/>
  <c r="G114" i="31"/>
  <c r="I73" i="31"/>
  <c r="G74" i="31"/>
  <c r="G73" i="31"/>
  <c r="I65" i="31"/>
  <c r="I64" i="31"/>
  <c r="G65" i="31"/>
  <c r="G64" i="31"/>
  <c r="I49" i="31"/>
  <c r="I48" i="31"/>
  <c r="I47" i="31"/>
  <c r="I40" i="31"/>
  <c r="I39" i="31"/>
  <c r="I38" i="31"/>
  <c r="I37" i="31"/>
  <c r="I36" i="31"/>
  <c r="I35" i="31"/>
  <c r="AC114" i="31" l="1" a="1"/>
  <c r="AC114" i="31" s="1"/>
  <c r="AD114" i="31" a="1"/>
  <c r="AD114" i="31" s="1"/>
  <c r="AC115" i="31" a="1"/>
  <c r="AC115" i="31" s="1"/>
  <c r="AD115" i="31" a="1"/>
  <c r="AD115" i="31" s="1"/>
  <c r="AC93" i="31" a="1"/>
  <c r="AC93" i="31" s="1"/>
  <c r="AD93" i="31" a="1"/>
  <c r="AD93" i="31" s="1"/>
  <c r="BH222" i="31"/>
  <c r="BL222" i="31" s="1"/>
  <c r="AC222" i="31" a="1"/>
  <c r="AC222" i="31" s="1"/>
  <c r="AD222" i="31" a="1"/>
  <c r="AD222" i="31" s="1"/>
  <c r="AC180" i="31" a="1"/>
  <c r="AC180" i="31" s="1"/>
  <c r="AD180" i="31" a="1"/>
  <c r="AD180" i="31" s="1"/>
  <c r="AC199" i="31" a="1"/>
  <c r="AC199" i="31" s="1"/>
  <c r="AD199" i="31" s="1" a="1"/>
  <c r="AD199" i="31" s="1"/>
  <c r="AC117" i="31" a="1"/>
  <c r="AC117" i="31" s="1"/>
  <c r="AD117" i="31" a="1"/>
  <c r="AD117" i="31" s="1"/>
  <c r="AC37" i="31" a="1"/>
  <c r="AC37" i="31" s="1"/>
  <c r="AD37" i="31" a="1"/>
  <c r="AD37" i="31" s="1"/>
  <c r="AC94" i="31" a="1"/>
  <c r="AC94" i="31" s="1"/>
  <c r="AD94" i="31" a="1"/>
  <c r="AD94" i="31" s="1"/>
  <c r="AC38" i="31" a="1"/>
  <c r="AC38" i="31" s="1"/>
  <c r="AD38" i="31" a="1"/>
  <c r="AD38" i="31" s="1"/>
  <c r="AC185" i="31" a="1"/>
  <c r="AC185" i="31" s="1"/>
  <c r="AD185" i="31" a="1"/>
  <c r="AD185" i="31" s="1"/>
  <c r="AC61" i="31" a="1"/>
  <c r="AC61" i="31" s="1"/>
  <c r="AD61" i="31" s="1" a="1"/>
  <c r="AD61" i="31" s="1"/>
  <c r="AC73" i="31" a="1"/>
  <c r="AC73" i="31" s="1"/>
  <c r="AD73" i="31" a="1"/>
  <c r="AD73" i="31" s="1"/>
  <c r="AC35" i="31" a="1"/>
  <c r="AC35" i="31" s="1"/>
  <c r="AD35" i="31" a="1"/>
  <c r="AD35" i="31" s="1"/>
  <c r="AC177" i="31" a="1"/>
  <c r="AC177" i="31" s="1"/>
  <c r="AD177" i="31" a="1"/>
  <c r="AD177" i="31" s="1"/>
  <c r="AC109" i="31" a="1"/>
  <c r="AC109" i="31" s="1"/>
  <c r="AD109" i="31" s="1" a="1"/>
  <c r="AD109" i="31" s="1"/>
  <c r="AC40" i="31" a="1"/>
  <c r="AC40" i="31" s="1"/>
  <c r="AD40" i="31" a="1"/>
  <c r="AD40" i="31" s="1"/>
  <c r="AC47" i="31" a="1"/>
  <c r="AC47" i="31" s="1"/>
  <c r="AD47" i="31" a="1"/>
  <c r="AD47" i="31" s="1"/>
  <c r="AC48" i="31" a="1"/>
  <c r="AC48" i="31" s="1"/>
  <c r="AD48" i="31" a="1"/>
  <c r="AD48" i="31" s="1"/>
  <c r="AC188" i="31" a="1"/>
  <c r="AC188" i="31" s="1"/>
  <c r="AD188" i="31" a="1"/>
  <c r="AD188" i="31" s="1"/>
  <c r="AC142" i="31" a="1"/>
  <c r="AC142" i="31" s="1"/>
  <c r="AD142" i="31" a="1"/>
  <c r="AD142" i="31" s="1"/>
  <c r="AC178" i="31" a="1"/>
  <c r="AC178" i="31" s="1"/>
  <c r="AD178" i="31" a="1"/>
  <c r="AD178" i="31" s="1"/>
  <c r="AC49" i="31" a="1"/>
  <c r="AC49" i="31" s="1"/>
  <c r="AD49" i="31" a="1"/>
  <c r="AD49" i="31" s="1"/>
  <c r="AC189" i="31" a="1"/>
  <c r="AC189" i="31" s="1"/>
  <c r="AD189" i="31" a="1"/>
  <c r="AD189" i="31" s="1"/>
  <c r="AC138" i="31" a="1"/>
  <c r="AC138" i="31" s="1"/>
  <c r="AD138" i="31" a="1"/>
  <c r="AD138" i="31" s="1"/>
  <c r="AC139" i="31" a="1"/>
  <c r="AC139" i="31" s="1"/>
  <c r="AD139" i="31" a="1"/>
  <c r="AD139" i="31" s="1"/>
  <c r="AC145" i="31" a="1"/>
  <c r="AC145" i="31" s="1"/>
  <c r="AD145" i="31" a="1"/>
  <c r="AD145" i="31" s="1"/>
  <c r="AC88" i="31" a="1"/>
  <c r="AC88" i="31" s="1"/>
  <c r="AD88" i="31" s="1" a="1"/>
  <c r="AD88" i="31" s="1"/>
  <c r="AC116" i="31" a="1"/>
  <c r="AC116" i="31" s="1"/>
  <c r="AD116" i="31" a="1"/>
  <c r="AD116" i="31" s="1"/>
  <c r="AC92" i="31" a="1"/>
  <c r="AC92" i="31" s="1"/>
  <c r="AD92" i="31" a="1"/>
  <c r="AD92" i="31" s="1"/>
  <c r="AC36" i="31" a="1"/>
  <c r="AC36" i="31" s="1"/>
  <c r="AD36" i="31" a="1"/>
  <c r="AD36" i="31" s="1"/>
  <c r="AC119" i="31" a="1"/>
  <c r="AC119" i="31" s="1"/>
  <c r="AD119" i="31" s="1" a="1"/>
  <c r="AD119" i="31" s="1"/>
  <c r="BI221" i="31"/>
  <c r="BM221" i="31" s="1"/>
  <c r="AC221" i="31" a="1"/>
  <c r="AC221" i="31" s="1"/>
  <c r="AD221" i="31" a="1"/>
  <c r="AD221" i="31" s="1"/>
  <c r="AC120" i="31" a="1"/>
  <c r="AC120" i="31" s="1"/>
  <c r="AD120" i="31" s="1" a="1"/>
  <c r="AD120" i="31" s="1"/>
  <c r="AC39" i="31" a="1"/>
  <c r="AC39" i="31" s="1"/>
  <c r="AD39" i="31" a="1"/>
  <c r="AD39" i="31" s="1"/>
  <c r="AC179" i="31" a="1"/>
  <c r="AC179" i="31" s="1"/>
  <c r="AD179" i="31" a="1"/>
  <c r="AD179" i="31" s="1"/>
  <c r="AC137" i="31" a="1"/>
  <c r="AC137" i="31" s="1"/>
  <c r="AD137" i="31" a="1"/>
  <c r="AD137" i="31" s="1"/>
  <c r="AC190" i="31" a="1"/>
  <c r="AC190" i="31" s="1"/>
  <c r="AD190" i="31" a="1"/>
  <c r="AD190" i="31" s="1"/>
  <c r="AC196" i="31" a="1"/>
  <c r="AC196" i="31" s="1"/>
  <c r="AD196" i="31" s="1" a="1"/>
  <c r="AD196" i="31" s="1"/>
  <c r="AC87" i="31" a="1"/>
  <c r="AC87" i="31" s="1"/>
  <c r="AD87" i="31" s="1" a="1"/>
  <c r="AD87" i="31" s="1"/>
  <c r="AC64" i="31" a="1"/>
  <c r="AC64" i="31" s="1"/>
  <c r="AD64" i="31" a="1"/>
  <c r="AD64" i="31" s="1"/>
  <c r="AC197" i="31" a="1"/>
  <c r="AC197" i="31" s="1"/>
  <c r="AD197" i="31" s="1" a="1"/>
  <c r="AD197" i="31" s="1"/>
  <c r="AC65" i="31" a="1"/>
  <c r="AC65" i="31" s="1"/>
  <c r="AD65" i="31" a="1"/>
  <c r="AD65" i="31" s="1"/>
  <c r="AC198" i="31" a="1"/>
  <c r="AC198" i="31" s="1"/>
  <c r="AD198" i="31" s="1" a="1"/>
  <c r="AD198" i="31" s="1"/>
  <c r="AC89" i="31" a="1"/>
  <c r="AC89" i="31" s="1"/>
  <c r="AD89" i="31" s="1" a="1"/>
  <c r="AD89" i="31" s="1"/>
  <c r="AC143" i="31" a="1"/>
  <c r="AC143" i="31" s="1"/>
  <c r="AD143" i="31" a="1"/>
  <c r="AD143" i="31" s="1"/>
  <c r="BG48" i="31"/>
  <c r="BK48" i="31" s="1"/>
  <c r="BG35" i="31"/>
  <c r="BK35" i="31" s="1"/>
  <c r="BG36" i="31"/>
  <c r="BK36" i="31" s="1"/>
  <c r="BI49" i="31"/>
  <c r="BM49" i="31" s="1"/>
  <c r="BH189" i="31"/>
  <c r="BL189" i="31" s="1"/>
  <c r="BH190" i="31"/>
  <c r="BL190" i="31" s="1"/>
  <c r="BI87" i="31"/>
  <c r="BM87" i="31" s="1"/>
  <c r="BI145" i="31"/>
  <c r="BM145" i="31" s="1"/>
  <c r="BI88" i="31"/>
  <c r="BM88" i="31" s="1"/>
  <c r="BI94" i="31"/>
  <c r="BM94" i="31" s="1"/>
  <c r="BI73" i="31"/>
  <c r="BM73" i="31" s="1"/>
  <c r="BG37" i="31"/>
  <c r="BK37" i="31" s="1"/>
  <c r="BG38" i="31"/>
  <c r="BK38" i="31" s="1"/>
  <c r="BI120" i="31"/>
  <c r="BM120" i="31" s="1"/>
  <c r="BH178" i="31"/>
  <c r="BL178" i="31" s="1"/>
  <c r="BI109" i="31"/>
  <c r="BM109" i="31" s="1"/>
  <c r="BH185" i="31"/>
  <c r="BL185" i="31" s="1"/>
  <c r="BH65" i="31"/>
  <c r="BL65" i="31" s="1"/>
  <c r="BI114" i="31"/>
  <c r="BM114" i="31" s="1"/>
  <c r="BG39" i="31"/>
  <c r="BK39" i="31" s="1"/>
  <c r="BH179" i="31"/>
  <c r="BL179" i="31" s="1"/>
  <c r="BG47" i="31"/>
  <c r="BK47" i="31" s="1"/>
  <c r="BI89" i="31"/>
  <c r="BM89" i="31" s="1"/>
  <c r="BG40" i="31"/>
  <c r="BK40" i="31" s="1"/>
  <c r="BH180" i="31"/>
  <c r="BL180" i="31" s="1"/>
  <c r="AU222" i="31"/>
  <c r="Z142" i="31"/>
  <c r="X142" i="31"/>
  <c r="AX87" i="31"/>
  <c r="X143" i="31"/>
  <c r="Z143" i="31"/>
  <c r="AN16" i="31"/>
  <c r="AX89" i="31"/>
  <c r="AN17" i="31"/>
  <c r="AX88" i="31"/>
  <c r="BQ85" i="31"/>
  <c r="B129" i="41"/>
  <c r="B100" i="41"/>
  <c r="B124" i="41"/>
  <c r="B125" i="41"/>
  <c r="B123" i="41"/>
  <c r="B131" i="41"/>
  <c r="B128" i="41"/>
  <c r="B101" i="41"/>
  <c r="AX221" i="31"/>
  <c r="N220" i="31"/>
  <c r="AE220" i="31" s="1"/>
  <c r="Q220" i="31"/>
  <c r="AG220" i="31" s="1"/>
  <c r="AX222" i="31"/>
  <c r="AS222" i="31"/>
  <c r="BQ87" i="31"/>
  <c r="AZ87" i="31"/>
  <c r="BQ109" i="31"/>
  <c r="AZ109" i="31"/>
  <c r="BQ89" i="31"/>
  <c r="AZ89" i="31"/>
  <c r="BQ221" i="31"/>
  <c r="AZ221" i="31"/>
  <c r="BQ88" i="31"/>
  <c r="AZ88" i="31"/>
  <c r="N144" i="31"/>
  <c r="AE144" i="31" s="1"/>
  <c r="AX145" i="31"/>
  <c r="BQ222" i="31"/>
  <c r="AZ222" i="31"/>
  <c r="BQ16" i="31"/>
  <c r="AP16" i="31"/>
  <c r="BQ17" i="31"/>
  <c r="AP17" i="31"/>
  <c r="AM143" i="31"/>
  <c r="BO143" i="31"/>
  <c r="AM142" i="31"/>
  <c r="BO142" i="31"/>
  <c r="N86" i="31"/>
  <c r="AE86" i="31" s="1"/>
  <c r="Q86" i="31"/>
  <c r="AG86" i="31" s="1"/>
  <c r="P222" i="31"/>
  <c r="AT222" i="31" s="1"/>
  <c r="AG143" i="31"/>
  <c r="AG145" i="31"/>
  <c r="AG142" i="31"/>
  <c r="P221" i="31"/>
  <c r="P88" i="31"/>
  <c r="P87" i="31"/>
  <c r="AY87" i="31" s="1"/>
  <c r="P89" i="31"/>
  <c r="AG61" i="31"/>
  <c r="P16" i="31"/>
  <c r="AO16" i="31" s="1"/>
  <c r="P17" i="31"/>
  <c r="AO17" i="31" s="1"/>
  <c r="Q219" i="31" l="1"/>
  <c r="AG219" i="31" s="1"/>
  <c r="BQ61" i="31"/>
  <c r="BQ142" i="31"/>
  <c r="N219" i="31"/>
  <c r="AE219" i="31" s="1"/>
  <c r="BQ143" i="31"/>
  <c r="BQ86" i="31"/>
  <c r="AZ145" i="31"/>
  <c r="BQ220" i="31"/>
  <c r="AY221" i="31"/>
  <c r="P220" i="31"/>
  <c r="P219" i="31" s="1"/>
  <c r="BG142" i="31"/>
  <c r="BK142" i="31" s="1"/>
  <c r="BH142" i="31"/>
  <c r="BL142" i="31" s="1"/>
  <c r="BI142" i="31"/>
  <c r="BM142" i="31" s="1"/>
  <c r="BI143" i="31"/>
  <c r="BM143" i="31" s="1"/>
  <c r="BG143" i="31"/>
  <c r="BK143" i="31" s="1"/>
  <c r="BH143" i="31"/>
  <c r="BL143" i="31" s="1"/>
  <c r="AW142" i="31"/>
  <c r="AR142" i="31"/>
  <c r="AR143" i="31"/>
  <c r="AW143" i="31"/>
  <c r="AS143" i="31"/>
  <c r="AT143" i="31"/>
  <c r="AV143" i="31"/>
  <c r="AU143" i="31"/>
  <c r="AU142" i="31"/>
  <c r="AV142" i="31"/>
  <c r="AS142" i="31"/>
  <c r="AT142" i="31"/>
  <c r="P109" i="31"/>
  <c r="AX109" i="31"/>
  <c r="AZ142" i="31"/>
  <c r="AX142" i="31"/>
  <c r="AZ143" i="31"/>
  <c r="AX143" i="31"/>
  <c r="M89" i="31"/>
  <c r="AY89" i="31"/>
  <c r="M222" i="31"/>
  <c r="AY222" i="31"/>
  <c r="M88" i="31"/>
  <c r="AY88" i="31"/>
  <c r="AO142" i="31"/>
  <c r="AP142" i="31"/>
  <c r="AQ142" i="31"/>
  <c r="AN142" i="31"/>
  <c r="AO143" i="31"/>
  <c r="AP143" i="31"/>
  <c r="AQ143" i="31"/>
  <c r="AN143" i="31"/>
  <c r="Q144" i="31"/>
  <c r="AG144" i="31" s="1"/>
  <c r="BQ145" i="31"/>
  <c r="M87" i="31"/>
  <c r="P86" i="31"/>
  <c r="M221" i="31"/>
  <c r="N141" i="31"/>
  <c r="AE141" i="31" s="1"/>
  <c r="Q141" i="31"/>
  <c r="AG141" i="31" s="1"/>
  <c r="P145" i="31"/>
  <c r="P143" i="31"/>
  <c r="AY143" i="31" s="1"/>
  <c r="P142" i="31"/>
  <c r="M142" i="31" s="1"/>
  <c r="C128" i="41" s="1"/>
  <c r="S61" i="31"/>
  <c r="AI61" i="31" s="1"/>
  <c r="BQ141" i="31" l="1"/>
  <c r="BQ144" i="31"/>
  <c r="AL61" i="31"/>
  <c r="W61" i="31"/>
  <c r="M220" i="31"/>
  <c r="M219" i="31" s="1"/>
  <c r="C18" i="40" s="1"/>
  <c r="X18" i="40" s="1"/>
  <c r="AY142" i="31"/>
  <c r="M86" i="31"/>
  <c r="P144" i="31"/>
  <c r="AY145" i="31"/>
  <c r="M109" i="31"/>
  <c r="C72" i="41" s="1"/>
  <c r="AY109" i="31"/>
  <c r="P141" i="31"/>
  <c r="M143" i="31"/>
  <c r="M145" i="31"/>
  <c r="AG18" i="40" l="1"/>
  <c r="M144" i="31"/>
  <c r="C131" i="41"/>
  <c r="M141" i="31"/>
  <c r="C129" i="41"/>
  <c r="AQ52" i="40"/>
  <c r="AQ53" i="40"/>
  <c r="AQ54" i="40"/>
  <c r="AQ55" i="40"/>
  <c r="AQ41" i="40"/>
  <c r="AO52" i="40"/>
  <c r="AO53" i="40"/>
  <c r="AO54" i="40"/>
  <c r="AO55" i="40"/>
  <c r="AO41" i="40"/>
  <c r="AO63" i="40"/>
  <c r="AQ63" i="40" s="1"/>
  <c r="AO62" i="40"/>
  <c r="AN24" i="40" s="1"/>
  <c r="AP24" i="40" s="1"/>
  <c r="AQ64" i="40"/>
  <c r="AQ61" i="40"/>
  <c r="AQ60" i="40"/>
  <c r="AQ59" i="40"/>
  <c r="AQ58" i="40"/>
  <c r="AQ57" i="40"/>
  <c r="AQ56" i="40"/>
  <c r="AN25" i="40" l="1"/>
  <c r="AP25" i="40" s="1"/>
  <c r="AO66" i="40"/>
  <c r="AO68" i="40" s="1"/>
  <c r="AQ62" i="40"/>
  <c r="AQ66" i="40" s="1"/>
  <c r="AQ68" i="40" s="1"/>
  <c r="AO4" i="40" l="1"/>
  <c r="AO3" i="40"/>
  <c r="AG108" i="31" l="1"/>
  <c r="AG106" i="31"/>
  <c r="AL80" i="31"/>
  <c r="AL75" i="31"/>
  <c r="AL71" i="31"/>
  <c r="AG15" i="31"/>
  <c r="M15" i="31"/>
  <c r="AG14" i="31"/>
  <c r="M14" i="31"/>
  <c r="AG13" i="31"/>
  <c r="M13" i="31"/>
  <c r="B16" i="40"/>
  <c r="B15" i="40"/>
  <c r="B14" i="40"/>
  <c r="B13" i="40"/>
  <c r="B12" i="40"/>
  <c r="B11" i="40"/>
  <c r="B10" i="40"/>
  <c r="B9" i="40"/>
  <c r="B8" i="40"/>
  <c r="B7" i="40"/>
  <c r="B6" i="40"/>
  <c r="B5" i="40"/>
  <c r="Y239" i="3"/>
  <c r="Y238" i="3"/>
  <c r="AU108" i="31" l="1"/>
  <c r="AN13" i="31"/>
  <c r="AX106" i="31"/>
  <c r="AN15" i="31"/>
  <c r="AP13" i="31"/>
  <c r="AN14" i="31"/>
  <c r="AX108" i="31"/>
  <c r="AS108" i="31"/>
  <c r="BQ106" i="31"/>
  <c r="AZ106" i="31"/>
  <c r="BQ108" i="31"/>
  <c r="AZ108" i="31"/>
  <c r="BQ15" i="31"/>
  <c r="AP15" i="31"/>
  <c r="BQ14" i="31"/>
  <c r="AP14" i="31"/>
  <c r="M12" i="31"/>
  <c r="M11" i="31" s="1"/>
  <c r="N12" i="31"/>
  <c r="AE12" i="31" s="1"/>
  <c r="BQ13" i="31"/>
  <c r="Q12" i="31"/>
  <c r="AG12" i="31" s="1"/>
  <c r="S76" i="31"/>
  <c r="AI76" i="31" s="1"/>
  <c r="AL79" i="31"/>
  <c r="N76" i="31"/>
  <c r="AE76" i="31" s="1"/>
  <c r="Q76" i="31"/>
  <c r="AG76" i="31" s="1"/>
  <c r="Z6" i="40"/>
  <c r="I6" i="40"/>
  <c r="Y6" i="40" s="1"/>
  <c r="W76" i="31" l="1"/>
  <c r="Q11" i="31"/>
  <c r="AG11" i="31" s="1"/>
  <c r="BQ76" i="31"/>
  <c r="N11" i="31"/>
  <c r="AE11" i="31" s="1"/>
  <c r="AH6" i="40"/>
  <c r="AK6" i="40"/>
  <c r="AI6" i="40"/>
  <c r="AL6" i="40"/>
  <c r="I74" i="31"/>
  <c r="E72" i="31"/>
  <c r="AC74" i="31" l="1" a="1"/>
  <c r="AC74" i="31" s="1"/>
  <c r="AD74" i="31" a="1"/>
  <c r="AD74" i="31" s="1"/>
  <c r="BH74" i="31"/>
  <c r="BL74" i="31" s="1"/>
  <c r="D6" i="40"/>
  <c r="F6" i="40"/>
  <c r="AG74" i="31"/>
  <c r="AG73" i="31"/>
  <c r="AG103" i="31"/>
  <c r="BR78" i="31"/>
  <c r="BR77" i="31"/>
  <c r="BR79" i="31"/>
  <c r="BR75" i="31"/>
  <c r="AX73" i="31" l="1"/>
  <c r="AX103" i="31"/>
  <c r="AU74" i="31"/>
  <c r="AX74" i="31"/>
  <c r="AS74" i="31"/>
  <c r="BQ73" i="31"/>
  <c r="AZ73" i="31"/>
  <c r="BQ74" i="31"/>
  <c r="AZ74" i="31"/>
  <c r="BQ103" i="31"/>
  <c r="AZ103" i="31"/>
  <c r="Q72" i="31"/>
  <c r="AG72" i="31" s="1"/>
  <c r="N72" i="31"/>
  <c r="AE72" i="31" s="1"/>
  <c r="AG64" i="31"/>
  <c r="P73" i="31"/>
  <c r="AY73" i="31" s="1"/>
  <c r="BR73" i="31"/>
  <c r="BQ64" i="31" l="1"/>
  <c r="BQ72" i="31"/>
  <c r="M73" i="31"/>
  <c r="BR80" i="31"/>
  <c r="M76" i="31" l="1"/>
  <c r="P76" i="31"/>
  <c r="P74" i="31"/>
  <c r="AT74" i="31" s="1"/>
  <c r="BR74" i="31"/>
  <c r="I103" i="31"/>
  <c r="G103" i="31"/>
  <c r="I25" i="31"/>
  <c r="I28" i="31"/>
  <c r="I24" i="31"/>
  <c r="G25" i="31"/>
  <c r="G24" i="31"/>
  <c r="C31" i="10"/>
  <c r="C32" i="10"/>
  <c r="C30" i="10"/>
  <c r="C26" i="10"/>
  <c r="C25" i="10"/>
  <c r="N5" i="29"/>
  <c r="J43" i="30"/>
  <c r="C12" i="10"/>
  <c r="C15" i="10"/>
  <c r="C11" i="10"/>
  <c r="L70" i="34"/>
  <c r="N4" i="29"/>
  <c r="G237" i="7"/>
  <c r="E5" i="29"/>
  <c r="E6" i="29"/>
  <c r="AC103" i="31" l="1" a="1"/>
  <c r="AC103" i="31" s="1"/>
  <c r="AD103" i="31" a="1"/>
  <c r="AD103" i="31" s="1"/>
  <c r="AC28" i="31" a="1"/>
  <c r="AC28" i="31" s="1"/>
  <c r="AD28" i="31" a="1"/>
  <c r="AD28" i="31" s="1"/>
  <c r="AC24" i="31" a="1"/>
  <c r="AC24" i="31" s="1"/>
  <c r="AD24" i="31" a="1"/>
  <c r="AD24" i="31" s="1"/>
  <c r="AC25" i="31" a="1"/>
  <c r="AC25" i="31" s="1"/>
  <c r="AD25" i="31" a="1"/>
  <c r="AD25" i="31" s="1"/>
  <c r="BG24" i="31"/>
  <c r="BK24" i="31" s="1"/>
  <c r="BG28" i="31"/>
  <c r="BK28" i="31" s="1"/>
  <c r="BG25" i="31"/>
  <c r="BK25" i="31" s="1"/>
  <c r="BI103" i="31"/>
  <c r="BM103" i="31" s="1"/>
  <c r="P72" i="31"/>
  <c r="AY74" i="31"/>
  <c r="M74" i="31"/>
  <c r="M72" i="31" s="1"/>
  <c r="K19" i="34"/>
  <c r="AM6" i="31" l="1"/>
  <c r="H240" i="31"/>
  <c r="L185" i="31"/>
  <c r="AB240" i="31" l="1"/>
  <c r="N240" i="31"/>
  <c r="Q240" i="31"/>
  <c r="BE240" i="31" s="1"/>
  <c r="Z185" i="31"/>
  <c r="X185" i="31"/>
  <c r="V185" i="31"/>
  <c r="BJ240" i="31"/>
  <c r="BH6" i="31"/>
  <c r="BL6" i="31" s="1"/>
  <c r="BG6" i="31"/>
  <c r="BK6" i="31" s="1"/>
  <c r="BI6" i="31"/>
  <c r="BM6" i="31" s="1"/>
  <c r="BG242" i="31"/>
  <c r="BK242" i="31" s="1"/>
  <c r="BH242" i="31"/>
  <c r="BL242" i="31" s="1"/>
  <c r="BI242" i="31"/>
  <c r="BM242" i="31" s="1"/>
  <c r="BB242" i="31"/>
  <c r="AW242" i="31"/>
  <c r="AR242" i="31"/>
  <c r="BB6" i="31"/>
  <c r="AW6" i="31"/>
  <c r="AR6" i="31"/>
  <c r="AS6" i="31"/>
  <c r="AT6" i="31"/>
  <c r="AV6" i="31"/>
  <c r="AU6" i="31"/>
  <c r="AU242" i="31"/>
  <c r="AV242" i="31"/>
  <c r="BC242" i="31"/>
  <c r="BD242" i="31"/>
  <c r="AT242" i="31"/>
  <c r="BE242" i="31"/>
  <c r="AS242" i="31"/>
  <c r="BP240" i="31"/>
  <c r="BA6" i="31"/>
  <c r="AY6" i="31"/>
  <c r="AX6" i="31"/>
  <c r="AZ6" i="31"/>
  <c r="BA242" i="31"/>
  <c r="AX242" i="31"/>
  <c r="AZ242" i="31"/>
  <c r="AY242" i="31"/>
  <c r="AQ6" i="31"/>
  <c r="AQ242" i="31"/>
  <c r="AN242" i="31"/>
  <c r="AO242" i="31"/>
  <c r="AP242" i="31"/>
  <c r="BO185" i="31"/>
  <c r="AK185" i="31"/>
  <c r="AK186" i="31"/>
  <c r="I240" i="31"/>
  <c r="G240" i="31"/>
  <c r="G195" i="7"/>
  <c r="G55" i="7"/>
  <c r="S5" i="31"/>
  <c r="W5" i="31" s="1"/>
  <c r="S7" i="31"/>
  <c r="AI7" i="31" s="1"/>
  <c r="S9" i="31"/>
  <c r="AI9" i="31" s="1"/>
  <c r="L180" i="31"/>
  <c r="AK181" i="31"/>
  <c r="AK182" i="31"/>
  <c r="AK183" i="31"/>
  <c r="L179" i="31"/>
  <c r="L178" i="31"/>
  <c r="L177" i="31"/>
  <c r="E65" i="8"/>
  <c r="E66" i="8"/>
  <c r="E67" i="8"/>
  <c r="E68" i="8"/>
  <c r="E69" i="8"/>
  <c r="E70" i="8"/>
  <c r="E74" i="8"/>
  <c r="E78" i="8"/>
  <c r="E79" i="8"/>
  <c r="E80" i="8"/>
  <c r="E84" i="8"/>
  <c r="E85" i="8"/>
  <c r="E86" i="8"/>
  <c r="E94" i="8"/>
  <c r="E98" i="8"/>
  <c r="E105" i="8"/>
  <c r="E106" i="8"/>
  <c r="E107" i="8"/>
  <c r="E108" i="8"/>
  <c r="E115" i="8"/>
  <c r="E112" i="8"/>
  <c r="E113" i="8"/>
  <c r="E114" i="8"/>
  <c r="E125" i="8"/>
  <c r="E126" i="8"/>
  <c r="E127" i="8"/>
  <c r="E128" i="8"/>
  <c r="E129" i="8"/>
  <c r="E130" i="8"/>
  <c r="E124" i="8"/>
  <c r="E111" i="8"/>
  <c r="E104" i="8"/>
  <c r="E97" i="8"/>
  <c r="E93" i="8"/>
  <c r="E83" i="8"/>
  <c r="E77" i="8"/>
  <c r="E73" i="8"/>
  <c r="E64" i="8"/>
  <c r="D125" i="8"/>
  <c r="D126" i="8"/>
  <c r="D127" i="8"/>
  <c r="D128" i="8"/>
  <c r="D129" i="8"/>
  <c r="D130" i="8"/>
  <c r="D124" i="8"/>
  <c r="D112" i="8"/>
  <c r="D113" i="8"/>
  <c r="D114" i="8"/>
  <c r="D115" i="8"/>
  <c r="D111" i="8"/>
  <c r="D105" i="8"/>
  <c r="D106" i="8"/>
  <c r="D107" i="8"/>
  <c r="D108" i="8"/>
  <c r="D104" i="8"/>
  <c r="D98" i="8"/>
  <c r="D97" i="8"/>
  <c r="D94" i="8"/>
  <c r="D93" i="8"/>
  <c r="D84" i="8"/>
  <c r="D85" i="8"/>
  <c r="D86" i="8"/>
  <c r="D83" i="8"/>
  <c r="D78" i="8"/>
  <c r="D79" i="8"/>
  <c r="D80" i="8"/>
  <c r="D77" i="8"/>
  <c r="D74" i="8"/>
  <c r="D73" i="8"/>
  <c r="D65" i="8"/>
  <c r="D66" i="8"/>
  <c r="D67" i="8"/>
  <c r="D68" i="8"/>
  <c r="D69" i="8"/>
  <c r="D70" i="8"/>
  <c r="D64" i="8"/>
  <c r="E55" i="8"/>
  <c r="E56" i="8"/>
  <c r="E57" i="8"/>
  <c r="E58" i="8"/>
  <c r="E59" i="8"/>
  <c r="E60" i="8"/>
  <c r="E54" i="8"/>
  <c r="D55" i="8"/>
  <c r="D56" i="8"/>
  <c r="D57" i="8"/>
  <c r="D58" i="8"/>
  <c r="D59" i="8"/>
  <c r="D60" i="8"/>
  <c r="D54" i="8"/>
  <c r="L115" i="31"/>
  <c r="L116" i="31"/>
  <c r="L117" i="31"/>
  <c r="L119" i="31"/>
  <c r="L138" i="31"/>
  <c r="L139" i="31"/>
  <c r="L137" i="31"/>
  <c r="E30" i="8"/>
  <c r="E31" i="8"/>
  <c r="E32" i="8"/>
  <c r="E33" i="8"/>
  <c r="E29" i="8"/>
  <c r="E5" i="8"/>
  <c r="E6" i="8"/>
  <c r="E7" i="8"/>
  <c r="E8" i="8"/>
  <c r="E9" i="8"/>
  <c r="E4" i="8"/>
  <c r="D33" i="8"/>
  <c r="D30" i="8"/>
  <c r="D31" i="8"/>
  <c r="D32" i="8"/>
  <c r="D29" i="8"/>
  <c r="D5" i="8"/>
  <c r="D6" i="8"/>
  <c r="D7" i="8"/>
  <c r="D8" i="8"/>
  <c r="D9" i="8"/>
  <c r="D4" i="8"/>
  <c r="S4" i="2"/>
  <c r="N4" i="2"/>
  <c r="G81" i="7"/>
  <c r="BE249" i="31" l="1"/>
  <c r="O240" i="31"/>
  <c r="O237" i="31" s="1"/>
  <c r="AE240" i="31"/>
  <c r="AG240" i="31"/>
  <c r="R240" i="31"/>
  <c r="AC240" i="31" a="1"/>
  <c r="AC240" i="31" s="1"/>
  <c r="AD240" i="31" s="1" a="1"/>
  <c r="AD240" i="31" s="1"/>
  <c r="Z137" i="31"/>
  <c r="X137" i="31"/>
  <c r="Z138" i="31"/>
  <c r="X138" i="31"/>
  <c r="V138" i="31"/>
  <c r="Z115" i="31"/>
  <c r="X115" i="31"/>
  <c r="W115" i="31"/>
  <c r="V115" i="31"/>
  <c r="Z117" i="31"/>
  <c r="X117" i="31"/>
  <c r="W9" i="31"/>
  <c r="X139" i="31"/>
  <c r="Z139" i="31"/>
  <c r="Z116" i="31"/>
  <c r="X116" i="31"/>
  <c r="W116" i="31"/>
  <c r="V116" i="31"/>
  <c r="W7" i="31"/>
  <c r="Z177" i="31"/>
  <c r="X177" i="31"/>
  <c r="V177" i="31"/>
  <c r="Z179" i="31"/>
  <c r="X179" i="31"/>
  <c r="V179" i="31"/>
  <c r="V119" i="31"/>
  <c r="Z119" i="31"/>
  <c r="X119" i="31"/>
  <c r="V180" i="31"/>
  <c r="X180" i="31"/>
  <c r="Z180" i="31"/>
  <c r="BC240" i="31"/>
  <c r="V178" i="31"/>
  <c r="Z178" i="31"/>
  <c r="X178" i="31"/>
  <c r="BK240" i="31"/>
  <c r="BM240" i="31"/>
  <c r="BL240" i="31"/>
  <c r="E7" i="45"/>
  <c r="AO185" i="31"/>
  <c r="AP185" i="31"/>
  <c r="AQ185" i="31"/>
  <c r="AN185" i="31"/>
  <c r="AL116" i="31"/>
  <c r="AM116" i="31"/>
  <c r="BO116" i="31"/>
  <c r="AM117" i="31"/>
  <c r="BO117" i="31"/>
  <c r="AL115" i="31"/>
  <c r="AM115" i="31"/>
  <c r="BO115" i="31"/>
  <c r="AK180" i="31"/>
  <c r="BO180" i="31"/>
  <c r="AM137" i="31"/>
  <c r="BO137" i="31"/>
  <c r="BO139" i="31"/>
  <c r="AM177" i="31"/>
  <c r="BO177" i="31"/>
  <c r="AM138" i="31"/>
  <c r="BO138" i="31"/>
  <c r="AK178" i="31"/>
  <c r="BO178" i="31"/>
  <c r="AM119" i="31"/>
  <c r="BO119" i="31"/>
  <c r="AK179" i="31"/>
  <c r="BO179" i="31"/>
  <c r="P240" i="31"/>
  <c r="BD240" i="31" s="1"/>
  <c r="BN240" i="31"/>
  <c r="BO240" i="31" s="1"/>
  <c r="AK138" i="31"/>
  <c r="AK116" i="31"/>
  <c r="AK177" i="31"/>
  <c r="AK115" i="31"/>
  <c r="AK119" i="31"/>
  <c r="AK191" i="31"/>
  <c r="L188" i="31"/>
  <c r="L189" i="31"/>
  <c r="L190" i="31"/>
  <c r="H12" i="32"/>
  <c r="R237" i="31" l="1"/>
  <c r="Z188" i="31"/>
  <c r="X188" i="31"/>
  <c r="V188" i="31"/>
  <c r="V189" i="31"/>
  <c r="Z189" i="31"/>
  <c r="X189" i="31"/>
  <c r="Z190" i="31"/>
  <c r="X190" i="31"/>
  <c r="V190" i="31"/>
  <c r="BG116" i="31"/>
  <c r="BK116" i="31" s="1"/>
  <c r="BH116" i="31"/>
  <c r="BL116" i="31" s="1"/>
  <c r="BI116" i="31"/>
  <c r="BM116" i="31" s="1"/>
  <c r="BH138" i="31"/>
  <c r="BL138" i="31" s="1"/>
  <c r="BI138" i="31"/>
  <c r="BM138" i="31" s="1"/>
  <c r="BG138" i="31"/>
  <c r="BK138" i="31" s="1"/>
  <c r="BI177" i="31"/>
  <c r="BM177" i="31" s="1"/>
  <c r="BG177" i="31"/>
  <c r="BK177" i="31" s="1"/>
  <c r="BH177" i="31"/>
  <c r="BL177" i="31" s="1"/>
  <c r="BG115" i="31"/>
  <c r="BK115" i="31" s="1"/>
  <c r="BH115" i="31"/>
  <c r="BL115" i="31" s="1"/>
  <c r="BI115" i="31"/>
  <c r="BM115" i="31" s="1"/>
  <c r="BG137" i="31"/>
  <c r="BK137" i="31" s="1"/>
  <c r="BH137" i="31"/>
  <c r="BL137" i="31" s="1"/>
  <c r="BI137" i="31"/>
  <c r="BM137" i="31" s="1"/>
  <c r="BI119" i="31"/>
  <c r="BM119" i="31" s="1"/>
  <c r="BG119" i="31"/>
  <c r="BK119" i="31" s="1"/>
  <c r="BH119" i="31"/>
  <c r="BL119" i="31" s="1"/>
  <c r="BG139" i="31"/>
  <c r="BK139" i="31" s="1"/>
  <c r="BH139" i="31"/>
  <c r="BL139" i="31" s="1"/>
  <c r="BI139" i="31"/>
  <c r="BM139" i="31" s="1"/>
  <c r="BG117" i="31"/>
  <c r="BK117" i="31" s="1"/>
  <c r="BH117" i="31"/>
  <c r="BL117" i="31" s="1"/>
  <c r="BI117" i="31"/>
  <c r="BM117" i="31" s="1"/>
  <c r="BB116" i="31"/>
  <c r="AW116" i="31"/>
  <c r="AR116" i="31"/>
  <c r="BB138" i="31"/>
  <c r="AW138" i="31"/>
  <c r="AR138" i="31"/>
  <c r="AR177" i="31"/>
  <c r="AW177" i="31"/>
  <c r="BB177" i="31"/>
  <c r="BB115" i="31"/>
  <c r="AW115" i="31"/>
  <c r="AR115" i="31"/>
  <c r="AW137" i="31"/>
  <c r="AR137" i="31"/>
  <c r="AR119" i="31"/>
  <c r="AW119" i="31"/>
  <c r="BB119" i="31"/>
  <c r="AR139" i="31"/>
  <c r="AW117" i="31"/>
  <c r="AR117" i="31"/>
  <c r="AS137" i="31"/>
  <c r="AT137" i="31"/>
  <c r="AV137" i="31"/>
  <c r="AU137" i="31"/>
  <c r="AU116" i="31"/>
  <c r="AV116" i="31"/>
  <c r="AS116" i="31"/>
  <c r="AT116" i="31"/>
  <c r="AS115" i="31"/>
  <c r="AT115" i="31"/>
  <c r="AV115" i="31"/>
  <c r="AU115" i="31"/>
  <c r="AU138" i="31"/>
  <c r="AV138" i="31"/>
  <c r="AS138" i="31"/>
  <c r="AT138" i="31"/>
  <c r="AT177" i="31"/>
  <c r="AU177" i="31"/>
  <c r="AV177" i="31"/>
  <c r="AS177" i="31"/>
  <c r="AS119" i="31"/>
  <c r="AT119" i="31"/>
  <c r="AV119" i="31"/>
  <c r="AU119" i="31"/>
  <c r="AS117" i="31"/>
  <c r="AT117" i="31"/>
  <c r="AV117" i="31"/>
  <c r="AU117" i="31"/>
  <c r="AY115" i="31"/>
  <c r="AZ115" i="31"/>
  <c r="BA115" i="31"/>
  <c r="AX115" i="31"/>
  <c r="BA116" i="31"/>
  <c r="AY116" i="31"/>
  <c r="AZ116" i="31"/>
  <c r="AX116" i="31"/>
  <c r="AP137" i="31"/>
  <c r="AO137" i="31"/>
  <c r="AN137" i="31"/>
  <c r="AQ137" i="31"/>
  <c r="AP117" i="31"/>
  <c r="AQ117" i="31"/>
  <c r="AO117" i="31"/>
  <c r="AN117" i="31"/>
  <c r="AO138" i="31"/>
  <c r="AP138" i="31"/>
  <c r="AN138" i="31"/>
  <c r="AQ138" i="31"/>
  <c r="AO180" i="31"/>
  <c r="AP180" i="31"/>
  <c r="AQ180" i="31"/>
  <c r="AN180" i="31"/>
  <c r="AP179" i="31"/>
  <c r="AO179" i="31"/>
  <c r="AQ179" i="31"/>
  <c r="AN179" i="31"/>
  <c r="AO177" i="31"/>
  <c r="AP177" i="31"/>
  <c r="AQ177" i="31"/>
  <c r="AN177" i="31"/>
  <c r="AO119" i="31"/>
  <c r="AP119" i="31"/>
  <c r="AQ119" i="31"/>
  <c r="AN119" i="31"/>
  <c r="AQ139" i="31"/>
  <c r="AO139" i="31"/>
  <c r="AP139" i="31"/>
  <c r="AN139" i="31"/>
  <c r="AO178" i="31"/>
  <c r="AP178" i="31"/>
  <c r="AQ178" i="31"/>
  <c r="AN178" i="31"/>
  <c r="AK188" i="31"/>
  <c r="AM188" i="31"/>
  <c r="BO188" i="31"/>
  <c r="AK190" i="31"/>
  <c r="BO190" i="31"/>
  <c r="AK189" i="31"/>
  <c r="BO189" i="31"/>
  <c r="AK192" i="31"/>
  <c r="AM192" i="31"/>
  <c r="BO192" i="31"/>
  <c r="AK193" i="31"/>
  <c r="AM193" i="31"/>
  <c r="BO193" i="31"/>
  <c r="AK194" i="31"/>
  <c r="AM194" i="31"/>
  <c r="BO194" i="31"/>
  <c r="L198" i="31"/>
  <c r="L196" i="31"/>
  <c r="L197" i="31"/>
  <c r="G64" i="7"/>
  <c r="E64" i="7"/>
  <c r="D64" i="7"/>
  <c r="E55" i="7"/>
  <c r="D55" i="7"/>
  <c r="Z197" i="31" l="1"/>
  <c r="X197" i="31"/>
  <c r="V197" i="31"/>
  <c r="V198" i="31"/>
  <c r="Z198" i="31"/>
  <c r="X198" i="31"/>
  <c r="Z196" i="31"/>
  <c r="X196" i="31"/>
  <c r="BI193" i="31"/>
  <c r="BM193" i="31" s="1"/>
  <c r="BG193" i="31"/>
  <c r="BK193" i="31" s="1"/>
  <c r="BH193" i="31"/>
  <c r="BL193" i="31" s="1"/>
  <c r="BG194" i="31"/>
  <c r="BK194" i="31" s="1"/>
  <c r="BH194" i="31"/>
  <c r="BL194" i="31" s="1"/>
  <c r="BI194" i="31"/>
  <c r="BM194" i="31" s="1"/>
  <c r="BH188" i="31"/>
  <c r="BL188" i="31" s="1"/>
  <c r="BI188" i="31"/>
  <c r="BM188" i="31" s="1"/>
  <c r="BG188" i="31"/>
  <c r="BK188" i="31" s="1"/>
  <c r="BG192" i="31"/>
  <c r="BK192" i="31" s="1"/>
  <c r="BI192" i="31"/>
  <c r="BM192" i="31" s="1"/>
  <c r="BH192" i="31"/>
  <c r="BL192" i="31" s="1"/>
  <c r="AR193" i="31"/>
  <c r="AW193" i="31"/>
  <c r="BB193" i="31"/>
  <c r="BB194" i="31"/>
  <c r="AW194" i="31"/>
  <c r="AR194" i="31"/>
  <c r="BB192" i="31"/>
  <c r="AW192" i="31"/>
  <c r="AR192" i="31"/>
  <c r="BB188" i="31"/>
  <c r="AW188" i="31"/>
  <c r="AR188" i="31"/>
  <c r="AS193" i="31"/>
  <c r="AT193" i="31"/>
  <c r="AU193" i="31"/>
  <c r="AV193" i="31"/>
  <c r="AU188" i="31"/>
  <c r="AV188" i="31"/>
  <c r="AT188" i="31"/>
  <c r="AS188" i="31"/>
  <c r="AU192" i="31"/>
  <c r="AV192" i="31"/>
  <c r="AS192" i="31"/>
  <c r="AT192" i="31"/>
  <c r="AT194" i="31"/>
  <c r="AU194" i="31"/>
  <c r="AV194" i="31"/>
  <c r="AS194" i="31"/>
  <c r="AZ193" i="31"/>
  <c r="BA193" i="31"/>
  <c r="AY193" i="31"/>
  <c r="AX193" i="31"/>
  <c r="AZ192" i="31"/>
  <c r="BA192" i="31"/>
  <c r="AX192" i="31"/>
  <c r="AY192" i="31"/>
  <c r="AY194" i="31"/>
  <c r="AZ194" i="31"/>
  <c r="BA194" i="31"/>
  <c r="AX194" i="31"/>
  <c r="AQ188" i="31"/>
  <c r="AN188" i="31"/>
  <c r="AP188" i="31"/>
  <c r="AO188" i="31"/>
  <c r="AO194" i="31"/>
  <c r="AP194" i="31"/>
  <c r="AQ194" i="31"/>
  <c r="AN194" i="31"/>
  <c r="AO189" i="31"/>
  <c r="AQ189" i="31"/>
  <c r="AP189" i="31"/>
  <c r="AN189" i="31"/>
  <c r="AO193" i="31"/>
  <c r="AP193" i="31"/>
  <c r="AQ193" i="31"/>
  <c r="AN193" i="31"/>
  <c r="AO192" i="31"/>
  <c r="AP192" i="31"/>
  <c r="AQ192" i="31"/>
  <c r="AN192" i="31"/>
  <c r="AQ190" i="31"/>
  <c r="AP190" i="31"/>
  <c r="AN190" i="31"/>
  <c r="AO190" i="31"/>
  <c r="AM196" i="31"/>
  <c r="BO196" i="31"/>
  <c r="AM197" i="31"/>
  <c r="BO197" i="31"/>
  <c r="AM198" i="31"/>
  <c r="BO198" i="31"/>
  <c r="AM199" i="31"/>
  <c r="BO199" i="31"/>
  <c r="AM201" i="31"/>
  <c r="BO201" i="31"/>
  <c r="AM202" i="31"/>
  <c r="BO202" i="31"/>
  <c r="AM200" i="31"/>
  <c r="BO200" i="31"/>
  <c r="AK202" i="31"/>
  <c r="AK199" i="31"/>
  <c r="AK201" i="31"/>
  <c r="AK200" i="31"/>
  <c r="AK197" i="31"/>
  <c r="AK198" i="31"/>
  <c r="I5" i="10"/>
  <c r="I88" i="2" s="1"/>
  <c r="P24" i="34"/>
  <c r="O24" i="34"/>
  <c r="A125" i="8"/>
  <c r="A126" i="8"/>
  <c r="A127" i="8"/>
  <c r="A128" i="8"/>
  <c r="A129" i="8"/>
  <c r="A130" i="8"/>
  <c r="A124" i="8"/>
  <c r="A105" i="8"/>
  <c r="A106" i="8"/>
  <c r="A107" i="8"/>
  <c r="A108" i="8"/>
  <c r="A104" i="8"/>
  <c r="A94" i="8"/>
  <c r="A93" i="8"/>
  <c r="E47" i="8"/>
  <c r="E48" i="8"/>
  <c r="E49" i="8"/>
  <c r="E50" i="8"/>
  <c r="E51" i="8"/>
  <c r="E46" i="8"/>
  <c r="D47" i="8"/>
  <c r="D48" i="8"/>
  <c r="D49" i="8"/>
  <c r="D50" i="8"/>
  <c r="D51" i="8"/>
  <c r="D46" i="8"/>
  <c r="W124" i="8"/>
  <c r="W94" i="8"/>
  <c r="BG197" i="31" l="1"/>
  <c r="BK197" i="31" s="1"/>
  <c r="BH197" i="31"/>
  <c r="BL197" i="31" s="1"/>
  <c r="BI197" i="31"/>
  <c r="BM197" i="31" s="1"/>
  <c r="BG202" i="31"/>
  <c r="BK202" i="31" s="1"/>
  <c r="BH202" i="31"/>
  <c r="BL202" i="31" s="1"/>
  <c r="BI202" i="31"/>
  <c r="BM202" i="31" s="1"/>
  <c r="BI201" i="31"/>
  <c r="BM201" i="31" s="1"/>
  <c r="BH201" i="31"/>
  <c r="BL201" i="31" s="1"/>
  <c r="BG201" i="31"/>
  <c r="BK201" i="31" s="1"/>
  <c r="BH196" i="31"/>
  <c r="BL196" i="31" s="1"/>
  <c r="BI196" i="31"/>
  <c r="BM196" i="31" s="1"/>
  <c r="BG196" i="31"/>
  <c r="BK196" i="31" s="1"/>
  <c r="BG199" i="31"/>
  <c r="BK199" i="31" s="1"/>
  <c r="BH199" i="31"/>
  <c r="BL199" i="31" s="1"/>
  <c r="BI199" i="31"/>
  <c r="BM199" i="31" s="1"/>
  <c r="BG200" i="31"/>
  <c r="BK200" i="31" s="1"/>
  <c r="BH200" i="31"/>
  <c r="BL200" i="31" s="1"/>
  <c r="BI200" i="31"/>
  <c r="BM200" i="31" s="1"/>
  <c r="BG198" i="31"/>
  <c r="BK198" i="31" s="1"/>
  <c r="BH198" i="31"/>
  <c r="BL198" i="31" s="1"/>
  <c r="BI198" i="31"/>
  <c r="BM198" i="31" s="1"/>
  <c r="BB199" i="31"/>
  <c r="AW199" i="31"/>
  <c r="AR199" i="31"/>
  <c r="BB200" i="31"/>
  <c r="AW200" i="31"/>
  <c r="AR200" i="31"/>
  <c r="BB198" i="31"/>
  <c r="AW198" i="31"/>
  <c r="AR198" i="31"/>
  <c r="BB202" i="31"/>
  <c r="AW202" i="31"/>
  <c r="AR202" i="31"/>
  <c r="BB197" i="31"/>
  <c r="AW197" i="31"/>
  <c r="AR197" i="31"/>
  <c r="BB201" i="31"/>
  <c r="AR201" i="31"/>
  <c r="AW201" i="31"/>
  <c r="AW196" i="31"/>
  <c r="AR196" i="31"/>
  <c r="AS197" i="31"/>
  <c r="AT197" i="31"/>
  <c r="AU197" i="31"/>
  <c r="AV197" i="31"/>
  <c r="AS201" i="31"/>
  <c r="AT201" i="31"/>
  <c r="AU201" i="31"/>
  <c r="AV201" i="31"/>
  <c r="AU196" i="31"/>
  <c r="AV196" i="31"/>
  <c r="AT196" i="31"/>
  <c r="AS196" i="31"/>
  <c r="AS199" i="31"/>
  <c r="AT199" i="31"/>
  <c r="AU199" i="31"/>
  <c r="AV199" i="31"/>
  <c r="AU202" i="31"/>
  <c r="AV202" i="31"/>
  <c r="AS202" i="31"/>
  <c r="AT202" i="31"/>
  <c r="AT200" i="31"/>
  <c r="AU200" i="31"/>
  <c r="AV200" i="31"/>
  <c r="AS200" i="31"/>
  <c r="AU198" i="31"/>
  <c r="AV198" i="31"/>
  <c r="AS198" i="31"/>
  <c r="AT198" i="31"/>
  <c r="AZ200" i="31"/>
  <c r="BA200" i="31"/>
  <c r="AX200" i="31"/>
  <c r="AY200" i="31"/>
  <c r="AY202" i="31"/>
  <c r="AZ202" i="31"/>
  <c r="AX202" i="31"/>
  <c r="BA202" i="31"/>
  <c r="AZ201" i="31"/>
  <c r="BA201" i="31"/>
  <c r="AY201" i="31"/>
  <c r="AX201" i="31"/>
  <c r="AP199" i="31"/>
  <c r="AQ199" i="31"/>
  <c r="AN199" i="31"/>
  <c r="AO199" i="31"/>
  <c r="AO200" i="31"/>
  <c r="AP200" i="31"/>
  <c r="AQ200" i="31"/>
  <c r="AN200" i="31"/>
  <c r="AQ198" i="31"/>
  <c r="AN198" i="31"/>
  <c r="AP198" i="31"/>
  <c r="AO198" i="31"/>
  <c r="AO202" i="31"/>
  <c r="AP202" i="31"/>
  <c r="AQ202" i="31"/>
  <c r="AN202" i="31"/>
  <c r="AP197" i="31"/>
  <c r="AQ197" i="31"/>
  <c r="AO197" i="31"/>
  <c r="AN197" i="31"/>
  <c r="AO201" i="31"/>
  <c r="AP201" i="31"/>
  <c r="AQ201" i="31"/>
  <c r="AN201" i="31"/>
  <c r="AP196" i="31"/>
  <c r="AQ196" i="31"/>
  <c r="AO196" i="31"/>
  <c r="AN196" i="31"/>
  <c r="AM216" i="39"/>
  <c r="AM218" i="38"/>
  <c r="L205" i="31" a="1"/>
  <c r="L205" i="31" s="1"/>
  <c r="V125" i="8"/>
  <c r="X94" i="8" a="1"/>
  <c r="X94" i="8" s="1"/>
  <c r="V95" i="8"/>
  <c r="G17" i="34"/>
  <c r="G18" i="34" s="1"/>
  <c r="D38" i="33"/>
  <c r="C58" i="34"/>
  <c r="B58" i="34"/>
  <c r="B59" i="34" s="1"/>
  <c r="G53" i="34"/>
  <c r="G52" i="34"/>
  <c r="L46" i="34"/>
  <c r="M41" i="34"/>
  <c r="M42" i="34" s="1"/>
  <c r="W4" i="8"/>
  <c r="W125" i="8"/>
  <c r="W95" i="8"/>
  <c r="V205" i="31" l="1"/>
  <c r="Z205" i="31"/>
  <c r="BB216" i="39"/>
  <c r="BG216" i="39"/>
  <c r="BK216" i="39" s="1"/>
  <c r="BH216" i="39"/>
  <c r="BL216" i="39" s="1"/>
  <c r="BI216" i="39"/>
  <c r="BM216" i="39" s="1"/>
  <c r="BG218" i="38"/>
  <c r="BK218" i="38" s="1"/>
  <c r="BH218" i="38"/>
  <c r="BL218" i="38" s="1"/>
  <c r="BI218" i="38"/>
  <c r="BM218" i="38" s="1"/>
  <c r="BC218" i="38"/>
  <c r="BE218" i="38"/>
  <c r="BF218" i="38"/>
  <c r="BD218" i="38"/>
  <c r="AX218" i="38"/>
  <c r="BA218" i="38"/>
  <c r="BB218" i="38"/>
  <c r="AZ218" i="38"/>
  <c r="AW218" i="38"/>
  <c r="AS218" i="38"/>
  <c r="AT218" i="38"/>
  <c r="AU218" i="38"/>
  <c r="AV218" i="38"/>
  <c r="AN218" i="38"/>
  <c r="AO218" i="38"/>
  <c r="AP218" i="38"/>
  <c r="AQ218" i="38"/>
  <c r="AR218" i="38"/>
  <c r="AR216" i="39"/>
  <c r="AW216" i="39"/>
  <c r="AP216" i="39"/>
  <c r="AZ216" i="39"/>
  <c r="AQ216" i="39"/>
  <c r="BA216" i="39"/>
  <c r="AS216" i="39"/>
  <c r="AT216" i="39"/>
  <c r="AU216" i="39"/>
  <c r="AV216" i="39"/>
  <c r="AN216" i="39"/>
  <c r="AO216" i="39"/>
  <c r="AX216" i="39"/>
  <c r="BO205" i="31"/>
  <c r="AM205" i="31"/>
  <c r="AK216" i="39"/>
  <c r="AL216" i="39"/>
  <c r="AK218" i="38"/>
  <c r="AL218" i="38"/>
  <c r="AK205" i="31"/>
  <c r="BN216" i="39"/>
  <c r="P216" i="39"/>
  <c r="AY216" i="39" s="1"/>
  <c r="BO216" i="39"/>
  <c r="AM220" i="38"/>
  <c r="BN218" i="38"/>
  <c r="BO218" i="38"/>
  <c r="P218" i="38"/>
  <c r="AY218" i="38" s="1"/>
  <c r="G205" i="31"/>
  <c r="I205" i="31"/>
  <c r="L206" i="31" a="1"/>
  <c r="L206" i="31" s="1"/>
  <c r="V126" i="8"/>
  <c r="X95" i="8" a="1"/>
  <c r="X95" i="8" s="1"/>
  <c r="V96" i="8"/>
  <c r="AF84" i="2"/>
  <c r="AF12" i="2"/>
  <c r="AF3" i="2"/>
  <c r="AB78" i="2"/>
  <c r="AB80" i="2"/>
  <c r="AB81" i="2"/>
  <c r="AB73" i="2"/>
  <c r="AB75" i="2"/>
  <c r="AB76" i="2"/>
  <c r="AB68" i="2"/>
  <c r="AB71" i="2"/>
  <c r="H75" i="34"/>
  <c r="H76" i="34"/>
  <c r="H77" i="34"/>
  <c r="H78" i="34"/>
  <c r="H79" i="34"/>
  <c r="H80" i="34"/>
  <c r="H74" i="34"/>
  <c r="D81" i="34"/>
  <c r="C45" i="34"/>
  <c r="C53" i="34" s="1"/>
  <c r="B45" i="34"/>
  <c r="B35" i="34"/>
  <c r="B36" i="34"/>
  <c r="D44" i="34" s="1"/>
  <c r="D52" i="34" s="1"/>
  <c r="D55" i="34" s="1"/>
  <c r="B34" i="34"/>
  <c r="J44" i="30"/>
  <c r="E38" i="33" s="1"/>
  <c r="C30" i="32"/>
  <c r="C31" i="32"/>
  <c r="C32" i="32"/>
  <c r="C33" i="32"/>
  <c r="C34" i="32"/>
  <c r="C35" i="32"/>
  <c r="C29" i="32"/>
  <c r="D70" i="34"/>
  <c r="H64" i="34" s="1"/>
  <c r="C70" i="34"/>
  <c r="D53" i="34"/>
  <c r="D56" i="34" s="1"/>
  <c r="G41" i="34"/>
  <c r="G44" i="34" s="1"/>
  <c r="G40" i="34"/>
  <c r="G43" i="34" s="1"/>
  <c r="H43" i="34"/>
  <c r="H44" i="34"/>
  <c r="D39" i="34"/>
  <c r="C39" i="34"/>
  <c r="B39" i="34"/>
  <c r="J25" i="30"/>
  <c r="J24" i="30"/>
  <c r="G36" i="5"/>
  <c r="G37" i="5"/>
  <c r="F34" i="5"/>
  <c r="D34" i="5" s="1"/>
  <c r="F35" i="5"/>
  <c r="D35" i="5" s="1"/>
  <c r="F36" i="5"/>
  <c r="E36" i="5" s="1"/>
  <c r="F37" i="5"/>
  <c r="E37" i="5" s="1"/>
  <c r="F33" i="5"/>
  <c r="D33" i="5" s="1"/>
  <c r="C34" i="5"/>
  <c r="C35" i="5"/>
  <c r="C36" i="5"/>
  <c r="C37" i="5"/>
  <c r="C33" i="5"/>
  <c r="A34" i="5"/>
  <c r="A35" i="5"/>
  <c r="A36" i="5"/>
  <c r="A37" i="5"/>
  <c r="D19" i="5"/>
  <c r="A17" i="5"/>
  <c r="A18" i="5"/>
  <c r="A19" i="5"/>
  <c r="A16" i="5"/>
  <c r="E19" i="5"/>
  <c r="G19" i="5"/>
  <c r="K19" i="5" s="1"/>
  <c r="A65" i="8"/>
  <c r="A66" i="8"/>
  <c r="A67" i="8"/>
  <c r="A68" i="8"/>
  <c r="A69" i="8"/>
  <c r="A70" i="8"/>
  <c r="A64" i="8"/>
  <c r="A55" i="8"/>
  <c r="A56" i="8"/>
  <c r="A57" i="8"/>
  <c r="A58" i="8"/>
  <c r="A59" i="8"/>
  <c r="A60" i="8"/>
  <c r="A54" i="8"/>
  <c r="A47" i="8"/>
  <c r="A48" i="8"/>
  <c r="A49" i="8"/>
  <c r="A50" i="8"/>
  <c r="A51" i="8"/>
  <c r="A46" i="8"/>
  <c r="E88" i="5"/>
  <c r="E87" i="5"/>
  <c r="E86" i="5"/>
  <c r="E85" i="5"/>
  <c r="E84" i="5"/>
  <c r="E83" i="5"/>
  <c r="E82" i="5"/>
  <c r="E81" i="5"/>
  <c r="E80" i="5"/>
  <c r="E79" i="5"/>
  <c r="E76" i="5"/>
  <c r="E75" i="5"/>
  <c r="E74" i="5"/>
  <c r="E73" i="5"/>
  <c r="E72" i="5"/>
  <c r="E71" i="5"/>
  <c r="E70" i="5"/>
  <c r="E69" i="5"/>
  <c r="E68" i="5"/>
  <c r="E65" i="5"/>
  <c r="E64" i="5"/>
  <c r="E63" i="5"/>
  <c r="E62" i="5"/>
  <c r="E61" i="5"/>
  <c r="E60" i="5"/>
  <c r="E59" i="5"/>
  <c r="E56" i="5"/>
  <c r="E55" i="5"/>
  <c r="E54" i="5"/>
  <c r="E53" i="5"/>
  <c r="E52" i="5"/>
  <c r="E51" i="5"/>
  <c r="E50" i="5"/>
  <c r="E44" i="5"/>
  <c r="E43" i="5"/>
  <c r="E39" i="5"/>
  <c r="E38" i="5"/>
  <c r="E30" i="5"/>
  <c r="E29" i="5"/>
  <c r="E28" i="5"/>
  <c r="E27" i="5"/>
  <c r="E26" i="5"/>
  <c r="D88" i="5"/>
  <c r="D87" i="5"/>
  <c r="D86" i="5"/>
  <c r="D85" i="5"/>
  <c r="D84" i="5"/>
  <c r="D83" i="5"/>
  <c r="D82" i="5"/>
  <c r="D81" i="5"/>
  <c r="D80" i="5"/>
  <c r="D79" i="5"/>
  <c r="D76" i="5"/>
  <c r="D75" i="5"/>
  <c r="D74" i="5"/>
  <c r="D73" i="5"/>
  <c r="D72" i="5"/>
  <c r="D71" i="5"/>
  <c r="D70" i="5"/>
  <c r="D69" i="5"/>
  <c r="D68" i="5"/>
  <c r="D65" i="5"/>
  <c r="D64" i="5"/>
  <c r="D63" i="5"/>
  <c r="D62" i="5"/>
  <c r="D61" i="5"/>
  <c r="D60" i="5"/>
  <c r="D59" i="5"/>
  <c r="D56" i="5"/>
  <c r="D55" i="5"/>
  <c r="D54" i="5"/>
  <c r="D53" i="5"/>
  <c r="D52" i="5"/>
  <c r="D51" i="5"/>
  <c r="D50" i="5"/>
  <c r="D44" i="5"/>
  <c r="D43" i="5"/>
  <c r="D39" i="5"/>
  <c r="D38" i="5"/>
  <c r="D30" i="5"/>
  <c r="D29" i="5"/>
  <c r="D28" i="5"/>
  <c r="D27" i="5"/>
  <c r="D26" i="5"/>
  <c r="A80" i="5"/>
  <c r="A81" i="5"/>
  <c r="A82" i="5"/>
  <c r="A83" i="5"/>
  <c r="A84" i="5"/>
  <c r="A85" i="5"/>
  <c r="A86" i="5"/>
  <c r="A87" i="5"/>
  <c r="A88" i="5"/>
  <c r="A79" i="5"/>
  <c r="A69" i="5"/>
  <c r="A70" i="5"/>
  <c r="A71" i="5"/>
  <c r="A72" i="5"/>
  <c r="A73" i="5"/>
  <c r="A74" i="5"/>
  <c r="A75" i="5"/>
  <c r="A76" i="5"/>
  <c r="A68" i="5"/>
  <c r="A60" i="5"/>
  <c r="A61" i="5"/>
  <c r="A62" i="5"/>
  <c r="A63" i="5"/>
  <c r="A64" i="5"/>
  <c r="A65" i="5"/>
  <c r="A59" i="5"/>
  <c r="A43" i="5"/>
  <c r="A44" i="5"/>
  <c r="A42" i="5"/>
  <c r="A39" i="5"/>
  <c r="A38" i="5"/>
  <c r="A33" i="5"/>
  <c r="A27" i="5"/>
  <c r="A28" i="5"/>
  <c r="A29" i="5"/>
  <c r="A30" i="5"/>
  <c r="A26" i="5"/>
  <c r="E12" i="5"/>
  <c r="E4" i="5"/>
  <c r="E5" i="5"/>
  <c r="E3" i="5"/>
  <c r="D12" i="5"/>
  <c r="D4" i="5"/>
  <c r="D5" i="5"/>
  <c r="D3" i="5"/>
  <c r="F10" i="5"/>
  <c r="E10" i="5" s="1"/>
  <c r="F11" i="5"/>
  <c r="D11" i="5" s="1"/>
  <c r="F9" i="5"/>
  <c r="D9" i="5" s="1"/>
  <c r="C10" i="5"/>
  <c r="C17" i="5" s="1"/>
  <c r="C11" i="5"/>
  <c r="C18" i="5" s="1"/>
  <c r="C9" i="5"/>
  <c r="C16" i="5" s="1"/>
  <c r="A10" i="5"/>
  <c r="A11" i="5"/>
  <c r="A12" i="5"/>
  <c r="A9" i="5"/>
  <c r="A4" i="5"/>
  <c r="A5" i="5"/>
  <c r="A3" i="5"/>
  <c r="H6" i="31"/>
  <c r="G6" i="31"/>
  <c r="E255" i="7"/>
  <c r="E254" i="7"/>
  <c r="E253" i="7"/>
  <c r="E252" i="7"/>
  <c r="E246" i="7"/>
  <c r="E245" i="7"/>
  <c r="E244" i="7"/>
  <c r="E243" i="7"/>
  <c r="E242" i="7"/>
  <c r="E241" i="7"/>
  <c r="E238" i="7"/>
  <c r="E237" i="7"/>
  <c r="E236" i="7"/>
  <c r="E235" i="7"/>
  <c r="E234" i="7"/>
  <c r="E233" i="7"/>
  <c r="E229" i="7"/>
  <c r="E228" i="7"/>
  <c r="E227" i="7"/>
  <c r="E226" i="7"/>
  <c r="E225" i="7"/>
  <c r="E219" i="7"/>
  <c r="E218" i="7"/>
  <c r="E217" i="7"/>
  <c r="E216" i="7"/>
  <c r="E215" i="7"/>
  <c r="E214" i="7"/>
  <c r="E213" i="7"/>
  <c r="E210" i="7"/>
  <c r="E209" i="7"/>
  <c r="E208" i="7"/>
  <c r="E207" i="7"/>
  <c r="E206" i="7"/>
  <c r="E205" i="7"/>
  <c r="E201" i="7"/>
  <c r="E200" i="7"/>
  <c r="E199" i="7"/>
  <c r="E198" i="7"/>
  <c r="E197" i="7"/>
  <c r="E196" i="7"/>
  <c r="E195" i="7"/>
  <c r="E190" i="7"/>
  <c r="E189" i="7"/>
  <c r="E188" i="7"/>
  <c r="E187" i="7"/>
  <c r="E186" i="7"/>
  <c r="E185" i="7"/>
  <c r="E184" i="7"/>
  <c r="E181" i="7"/>
  <c r="E180" i="7"/>
  <c r="E179" i="7"/>
  <c r="E178" i="7"/>
  <c r="E177" i="7"/>
  <c r="E176" i="7"/>
  <c r="E173" i="7"/>
  <c r="E172" i="7"/>
  <c r="E171" i="7"/>
  <c r="E170" i="7"/>
  <c r="E167" i="7"/>
  <c r="E166" i="7"/>
  <c r="E165" i="7"/>
  <c r="E164" i="7"/>
  <c r="E163" i="7"/>
  <c r="E162" i="7"/>
  <c r="E159" i="7"/>
  <c r="E158" i="7"/>
  <c r="E157" i="7"/>
  <c r="E156" i="7"/>
  <c r="E155" i="7"/>
  <c r="E154" i="7"/>
  <c r="D255" i="7"/>
  <c r="D254" i="7"/>
  <c r="D253" i="7"/>
  <c r="D252" i="7"/>
  <c r="D246" i="7"/>
  <c r="D245" i="7"/>
  <c r="D244" i="7"/>
  <c r="D243" i="7"/>
  <c r="D242" i="7"/>
  <c r="D241" i="7"/>
  <c r="D238" i="7"/>
  <c r="D237" i="7"/>
  <c r="D236" i="7"/>
  <c r="D235" i="7"/>
  <c r="D234" i="7"/>
  <c r="D233" i="7"/>
  <c r="D229" i="7"/>
  <c r="D228" i="7"/>
  <c r="D227" i="7"/>
  <c r="D226" i="7"/>
  <c r="D225" i="7"/>
  <c r="D219" i="7"/>
  <c r="D218" i="7"/>
  <c r="D217" i="7"/>
  <c r="D216" i="7"/>
  <c r="D215" i="7"/>
  <c r="D214" i="7"/>
  <c r="D213" i="7"/>
  <c r="D210" i="7"/>
  <c r="D209" i="7"/>
  <c r="D208" i="7"/>
  <c r="D207" i="7"/>
  <c r="D206" i="7"/>
  <c r="D205" i="7"/>
  <c r="D204" i="7"/>
  <c r="D201" i="7"/>
  <c r="D200" i="7"/>
  <c r="D199" i="7"/>
  <c r="D198" i="7"/>
  <c r="D197" i="7"/>
  <c r="D196" i="7"/>
  <c r="D195" i="7"/>
  <c r="D190" i="7"/>
  <c r="D189" i="7"/>
  <c r="D188" i="7"/>
  <c r="D187" i="7"/>
  <c r="D186" i="7"/>
  <c r="D185" i="7"/>
  <c r="D184" i="7"/>
  <c r="D181" i="7"/>
  <c r="D180" i="7"/>
  <c r="D179" i="7"/>
  <c r="D178" i="7"/>
  <c r="D177" i="7"/>
  <c r="D176" i="7"/>
  <c r="D173" i="7"/>
  <c r="D172" i="7"/>
  <c r="D171" i="7"/>
  <c r="D170" i="7"/>
  <c r="D167" i="7"/>
  <c r="D166" i="7"/>
  <c r="D165" i="7"/>
  <c r="D164" i="7"/>
  <c r="D163" i="7"/>
  <c r="D162" i="7"/>
  <c r="D159" i="7"/>
  <c r="D158" i="7"/>
  <c r="D157" i="7"/>
  <c r="D156" i="7"/>
  <c r="D155" i="7"/>
  <c r="D154" i="7"/>
  <c r="A255" i="7"/>
  <c r="A253" i="7"/>
  <c r="A254" i="7"/>
  <c r="A252" i="7"/>
  <c r="A242" i="7"/>
  <c r="A243" i="7"/>
  <c r="A244" i="7"/>
  <c r="A245" i="7"/>
  <c r="A246" i="7"/>
  <c r="A241" i="7"/>
  <c r="A234" i="7"/>
  <c r="A235" i="7"/>
  <c r="A236" i="7"/>
  <c r="A237" i="7"/>
  <c r="A238" i="7"/>
  <c r="A233" i="7"/>
  <c r="A226" i="7"/>
  <c r="A227" i="7"/>
  <c r="A228" i="7"/>
  <c r="A229" i="7"/>
  <c r="A225" i="7"/>
  <c r="A214" i="7"/>
  <c r="A215" i="7"/>
  <c r="A216" i="7"/>
  <c r="A217" i="7"/>
  <c r="A218" i="7"/>
  <c r="A219" i="7"/>
  <c r="A213" i="7"/>
  <c r="A205" i="7"/>
  <c r="A206" i="7"/>
  <c r="A207" i="7"/>
  <c r="A208" i="7"/>
  <c r="A209" i="7"/>
  <c r="A210" i="7"/>
  <c r="A204" i="7"/>
  <c r="A196" i="7"/>
  <c r="A197" i="7"/>
  <c r="A198" i="7"/>
  <c r="A199" i="7"/>
  <c r="A200" i="7"/>
  <c r="A201" i="7"/>
  <c r="A195" i="7"/>
  <c r="A185" i="7"/>
  <c r="A186" i="7"/>
  <c r="A187" i="7"/>
  <c r="A188" i="7"/>
  <c r="A189" i="7"/>
  <c r="A190" i="7"/>
  <c r="A184" i="7"/>
  <c r="A177" i="7"/>
  <c r="A178" i="7"/>
  <c r="A179" i="7"/>
  <c r="A180" i="7"/>
  <c r="A181" i="7"/>
  <c r="A176" i="7"/>
  <c r="A171" i="7"/>
  <c r="A172" i="7"/>
  <c r="A173" i="7"/>
  <c r="A170" i="7"/>
  <c r="A163" i="7"/>
  <c r="A164" i="7"/>
  <c r="A165" i="7"/>
  <c r="A166" i="7"/>
  <c r="A167" i="7"/>
  <c r="A162" i="7"/>
  <c r="A155" i="7"/>
  <c r="A156" i="7"/>
  <c r="A157" i="7"/>
  <c r="A158" i="7"/>
  <c r="A159" i="7"/>
  <c r="A154" i="7"/>
  <c r="E148" i="7"/>
  <c r="E149" i="7"/>
  <c r="E147" i="7"/>
  <c r="D148" i="7"/>
  <c r="D149" i="7"/>
  <c r="D147" i="7"/>
  <c r="A148" i="7"/>
  <c r="A149" i="7"/>
  <c r="A147" i="7"/>
  <c r="E141" i="7"/>
  <c r="E142" i="7"/>
  <c r="E140" i="7"/>
  <c r="E132" i="7"/>
  <c r="E133" i="7"/>
  <c r="E134" i="7"/>
  <c r="E135" i="7"/>
  <c r="E136" i="7"/>
  <c r="E131" i="7"/>
  <c r="E124" i="7"/>
  <c r="E125" i="7"/>
  <c r="E126" i="7"/>
  <c r="E127" i="7"/>
  <c r="E128" i="7"/>
  <c r="E123" i="7"/>
  <c r="E114" i="7"/>
  <c r="E115" i="7"/>
  <c r="E116" i="7"/>
  <c r="E117" i="7"/>
  <c r="E113" i="7"/>
  <c r="E106" i="7"/>
  <c r="E107" i="7"/>
  <c r="E108" i="7"/>
  <c r="E109" i="7"/>
  <c r="E105" i="7"/>
  <c r="E96" i="7"/>
  <c r="E97" i="7"/>
  <c r="E98" i="7"/>
  <c r="E99" i="7"/>
  <c r="E95" i="7"/>
  <c r="E87" i="7"/>
  <c r="E88" i="7"/>
  <c r="E89" i="7"/>
  <c r="E90" i="7"/>
  <c r="E91" i="7"/>
  <c r="E92" i="7"/>
  <c r="E86" i="7"/>
  <c r="E76" i="7"/>
  <c r="E77" i="7"/>
  <c r="E78" i="7"/>
  <c r="E79" i="7"/>
  <c r="E80" i="7"/>
  <c r="E81" i="7"/>
  <c r="E82" i="7"/>
  <c r="E75" i="7"/>
  <c r="E65" i="7"/>
  <c r="E66" i="7"/>
  <c r="E67" i="7"/>
  <c r="E68" i="7"/>
  <c r="E69" i="7"/>
  <c r="E63" i="7"/>
  <c r="E56" i="7"/>
  <c r="E57" i="7"/>
  <c r="E58" i="7"/>
  <c r="E59" i="7"/>
  <c r="E60" i="7"/>
  <c r="E54" i="7"/>
  <c r="E50" i="7"/>
  <c r="E51" i="7"/>
  <c r="E49" i="7"/>
  <c r="D141" i="7"/>
  <c r="D142" i="7"/>
  <c r="D140" i="7"/>
  <c r="D132" i="7"/>
  <c r="D133" i="7"/>
  <c r="D134" i="7"/>
  <c r="D135" i="7"/>
  <c r="D136" i="7"/>
  <c r="D131" i="7"/>
  <c r="D124" i="7"/>
  <c r="D125" i="7"/>
  <c r="D126" i="7"/>
  <c r="D127" i="7"/>
  <c r="D128" i="7"/>
  <c r="D123" i="7"/>
  <c r="D114" i="7"/>
  <c r="D115" i="7"/>
  <c r="D116" i="7"/>
  <c r="D117" i="7"/>
  <c r="D113" i="7"/>
  <c r="D106" i="7"/>
  <c r="D107" i="7"/>
  <c r="D108" i="7"/>
  <c r="D109" i="7"/>
  <c r="D105" i="7"/>
  <c r="D96" i="7"/>
  <c r="D97" i="7"/>
  <c r="D98" i="7"/>
  <c r="D99" i="7"/>
  <c r="D95" i="7"/>
  <c r="D87" i="7"/>
  <c r="D88" i="7"/>
  <c r="D89" i="7"/>
  <c r="D90" i="7"/>
  <c r="D91" i="7"/>
  <c r="D92" i="7"/>
  <c r="D86" i="7"/>
  <c r="D76" i="7"/>
  <c r="D77" i="7"/>
  <c r="D78" i="7"/>
  <c r="D79" i="7"/>
  <c r="D80" i="7"/>
  <c r="D81" i="7"/>
  <c r="D82" i="7"/>
  <c r="D75" i="7"/>
  <c r="D65" i="7"/>
  <c r="D66" i="7"/>
  <c r="D67" i="7"/>
  <c r="D68" i="7"/>
  <c r="D69" i="7"/>
  <c r="D63" i="7"/>
  <c r="D56" i="7"/>
  <c r="D57" i="7"/>
  <c r="D58" i="7"/>
  <c r="D59" i="7"/>
  <c r="D60" i="7"/>
  <c r="D54" i="7"/>
  <c r="D50" i="7"/>
  <c r="D51" i="7"/>
  <c r="D49" i="7"/>
  <c r="W96" i="8"/>
  <c r="W126" i="8"/>
  <c r="Q6" i="31" l="1"/>
  <c r="R6" i="31" s="1"/>
  <c r="N6" i="31"/>
  <c r="O6" i="31" s="1"/>
  <c r="O5" i="31" s="1"/>
  <c r="AC205" i="31" a="1"/>
  <c r="AC205" i="31" s="1"/>
  <c r="AD205" i="31" a="1"/>
  <c r="AD205" i="31" s="1"/>
  <c r="Z206" i="31"/>
  <c r="V206" i="31"/>
  <c r="BI220" i="38"/>
  <c r="BM220" i="38" s="1"/>
  <c r="BH220" i="38"/>
  <c r="BL220" i="38" s="1"/>
  <c r="BG220" i="38"/>
  <c r="BK220" i="38" s="1"/>
  <c r="BB205" i="31"/>
  <c r="BG205" i="31"/>
  <c r="BK205" i="31" s="1"/>
  <c r="BH205" i="31"/>
  <c r="BL205" i="31" s="1"/>
  <c r="BI205" i="31"/>
  <c r="BM205" i="31" s="1"/>
  <c r="BC220" i="38"/>
  <c r="BE220" i="38"/>
  <c r="BF220" i="38"/>
  <c r="BD220" i="38"/>
  <c r="BA220" i="38"/>
  <c r="BB220" i="38"/>
  <c r="AZ220" i="38"/>
  <c r="AW220" i="38"/>
  <c r="AX220" i="38"/>
  <c r="AS220" i="38"/>
  <c r="AT220" i="38"/>
  <c r="AU220" i="38"/>
  <c r="AV220" i="38"/>
  <c r="AQ220" i="38"/>
  <c r="AR220" i="38"/>
  <c r="AN220" i="38"/>
  <c r="AO220" i="38"/>
  <c r="AP220" i="38"/>
  <c r="AR205" i="31"/>
  <c r="AW205" i="31"/>
  <c r="AS205" i="31"/>
  <c r="AT205" i="31"/>
  <c r="AU205" i="31"/>
  <c r="AV205" i="31"/>
  <c r="AP205" i="31"/>
  <c r="AQ205" i="31"/>
  <c r="AN205" i="31"/>
  <c r="AO205" i="31"/>
  <c r="BN6" i="31"/>
  <c r="BP6" i="31"/>
  <c r="BO206" i="31"/>
  <c r="AM206" i="31"/>
  <c r="AK218" i="39"/>
  <c r="AL218" i="39"/>
  <c r="AK220" i="38"/>
  <c r="AL220" i="38"/>
  <c r="AK206" i="31"/>
  <c r="AM219" i="39"/>
  <c r="M216" i="39"/>
  <c r="BN218" i="39"/>
  <c r="P218" i="39"/>
  <c r="BO218" i="39"/>
  <c r="AM221" i="38"/>
  <c r="BN220" i="38"/>
  <c r="P220" i="38"/>
  <c r="M220" i="38" s="1"/>
  <c r="BO220" i="38"/>
  <c r="M218" i="38"/>
  <c r="G206" i="31"/>
  <c r="I206" i="31"/>
  <c r="V127" i="8"/>
  <c r="X96" i="8" a="1"/>
  <c r="X96" i="8" s="1"/>
  <c r="V97" i="8"/>
  <c r="E35" i="5"/>
  <c r="E34" i="5"/>
  <c r="D37" i="5"/>
  <c r="D36" i="5"/>
  <c r="E33" i="5"/>
  <c r="O6" i="29"/>
  <c r="L42" i="34"/>
  <c r="B53" i="34"/>
  <c r="B56" i="34" s="1"/>
  <c r="C56" i="34"/>
  <c r="B44" i="34"/>
  <c r="B52" i="34" s="1"/>
  <c r="B55" i="34" s="1"/>
  <c r="C44" i="34"/>
  <c r="C52" i="34" s="1"/>
  <c r="D58" i="34"/>
  <c r="D59" i="34" s="1"/>
  <c r="D46" i="34" s="1"/>
  <c r="H66" i="34"/>
  <c r="H69" i="34"/>
  <c r="H63" i="34"/>
  <c r="H65" i="34"/>
  <c r="H68" i="34"/>
  <c r="H67" i="34"/>
  <c r="I44" i="34"/>
  <c r="F16" i="5"/>
  <c r="F18" i="5"/>
  <c r="F17" i="5"/>
  <c r="D10" i="5"/>
  <c r="E9" i="5"/>
  <c r="E11" i="5"/>
  <c r="J19" i="5"/>
  <c r="I19" i="5"/>
  <c r="L19" i="5"/>
  <c r="A124" i="7"/>
  <c r="A125" i="7"/>
  <c r="A126" i="7"/>
  <c r="A127" i="7"/>
  <c r="A128" i="7"/>
  <c r="A123" i="7"/>
  <c r="A76" i="7"/>
  <c r="A77" i="7"/>
  <c r="A78" i="7"/>
  <c r="A79" i="7"/>
  <c r="A80" i="7"/>
  <c r="A81" i="7"/>
  <c r="A82" i="7"/>
  <c r="A75" i="7"/>
  <c r="A64" i="7"/>
  <c r="A65" i="7"/>
  <c r="A66" i="7"/>
  <c r="A67" i="7"/>
  <c r="A68" i="7"/>
  <c r="A69" i="7"/>
  <c r="A63" i="7"/>
  <c r="A55" i="7"/>
  <c r="A56" i="7"/>
  <c r="A57" i="7"/>
  <c r="A58" i="7"/>
  <c r="A59" i="7"/>
  <c r="A60" i="7"/>
  <c r="A54" i="7"/>
  <c r="A50" i="7"/>
  <c r="A51" i="7"/>
  <c r="A49" i="7"/>
  <c r="E40" i="7"/>
  <c r="E41" i="7"/>
  <c r="E42" i="7"/>
  <c r="E43" i="7"/>
  <c r="E44" i="7"/>
  <c r="E39" i="7"/>
  <c r="E32" i="7"/>
  <c r="E33" i="7"/>
  <c r="E31" i="7"/>
  <c r="E27" i="7"/>
  <c r="E28" i="7"/>
  <c r="E26" i="7"/>
  <c r="E19" i="7"/>
  <c r="E20" i="7"/>
  <c r="E21" i="7"/>
  <c r="E22" i="7"/>
  <c r="E18" i="7"/>
  <c r="E12" i="7"/>
  <c r="E13" i="7"/>
  <c r="E14" i="7"/>
  <c r="E15" i="7"/>
  <c r="E11" i="7"/>
  <c r="D40" i="7"/>
  <c r="D41" i="7"/>
  <c r="D42" i="7"/>
  <c r="D43" i="7"/>
  <c r="D44" i="7"/>
  <c r="D39" i="7"/>
  <c r="D32" i="7"/>
  <c r="D33" i="7"/>
  <c r="D31" i="7"/>
  <c r="D27" i="7"/>
  <c r="D28" i="7"/>
  <c r="D26" i="7"/>
  <c r="D19" i="7"/>
  <c r="D20" i="7"/>
  <c r="D21" i="7"/>
  <c r="D22" i="7"/>
  <c r="D18" i="7"/>
  <c r="D12" i="7"/>
  <c r="D13" i="7"/>
  <c r="D14" i="7"/>
  <c r="D15" i="7"/>
  <c r="D11" i="7"/>
  <c r="W127" i="8"/>
  <c r="W97" i="8"/>
  <c r="R5" i="31" l="1"/>
  <c r="AC206" i="31" a="1"/>
  <c r="AC206" i="31" s="1"/>
  <c r="AD206" i="31" s="1" a="1"/>
  <c r="AD206" i="31" s="1"/>
  <c r="BG219" i="39"/>
  <c r="BK219" i="39" s="1"/>
  <c r="BH219" i="39"/>
  <c r="BL219" i="39" s="1"/>
  <c r="BI219" i="39"/>
  <c r="BM219" i="39" s="1"/>
  <c r="BI221" i="38"/>
  <c r="BM221" i="38" s="1"/>
  <c r="BH221" i="38"/>
  <c r="BL221" i="38" s="1"/>
  <c r="BG221" i="38"/>
  <c r="BK221" i="38" s="1"/>
  <c r="BB206" i="31"/>
  <c r="BG206" i="31"/>
  <c r="BK206" i="31" s="1"/>
  <c r="BH206" i="31"/>
  <c r="BL206" i="31" s="1"/>
  <c r="BI206" i="31"/>
  <c r="BM206" i="31" s="1"/>
  <c r="AY220" i="38"/>
  <c r="BC221" i="38"/>
  <c r="BD221" i="38"/>
  <c r="BE221" i="38"/>
  <c r="BF221" i="38"/>
  <c r="AX221" i="38"/>
  <c r="AZ221" i="38"/>
  <c r="BB221" i="38"/>
  <c r="AW221" i="38"/>
  <c r="BA221" i="38"/>
  <c r="AV221" i="38"/>
  <c r="AS221" i="38"/>
  <c r="AT221" i="38"/>
  <c r="AU221" i="38"/>
  <c r="AN221" i="38"/>
  <c r="AP221" i="38"/>
  <c r="AQ221" i="38"/>
  <c r="AR221" i="38"/>
  <c r="AR206" i="31"/>
  <c r="AW206" i="31"/>
  <c r="AR219" i="39"/>
  <c r="AW219" i="39"/>
  <c r="M218" i="39"/>
  <c r="AT218" i="39"/>
  <c r="AU219" i="39"/>
  <c r="AV219" i="39"/>
  <c r="AN219" i="39"/>
  <c r="AX219" i="39"/>
  <c r="AO219" i="39"/>
  <c r="AP219" i="39"/>
  <c r="AZ219" i="39"/>
  <c r="AQ219" i="39"/>
  <c r="AS219" i="39"/>
  <c r="AT219" i="39"/>
  <c r="AS206" i="31"/>
  <c r="AV206" i="31"/>
  <c r="AT206" i="31"/>
  <c r="AU206" i="31"/>
  <c r="AP206" i="31"/>
  <c r="AQ206" i="31"/>
  <c r="AN206" i="31"/>
  <c r="AO206" i="31"/>
  <c r="BO6" i="31"/>
  <c r="BO207" i="31"/>
  <c r="AM207" i="31"/>
  <c r="AK221" i="38"/>
  <c r="AL221" i="38"/>
  <c r="AK207" i="31"/>
  <c r="BN219" i="39"/>
  <c r="BO219" i="39"/>
  <c r="P219" i="39"/>
  <c r="M219" i="39" s="1"/>
  <c r="BN221" i="38"/>
  <c r="P221" i="38"/>
  <c r="P216" i="38" s="1"/>
  <c r="BO221" i="38"/>
  <c r="G207" i="31"/>
  <c r="I207" i="31"/>
  <c r="V128" i="8"/>
  <c r="X97" i="8" a="1"/>
  <c r="X97" i="8" s="1"/>
  <c r="V98" i="8"/>
  <c r="C55" i="34"/>
  <c r="C59" i="34"/>
  <c r="D48" i="34"/>
  <c r="D47" i="34"/>
  <c r="D50" i="34"/>
  <c r="D49" i="34"/>
  <c r="D17" i="5"/>
  <c r="E17" i="5"/>
  <c r="E18" i="5"/>
  <c r="D18" i="5"/>
  <c r="D16" i="5"/>
  <c r="E16" i="5"/>
  <c r="W98" i="8"/>
  <c r="W128" i="8"/>
  <c r="AC207" i="31" l="1" a="1"/>
  <c r="AC207" i="31" s="1"/>
  <c r="AD207" i="31" a="1"/>
  <c r="AD207" i="31" s="1"/>
  <c r="M214" i="39"/>
  <c r="AO221" i="38"/>
  <c r="BB207" i="31"/>
  <c r="BI207" i="31"/>
  <c r="BM207" i="31" s="1"/>
  <c r="BH207" i="31"/>
  <c r="BL207" i="31" s="1"/>
  <c r="BG207" i="31"/>
  <c r="BK207" i="31" s="1"/>
  <c r="AY221" i="38"/>
  <c r="AR207" i="31"/>
  <c r="AW207" i="31"/>
  <c r="AY219" i="39"/>
  <c r="AS207" i="31"/>
  <c r="AT207" i="31"/>
  <c r="AU207" i="31"/>
  <c r="AV207" i="31"/>
  <c r="BO208" i="31"/>
  <c r="AM208" i="31"/>
  <c r="P214" i="39"/>
  <c r="M221" i="38"/>
  <c r="M216" i="38" s="1"/>
  <c r="G208" i="31"/>
  <c r="I208" i="31"/>
  <c r="V129" i="8"/>
  <c r="X98" i="8" a="1"/>
  <c r="X98" i="8" s="1"/>
  <c r="V99" i="8"/>
  <c r="B50" i="34"/>
  <c r="B46" i="34"/>
  <c r="B49" i="34"/>
  <c r="B47" i="34"/>
  <c r="B48" i="34"/>
  <c r="C50" i="34"/>
  <c r="C46" i="34"/>
  <c r="C49" i="34"/>
  <c r="C48" i="34"/>
  <c r="C47" i="34"/>
  <c r="C3" i="11"/>
  <c r="W129" i="8"/>
  <c r="W99" i="8"/>
  <c r="AC208" i="31" l="1" a="1"/>
  <c r="AC208" i="31" s="1"/>
  <c r="AD208" i="31" a="1"/>
  <c r="AD208" i="31" s="1"/>
  <c r="BG208" i="31"/>
  <c r="BK208" i="31" s="1"/>
  <c r="BI208" i="31"/>
  <c r="BM208" i="31" s="1"/>
  <c r="BH208" i="31"/>
  <c r="BL208" i="31" s="1"/>
  <c r="AW208" i="31"/>
  <c r="AU208" i="31"/>
  <c r="AV208" i="31"/>
  <c r="AS208" i="31"/>
  <c r="AT208" i="31"/>
  <c r="AM228" i="39"/>
  <c r="AM229" i="38"/>
  <c r="V130" i="8"/>
  <c r="V100" i="8"/>
  <c r="H17" i="34"/>
  <c r="K17" i="34" s="1"/>
  <c r="G21" i="34"/>
  <c r="K12" i="34" s="1"/>
  <c r="L19" i="34"/>
  <c r="W100" i="8"/>
  <c r="W130" i="8"/>
  <c r="BB228" i="39" l="1"/>
  <c r="BG228" i="39"/>
  <c r="BK228" i="39" s="1"/>
  <c r="BH228" i="39"/>
  <c r="BL228" i="39" s="1"/>
  <c r="BI228" i="39"/>
  <c r="BM228" i="39" s="1"/>
  <c r="BI229" i="38"/>
  <c r="BM229" i="38" s="1"/>
  <c r="BH229" i="38"/>
  <c r="BL229" i="38" s="1"/>
  <c r="BG229" i="38"/>
  <c r="BK229" i="38" s="1"/>
  <c r="BC229" i="38"/>
  <c r="BD229" i="38"/>
  <c r="BE229" i="38"/>
  <c r="BF229" i="38"/>
  <c r="AX229" i="38"/>
  <c r="AY229" i="38"/>
  <c r="AZ229" i="38"/>
  <c r="BA229" i="38"/>
  <c r="BB229" i="38"/>
  <c r="AW229" i="38"/>
  <c r="AV229" i="38"/>
  <c r="AS229" i="38"/>
  <c r="AT229" i="38"/>
  <c r="AU229" i="38"/>
  <c r="AN229" i="38"/>
  <c r="AO229" i="38"/>
  <c r="AP229" i="38"/>
  <c r="AQ229" i="38"/>
  <c r="AR229" i="38"/>
  <c r="AR228" i="39"/>
  <c r="AW228" i="39"/>
  <c r="AP228" i="39"/>
  <c r="AZ228" i="39"/>
  <c r="AQ228" i="39"/>
  <c r="BA228" i="39"/>
  <c r="AS228" i="39"/>
  <c r="AT228" i="39"/>
  <c r="AU228" i="39"/>
  <c r="AY228" i="39"/>
  <c r="AN228" i="39"/>
  <c r="AO228" i="39"/>
  <c r="AV228" i="39"/>
  <c r="AX228" i="39"/>
  <c r="BO215" i="31"/>
  <c r="AM215" i="31"/>
  <c r="AK228" i="39"/>
  <c r="AL228" i="39"/>
  <c r="AK229" i="38"/>
  <c r="AL229" i="38"/>
  <c r="AK215" i="31"/>
  <c r="AM231" i="39"/>
  <c r="BN228" i="39"/>
  <c r="BO228" i="39"/>
  <c r="AM232" i="38"/>
  <c r="BN229" i="38"/>
  <c r="BO229" i="38"/>
  <c r="BS215" i="31"/>
  <c r="O17" i="34"/>
  <c r="G36" i="32" s="1"/>
  <c r="V131" i="8"/>
  <c r="V101" i="8"/>
  <c r="K11" i="34"/>
  <c r="K10" i="34"/>
  <c r="K15" i="34"/>
  <c r="M15" i="34" s="1"/>
  <c r="N15" i="34" s="1"/>
  <c r="F34" i="32" s="1"/>
  <c r="D34" i="32" s="1"/>
  <c r="K16" i="34"/>
  <c r="M16" i="34" s="1"/>
  <c r="N16" i="34" s="1"/>
  <c r="F35" i="32" s="1"/>
  <c r="D35" i="32" s="1"/>
  <c r="K13" i="34"/>
  <c r="M13" i="34" s="1"/>
  <c r="N13" i="34" s="1"/>
  <c r="F32" i="32" s="1"/>
  <c r="D32" i="32" s="1"/>
  <c r="K14" i="34"/>
  <c r="M14" i="34" s="1"/>
  <c r="N14" i="34" s="1"/>
  <c r="F33" i="32" s="1"/>
  <c r="D33" i="32" s="1"/>
  <c r="M12" i="34"/>
  <c r="N12" i="34" s="1"/>
  <c r="F31" i="32" s="1"/>
  <c r="D31" i="32" s="1"/>
  <c r="K18" i="34"/>
  <c r="K20" i="34" s="1"/>
  <c r="L17" i="34"/>
  <c r="P17" i="34" s="1"/>
  <c r="G37" i="32" s="1"/>
  <c r="W101" i="8"/>
  <c r="W131" i="8"/>
  <c r="BB231" i="39" l="1"/>
  <c r="BG231" i="39"/>
  <c r="BK231" i="39" s="1"/>
  <c r="BH231" i="39"/>
  <c r="BL231" i="39" s="1"/>
  <c r="BI231" i="39"/>
  <c r="BM231" i="39" s="1"/>
  <c r="BI232" i="38"/>
  <c r="BM232" i="38" s="1"/>
  <c r="BH232" i="38"/>
  <c r="BL232" i="38" s="1"/>
  <c r="BG232" i="38"/>
  <c r="BK232" i="38" s="1"/>
  <c r="BG215" i="31"/>
  <c r="BK215" i="31" s="1"/>
  <c r="BH215" i="31"/>
  <c r="BL215" i="31" s="1"/>
  <c r="BI215" i="31"/>
  <c r="BM215" i="31" s="1"/>
  <c r="AW215" i="31"/>
  <c r="BB215" i="31"/>
  <c r="AR215" i="31"/>
  <c r="BC232" i="38"/>
  <c r="BE232" i="38"/>
  <c r="BF232" i="38"/>
  <c r="BD232" i="38"/>
  <c r="AY232" i="38"/>
  <c r="AZ232" i="38"/>
  <c r="BA232" i="38"/>
  <c r="BB232" i="38"/>
  <c r="AX232" i="38"/>
  <c r="AW232" i="38"/>
  <c r="AS232" i="38"/>
  <c r="AT232" i="38"/>
  <c r="AU232" i="38"/>
  <c r="AV232" i="38"/>
  <c r="AN232" i="38"/>
  <c r="AO232" i="38"/>
  <c r="AP232" i="38"/>
  <c r="AQ232" i="38"/>
  <c r="AR232" i="38"/>
  <c r="AS215" i="31"/>
  <c r="AT215" i="31"/>
  <c r="AU215" i="31"/>
  <c r="AV215" i="31"/>
  <c r="AR231" i="39"/>
  <c r="AW231" i="39"/>
  <c r="AU231" i="39"/>
  <c r="AV231" i="39"/>
  <c r="AN231" i="39"/>
  <c r="AX231" i="39"/>
  <c r="AO231" i="39"/>
  <c r="AY231" i="39"/>
  <c r="AP231" i="39"/>
  <c r="AZ231" i="39"/>
  <c r="AQ231" i="39"/>
  <c r="AS231" i="39"/>
  <c r="AT231" i="39"/>
  <c r="BA231" i="39"/>
  <c r="AY215" i="31"/>
  <c r="AZ215" i="31"/>
  <c r="BA215" i="31"/>
  <c r="AX215" i="31"/>
  <c r="AP215" i="31"/>
  <c r="AQ215" i="31"/>
  <c r="AO215" i="31"/>
  <c r="AN215" i="31"/>
  <c r="BO218" i="31"/>
  <c r="AM218" i="31"/>
  <c r="AK231" i="39"/>
  <c r="AL231" i="39"/>
  <c r="AK232" i="38"/>
  <c r="AL232" i="38"/>
  <c r="AK218" i="31"/>
  <c r="BN231" i="39"/>
  <c r="BO231" i="39"/>
  <c r="BN232" i="38"/>
  <c r="BO232" i="38"/>
  <c r="X131" i="8" a="1"/>
  <c r="X131" i="8" s="1"/>
  <c r="X101" i="8" a="1"/>
  <c r="X101" i="8" s="1"/>
  <c r="M10" i="34"/>
  <c r="N10" i="34" s="1"/>
  <c r="F29" i="32" s="1"/>
  <c r="D29" i="32" s="1"/>
  <c r="M11" i="34"/>
  <c r="N11" i="34" s="1"/>
  <c r="F30" i="32" s="1"/>
  <c r="D30" i="32" s="1"/>
  <c r="L18" i="34"/>
  <c r="L20" i="34" s="1"/>
  <c r="M20" i="34" s="1"/>
  <c r="M22" i="34" s="1"/>
  <c r="R14" i="32" s="1"/>
  <c r="M17" i="34"/>
  <c r="N17" i="34" s="1"/>
  <c r="BG218" i="31" l="1"/>
  <c r="BK218" i="31" s="1"/>
  <c r="BH218" i="31"/>
  <c r="BL218" i="31" s="1"/>
  <c r="BI218" i="31"/>
  <c r="BM218" i="31" s="1"/>
  <c r="BB218" i="31"/>
  <c r="AW218" i="31"/>
  <c r="AR218" i="31"/>
  <c r="AU218" i="31"/>
  <c r="AV218" i="31"/>
  <c r="AT218" i="31"/>
  <c r="AS218" i="31"/>
  <c r="BA218" i="31"/>
  <c r="AZ218" i="31"/>
  <c r="AY218" i="31"/>
  <c r="AX218" i="31"/>
  <c r="AQ218" i="31"/>
  <c r="AO218" i="31"/>
  <c r="AN218" i="31"/>
  <c r="AP218" i="31"/>
  <c r="M227" i="39"/>
  <c r="M213" i="39" s="1"/>
  <c r="O17" i="40" s="1"/>
  <c r="Z17" i="40" s="1"/>
  <c r="P227" i="39"/>
  <c r="P213" i="39" s="1"/>
  <c r="Q17" i="40" s="1"/>
  <c r="P228" i="38"/>
  <c r="P215" i="38" s="1"/>
  <c r="K17" i="40" s="1"/>
  <c r="M228" i="38"/>
  <c r="M215" i="38" s="1"/>
  <c r="K22" i="32"/>
  <c r="C3" i="32"/>
  <c r="D37" i="33"/>
  <c r="D36" i="33"/>
  <c r="D35" i="33"/>
  <c r="D32" i="33"/>
  <c r="D33" i="33"/>
  <c r="D34" i="33"/>
  <c r="D31" i="33"/>
  <c r="D30" i="33"/>
  <c r="D28" i="33"/>
  <c r="D29" i="33"/>
  <c r="D27" i="33"/>
  <c r="D26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J36" i="30"/>
  <c r="C11" i="32"/>
  <c r="B11" i="32"/>
  <c r="D4" i="7"/>
  <c r="D5" i="7"/>
  <c r="D6" i="7"/>
  <c r="D7" i="7"/>
  <c r="D8" i="7"/>
  <c r="D3" i="7"/>
  <c r="E4" i="7"/>
  <c r="E5" i="7"/>
  <c r="E6" i="7"/>
  <c r="E7" i="7"/>
  <c r="E8" i="7"/>
  <c r="E3" i="7"/>
  <c r="I17" i="40" l="1"/>
  <c r="Y17" i="40" s="1"/>
  <c r="E9" i="29"/>
  <c r="C9" i="29" s="1"/>
  <c r="J31" i="30"/>
  <c r="C6" i="32"/>
  <c r="C4" i="32" s="1"/>
  <c r="E7" i="29"/>
  <c r="C38" i="33"/>
  <c r="E35" i="33"/>
  <c r="C39" i="33"/>
  <c r="C5" i="32" l="1"/>
  <c r="J5" i="30" s="1"/>
  <c r="E10" i="29"/>
  <c r="G56" i="5"/>
  <c r="J56" i="5" s="1"/>
  <c r="L55" i="5"/>
  <c r="K55" i="5"/>
  <c r="J55" i="5"/>
  <c r="I55" i="5"/>
  <c r="L54" i="5"/>
  <c r="K54" i="5"/>
  <c r="J54" i="5"/>
  <c r="I54" i="5"/>
  <c r="L53" i="5"/>
  <c r="K53" i="5"/>
  <c r="J53" i="5"/>
  <c r="I53" i="5"/>
  <c r="G52" i="5"/>
  <c r="K52" i="5" s="1"/>
  <c r="G51" i="5"/>
  <c r="L51" i="5" s="1"/>
  <c r="F46" i="30"/>
  <c r="E46" i="30" s="1"/>
  <c r="E244" i="31" s="1"/>
  <c r="F44" i="30"/>
  <c r="E44" i="30" s="1"/>
  <c r="F43" i="30"/>
  <c r="E43" i="30" s="1"/>
  <c r="E241" i="31" s="1"/>
  <c r="F41" i="30"/>
  <c r="E41" i="30" s="1"/>
  <c r="F39" i="30"/>
  <c r="E39" i="30" s="1"/>
  <c r="E236" i="31" s="1"/>
  <c r="S12" i="2"/>
  <c r="S3" i="2"/>
  <c r="F27" i="30"/>
  <c r="F32" i="30"/>
  <c r="E32" i="30" s="1"/>
  <c r="AG139" i="31" l="1"/>
  <c r="AG137" i="31"/>
  <c r="AG138" i="31"/>
  <c r="S119" i="31"/>
  <c r="AI119" i="31" s="1"/>
  <c r="AG119" i="31"/>
  <c r="S117" i="31"/>
  <c r="AI117" i="31" s="1"/>
  <c r="AG117" i="31"/>
  <c r="AG114" i="31"/>
  <c r="S116" i="31"/>
  <c r="AI116" i="31" s="1"/>
  <c r="AG116" i="31"/>
  <c r="AG115" i="31"/>
  <c r="AG206" i="31"/>
  <c r="AG207" i="31"/>
  <c r="AG205" i="31"/>
  <c r="Q214" i="31"/>
  <c r="AG214" i="31" s="1"/>
  <c r="N214" i="31"/>
  <c r="AE214" i="31" s="1"/>
  <c r="AG208" i="31"/>
  <c r="J10" i="30"/>
  <c r="C30" i="33" s="1"/>
  <c r="C27" i="33"/>
  <c r="E184" i="31"/>
  <c r="E238" i="31"/>
  <c r="E242" i="31"/>
  <c r="G50" i="5"/>
  <c r="I50" i="5" s="1"/>
  <c r="I51" i="5"/>
  <c r="J51" i="5"/>
  <c r="K51" i="5"/>
  <c r="K56" i="5"/>
  <c r="L56" i="5"/>
  <c r="L52" i="5"/>
  <c r="I52" i="5"/>
  <c r="J50" i="5"/>
  <c r="K50" i="5"/>
  <c r="L50" i="5"/>
  <c r="J52" i="5"/>
  <c r="I56" i="5"/>
  <c r="F36" i="30"/>
  <c r="E36" i="30" s="1"/>
  <c r="F25" i="30"/>
  <c r="E25" i="30" s="1"/>
  <c r="F24" i="30"/>
  <c r="E24" i="30" s="1"/>
  <c r="F18" i="30"/>
  <c r="E18" i="30" s="1"/>
  <c r="G41" i="7"/>
  <c r="G39" i="7"/>
  <c r="G40" i="7" s="1"/>
  <c r="W146" i="7"/>
  <c r="AN116" i="31" l="1"/>
  <c r="W117" i="31"/>
  <c r="W119" i="31"/>
  <c r="BQ214" i="31"/>
  <c r="AX137" i="31"/>
  <c r="AX114" i="31"/>
  <c r="AX138" i="31"/>
  <c r="AX117" i="31"/>
  <c r="AZ119" i="31"/>
  <c r="AX205" i="31"/>
  <c r="AP207" i="31"/>
  <c r="AU139" i="31"/>
  <c r="AN115" i="31"/>
  <c r="AP208" i="31"/>
  <c r="AX206" i="31"/>
  <c r="AQ116" i="31"/>
  <c r="D102" i="41"/>
  <c r="AX207" i="31"/>
  <c r="AN207" i="31"/>
  <c r="BA119" i="31"/>
  <c r="D105" i="41"/>
  <c r="AX208" i="31"/>
  <c r="AN208" i="31"/>
  <c r="BA117" i="31"/>
  <c r="D103" i="41"/>
  <c r="AX139" i="31"/>
  <c r="AS139" i="31"/>
  <c r="BQ207" i="31"/>
  <c r="AZ207" i="31"/>
  <c r="BQ114" i="31"/>
  <c r="AZ114" i="31"/>
  <c r="BQ138" i="31"/>
  <c r="AZ138" i="31"/>
  <c r="BQ206" i="31"/>
  <c r="AZ206" i="31"/>
  <c r="BQ205" i="31"/>
  <c r="AZ205" i="31"/>
  <c r="BQ208" i="31"/>
  <c r="AZ208" i="31"/>
  <c r="BQ117" i="31"/>
  <c r="AZ117" i="31"/>
  <c r="BQ137" i="31"/>
  <c r="AZ137" i="31"/>
  <c r="BQ139" i="31"/>
  <c r="AZ139" i="31"/>
  <c r="N118" i="31"/>
  <c r="AE118" i="31" s="1"/>
  <c r="AX119" i="31"/>
  <c r="BQ115" i="31"/>
  <c r="AP115" i="31"/>
  <c r="BQ116" i="31"/>
  <c r="AP116" i="31"/>
  <c r="Q118" i="31"/>
  <c r="AG118" i="31" s="1"/>
  <c r="BQ119" i="31"/>
  <c r="T117" i="31"/>
  <c r="V117" i="31" s="1"/>
  <c r="AL117" i="31"/>
  <c r="S118" i="31"/>
  <c r="AI118" i="31" s="1"/>
  <c r="AL119" i="31"/>
  <c r="L89" i="39" a="1"/>
  <c r="L89" i="39" s="1"/>
  <c r="L89" i="38" a="1"/>
  <c r="L89" i="38" s="1"/>
  <c r="Q113" i="31"/>
  <c r="AG113" i="31" s="1"/>
  <c r="N136" i="31"/>
  <c r="AE136" i="31" s="1"/>
  <c r="Q136" i="31"/>
  <c r="AG136" i="31" s="1"/>
  <c r="N113" i="31"/>
  <c r="AE113" i="31" s="1"/>
  <c r="N204" i="31"/>
  <c r="AE204" i="31" s="1"/>
  <c r="Q204" i="31"/>
  <c r="AG204" i="31" s="1"/>
  <c r="L83" i="31" a="1"/>
  <c r="L83" i="31" s="1"/>
  <c r="I57" i="5"/>
  <c r="N57" i="5" s="1"/>
  <c r="E113" i="31"/>
  <c r="E136" i="31"/>
  <c r="E204" i="31"/>
  <c r="L57" i="5"/>
  <c r="Q57" i="5" s="1"/>
  <c r="W20" i="2" s="1"/>
  <c r="K57" i="5"/>
  <c r="H20" i="2" s="1"/>
  <c r="V147" i="7"/>
  <c r="E82" i="31"/>
  <c r="J57" i="5"/>
  <c r="O57" i="5" s="1"/>
  <c r="W147" i="7"/>
  <c r="AM89" i="39" l="1"/>
  <c r="BH89" i="39" s="1"/>
  <c r="BL89" i="39" s="1"/>
  <c r="Z89" i="39"/>
  <c r="V89" i="39"/>
  <c r="X89" i="39"/>
  <c r="W89" i="39"/>
  <c r="V89" i="38"/>
  <c r="Y89" i="38"/>
  <c r="Z89" i="38"/>
  <c r="W89" i="38"/>
  <c r="AM89" i="38"/>
  <c r="BI89" i="38" s="1"/>
  <c r="BM89" i="38" s="1"/>
  <c r="D104" i="41"/>
  <c r="W118" i="31"/>
  <c r="BQ136" i="31"/>
  <c r="BQ113" i="31"/>
  <c r="N203" i="31"/>
  <c r="AE203" i="31" s="1"/>
  <c r="BQ118" i="31"/>
  <c r="X83" i="31"/>
  <c r="V83" i="31"/>
  <c r="Z83" i="31"/>
  <c r="AK117" i="31"/>
  <c r="BB117" i="31"/>
  <c r="Q203" i="31"/>
  <c r="AG203" i="31" s="1"/>
  <c r="BQ204" i="31"/>
  <c r="BO83" i="31"/>
  <c r="AM83" i="31"/>
  <c r="N112" i="31"/>
  <c r="AE112" i="31" s="1"/>
  <c r="AK89" i="39"/>
  <c r="AL89" i="39"/>
  <c r="AK89" i="38"/>
  <c r="AL89" i="38"/>
  <c r="AK83" i="31"/>
  <c r="Q112" i="31"/>
  <c r="AG112" i="31" s="1"/>
  <c r="L90" i="39" a="1"/>
  <c r="L90" i="39" s="1"/>
  <c r="BN89" i="39"/>
  <c r="BO89" i="39"/>
  <c r="P89" i="39"/>
  <c r="L90" i="38" a="1"/>
  <c r="L90" i="38" s="1"/>
  <c r="BN89" i="38"/>
  <c r="P89" i="38"/>
  <c r="BO89" i="38"/>
  <c r="P57" i="5"/>
  <c r="V20" i="2" s="1"/>
  <c r="G83" i="31"/>
  <c r="I83" i="31"/>
  <c r="L84" i="31" a="1"/>
  <c r="L84" i="31" s="1"/>
  <c r="J20" i="2"/>
  <c r="V148" i="7"/>
  <c r="L40" i="7"/>
  <c r="L41" i="7"/>
  <c r="L42" i="7"/>
  <c r="L43" i="7"/>
  <c r="L44" i="7"/>
  <c r="L39" i="7"/>
  <c r="K40" i="7"/>
  <c r="K41" i="7"/>
  <c r="K42" i="7"/>
  <c r="K43" i="7"/>
  <c r="K44" i="7"/>
  <c r="K39" i="7"/>
  <c r="J40" i="7"/>
  <c r="J41" i="7"/>
  <c r="J42" i="7"/>
  <c r="J43" i="7"/>
  <c r="J44" i="7"/>
  <c r="J39" i="7"/>
  <c r="I40" i="7"/>
  <c r="I41" i="7"/>
  <c r="I42" i="7"/>
  <c r="I43" i="7"/>
  <c r="I44" i="7"/>
  <c r="I39" i="7"/>
  <c r="F34" i="30"/>
  <c r="E34" i="30" s="1"/>
  <c r="F33" i="30"/>
  <c r="E33" i="30" s="1"/>
  <c r="F31" i="30"/>
  <c r="E31" i="30" s="1"/>
  <c r="F12" i="30"/>
  <c r="E12" i="30" s="1"/>
  <c r="F10" i="30"/>
  <c r="E10" i="30" s="1"/>
  <c r="F8" i="30"/>
  <c r="E8" i="30" s="1"/>
  <c r="F49" i="30"/>
  <c r="E49" i="30" s="1"/>
  <c r="E247" i="31" s="1"/>
  <c r="F47" i="30"/>
  <c r="E47" i="30" s="1"/>
  <c r="E245" i="31" s="1"/>
  <c r="F42" i="30"/>
  <c r="E42" i="30" s="1"/>
  <c r="E239" i="31" s="1"/>
  <c r="F38" i="30"/>
  <c r="E38" i="30" s="1"/>
  <c r="E235" i="31" s="1"/>
  <c r="F29" i="30"/>
  <c r="E29" i="30" s="1"/>
  <c r="F28" i="30"/>
  <c r="E28" i="30" s="1"/>
  <c r="E27" i="30"/>
  <c r="F22" i="30"/>
  <c r="E22" i="30" s="1"/>
  <c r="F20" i="30"/>
  <c r="E20" i="30" s="1"/>
  <c r="F16" i="30"/>
  <c r="E16" i="30" s="1"/>
  <c r="F14" i="30"/>
  <c r="E14" i="30" s="1"/>
  <c r="W46" i="8"/>
  <c r="W195" i="7"/>
  <c r="W3" i="7"/>
  <c r="Y50" i="5"/>
  <c r="Y3" i="5"/>
  <c r="W48" i="7"/>
  <c r="W56" i="8"/>
  <c r="W154" i="7"/>
  <c r="W148" i="7"/>
  <c r="Y26" i="5"/>
  <c r="AC83" i="31" l="1" a="1"/>
  <c r="AC83" i="31" s="1"/>
  <c r="AD83" i="31" s="1" a="1"/>
  <c r="AD83" i="31" s="1"/>
  <c r="BG89" i="39"/>
  <c r="BK89" i="39" s="1"/>
  <c r="BB89" i="39"/>
  <c r="AS89" i="39"/>
  <c r="BA89" i="39"/>
  <c r="AQ89" i="39"/>
  <c r="AZ89" i="39"/>
  <c r="AY89" i="39"/>
  <c r="AV89" i="39"/>
  <c r="AU89" i="39"/>
  <c r="AT89" i="39"/>
  <c r="AX89" i="39"/>
  <c r="AN89" i="39"/>
  <c r="AW89" i="39"/>
  <c r="AR89" i="39"/>
  <c r="AP89" i="39"/>
  <c r="AO89" i="39"/>
  <c r="BI89" i="39"/>
  <c r="BM89" i="39" s="1"/>
  <c r="AM90" i="39"/>
  <c r="BG90" i="39" s="1"/>
  <c r="BK90" i="39" s="1"/>
  <c r="W90" i="39"/>
  <c r="X90" i="39"/>
  <c r="Z90" i="39"/>
  <c r="V90" i="39"/>
  <c r="AY89" i="38"/>
  <c r="AX89" i="38"/>
  <c r="AZ89" i="38"/>
  <c r="AN89" i="38"/>
  <c r="AV89" i="38"/>
  <c r="AT89" i="38"/>
  <c r="AP89" i="38"/>
  <c r="AU89" i="38"/>
  <c r="AS89" i="38"/>
  <c r="AW89" i="38"/>
  <c r="BA89" i="38"/>
  <c r="BB89" i="38"/>
  <c r="BF89" i="38"/>
  <c r="BE89" i="38"/>
  <c r="V90" i="38"/>
  <c r="W90" i="38"/>
  <c r="Z90" i="38"/>
  <c r="Y90" i="38"/>
  <c r="BD89" i="38"/>
  <c r="BC89" i="38"/>
  <c r="BH89" i="38"/>
  <c r="BL89" i="38" s="1"/>
  <c r="BG89" i="38"/>
  <c r="BK89" i="38" s="1"/>
  <c r="AQ89" i="38"/>
  <c r="AO89" i="38"/>
  <c r="AR89" i="38"/>
  <c r="AM90" i="38"/>
  <c r="BI90" i="38" s="1"/>
  <c r="BM90" i="38" s="1"/>
  <c r="D17" i="40"/>
  <c r="D14" i="40"/>
  <c r="Z84" i="31"/>
  <c r="X84" i="31"/>
  <c r="V84" i="31"/>
  <c r="BB83" i="31"/>
  <c r="BG83" i="31"/>
  <c r="BK83" i="31" s="1"/>
  <c r="BH83" i="31"/>
  <c r="BL83" i="31" s="1"/>
  <c r="BI83" i="31"/>
  <c r="BM83" i="31" s="1"/>
  <c r="AR83" i="31"/>
  <c r="AW83" i="31"/>
  <c r="AS83" i="31"/>
  <c r="AT83" i="31"/>
  <c r="AU83" i="31"/>
  <c r="AV83" i="31"/>
  <c r="AP83" i="31"/>
  <c r="AQ83" i="31"/>
  <c r="AN83" i="31"/>
  <c r="AO83" i="31"/>
  <c r="BQ112" i="31"/>
  <c r="F14" i="40"/>
  <c r="BQ203" i="31"/>
  <c r="F17" i="40"/>
  <c r="BO84" i="31"/>
  <c r="AM84" i="31"/>
  <c r="AK90" i="39"/>
  <c r="AL90" i="39"/>
  <c r="AK90" i="38"/>
  <c r="AL90" i="38"/>
  <c r="AK84" i="31"/>
  <c r="L91" i="39" a="1"/>
  <c r="L91" i="39" s="1"/>
  <c r="L98" i="39" a="1"/>
  <c r="L98" i="39" s="1"/>
  <c r="L68" i="39" a="1"/>
  <c r="L68" i="39" s="1"/>
  <c r="L169" i="39" a="1"/>
  <c r="L169" i="39" s="1"/>
  <c r="M89" i="39"/>
  <c r="BN90" i="39"/>
  <c r="BO90" i="39"/>
  <c r="P90" i="39"/>
  <c r="M90" i="39" s="1"/>
  <c r="L91" i="38" a="1"/>
  <c r="L91" i="38" s="1"/>
  <c r="L98" i="38" a="1"/>
  <c r="L98" i="38" s="1"/>
  <c r="L68" i="38" a="1"/>
  <c r="L68" i="38" s="1"/>
  <c r="L170" i="38" a="1"/>
  <c r="L170" i="38" s="1"/>
  <c r="BN90" i="38"/>
  <c r="BO90" i="38"/>
  <c r="P90" i="38"/>
  <c r="M90" i="38" s="1"/>
  <c r="M89" i="38"/>
  <c r="G84" i="31"/>
  <c r="I84" i="31"/>
  <c r="L158" i="31" a="1"/>
  <c r="L158" i="31" s="1"/>
  <c r="X56" i="8" a="1"/>
  <c r="X56" i="8" s="1"/>
  <c r="I158" i="31"/>
  <c r="V57" i="8"/>
  <c r="L92" i="31" a="1"/>
  <c r="L92" i="31" s="1"/>
  <c r="L85" i="31" a="1"/>
  <c r="L85" i="31" s="1"/>
  <c r="L64" i="31" a="1"/>
  <c r="L64" i="31" s="1"/>
  <c r="Z50" i="5" a="1"/>
  <c r="Z50" i="5" s="1"/>
  <c r="Z26" i="5" a="1"/>
  <c r="Z26" i="5" s="1"/>
  <c r="Z3" i="5" a="1"/>
  <c r="Z3" i="5" s="1"/>
  <c r="AB66" i="2"/>
  <c r="AB26" i="2"/>
  <c r="AB28" i="2"/>
  <c r="AB29" i="2"/>
  <c r="AB34" i="2"/>
  <c r="AB35" i="2"/>
  <c r="AB36" i="2"/>
  <c r="AB37" i="2"/>
  <c r="AB31" i="2"/>
  <c r="AB42" i="2"/>
  <c r="AB43" i="2"/>
  <c r="AB45" i="2"/>
  <c r="AB58" i="2"/>
  <c r="AB48" i="2"/>
  <c r="AB50" i="2"/>
  <c r="AB62" i="2"/>
  <c r="E187" i="31"/>
  <c r="P73" i="2"/>
  <c r="P76" i="2"/>
  <c r="P75" i="2"/>
  <c r="E195" i="31"/>
  <c r="P80" i="2"/>
  <c r="P81" i="2"/>
  <c r="P78" i="2"/>
  <c r="P26" i="2"/>
  <c r="P28" i="2"/>
  <c r="P29" i="2"/>
  <c r="P50" i="2"/>
  <c r="P48" i="2"/>
  <c r="P58" i="2"/>
  <c r="E157" i="31"/>
  <c r="P62" i="2"/>
  <c r="P31" i="2"/>
  <c r="P34" i="2"/>
  <c r="P36" i="2"/>
  <c r="P35" i="2"/>
  <c r="P37" i="2"/>
  <c r="E166" i="31"/>
  <c r="P66" i="2"/>
  <c r="P42" i="2"/>
  <c r="P43" i="2"/>
  <c r="P45" i="2"/>
  <c r="E176" i="31"/>
  <c r="P71" i="2"/>
  <c r="P68" i="2"/>
  <c r="V47" i="8"/>
  <c r="V5" i="8"/>
  <c r="E148" i="31"/>
  <c r="X27" i="5"/>
  <c r="X4" i="5"/>
  <c r="G35" i="31"/>
  <c r="X51" i="5"/>
  <c r="E23" i="31"/>
  <c r="E12" i="31"/>
  <c r="E34" i="31"/>
  <c r="V149" i="7"/>
  <c r="R39" i="7"/>
  <c r="V196" i="7"/>
  <c r="V155" i="7"/>
  <c r="G92" i="31"/>
  <c r="E101" i="31"/>
  <c r="E91" i="31"/>
  <c r="V49" i="7"/>
  <c r="E63" i="31"/>
  <c r="X3" i="7" a="1"/>
  <c r="X3" i="7" s="1"/>
  <c r="G47" i="31"/>
  <c r="E46" i="31"/>
  <c r="I45" i="7"/>
  <c r="O39" i="7"/>
  <c r="P42" i="7"/>
  <c r="O42" i="7"/>
  <c r="Q39" i="7"/>
  <c r="R42" i="7"/>
  <c r="P39" i="7"/>
  <c r="I28" i="2"/>
  <c r="Q42" i="7"/>
  <c r="V4" i="7"/>
  <c r="Z20" i="2"/>
  <c r="AA20" i="2"/>
  <c r="O20" i="2"/>
  <c r="M20" i="2"/>
  <c r="L45" i="7"/>
  <c r="J28" i="2" s="1"/>
  <c r="K45" i="7"/>
  <c r="H28" i="2" s="1"/>
  <c r="J45" i="7"/>
  <c r="C17" i="11"/>
  <c r="C18" i="11"/>
  <c r="C10" i="2" s="1"/>
  <c r="C19" i="11"/>
  <c r="C20" i="11"/>
  <c r="C11" i="2" s="1"/>
  <c r="C16" i="11"/>
  <c r="C9" i="2" s="1"/>
  <c r="C9" i="11"/>
  <c r="C10" i="11"/>
  <c r="C11" i="11"/>
  <c r="C12" i="11"/>
  <c r="C13" i="11"/>
  <c r="C14" i="11"/>
  <c r="C8" i="11"/>
  <c r="C7" i="11"/>
  <c r="J7" i="11"/>
  <c r="W149" i="7"/>
  <c r="W196" i="7"/>
  <c r="W4" i="7"/>
  <c r="W49" i="7"/>
  <c r="W5" i="8"/>
  <c r="W57" i="8"/>
  <c r="Y27" i="5"/>
  <c r="Y51" i="5"/>
  <c r="W155" i="7"/>
  <c r="Y4" i="5"/>
  <c r="W47" i="8"/>
  <c r="AC84" i="31" l="1" a="1"/>
  <c r="AC84" i="31" s="1"/>
  <c r="AD84" i="31" s="1" a="1"/>
  <c r="AD84" i="31" s="1"/>
  <c r="AC158" i="31" a="1"/>
  <c r="AC158" i="31" s="1"/>
  <c r="AD158" i="31" a="1"/>
  <c r="AD158" i="31" s="1"/>
  <c r="AR90" i="39"/>
  <c r="BI90" i="39"/>
  <c r="BM90" i="39" s="1"/>
  <c r="AW90" i="39"/>
  <c r="AZ90" i="39"/>
  <c r="BH90" i="39"/>
  <c r="BL90" i="39" s="1"/>
  <c r="BA90" i="39"/>
  <c r="BB90" i="39"/>
  <c r="AQ90" i="39"/>
  <c r="AX90" i="39"/>
  <c r="AN90" i="39"/>
  <c r="AP90" i="39"/>
  <c r="AV90" i="39"/>
  <c r="AO90" i="39"/>
  <c r="AU90" i="39"/>
  <c r="AT90" i="39"/>
  <c r="AS90" i="39"/>
  <c r="AM169" i="39"/>
  <c r="BH169" i="39" s="1"/>
  <c r="BL169" i="39" s="1"/>
  <c r="X169" i="39"/>
  <c r="Z169" i="39"/>
  <c r="V169" i="39"/>
  <c r="W169" i="39"/>
  <c r="V68" i="39"/>
  <c r="X68" i="39"/>
  <c r="W68" i="39"/>
  <c r="Z68" i="39"/>
  <c r="AM98" i="39"/>
  <c r="AV98" i="39" s="1"/>
  <c r="X98" i="39"/>
  <c r="W98" i="39"/>
  <c r="V98" i="39"/>
  <c r="Z98" i="39"/>
  <c r="AM91" i="39"/>
  <c r="AQ91" i="39" s="1"/>
  <c r="Z91" i="39"/>
  <c r="X91" i="39"/>
  <c r="BB90" i="38"/>
  <c r="AW90" i="38"/>
  <c r="BA90" i="38"/>
  <c r="AZ90" i="38"/>
  <c r="BE90" i="38"/>
  <c r="AX90" i="38"/>
  <c r="BD90" i="38"/>
  <c r="BF90" i="38"/>
  <c r="AR90" i="38"/>
  <c r="BH90" i="38"/>
  <c r="BL90" i="38" s="1"/>
  <c r="AQ90" i="38"/>
  <c r="BG90" i="38"/>
  <c r="BK90" i="38" s="1"/>
  <c r="AP90" i="38"/>
  <c r="V170" i="38"/>
  <c r="Z170" i="38"/>
  <c r="Y170" i="38"/>
  <c r="W170" i="38"/>
  <c r="AO90" i="38"/>
  <c r="AN90" i="38"/>
  <c r="Y98" i="38"/>
  <c r="V98" i="38"/>
  <c r="Z98" i="38"/>
  <c r="W98" i="38"/>
  <c r="AV90" i="38"/>
  <c r="Z68" i="38"/>
  <c r="Y68" i="38"/>
  <c r="BC90" i="38"/>
  <c r="Z91" i="38"/>
  <c r="Y91" i="38"/>
  <c r="W91" i="38"/>
  <c r="V91" i="38"/>
  <c r="AT90" i="38"/>
  <c r="AS90" i="38"/>
  <c r="AU90" i="38"/>
  <c r="AM170" i="38"/>
  <c r="BI170" i="38" s="1"/>
  <c r="BM170" i="38" s="1"/>
  <c r="AM68" i="38"/>
  <c r="BI68" i="38" s="1"/>
  <c r="BM68" i="38" s="1"/>
  <c r="AM98" i="38"/>
  <c r="BI98" i="38" s="1"/>
  <c r="BM98" i="38" s="1"/>
  <c r="AM91" i="38"/>
  <c r="BI91" i="38" s="1"/>
  <c r="BM91" i="38" s="1"/>
  <c r="Z64" i="31"/>
  <c r="X64" i="31"/>
  <c r="V64" i="31"/>
  <c r="Z85" i="31"/>
  <c r="X85" i="31"/>
  <c r="V85" i="31"/>
  <c r="AM92" i="31"/>
  <c r="AV92" i="31" s="1"/>
  <c r="V92" i="31"/>
  <c r="Z92" i="31"/>
  <c r="X92" i="31"/>
  <c r="W92" i="31"/>
  <c r="W158" i="31"/>
  <c r="Z158" i="31"/>
  <c r="X158" i="31"/>
  <c r="V158" i="31"/>
  <c r="BB84" i="31"/>
  <c r="BI84" i="31"/>
  <c r="BM84" i="31" s="1"/>
  <c r="BH84" i="31"/>
  <c r="BL84" i="31" s="1"/>
  <c r="BG84" i="31"/>
  <c r="BK84" i="31" s="1"/>
  <c r="AR84" i="31"/>
  <c r="AW84" i="31"/>
  <c r="AY90" i="38"/>
  <c r="AY90" i="39"/>
  <c r="B59" i="44" a="1"/>
  <c r="B59" i="44" s="1"/>
  <c r="AS68" i="39"/>
  <c r="AP68" i="39"/>
  <c r="AU68" i="39"/>
  <c r="AO68" i="39"/>
  <c r="AV68" i="39"/>
  <c r="AN68" i="39"/>
  <c r="AX68" i="39"/>
  <c r="AQ68" i="39"/>
  <c r="BA68" i="39"/>
  <c r="AZ68" i="39"/>
  <c r="AU84" i="31"/>
  <c r="AS84" i="31"/>
  <c r="AV84" i="31"/>
  <c r="AT84" i="31"/>
  <c r="AP84" i="31"/>
  <c r="AQ84" i="31"/>
  <c r="AN84" i="31"/>
  <c r="AO84" i="31"/>
  <c r="BO158" i="31"/>
  <c r="AM158" i="31"/>
  <c r="BO64" i="31"/>
  <c r="AM64" i="31"/>
  <c r="BO85" i="31"/>
  <c r="AM85" i="31"/>
  <c r="AL92" i="31"/>
  <c r="BO92" i="31"/>
  <c r="AK98" i="39"/>
  <c r="AL98" i="39"/>
  <c r="AK169" i="39"/>
  <c r="AL169" i="39"/>
  <c r="AK68" i="39"/>
  <c r="AL68" i="39"/>
  <c r="AK91" i="38"/>
  <c r="AL91" i="38"/>
  <c r="AK98" i="38"/>
  <c r="AL98" i="38"/>
  <c r="AK170" i="38"/>
  <c r="AL170" i="38"/>
  <c r="AK158" i="31"/>
  <c r="AL158" i="31"/>
  <c r="AK64" i="31"/>
  <c r="AK85" i="31"/>
  <c r="AK92" i="31"/>
  <c r="L170" i="39" a="1"/>
  <c r="L170" i="39" s="1"/>
  <c r="L99" i="39" a="1"/>
  <c r="L99" i="39" s="1"/>
  <c r="L69" i="39" a="1"/>
  <c r="L69" i="39" s="1"/>
  <c r="BO169" i="39"/>
  <c r="P169" i="39"/>
  <c r="BN169" i="39"/>
  <c r="BN68" i="39"/>
  <c r="BO68" i="39"/>
  <c r="P68" i="39"/>
  <c r="AY68" i="39" s="1"/>
  <c r="BN98" i="39"/>
  <c r="P98" i="39"/>
  <c r="BO98" i="39"/>
  <c r="BN91" i="39"/>
  <c r="BO91" i="39"/>
  <c r="P91" i="39"/>
  <c r="M91" i="39" s="1"/>
  <c r="L171" i="38" a="1"/>
  <c r="L171" i="38" s="1"/>
  <c r="L99" i="38" a="1"/>
  <c r="L99" i="38" s="1"/>
  <c r="L69" i="38" a="1"/>
  <c r="L69" i="38" s="1"/>
  <c r="BN170" i="38"/>
  <c r="P170" i="38"/>
  <c r="BO170" i="38"/>
  <c r="P68" i="38"/>
  <c r="BO68" i="38"/>
  <c r="BN68" i="38"/>
  <c r="BN98" i="38"/>
  <c r="BO98" i="38"/>
  <c r="P98" i="38"/>
  <c r="BN91" i="38"/>
  <c r="P91" i="38"/>
  <c r="M91" i="38" s="1"/>
  <c r="BO91" i="38"/>
  <c r="P85" i="31"/>
  <c r="G158" i="31"/>
  <c r="G149" i="31"/>
  <c r="I149" i="31"/>
  <c r="M24" i="31"/>
  <c r="AG24" i="31"/>
  <c r="Z7" i="40"/>
  <c r="I7" i="40"/>
  <c r="Y7" i="40" s="1"/>
  <c r="G102" i="31"/>
  <c r="I102" i="31"/>
  <c r="R45" i="7"/>
  <c r="W28" i="2" s="1"/>
  <c r="I159" i="31"/>
  <c r="X57" i="8" a="1"/>
  <c r="X57" i="8" s="1"/>
  <c r="V58" i="8"/>
  <c r="L159" i="31" a="1"/>
  <c r="L159" i="31" s="1"/>
  <c r="L93" i="31" a="1"/>
  <c r="L93" i="31" s="1"/>
  <c r="L65" i="31" a="1"/>
  <c r="L65" i="31" s="1"/>
  <c r="Z51" i="5" a="1"/>
  <c r="Z51" i="5" s="1"/>
  <c r="Z27" i="5" a="1"/>
  <c r="Z27" i="5" s="1"/>
  <c r="X5" i="5"/>
  <c r="X28" i="5"/>
  <c r="Z4" i="5" a="1"/>
  <c r="Z4" i="5" s="1"/>
  <c r="V6" i="8"/>
  <c r="V48" i="8"/>
  <c r="X52" i="5"/>
  <c r="G36" i="31"/>
  <c r="V150" i="7"/>
  <c r="V197" i="7"/>
  <c r="G93" i="31"/>
  <c r="V156" i="7"/>
  <c r="V50" i="7"/>
  <c r="X4" i="7" a="1"/>
  <c r="X4" i="7" s="1"/>
  <c r="G48" i="31"/>
  <c r="F6" i="30"/>
  <c r="E6" i="30" s="1"/>
  <c r="Q45" i="7"/>
  <c r="V28" i="2" s="1"/>
  <c r="P45" i="7"/>
  <c r="O45" i="7"/>
  <c r="V5" i="7"/>
  <c r="J27" i="30"/>
  <c r="J8" i="30"/>
  <c r="J6" i="30"/>
  <c r="D8" i="2"/>
  <c r="D7" i="2"/>
  <c r="D6" i="2"/>
  <c r="D5" i="2"/>
  <c r="C99" i="2"/>
  <c r="C95" i="2"/>
  <c r="C89" i="2"/>
  <c r="C85" i="2"/>
  <c r="C82" i="2"/>
  <c r="W50" i="7"/>
  <c r="W58" i="8"/>
  <c r="W6" i="8"/>
  <c r="W156" i="7"/>
  <c r="W5" i="7"/>
  <c r="Y5" i="5"/>
  <c r="Y52" i="5"/>
  <c r="W150" i="7"/>
  <c r="W48" i="8"/>
  <c r="Y28" i="5"/>
  <c r="W197" i="7"/>
  <c r="AT98" i="39" l="1"/>
  <c r="AC149" i="31" a="1"/>
  <c r="AC149" i="31" s="1"/>
  <c r="AD149" i="31" a="1"/>
  <c r="AD149" i="31" s="1"/>
  <c r="AC159" i="31" a="1"/>
  <c r="AC159" i="31" s="1"/>
  <c r="AD159" i="31" a="1"/>
  <c r="AD159" i="31" s="1"/>
  <c r="AC102" i="31" a="1"/>
  <c r="AC102" i="31" s="1"/>
  <c r="AD102" i="31" a="1"/>
  <c r="AD102" i="31" s="1"/>
  <c r="AZ98" i="39"/>
  <c r="BI98" i="39"/>
  <c r="BM98" i="39" s="1"/>
  <c r="AS98" i="39"/>
  <c r="BG98" i="39"/>
  <c r="BK98" i="39" s="1"/>
  <c r="AU98" i="39"/>
  <c r="BG149" i="31"/>
  <c r="BK149" i="31" s="1"/>
  <c r="AP169" i="39"/>
  <c r="BI102" i="31"/>
  <c r="BM102" i="31" s="1"/>
  <c r="AT169" i="39"/>
  <c r="AZ169" i="39"/>
  <c r="BH98" i="39"/>
  <c r="BL98" i="39" s="1"/>
  <c r="BB169" i="39"/>
  <c r="AW169" i="39"/>
  <c r="BG169" i="39"/>
  <c r="BK169" i="39" s="1"/>
  <c r="AY169" i="39"/>
  <c r="BI91" i="39"/>
  <c r="BM91" i="39" s="1"/>
  <c r="AV169" i="39"/>
  <c r="AU169" i="39"/>
  <c r="BH91" i="39"/>
  <c r="BL91" i="39" s="1"/>
  <c r="AZ91" i="39"/>
  <c r="BB98" i="39"/>
  <c r="AW98" i="39"/>
  <c r="AO98" i="39"/>
  <c r="BA98" i="39"/>
  <c r="AY98" i="39"/>
  <c r="AO169" i="39"/>
  <c r="AX98" i="39"/>
  <c r="AS169" i="39"/>
  <c r="AN98" i="39"/>
  <c r="BA169" i="39"/>
  <c r="AP98" i="39"/>
  <c r="AX169" i="39"/>
  <c r="BI169" i="39"/>
  <c r="BM169" i="39" s="1"/>
  <c r="AN169" i="39"/>
  <c r="AO91" i="39"/>
  <c r="AX91" i="39"/>
  <c r="AP91" i="39"/>
  <c r="BG91" i="39"/>
  <c r="BK91" i="39" s="1"/>
  <c r="AU91" i="39"/>
  <c r="AM170" i="39"/>
  <c r="AP170" i="39" s="1"/>
  <c r="Z170" i="39"/>
  <c r="W170" i="39"/>
  <c r="X170" i="39"/>
  <c r="V170" i="39"/>
  <c r="AW91" i="39"/>
  <c r="AR91" i="39"/>
  <c r="AM99" i="39"/>
  <c r="AY99" i="39" s="1"/>
  <c r="X99" i="39"/>
  <c r="W99" i="39"/>
  <c r="V99" i="39"/>
  <c r="Z99" i="39"/>
  <c r="AV91" i="39"/>
  <c r="AS91" i="39"/>
  <c r="AN91" i="39"/>
  <c r="AT91" i="39"/>
  <c r="AM69" i="39"/>
  <c r="AR69" i="39" s="1"/>
  <c r="V69" i="39"/>
  <c r="Z69" i="39"/>
  <c r="X69" i="39"/>
  <c r="W69" i="39"/>
  <c r="AV170" i="38"/>
  <c r="AY170" i="38"/>
  <c r="AX170" i="38"/>
  <c r="AU170" i="38"/>
  <c r="AS170" i="38"/>
  <c r="AT170" i="38"/>
  <c r="BD68" i="38"/>
  <c r="AX91" i="38"/>
  <c r="BB91" i="38"/>
  <c r="BC68" i="38"/>
  <c r="AR170" i="38"/>
  <c r="AQ170" i="38"/>
  <c r="BF170" i="38"/>
  <c r="BD170" i="38"/>
  <c r="BF68" i="38"/>
  <c r="AN170" i="38"/>
  <c r="BC170" i="38"/>
  <c r="BE68" i="38"/>
  <c r="AP170" i="38"/>
  <c r="AV68" i="38"/>
  <c r="AY68" i="38"/>
  <c r="AT68" i="38"/>
  <c r="AS68" i="38"/>
  <c r="AO170" i="38"/>
  <c r="AU68" i="38"/>
  <c r="W99" i="38"/>
  <c r="V99" i="38"/>
  <c r="Y99" i="38"/>
  <c r="Z99" i="38"/>
  <c r="Z171" i="38"/>
  <c r="Y171" i="38"/>
  <c r="W171" i="38"/>
  <c r="V171" i="38"/>
  <c r="AR91" i="38"/>
  <c r="AW98" i="38"/>
  <c r="BE170" i="38"/>
  <c r="Z69" i="38"/>
  <c r="Y69" i="38"/>
  <c r="AN91" i="38"/>
  <c r="AO91" i="38"/>
  <c r="AQ91" i="38"/>
  <c r="AW68" i="38"/>
  <c r="AT91" i="38"/>
  <c r="AP91" i="38"/>
  <c r="AW170" i="38"/>
  <c r="AQ68" i="38"/>
  <c r="BH68" i="38"/>
  <c r="BL68" i="38" s="1"/>
  <c r="AV91" i="38"/>
  <c r="AR68" i="38"/>
  <c r="AZ68" i="38"/>
  <c r="BG68" i="38"/>
  <c r="BK68" i="38" s="1"/>
  <c r="AP68" i="38"/>
  <c r="AX68" i="38"/>
  <c r="BH170" i="38"/>
  <c r="BL170" i="38" s="1"/>
  <c r="AO68" i="38"/>
  <c r="BB170" i="38"/>
  <c r="BG170" i="38"/>
  <c r="BK170" i="38" s="1"/>
  <c r="AN68" i="38"/>
  <c r="BA170" i="38"/>
  <c r="AU91" i="38"/>
  <c r="AO98" i="38"/>
  <c r="AV98" i="38"/>
  <c r="AZ170" i="38"/>
  <c r="AT98" i="38"/>
  <c r="AS98" i="38"/>
  <c r="AZ98" i="38"/>
  <c r="BD98" i="38"/>
  <c r="BG98" i="38"/>
  <c r="BK98" i="38" s="1"/>
  <c r="AS91" i="38"/>
  <c r="AZ91" i="38"/>
  <c r="BD91" i="38"/>
  <c r="AM69" i="38"/>
  <c r="BI69" i="38" s="1"/>
  <c r="BM69" i="38" s="1"/>
  <c r="AU98" i="38"/>
  <c r="AY98" i="38"/>
  <c r="BE98" i="38"/>
  <c r="AW91" i="38"/>
  <c r="AM99" i="38"/>
  <c r="BI99" i="38" s="1"/>
  <c r="BM99" i="38" s="1"/>
  <c r="AX98" i="38"/>
  <c r="BC98" i="38"/>
  <c r="BC91" i="38"/>
  <c r="BH98" i="38"/>
  <c r="BL98" i="38" s="1"/>
  <c r="AM171" i="38"/>
  <c r="BI171" i="38" s="1"/>
  <c r="BM171" i="38" s="1"/>
  <c r="BF98" i="38"/>
  <c r="AR98" i="38"/>
  <c r="BA91" i="38"/>
  <c r="BE91" i="38"/>
  <c r="BH91" i="38"/>
  <c r="BL91" i="38" s="1"/>
  <c r="BB98" i="38"/>
  <c r="BA98" i="38"/>
  <c r="AQ98" i="38"/>
  <c r="BF91" i="38"/>
  <c r="AP98" i="38"/>
  <c r="BG91" i="38"/>
  <c r="BK91" i="38" s="1"/>
  <c r="AN98" i="38"/>
  <c r="AY92" i="31"/>
  <c r="AS92" i="31"/>
  <c r="AZ92" i="31"/>
  <c r="AT92" i="31"/>
  <c r="AU92" i="31"/>
  <c r="BH92" i="31"/>
  <c r="BL92" i="31" s="1"/>
  <c r="BB92" i="31"/>
  <c r="AX92" i="31"/>
  <c r="BG92" i="31"/>
  <c r="BK92" i="31" s="1"/>
  <c r="BA92" i="31"/>
  <c r="BI92" i="31"/>
  <c r="BM92" i="31" s="1"/>
  <c r="AW92" i="31"/>
  <c r="AR92" i="31"/>
  <c r="X65" i="31"/>
  <c r="V65" i="31"/>
  <c r="Z65" i="31"/>
  <c r="AM93" i="31"/>
  <c r="BB93" i="31" s="1"/>
  <c r="X93" i="31"/>
  <c r="Z93" i="31"/>
  <c r="W93" i="31"/>
  <c r="V93" i="31"/>
  <c r="X159" i="31"/>
  <c r="W159" i="31"/>
  <c r="V159" i="31"/>
  <c r="Z159" i="31"/>
  <c r="AN24" i="31"/>
  <c r="L100" i="39" a="1"/>
  <c r="L100" i="39" s="1"/>
  <c r="M88" i="39"/>
  <c r="M87" i="39" s="1"/>
  <c r="O11" i="40" s="1"/>
  <c r="Z11" i="40" s="1"/>
  <c r="M88" i="38"/>
  <c r="M87" i="38" s="1"/>
  <c r="I11" i="40" s="1"/>
  <c r="Y11" i="40" s="1"/>
  <c r="BB64" i="31"/>
  <c r="BG64" i="31"/>
  <c r="BH64" i="31"/>
  <c r="BI64" i="31"/>
  <c r="BB158" i="31"/>
  <c r="BG158" i="31"/>
  <c r="BK158" i="31" s="1"/>
  <c r="BH158" i="31"/>
  <c r="BL158" i="31" s="1"/>
  <c r="BI158" i="31"/>
  <c r="BM158" i="31" s="1"/>
  <c r="BB85" i="31"/>
  <c r="BG85" i="31"/>
  <c r="BK85" i="31" s="1"/>
  <c r="BH85" i="31"/>
  <c r="BL85" i="31" s="1"/>
  <c r="BI85" i="31"/>
  <c r="BM85" i="31" s="1"/>
  <c r="AR158" i="31"/>
  <c r="AW158" i="31"/>
  <c r="AR85" i="31"/>
  <c r="AW85" i="31"/>
  <c r="AR64" i="31"/>
  <c r="AW64" i="31"/>
  <c r="AY91" i="38"/>
  <c r="AT68" i="39"/>
  <c r="AY91" i="39"/>
  <c r="AS85" i="31"/>
  <c r="AT85" i="31"/>
  <c r="AU85" i="31"/>
  <c r="AV85" i="31"/>
  <c r="AU64" i="31"/>
  <c r="AV64" i="31"/>
  <c r="AS64" i="31"/>
  <c r="AT64" i="31"/>
  <c r="AV158" i="31"/>
  <c r="AU158" i="31"/>
  <c r="AS158" i="31"/>
  <c r="AT158" i="31"/>
  <c r="AZ64" i="31"/>
  <c r="AZ158" i="31"/>
  <c r="BA158" i="31"/>
  <c r="AZ85" i="31"/>
  <c r="AX85" i="31"/>
  <c r="AY85" i="31"/>
  <c r="AX64" i="31"/>
  <c r="AX158" i="31"/>
  <c r="AY158" i="31"/>
  <c r="BQ24" i="31"/>
  <c r="AP24" i="31"/>
  <c r="AP85" i="31"/>
  <c r="AQ85" i="31"/>
  <c r="AP64" i="31"/>
  <c r="AQ64" i="31"/>
  <c r="AN64" i="31"/>
  <c r="AO64" i="31"/>
  <c r="AN85" i="31"/>
  <c r="AO85" i="31"/>
  <c r="BO159" i="31"/>
  <c r="AM159" i="31"/>
  <c r="BO65" i="31"/>
  <c r="AL93" i="31"/>
  <c r="BO93" i="31"/>
  <c r="AK69" i="39"/>
  <c r="AL69" i="39"/>
  <c r="AK99" i="39"/>
  <c r="AL99" i="39"/>
  <c r="AK170" i="39"/>
  <c r="AL170" i="39"/>
  <c r="AK99" i="38"/>
  <c r="AL99" i="38"/>
  <c r="AK171" i="38"/>
  <c r="AL171" i="38"/>
  <c r="AK65" i="31"/>
  <c r="AK159" i="31"/>
  <c r="AL159" i="31"/>
  <c r="AK93" i="31"/>
  <c r="E9" i="39"/>
  <c r="E9" i="38"/>
  <c r="L70" i="39" a="1"/>
  <c r="L70" i="39" s="1"/>
  <c r="M169" i="39"/>
  <c r="M68" i="39"/>
  <c r="P88" i="39"/>
  <c r="M98" i="39"/>
  <c r="BN69" i="39"/>
  <c r="BO69" i="39"/>
  <c r="P69" i="39"/>
  <c r="M69" i="39" s="1"/>
  <c r="G45" i="41" s="1"/>
  <c r="BN99" i="39"/>
  <c r="P99" i="39"/>
  <c r="M99" i="39" s="1"/>
  <c r="G81" i="41" s="1"/>
  <c r="BO99" i="39"/>
  <c r="BN170" i="39"/>
  <c r="BO170" i="39"/>
  <c r="P170" i="39"/>
  <c r="M170" i="39" s="1"/>
  <c r="G19" i="41" s="1"/>
  <c r="P88" i="38"/>
  <c r="L70" i="38" a="1"/>
  <c r="L70" i="38" s="1"/>
  <c r="M170" i="38"/>
  <c r="BN69" i="38"/>
  <c r="P69" i="38"/>
  <c r="M69" i="38" s="1"/>
  <c r="E39" i="41" s="1"/>
  <c r="BO69" i="38"/>
  <c r="BN99" i="38"/>
  <c r="P99" i="38"/>
  <c r="M99" i="38" s="1"/>
  <c r="E77" i="41" s="1"/>
  <c r="BO99" i="38"/>
  <c r="M98" i="38"/>
  <c r="M68" i="38"/>
  <c r="BN171" i="38"/>
  <c r="BO171" i="38"/>
  <c r="P171" i="38"/>
  <c r="M171" i="38" s="1"/>
  <c r="E15" i="41" s="1"/>
  <c r="G159" i="31"/>
  <c r="G150" i="31"/>
  <c r="I150" i="31"/>
  <c r="AG25" i="31"/>
  <c r="M25" i="31"/>
  <c r="M23" i="31" s="1"/>
  <c r="E9" i="31"/>
  <c r="AB57" i="2"/>
  <c r="P57" i="2"/>
  <c r="I160" i="31"/>
  <c r="X58" i="8" a="1"/>
  <c r="X58" i="8" s="1"/>
  <c r="V59" i="8"/>
  <c r="Z52" i="5" a="1"/>
  <c r="Z52" i="5" s="1"/>
  <c r="Z28" i="5" a="1"/>
  <c r="Z28" i="5" s="1"/>
  <c r="X6" i="5"/>
  <c r="X29" i="5"/>
  <c r="Z5" i="5" a="1"/>
  <c r="Z5" i="5" s="1"/>
  <c r="V7" i="8"/>
  <c r="V49" i="8"/>
  <c r="X53" i="5"/>
  <c r="G37" i="31"/>
  <c r="V198" i="7"/>
  <c r="G94" i="31"/>
  <c r="V157" i="7"/>
  <c r="E27" i="33"/>
  <c r="C29" i="33"/>
  <c r="V51" i="7"/>
  <c r="X5" i="7" a="1"/>
  <c r="X5" i="7" s="1"/>
  <c r="G49" i="31"/>
  <c r="J4" i="30"/>
  <c r="C28" i="33"/>
  <c r="J12" i="30"/>
  <c r="V6" i="7"/>
  <c r="J32" i="30"/>
  <c r="Z10" i="2"/>
  <c r="AA10" i="2"/>
  <c r="M10" i="2"/>
  <c r="O10" i="2"/>
  <c r="Z66" i="2"/>
  <c r="Z50" i="2"/>
  <c r="AA43" i="2"/>
  <c r="AA35" i="2"/>
  <c r="Z29" i="2"/>
  <c r="AA88" i="2"/>
  <c r="Z80" i="2"/>
  <c r="AA80" i="2"/>
  <c r="Z81" i="2"/>
  <c r="AA81" i="2"/>
  <c r="AA78" i="2"/>
  <c r="Z78" i="2"/>
  <c r="Z75" i="2"/>
  <c r="AA75" i="2"/>
  <c r="Z76" i="2"/>
  <c r="AA76" i="2"/>
  <c r="AA73" i="2"/>
  <c r="Z73" i="2"/>
  <c r="Z71" i="2"/>
  <c r="AA71" i="2"/>
  <c r="AA68" i="2"/>
  <c r="Z68" i="2"/>
  <c r="W88" i="2"/>
  <c r="W94" i="2"/>
  <c r="W6" i="7"/>
  <c r="W198" i="7"/>
  <c r="W59" i="8"/>
  <c r="W7" i="8"/>
  <c r="Y29" i="5"/>
  <c r="W157" i="7"/>
  <c r="Y53" i="5"/>
  <c r="Y6" i="5"/>
  <c r="W49" i="8"/>
  <c r="W51" i="7"/>
  <c r="AC160" i="31" l="1" a="1"/>
  <c r="AC160" i="31" s="1"/>
  <c r="AD160" i="31" a="1"/>
  <c r="AD160" i="31" s="1"/>
  <c r="AC150" i="31" a="1"/>
  <c r="AC150" i="31" s="1"/>
  <c r="AD150" i="31" a="1"/>
  <c r="AD150" i="31" s="1"/>
  <c r="BG150" i="31"/>
  <c r="BK150" i="31" s="1"/>
  <c r="BI160" i="31"/>
  <c r="BM160" i="31" s="1"/>
  <c r="AY170" i="39"/>
  <c r="AN170" i="39"/>
  <c r="AQ99" i="39"/>
  <c r="BA99" i="39"/>
  <c r="AU99" i="39"/>
  <c r="BI170" i="39"/>
  <c r="BM170" i="39" s="1"/>
  <c r="BH170" i="39"/>
  <c r="BL170" i="39" s="1"/>
  <c r="BG170" i="39"/>
  <c r="BK170" i="39" s="1"/>
  <c r="BB170" i="39"/>
  <c r="AU170" i="39"/>
  <c r="AS170" i="39"/>
  <c r="AT69" i="39"/>
  <c r="BE69" i="38"/>
  <c r="AS99" i="39"/>
  <c r="AV69" i="39"/>
  <c r="BF99" i="38"/>
  <c r="BF69" i="38"/>
  <c r="BI99" i="39"/>
  <c r="BM99" i="39" s="1"/>
  <c r="BH99" i="39"/>
  <c r="BL99" i="39" s="1"/>
  <c r="AV99" i="39"/>
  <c r="AT99" i="39"/>
  <c r="BD69" i="38"/>
  <c r="AP99" i="39"/>
  <c r="AX99" i="39"/>
  <c r="AZ99" i="39"/>
  <c r="BG99" i="39"/>
  <c r="BK99" i="39" s="1"/>
  <c r="BB99" i="39"/>
  <c r="AX170" i="39"/>
  <c r="AN99" i="39"/>
  <c r="AV170" i="39"/>
  <c r="AQ170" i="39"/>
  <c r="AW99" i="39"/>
  <c r="AZ170" i="39"/>
  <c r="AR99" i="39"/>
  <c r="AT170" i="39"/>
  <c r="AW170" i="39"/>
  <c r="BA170" i="39"/>
  <c r="AR170" i="39"/>
  <c r="AZ69" i="39"/>
  <c r="AU69" i="39"/>
  <c r="AX69" i="39"/>
  <c r="BI69" i="39"/>
  <c r="BM69" i="39" s="1"/>
  <c r="AQ69" i="39"/>
  <c r="BH69" i="39"/>
  <c r="BL69" i="39" s="1"/>
  <c r="BG69" i="39"/>
  <c r="BK69" i="39" s="1"/>
  <c r="BB69" i="39"/>
  <c r="AN69" i="39"/>
  <c r="X100" i="39"/>
  <c r="W100" i="39"/>
  <c r="V100" i="39"/>
  <c r="Z100" i="39"/>
  <c r="AS69" i="39"/>
  <c r="BA69" i="39"/>
  <c r="AM70" i="39"/>
  <c r="AZ70" i="39" s="1"/>
  <c r="Z70" i="39"/>
  <c r="X70" i="39"/>
  <c r="AO69" i="39"/>
  <c r="AW69" i="39"/>
  <c r="AP69" i="39"/>
  <c r="BC69" i="38"/>
  <c r="Z70" i="38"/>
  <c r="Y70" i="38"/>
  <c r="V70" i="38"/>
  <c r="W70" i="38"/>
  <c r="BC171" i="38"/>
  <c r="AN69" i="38"/>
  <c r="AS69" i="38"/>
  <c r="AV171" i="38"/>
  <c r="AS171" i="38"/>
  <c r="AW99" i="38"/>
  <c r="AY171" i="38"/>
  <c r="BB171" i="38"/>
  <c r="AX171" i="38"/>
  <c r="AN171" i="38"/>
  <c r="AQ171" i="38"/>
  <c r="AP171" i="38"/>
  <c r="BG69" i="38"/>
  <c r="BK69" i="38" s="1"/>
  <c r="AW69" i="38"/>
  <c r="BA171" i="38"/>
  <c r="AU171" i="38"/>
  <c r="AZ171" i="38"/>
  <c r="AR171" i="38"/>
  <c r="AT171" i="38"/>
  <c r="AW171" i="38"/>
  <c r="AY99" i="38"/>
  <c r="BB99" i="38"/>
  <c r="BC99" i="38"/>
  <c r="BA99" i="38"/>
  <c r="BE99" i="38"/>
  <c r="AQ99" i="38"/>
  <c r="AV99" i="38"/>
  <c r="AX99" i="38"/>
  <c r="AU99" i="38"/>
  <c r="AZ99" i="38"/>
  <c r="BD99" i="38"/>
  <c r="AN99" i="38"/>
  <c r="AT99" i="38"/>
  <c r="AZ69" i="38"/>
  <c r="BH171" i="38"/>
  <c r="BL171" i="38" s="1"/>
  <c r="AP99" i="38"/>
  <c r="AR69" i="38"/>
  <c r="AS99" i="38"/>
  <c r="AX69" i="38"/>
  <c r="BG171" i="38"/>
  <c r="BK171" i="38" s="1"/>
  <c r="AQ69" i="38"/>
  <c r="AV69" i="38"/>
  <c r="BF171" i="38"/>
  <c r="BH99" i="38"/>
  <c r="BL99" i="38" s="1"/>
  <c r="AR99" i="38"/>
  <c r="BA93" i="31"/>
  <c r="AP69" i="38"/>
  <c r="AU69" i="38"/>
  <c r="BE171" i="38"/>
  <c r="BG99" i="38"/>
  <c r="BK99" i="38" s="1"/>
  <c r="AZ93" i="31"/>
  <c r="AO69" i="38"/>
  <c r="AT69" i="38"/>
  <c r="BD171" i="38"/>
  <c r="BH69" i="38"/>
  <c r="BL69" i="38" s="1"/>
  <c r="AR93" i="31"/>
  <c r="AS93" i="31"/>
  <c r="AY93" i="31"/>
  <c r="AV93" i="31"/>
  <c r="AX93" i="31"/>
  <c r="AU93" i="31"/>
  <c r="AT93" i="31"/>
  <c r="AW93" i="31"/>
  <c r="BI93" i="31"/>
  <c r="BM93" i="31" s="1"/>
  <c r="BH93" i="31"/>
  <c r="BL93" i="31" s="1"/>
  <c r="BG93" i="31"/>
  <c r="BK93" i="31" s="1"/>
  <c r="AP25" i="31"/>
  <c r="G10" i="39"/>
  <c r="H10" i="39" s="1"/>
  <c r="G10" i="38"/>
  <c r="B5" i="42" s="1" a="1"/>
  <c r="B5" i="42" s="1"/>
  <c r="G10" i="31"/>
  <c r="H10" i="31" s="1"/>
  <c r="P100" i="39"/>
  <c r="M100" i="39" s="1"/>
  <c r="M97" i="39" s="1"/>
  <c r="AL100" i="39"/>
  <c r="AM100" i="39"/>
  <c r="AK100" i="39"/>
  <c r="AH11" i="40"/>
  <c r="AK11" i="40"/>
  <c r="G18" i="41"/>
  <c r="N5" i="41" s="1"/>
  <c r="M168" i="39"/>
  <c r="M158" i="39" s="1"/>
  <c r="G80" i="41"/>
  <c r="N64" i="41" s="1"/>
  <c r="G44" i="41"/>
  <c r="N34" i="41" s="1"/>
  <c r="P87" i="39"/>
  <c r="Q11" i="40" s="1"/>
  <c r="M169" i="38"/>
  <c r="M97" i="38"/>
  <c r="P87" i="38"/>
  <c r="K11" i="40" s="1"/>
  <c r="E14" i="41"/>
  <c r="L5" i="41" s="1"/>
  <c r="E76" i="41"/>
  <c r="L64" i="41" s="1"/>
  <c r="BM64" i="31"/>
  <c r="BL64" i="31"/>
  <c r="BK64" i="31"/>
  <c r="BB159" i="31"/>
  <c r="BI159" i="31"/>
  <c r="BM159" i="31" s="1"/>
  <c r="BH159" i="31"/>
  <c r="BL159" i="31" s="1"/>
  <c r="BG159" i="31"/>
  <c r="BK159" i="31" s="1"/>
  <c r="AR159" i="31"/>
  <c r="AW159" i="31"/>
  <c r="BE70" i="38"/>
  <c r="BC70" i="38"/>
  <c r="BD70" i="38"/>
  <c r="BF70" i="38"/>
  <c r="AY69" i="38"/>
  <c r="BA70" i="38"/>
  <c r="BB70" i="38"/>
  <c r="AX70" i="38"/>
  <c r="AZ70" i="38"/>
  <c r="AW70" i="38"/>
  <c r="AV70" i="38"/>
  <c r="AS70" i="38"/>
  <c r="AU70" i="38"/>
  <c r="AO99" i="38"/>
  <c r="AQ70" i="38"/>
  <c r="AR70" i="38"/>
  <c r="AN70" i="38"/>
  <c r="AO70" i="38"/>
  <c r="AP70" i="38"/>
  <c r="AO171" i="38"/>
  <c r="AO99" i="39"/>
  <c r="AY69" i="39"/>
  <c r="AO170" i="39"/>
  <c r="AS159" i="31"/>
  <c r="AT159" i="31"/>
  <c r="AU159" i="31"/>
  <c r="AV159" i="31"/>
  <c r="AZ159" i="31"/>
  <c r="BA159" i="31"/>
  <c r="AX159" i="31"/>
  <c r="AY159" i="31"/>
  <c r="N23" i="31"/>
  <c r="AE23" i="31" s="1"/>
  <c r="AN25" i="31"/>
  <c r="AP65" i="31"/>
  <c r="AQ65" i="31"/>
  <c r="AN65" i="31"/>
  <c r="AO65" i="31"/>
  <c r="E38" i="41"/>
  <c r="Q23" i="31"/>
  <c r="AG23" i="31" s="1"/>
  <c r="BQ25" i="31"/>
  <c r="BO66" i="31"/>
  <c r="AM66" i="31"/>
  <c r="N35" i="41"/>
  <c r="AK70" i="38"/>
  <c r="AL70" i="38"/>
  <c r="AK66" i="31"/>
  <c r="AL66" i="31"/>
  <c r="AM71" i="39"/>
  <c r="P168" i="39"/>
  <c r="P158" i="39" s="1"/>
  <c r="Q15" i="40" s="1"/>
  <c r="BN70" i="39"/>
  <c r="P70" i="39"/>
  <c r="M70" i="39" s="1"/>
  <c r="M67" i="39" s="1"/>
  <c r="BO70" i="39"/>
  <c r="L71" i="38" a="1"/>
  <c r="L71" i="38" s="1"/>
  <c r="P97" i="38"/>
  <c r="P169" i="38"/>
  <c r="P159" i="38" s="1"/>
  <c r="K15" i="40" s="1"/>
  <c r="BN70" i="38"/>
  <c r="P70" i="38"/>
  <c r="AY70" i="38" s="1"/>
  <c r="BO70" i="38"/>
  <c r="G160" i="31"/>
  <c r="I151" i="31"/>
  <c r="AG149" i="31"/>
  <c r="G104" i="31"/>
  <c r="I104" i="31"/>
  <c r="X59" i="8" a="1"/>
  <c r="X59" i="8" s="1"/>
  <c r="V60" i="8"/>
  <c r="Z53" i="5" a="1"/>
  <c r="Z53" i="5" s="1"/>
  <c r="Z29" i="5" a="1"/>
  <c r="Z29" i="5" s="1"/>
  <c r="X7" i="5"/>
  <c r="X30" i="5"/>
  <c r="Z6" i="5" a="1"/>
  <c r="Z6" i="5" s="1"/>
  <c r="AE10" i="2"/>
  <c r="V8" i="8"/>
  <c r="V50" i="8"/>
  <c r="G38" i="31"/>
  <c r="X54" i="5"/>
  <c r="V199" i="7"/>
  <c r="V158" i="7"/>
  <c r="E32" i="33"/>
  <c r="C26" i="33"/>
  <c r="C31" i="33"/>
  <c r="V52" i="7"/>
  <c r="X6" i="7" a="1"/>
  <c r="X6" i="7" s="1"/>
  <c r="V7" i="7"/>
  <c r="AA48" i="2"/>
  <c r="AA62" i="2"/>
  <c r="AA66" i="2"/>
  <c r="Z62" i="2"/>
  <c r="AA58" i="2"/>
  <c r="Z58" i="2"/>
  <c r="Z48" i="2"/>
  <c r="AA50" i="2"/>
  <c r="Z43" i="2"/>
  <c r="AA42" i="2"/>
  <c r="Z42" i="2"/>
  <c r="AA45" i="2"/>
  <c r="Z45" i="2"/>
  <c r="AA31" i="2"/>
  <c r="Z34" i="2"/>
  <c r="AA37" i="2"/>
  <c r="Z31" i="2"/>
  <c r="Z36" i="2"/>
  <c r="Z35" i="2"/>
  <c r="AA34" i="2"/>
  <c r="Z37" i="2"/>
  <c r="AA36" i="2"/>
  <c r="Z28" i="2"/>
  <c r="AA26" i="2"/>
  <c r="AA28" i="2"/>
  <c r="Z26" i="2"/>
  <c r="AA29" i="2"/>
  <c r="M80" i="2"/>
  <c r="O80" i="2"/>
  <c r="M81" i="2"/>
  <c r="O81" i="2"/>
  <c r="O78" i="2"/>
  <c r="M78" i="2"/>
  <c r="M76" i="2"/>
  <c r="O76" i="2"/>
  <c r="O73" i="2"/>
  <c r="M73" i="2"/>
  <c r="M71" i="2"/>
  <c r="O71" i="2"/>
  <c r="O68" i="2"/>
  <c r="M68" i="2"/>
  <c r="G80" i="2"/>
  <c r="G79" i="2"/>
  <c r="G78" i="2"/>
  <c r="G76" i="2"/>
  <c r="G75" i="2"/>
  <c r="G74" i="2"/>
  <c r="G73" i="2"/>
  <c r="G66" i="2"/>
  <c r="G65" i="2"/>
  <c r="G64" i="2"/>
  <c r="G61" i="2"/>
  <c r="G60" i="2"/>
  <c r="M50" i="2"/>
  <c r="O50" i="2"/>
  <c r="M43" i="2"/>
  <c r="O43" i="2"/>
  <c r="M45" i="2"/>
  <c r="O45" i="2"/>
  <c r="M34" i="2"/>
  <c r="O34" i="2"/>
  <c r="M35" i="2"/>
  <c r="O35" i="2"/>
  <c r="M36" i="2"/>
  <c r="O36" i="2"/>
  <c r="M37" i="2"/>
  <c r="O37" i="2"/>
  <c r="O31" i="2"/>
  <c r="M31" i="2"/>
  <c r="M28" i="2"/>
  <c r="O28" i="2"/>
  <c r="M29" i="2"/>
  <c r="O29" i="2"/>
  <c r="J39" i="30"/>
  <c r="N88" i="2" s="1"/>
  <c r="J5" i="2"/>
  <c r="J88" i="2"/>
  <c r="J94" i="2"/>
  <c r="I86" i="7"/>
  <c r="J86" i="7"/>
  <c r="K86" i="7"/>
  <c r="L86" i="7"/>
  <c r="I87" i="7"/>
  <c r="J87" i="7"/>
  <c r="K87" i="7"/>
  <c r="L87" i="7"/>
  <c r="I88" i="7"/>
  <c r="J88" i="7"/>
  <c r="K88" i="7"/>
  <c r="L88" i="7"/>
  <c r="I89" i="7"/>
  <c r="J89" i="7"/>
  <c r="K89" i="7"/>
  <c r="L89" i="7"/>
  <c r="I90" i="7"/>
  <c r="J90" i="7"/>
  <c r="K90" i="7"/>
  <c r="L90" i="7"/>
  <c r="G91" i="7"/>
  <c r="I91" i="7" s="1"/>
  <c r="I92" i="7"/>
  <c r="J92" i="7"/>
  <c r="K92" i="7"/>
  <c r="L92" i="7"/>
  <c r="AC10" i="3"/>
  <c r="W60" i="8"/>
  <c r="W158" i="7"/>
  <c r="W50" i="8"/>
  <c r="W8" i="8"/>
  <c r="W199" i="7"/>
  <c r="W52" i="7"/>
  <c r="W7" i="7"/>
  <c r="Y7" i="5"/>
  <c r="Y30" i="5"/>
  <c r="Y54" i="5"/>
  <c r="Q10" i="39" l="1"/>
  <c r="R10" i="39" s="1"/>
  <c r="N10" i="39"/>
  <c r="O10" i="39" s="1"/>
  <c r="AB10" i="39"/>
  <c r="H10" i="38"/>
  <c r="Q10" i="38" s="1"/>
  <c r="R10" i="38" s="1"/>
  <c r="AC104" i="31" a="1"/>
  <c r="AC104" i="31" s="1"/>
  <c r="AD104" i="31" a="1"/>
  <c r="AD104" i="31" s="1"/>
  <c r="AC151" i="31" a="1"/>
  <c r="AC151" i="31" s="1"/>
  <c r="AD151" i="31" a="1"/>
  <c r="AD151" i="31" s="1"/>
  <c r="Q10" i="31"/>
  <c r="R10" i="31" s="1"/>
  <c r="N10" i="31"/>
  <c r="AB10" i="31"/>
  <c r="BI104" i="31"/>
  <c r="BM104" i="31" s="1"/>
  <c r="BG151" i="31"/>
  <c r="BK151" i="31" s="1"/>
  <c r="AV70" i="39"/>
  <c r="AP70" i="39"/>
  <c r="AU70" i="39"/>
  <c r="AO70" i="39"/>
  <c r="AS70" i="39"/>
  <c r="AW70" i="39"/>
  <c r="AT70" i="39"/>
  <c r="AR70" i="39"/>
  <c r="AQ70" i="39"/>
  <c r="BI70" i="39"/>
  <c r="BM70" i="39" s="1"/>
  <c r="B5" i="44" a="1"/>
  <c r="B5" i="44" s="1"/>
  <c r="B6" i="44" s="1" a="1"/>
  <c r="B6" i="44" s="1"/>
  <c r="C6" i="44" s="1" a="1"/>
  <c r="C6" i="44" s="1"/>
  <c r="AX70" i="39"/>
  <c r="BH70" i="39"/>
  <c r="BL70" i="39" s="1"/>
  <c r="C4" i="44" a="1"/>
  <c r="C4" i="44" s="1"/>
  <c r="AN70" i="39"/>
  <c r="BG70" i="39"/>
  <c r="BK70" i="39" s="1"/>
  <c r="Z71" i="38"/>
  <c r="Y71" i="38"/>
  <c r="W71" i="38"/>
  <c r="V71" i="38"/>
  <c r="C4" i="42" a="1"/>
  <c r="C4" i="42" s="1"/>
  <c r="AN149" i="31"/>
  <c r="BQ23" i="31"/>
  <c r="P97" i="39"/>
  <c r="BG100" i="39"/>
  <c r="BK100" i="39" s="1"/>
  <c r="BI100" i="39"/>
  <c r="BM100" i="39" s="1"/>
  <c r="BH100" i="39"/>
  <c r="BL100" i="39" s="1"/>
  <c r="BB100" i="39"/>
  <c r="BA100" i="39"/>
  <c r="AX100" i="39"/>
  <c r="AY100" i="39"/>
  <c r="AZ100" i="39"/>
  <c r="AR100" i="39"/>
  <c r="AT100" i="39"/>
  <c r="AV100" i="39"/>
  <c r="AW100" i="39"/>
  <c r="AS100" i="39"/>
  <c r="AU100" i="39"/>
  <c r="AP100" i="39"/>
  <c r="AQ100" i="39"/>
  <c r="AN100" i="39"/>
  <c r="AO100" i="39"/>
  <c r="I10" i="39"/>
  <c r="BJ10" i="39"/>
  <c r="O15" i="40"/>
  <c r="Z15" i="40" s="1"/>
  <c r="M159" i="38"/>
  <c r="I15" i="40" s="1"/>
  <c r="Y15" i="40" s="1"/>
  <c r="I10" i="38"/>
  <c r="BJ10" i="38"/>
  <c r="BB71" i="39"/>
  <c r="BG71" i="39"/>
  <c r="BK71" i="39" s="1"/>
  <c r="BH71" i="39"/>
  <c r="BL71" i="39" s="1"/>
  <c r="BI71" i="39"/>
  <c r="BM71" i="39" s="1"/>
  <c r="BI66" i="31"/>
  <c r="BM66" i="31" s="1"/>
  <c r="BG66" i="31"/>
  <c r="BK66" i="31" s="1"/>
  <c r="BH66" i="31"/>
  <c r="BL66" i="31" s="1"/>
  <c r="BB66" i="31"/>
  <c r="AR66" i="31"/>
  <c r="AW66" i="31"/>
  <c r="AT70" i="38"/>
  <c r="AS66" i="31"/>
  <c r="AT66" i="31"/>
  <c r="AV66" i="31"/>
  <c r="AU66" i="31"/>
  <c r="BC71" i="38"/>
  <c r="BD71" i="38"/>
  <c r="BE71" i="38"/>
  <c r="BF71" i="38"/>
  <c r="AX71" i="38"/>
  <c r="AZ71" i="38"/>
  <c r="BA71" i="38"/>
  <c r="BB71" i="38"/>
  <c r="AW71" i="38"/>
  <c r="AS71" i="38"/>
  <c r="AU71" i="38"/>
  <c r="AV71" i="38"/>
  <c r="AN71" i="38"/>
  <c r="AO71" i="38"/>
  <c r="AP71" i="38"/>
  <c r="AQ71" i="38"/>
  <c r="AR71" i="38"/>
  <c r="AR71" i="39"/>
  <c r="AW71" i="39"/>
  <c r="AS71" i="39"/>
  <c r="AT71" i="39"/>
  <c r="AU71" i="39"/>
  <c r="AO71" i="39"/>
  <c r="AY71" i="39"/>
  <c r="AV71" i="39"/>
  <c r="AX71" i="39"/>
  <c r="AZ71" i="39"/>
  <c r="BA71" i="39"/>
  <c r="AN71" i="39"/>
  <c r="AP71" i="39"/>
  <c r="AQ71" i="39"/>
  <c r="AY70" i="39"/>
  <c r="AE10" i="39"/>
  <c r="BN10" i="39"/>
  <c r="AZ66" i="31"/>
  <c r="BA66" i="31"/>
  <c r="AX66" i="31"/>
  <c r="AY66" i="31"/>
  <c r="BQ149" i="31"/>
  <c r="AP149" i="31"/>
  <c r="AO66" i="31"/>
  <c r="AP66" i="31"/>
  <c r="AQ66" i="31"/>
  <c r="AN66" i="31"/>
  <c r="AG10" i="39"/>
  <c r="BN10" i="38"/>
  <c r="B6" i="42" a="1"/>
  <c r="B6" i="42" s="1"/>
  <c r="C6" i="42" s="1" a="1"/>
  <c r="C6" i="42" s="1"/>
  <c r="C5" i="42" a="1"/>
  <c r="C5" i="42" s="1"/>
  <c r="BP10" i="31"/>
  <c r="BN10" i="31"/>
  <c r="BO67" i="31"/>
  <c r="AM67" i="31"/>
  <c r="AK71" i="39"/>
  <c r="AL71" i="39"/>
  <c r="AK71" i="38"/>
  <c r="AL71" i="38"/>
  <c r="AK67" i="31"/>
  <c r="AL67" i="31"/>
  <c r="AM103" i="39"/>
  <c r="AM72" i="39"/>
  <c r="BN71" i="39"/>
  <c r="BO71" i="39"/>
  <c r="AM102" i="38"/>
  <c r="L72" i="38" a="1"/>
  <c r="L72" i="38" s="1"/>
  <c r="M70" i="38"/>
  <c r="BN71" i="38"/>
  <c r="P71" i="38"/>
  <c r="M71" i="38" s="1"/>
  <c r="E41" i="41" s="1"/>
  <c r="BO71" i="38"/>
  <c r="AC193" i="3"/>
  <c r="AC239" i="3"/>
  <c r="I10" i="31"/>
  <c r="AG28" i="31"/>
  <c r="M28" i="31"/>
  <c r="M27" i="31" s="1"/>
  <c r="AG6" i="31"/>
  <c r="AE6" i="31"/>
  <c r="AL152" i="31"/>
  <c r="AG150" i="31"/>
  <c r="AG151" i="31"/>
  <c r="S151" i="31"/>
  <c r="AI151" i="31" s="1"/>
  <c r="AC23" i="3"/>
  <c r="AC123" i="3"/>
  <c r="AC161" i="3"/>
  <c r="AC203" i="3"/>
  <c r="AC217" i="3"/>
  <c r="AC279" i="3"/>
  <c r="AC33" i="3"/>
  <c r="AC51" i="3"/>
  <c r="AC64" i="3"/>
  <c r="AC114" i="3"/>
  <c r="AC152" i="3"/>
  <c r="AC195" i="3"/>
  <c r="AC229" i="3"/>
  <c r="AC209" i="3"/>
  <c r="AC247" i="3"/>
  <c r="AC298" i="3"/>
  <c r="AC13" i="3"/>
  <c r="AC48" i="3"/>
  <c r="AC62" i="3"/>
  <c r="AC102" i="3"/>
  <c r="AC113" i="3"/>
  <c r="AC169" i="3"/>
  <c r="AC151" i="3"/>
  <c r="AC132" i="3"/>
  <c r="AC194" i="3"/>
  <c r="AC227" i="3"/>
  <c r="AC269" i="3"/>
  <c r="AC245" i="3"/>
  <c r="AC296" i="3"/>
  <c r="M84" i="8" s="1"/>
  <c r="AC101" i="3"/>
  <c r="AC308" i="3"/>
  <c r="AC238" i="3"/>
  <c r="AC56" i="3"/>
  <c r="AC90" i="3"/>
  <c r="AC105" i="3"/>
  <c r="AC140" i="3"/>
  <c r="AC236" i="3"/>
  <c r="AC258" i="3"/>
  <c r="AC313" i="3"/>
  <c r="AC16" i="3"/>
  <c r="AC84" i="3"/>
  <c r="AC174" i="3"/>
  <c r="AC135" i="3"/>
  <c r="AC32" i="3"/>
  <c r="AC30" i="3"/>
  <c r="AC43" i="3"/>
  <c r="AC46" i="3"/>
  <c r="AC95" i="3"/>
  <c r="AC111" i="3"/>
  <c r="AC168" i="3"/>
  <c r="AC150" i="3"/>
  <c r="AC129" i="3"/>
  <c r="M87" i="7" s="1"/>
  <c r="AC221" i="3"/>
  <c r="AC268" i="3"/>
  <c r="AC242" i="3"/>
  <c r="AC304" i="3"/>
  <c r="AC29" i="3"/>
  <c r="AC42" i="3"/>
  <c r="AC73" i="3"/>
  <c r="AC94" i="3"/>
  <c r="AC98" i="3"/>
  <c r="M105" i="7" s="1"/>
  <c r="AC108" i="3"/>
  <c r="AC166" i="3"/>
  <c r="AC148" i="3"/>
  <c r="AC184" i="3"/>
  <c r="AC187" i="3"/>
  <c r="AC220" i="3"/>
  <c r="AC263" i="3"/>
  <c r="AC282" i="3"/>
  <c r="AC302" i="3"/>
  <c r="AC25" i="3"/>
  <c r="AC38" i="3"/>
  <c r="AC72" i="3"/>
  <c r="AC92" i="3"/>
  <c r="AC124" i="3"/>
  <c r="M142" i="7" s="1"/>
  <c r="AC106" i="3"/>
  <c r="AC164" i="3"/>
  <c r="AC144" i="3"/>
  <c r="AC181" i="3"/>
  <c r="AC206" i="3"/>
  <c r="AC219" i="3"/>
  <c r="AC261" i="3"/>
  <c r="AC280" i="3"/>
  <c r="AC318" i="3"/>
  <c r="AC11" i="3"/>
  <c r="AC21" i="3"/>
  <c r="AC54" i="3"/>
  <c r="AC70" i="3"/>
  <c r="AC86" i="3"/>
  <c r="AC122" i="3"/>
  <c r="AC177" i="3"/>
  <c r="AC158" i="3"/>
  <c r="AC137" i="3"/>
  <c r="AC201" i="3"/>
  <c r="AC233" i="3"/>
  <c r="AC213" i="3"/>
  <c r="S138" i="31" s="1"/>
  <c r="AI138" i="31" s="1"/>
  <c r="AC255" i="3"/>
  <c r="AC274" i="3"/>
  <c r="AC307" i="3"/>
  <c r="AC71" i="3"/>
  <c r="M56" i="8" s="1"/>
  <c r="AC34" i="3"/>
  <c r="AC17" i="3"/>
  <c r="AC53" i="3"/>
  <c r="AC65" i="3"/>
  <c r="AC85" i="3"/>
  <c r="M42" i="7" s="1"/>
  <c r="AC119" i="3"/>
  <c r="AC175" i="3"/>
  <c r="S219" i="39" s="1"/>
  <c r="AI219" i="39" s="1"/>
  <c r="AC156" i="3"/>
  <c r="AC136" i="3"/>
  <c r="AC200" i="3"/>
  <c r="AC230" i="3"/>
  <c r="AC212" i="3"/>
  <c r="AC253" i="3"/>
  <c r="AC287" i="3"/>
  <c r="AC24" i="3"/>
  <c r="AC41" i="3"/>
  <c r="AC58" i="3"/>
  <c r="AC60" i="3"/>
  <c r="AC82" i="3"/>
  <c r="AC116" i="3"/>
  <c r="AC176" i="3"/>
  <c r="AC160" i="3"/>
  <c r="AC143" i="3"/>
  <c r="AC183" i="3"/>
  <c r="AC192" i="3"/>
  <c r="AC225" i="3"/>
  <c r="AC241" i="3"/>
  <c r="AC252" i="3"/>
  <c r="AC285" i="3"/>
  <c r="AC315" i="3"/>
  <c r="M37" i="8"/>
  <c r="AC295" i="3"/>
  <c r="M31" i="8"/>
  <c r="G105" i="31"/>
  <c r="I105" i="31"/>
  <c r="AC312" i="3"/>
  <c r="AC31" i="3"/>
  <c r="AC18" i="3"/>
  <c r="AC40" i="3"/>
  <c r="AC47" i="3"/>
  <c r="AC68" i="3"/>
  <c r="AC93" i="3"/>
  <c r="AC97" i="3"/>
  <c r="M140" i="7" s="1"/>
  <c r="AC121" i="3"/>
  <c r="AC107" i="3"/>
  <c r="AC172" i="3"/>
  <c r="AC159" i="3"/>
  <c r="AC145" i="3"/>
  <c r="AC134" i="3"/>
  <c r="AC202" i="3"/>
  <c r="AC190" i="3"/>
  <c r="AC228" i="3"/>
  <c r="AC214" i="3"/>
  <c r="AC266" i="3"/>
  <c r="AC250" i="3"/>
  <c r="AC277" i="3"/>
  <c r="AC293" i="3"/>
  <c r="AC310" i="3"/>
  <c r="AC26" i="3"/>
  <c r="AC15" i="3"/>
  <c r="AC55" i="3"/>
  <c r="AC76" i="3"/>
  <c r="AC63" i="3"/>
  <c r="M113" i="7" s="1"/>
  <c r="AC87" i="3"/>
  <c r="AC100" i="3"/>
  <c r="AC115" i="3"/>
  <c r="AC103" i="3"/>
  <c r="AC167" i="3"/>
  <c r="AC153" i="3"/>
  <c r="AC142" i="3"/>
  <c r="AC180" i="3"/>
  <c r="M98" i="8" s="1"/>
  <c r="AC198" i="3"/>
  <c r="AC237" i="3"/>
  <c r="AC222" i="3"/>
  <c r="AC211" i="3"/>
  <c r="AC260" i="3"/>
  <c r="AC244" i="3"/>
  <c r="AC289" i="3"/>
  <c r="M89" i="7" s="1"/>
  <c r="AC301" i="3"/>
  <c r="M107" i="7" s="1"/>
  <c r="AC270" i="3"/>
  <c r="AC262" i="3"/>
  <c r="AC254" i="3"/>
  <c r="M93" i="8" s="1"/>
  <c r="AC246" i="3"/>
  <c r="AC281" i="3"/>
  <c r="AC273" i="3"/>
  <c r="AC297" i="3"/>
  <c r="AC303" i="3"/>
  <c r="AC314" i="3"/>
  <c r="AC22" i="3"/>
  <c r="AC14" i="3"/>
  <c r="AC39" i="3"/>
  <c r="AC52" i="3"/>
  <c r="AC77" i="3"/>
  <c r="M235" i="7" s="1"/>
  <c r="AC69" i="3"/>
  <c r="AC61" i="3"/>
  <c r="M86" i="7" s="1"/>
  <c r="AC91" i="3"/>
  <c r="AC83" i="3"/>
  <c r="AC99" i="3"/>
  <c r="AC120" i="3"/>
  <c r="AC112" i="3"/>
  <c r="AC104" i="3"/>
  <c r="AC173" i="3"/>
  <c r="AC165" i="3"/>
  <c r="AC157" i="3"/>
  <c r="AC149" i="3"/>
  <c r="AC141" i="3"/>
  <c r="AC133" i="3"/>
  <c r="AC182" i="3"/>
  <c r="AC199" i="3"/>
  <c r="AC191" i="3"/>
  <c r="AC234" i="3"/>
  <c r="AC226" i="3"/>
  <c r="AC218" i="3"/>
  <c r="AC210" i="3"/>
  <c r="AC267" i="3"/>
  <c r="AC259" i="3"/>
  <c r="AC251" i="3"/>
  <c r="AC243" i="3"/>
  <c r="AC278" i="3"/>
  <c r="AC288" i="3"/>
  <c r="AC294" i="3"/>
  <c r="AC306" i="3"/>
  <c r="AC311" i="3"/>
  <c r="AC28" i="3"/>
  <c r="AC20" i="3"/>
  <c r="AC12" i="3"/>
  <c r="AC37" i="3"/>
  <c r="AC50" i="3"/>
  <c r="AC75" i="3"/>
  <c r="AC67" i="3"/>
  <c r="AC59" i="3"/>
  <c r="AC89" i="3"/>
  <c r="AC81" i="3"/>
  <c r="AC126" i="3"/>
  <c r="AC118" i="3"/>
  <c r="AC110" i="3"/>
  <c r="AC128" i="3"/>
  <c r="AC171" i="3"/>
  <c r="AC163" i="3"/>
  <c r="AC155" i="3"/>
  <c r="AC147" i="3"/>
  <c r="AC139" i="3"/>
  <c r="AC131" i="3"/>
  <c r="S150" i="31" s="1"/>
  <c r="AI150" i="31" s="1"/>
  <c r="AC186" i="3"/>
  <c r="AC197" i="3"/>
  <c r="AC189" i="3"/>
  <c r="AC232" i="3"/>
  <c r="AC224" i="3"/>
  <c r="AC216" i="3"/>
  <c r="AC208" i="3"/>
  <c r="AC265" i="3"/>
  <c r="AC257" i="3"/>
  <c r="AC249" i="3"/>
  <c r="AC272" i="3"/>
  <c r="AC276" i="3"/>
  <c r="AC286" i="3"/>
  <c r="AC292" i="3"/>
  <c r="M51" i="8" s="1"/>
  <c r="AC317" i="3"/>
  <c r="AC309" i="3"/>
  <c r="AC27" i="3"/>
  <c r="AC19" i="3"/>
  <c r="AC36" i="3"/>
  <c r="AC45" i="3"/>
  <c r="M40" i="7" s="1"/>
  <c r="AC49" i="3"/>
  <c r="AC74" i="3"/>
  <c r="AC66" i="3"/>
  <c r="S139" i="31" s="1"/>
  <c r="AI139" i="31" s="1"/>
  <c r="AC79" i="3"/>
  <c r="AC88" i="3"/>
  <c r="AC80" i="3"/>
  <c r="M57" i="7" s="1"/>
  <c r="AC125" i="3"/>
  <c r="M141" i="7" s="1"/>
  <c r="AC117" i="3"/>
  <c r="AC109" i="3"/>
  <c r="AC178" i="3"/>
  <c r="AC170" i="3"/>
  <c r="AC162" i="3"/>
  <c r="AC154" i="3"/>
  <c r="AC146" i="3"/>
  <c r="AC138" i="3"/>
  <c r="AC130" i="3"/>
  <c r="AC204" i="3"/>
  <c r="M74" i="8" s="1"/>
  <c r="AC196" i="3"/>
  <c r="AC188" i="3"/>
  <c r="AC231" i="3"/>
  <c r="AC223" i="3"/>
  <c r="AC215" i="3"/>
  <c r="AC207" i="3"/>
  <c r="M39" i="7" s="1"/>
  <c r="AC264" i="3"/>
  <c r="AC256" i="3"/>
  <c r="AC248" i="3"/>
  <c r="AC283" i="3"/>
  <c r="AC275" i="3"/>
  <c r="AC291" i="3"/>
  <c r="AC300" i="3"/>
  <c r="AC316" i="3"/>
  <c r="X60" i="8" a="1"/>
  <c r="X60" i="8" s="1"/>
  <c r="V61" i="8"/>
  <c r="Z54" i="5" a="1"/>
  <c r="Z54" i="5" s="1"/>
  <c r="Z30" i="5" a="1"/>
  <c r="Z30" i="5" s="1"/>
  <c r="X8" i="5"/>
  <c r="X31" i="5"/>
  <c r="Z7" i="5" a="1"/>
  <c r="Z7" i="5" s="1"/>
  <c r="V9" i="8"/>
  <c r="V51" i="8"/>
  <c r="X55" i="5"/>
  <c r="G39" i="31"/>
  <c r="V159" i="7"/>
  <c r="V200" i="7"/>
  <c r="E37" i="33"/>
  <c r="L91" i="7"/>
  <c r="V53" i="7"/>
  <c r="X7" i="7" a="1"/>
  <c r="X7" i="7" s="1"/>
  <c r="M7" i="7"/>
  <c r="M14" i="7"/>
  <c r="M77" i="7"/>
  <c r="M172" i="7"/>
  <c r="M243" i="7"/>
  <c r="M181" i="7"/>
  <c r="M215" i="7"/>
  <c r="M242" i="7"/>
  <c r="M50" i="8"/>
  <c r="M8" i="7"/>
  <c r="M66" i="7"/>
  <c r="M133" i="7"/>
  <c r="M158" i="7"/>
  <c r="M190" i="7"/>
  <c r="M225" i="7"/>
  <c r="M254" i="7"/>
  <c r="M49" i="8"/>
  <c r="M80" i="8"/>
  <c r="M65" i="7"/>
  <c r="M157" i="7"/>
  <c r="M227" i="7"/>
  <c r="M60" i="8"/>
  <c r="M6" i="7"/>
  <c r="M167" i="7"/>
  <c r="M15" i="7"/>
  <c r="M166" i="7"/>
  <c r="M197" i="7"/>
  <c r="M109" i="7"/>
  <c r="M126" i="7"/>
  <c r="M165" i="7"/>
  <c r="M70" i="8"/>
  <c r="M88" i="7"/>
  <c r="M13" i="7"/>
  <c r="V8" i="7"/>
  <c r="J29" i="30"/>
  <c r="J41" i="30"/>
  <c r="J38" i="30"/>
  <c r="J20" i="30"/>
  <c r="J42" i="30"/>
  <c r="J47" i="30"/>
  <c r="J49" i="30"/>
  <c r="O26" i="2"/>
  <c r="M26" i="2"/>
  <c r="M66" i="2"/>
  <c r="O66" i="2"/>
  <c r="M48" i="2"/>
  <c r="O42" i="2"/>
  <c r="M42" i="2"/>
  <c r="O48" i="2"/>
  <c r="J46" i="30"/>
  <c r="K91" i="7"/>
  <c r="M91" i="7"/>
  <c r="J91" i="7"/>
  <c r="G132" i="7"/>
  <c r="M132" i="7" s="1"/>
  <c r="G131" i="7"/>
  <c r="L136" i="7"/>
  <c r="K136" i="7"/>
  <c r="J136" i="7"/>
  <c r="I136" i="7"/>
  <c r="G135" i="7"/>
  <c r="L134" i="7"/>
  <c r="K134" i="7"/>
  <c r="J134" i="7"/>
  <c r="I134" i="7"/>
  <c r="L133" i="7"/>
  <c r="K133" i="7"/>
  <c r="J133" i="7"/>
  <c r="I133" i="7"/>
  <c r="W200" i="7"/>
  <c r="Y8" i="5"/>
  <c r="W9" i="8"/>
  <c r="W159" i="7"/>
  <c r="W61" i="8"/>
  <c r="Y31" i="5"/>
  <c r="W53" i="7"/>
  <c r="Y55" i="5"/>
  <c r="W51" i="8"/>
  <c r="W8" i="7"/>
  <c r="R9" i="38" l="1"/>
  <c r="AH10" i="38"/>
  <c r="O9" i="39"/>
  <c r="AF10" i="39"/>
  <c r="R9" i="39"/>
  <c r="AH10" i="39"/>
  <c r="AG10" i="31"/>
  <c r="O10" i="31"/>
  <c r="O9" i="31" s="1"/>
  <c r="O4" i="31" s="1"/>
  <c r="O249" i="31" s="1"/>
  <c r="AE10" i="31"/>
  <c r="R9" i="31"/>
  <c r="BG10" i="39"/>
  <c r="BK10" i="39" s="1"/>
  <c r="AD10" i="39" a="1"/>
  <c r="AD10" i="39" s="1"/>
  <c r="BG10" i="38"/>
  <c r="AD10" i="38" a="1"/>
  <c r="AD10" i="38" s="1"/>
  <c r="N10" i="38"/>
  <c r="AN10" i="38" s="1"/>
  <c r="AG10" i="38"/>
  <c r="AB10" i="38"/>
  <c r="BG10" i="31"/>
  <c r="BK10" i="31" s="1"/>
  <c r="AD10" i="31" a="1"/>
  <c r="AD10" i="31" s="1"/>
  <c r="AC105" i="31" a="1"/>
  <c r="AC105" i="31" s="1"/>
  <c r="AD105" i="31" a="1"/>
  <c r="AD105" i="31" s="1"/>
  <c r="BI105" i="31"/>
  <c r="BM105" i="31" s="1"/>
  <c r="C5" i="44" a="1"/>
  <c r="C5" i="44" s="1"/>
  <c r="W219" i="39"/>
  <c r="AN10" i="39"/>
  <c r="Z72" i="38"/>
  <c r="Y72" i="38"/>
  <c r="V72" i="38"/>
  <c r="W72" i="38"/>
  <c r="AP10" i="38"/>
  <c r="AN10" i="31"/>
  <c r="AQ150" i="31"/>
  <c r="AN151" i="31"/>
  <c r="AQ151" i="31"/>
  <c r="W139" i="31"/>
  <c r="AN150" i="31"/>
  <c r="AP10" i="31"/>
  <c r="D124" i="41"/>
  <c r="W138" i="31"/>
  <c r="AN6" i="31"/>
  <c r="AP28" i="31"/>
  <c r="BL10" i="39"/>
  <c r="BM10" i="39"/>
  <c r="BA139" i="31"/>
  <c r="D125" i="41"/>
  <c r="AV139" i="31"/>
  <c r="AH15" i="40"/>
  <c r="AK15" i="40"/>
  <c r="Q9" i="38"/>
  <c r="AG9" i="38" s="1"/>
  <c r="BL10" i="38"/>
  <c r="BM10" i="38"/>
  <c r="BK10" i="38"/>
  <c r="BB72" i="39"/>
  <c r="BG72" i="39"/>
  <c r="BK72" i="39" s="1"/>
  <c r="BH72" i="39"/>
  <c r="BL72" i="39" s="1"/>
  <c r="BI72" i="39"/>
  <c r="BM72" i="39" s="1"/>
  <c r="BB103" i="39"/>
  <c r="BG103" i="39"/>
  <c r="BK103" i="39" s="1"/>
  <c r="BH103" i="39"/>
  <c r="BL103" i="39" s="1"/>
  <c r="BI103" i="39"/>
  <c r="BM103" i="39" s="1"/>
  <c r="BI102" i="38"/>
  <c r="BM102" i="38" s="1"/>
  <c r="BH102" i="38"/>
  <c r="BL102" i="38" s="1"/>
  <c r="BG102" i="38"/>
  <c r="BK102" i="38" s="1"/>
  <c r="BG67" i="31"/>
  <c r="BK67" i="31" s="1"/>
  <c r="BH67" i="31"/>
  <c r="BL67" i="31" s="1"/>
  <c r="BI67" i="31"/>
  <c r="BM67" i="31" s="1"/>
  <c r="BB67" i="31"/>
  <c r="AW67" i="31"/>
  <c r="AR67" i="31"/>
  <c r="BC102" i="38"/>
  <c r="BD102" i="38"/>
  <c r="BF102" i="38"/>
  <c r="BE102" i="38"/>
  <c r="AX102" i="38"/>
  <c r="AY102" i="38"/>
  <c r="AZ102" i="38"/>
  <c r="BA102" i="38"/>
  <c r="BB102" i="38"/>
  <c r="AW102" i="38"/>
  <c r="AS102" i="38"/>
  <c r="AT102" i="38"/>
  <c r="AN102" i="38"/>
  <c r="AU102" i="38"/>
  <c r="AO102" i="38"/>
  <c r="AV102" i="38"/>
  <c r="AP102" i="38"/>
  <c r="AQ102" i="38"/>
  <c r="AR102" i="38"/>
  <c r="AT71" i="38"/>
  <c r="AU67" i="31"/>
  <c r="AV67" i="31"/>
  <c r="AS67" i="31"/>
  <c r="AT67" i="31"/>
  <c r="BC72" i="38"/>
  <c r="BE72" i="38"/>
  <c r="BD72" i="38"/>
  <c r="BF72" i="38"/>
  <c r="AZ72" i="38"/>
  <c r="BA72" i="38"/>
  <c r="BB72" i="38"/>
  <c r="AX72" i="38"/>
  <c r="AY71" i="38"/>
  <c r="AW72" i="38"/>
  <c r="AU72" i="38"/>
  <c r="AV72" i="38"/>
  <c r="AS72" i="38"/>
  <c r="AO72" i="38"/>
  <c r="AP72" i="38"/>
  <c r="AQ72" i="38"/>
  <c r="AR72" i="38"/>
  <c r="AN72" i="38"/>
  <c r="D4" i="43"/>
  <c r="AR72" i="39"/>
  <c r="AW72" i="39"/>
  <c r="AR103" i="39"/>
  <c r="AW103" i="39"/>
  <c r="BO10" i="39"/>
  <c r="AN72" i="39"/>
  <c r="AX72" i="39"/>
  <c r="AO72" i="39"/>
  <c r="AY72" i="39"/>
  <c r="AP72" i="39"/>
  <c r="AZ72" i="39"/>
  <c r="AT72" i="39"/>
  <c r="BA72" i="39"/>
  <c r="AQ72" i="39"/>
  <c r="AS72" i="39"/>
  <c r="AU72" i="39"/>
  <c r="AV72" i="39"/>
  <c r="AL219" i="39"/>
  <c r="BA219" i="39"/>
  <c r="N9" i="39"/>
  <c r="AE9" i="39" s="1"/>
  <c r="AS103" i="39"/>
  <c r="AT103" i="39"/>
  <c r="AU103" i="39"/>
  <c r="AP103" i="39"/>
  <c r="AQ103" i="39"/>
  <c r="AV103" i="39"/>
  <c r="AZ103" i="39"/>
  <c r="AN103" i="39"/>
  <c r="AO103" i="39"/>
  <c r="AX103" i="39"/>
  <c r="AY103" i="39"/>
  <c r="BA103" i="39"/>
  <c r="Q9" i="39"/>
  <c r="AG9" i="39" s="1"/>
  <c r="AP10" i="39"/>
  <c r="P10" i="39"/>
  <c r="M10" i="39" s="1"/>
  <c r="M9" i="39" s="1"/>
  <c r="AL138" i="31"/>
  <c r="BA138" i="31"/>
  <c r="AY67" i="31"/>
  <c r="AZ67" i="31"/>
  <c r="AX67" i="31"/>
  <c r="BA67" i="31"/>
  <c r="BQ151" i="31"/>
  <c r="AP151" i="31"/>
  <c r="BQ150" i="31"/>
  <c r="AP150" i="31"/>
  <c r="N27" i="31"/>
  <c r="AE27" i="31" s="1"/>
  <c r="AN28" i="31"/>
  <c r="BQ6" i="31"/>
  <c r="AP6" i="31"/>
  <c r="AO67" i="31"/>
  <c r="AP67" i="31"/>
  <c r="AQ67" i="31"/>
  <c r="AN67" i="31"/>
  <c r="B7" i="44" a="1"/>
  <c r="B7" i="44" s="1"/>
  <c r="C7" i="44" s="1" a="1"/>
  <c r="C7" i="44" s="1"/>
  <c r="D6" i="44"/>
  <c r="E4" i="43"/>
  <c r="B7" i="42" a="1"/>
  <c r="B7" i="42" s="1"/>
  <c r="C7" i="42" s="1" a="1"/>
  <c r="C7" i="42" s="1"/>
  <c r="Q27" i="31"/>
  <c r="AG27" i="31" s="1"/>
  <c r="BQ28" i="31"/>
  <c r="BO10" i="31"/>
  <c r="BQ10" i="31"/>
  <c r="BP249" i="31"/>
  <c r="BO68" i="31"/>
  <c r="AM68" i="31"/>
  <c r="BO96" i="31"/>
  <c r="AM96" i="31"/>
  <c r="T139" i="31"/>
  <c r="AL139" i="31"/>
  <c r="AK72" i="39"/>
  <c r="AL72" i="39"/>
  <c r="AK103" i="39"/>
  <c r="AL103" i="39"/>
  <c r="S214" i="39"/>
  <c r="AI214" i="39" s="1"/>
  <c r="T219" i="39"/>
  <c r="AK72" i="38"/>
  <c r="AL72" i="38"/>
  <c r="AK102" i="38"/>
  <c r="AL102" i="38"/>
  <c r="AK68" i="31"/>
  <c r="AL68" i="31"/>
  <c r="AK96" i="31"/>
  <c r="S57" i="39"/>
  <c r="AI57" i="39" s="1"/>
  <c r="S52" i="39"/>
  <c r="AI52" i="39" s="1"/>
  <c r="S153" i="39"/>
  <c r="AI153" i="39" s="1"/>
  <c r="S149" i="39"/>
  <c r="AI149" i="39" s="1"/>
  <c r="S98" i="39"/>
  <c r="AI98" i="39" s="1"/>
  <c r="S70" i="39"/>
  <c r="AI70" i="39" s="1"/>
  <c r="S160" i="39"/>
  <c r="AI160" i="39" s="1"/>
  <c r="S61" i="39"/>
  <c r="AI61" i="39" s="1"/>
  <c r="S169" i="39"/>
  <c r="AI169" i="39" s="1"/>
  <c r="S140" i="39"/>
  <c r="AI140" i="39" s="1"/>
  <c r="S101" i="39"/>
  <c r="AI101" i="39" s="1"/>
  <c r="S91" i="39"/>
  <c r="AI91" i="39" s="1"/>
  <c r="S52" i="38"/>
  <c r="AI52" i="38" s="1"/>
  <c r="S141" i="38"/>
  <c r="AI141" i="38" s="1"/>
  <c r="S61" i="38"/>
  <c r="AI61" i="38" s="1"/>
  <c r="S157" i="38"/>
  <c r="AI157" i="38" s="1"/>
  <c r="S31" i="38"/>
  <c r="AI31" i="38" s="1"/>
  <c r="S129" i="31"/>
  <c r="AI129" i="31" s="1"/>
  <c r="S116" i="38"/>
  <c r="AI116" i="38" s="1"/>
  <c r="S53" i="38"/>
  <c r="AI53" i="38" s="1"/>
  <c r="S62" i="38"/>
  <c r="AI62" i="38" s="1"/>
  <c r="S33" i="38"/>
  <c r="AI33" i="38" s="1"/>
  <c r="S123" i="39"/>
  <c r="AI123" i="39" s="1"/>
  <c r="S224" i="39"/>
  <c r="AI224" i="39" s="1"/>
  <c r="S122" i="39"/>
  <c r="AI122" i="39" s="1"/>
  <c r="S154" i="39"/>
  <c r="AI154" i="39" s="1"/>
  <c r="S148" i="39"/>
  <c r="AI148" i="39" s="1"/>
  <c r="S156" i="39"/>
  <c r="AI156" i="39" s="1"/>
  <c r="S29" i="38"/>
  <c r="AI29" i="38" s="1"/>
  <c r="S150" i="38"/>
  <c r="AI150" i="38" s="1"/>
  <c r="S122" i="38"/>
  <c r="AI122" i="38" s="1"/>
  <c r="S68" i="38"/>
  <c r="AI68" i="38" s="1"/>
  <c r="S69" i="38"/>
  <c r="AI69" i="38" s="1"/>
  <c r="S28" i="38"/>
  <c r="AI28" i="38" s="1"/>
  <c r="S78" i="38"/>
  <c r="AI78" i="38" s="1"/>
  <c r="S82" i="38"/>
  <c r="AI82" i="38" s="1"/>
  <c r="S81" i="38"/>
  <c r="AI81" i="38" s="1"/>
  <c r="S77" i="38"/>
  <c r="AI77" i="38" s="1"/>
  <c r="S227" i="38"/>
  <c r="AI227" i="38" s="1"/>
  <c r="S213" i="31"/>
  <c r="AI213" i="31" s="1"/>
  <c r="AM73" i="39"/>
  <c r="AM104" i="39"/>
  <c r="BN72" i="39"/>
  <c r="BO72" i="39"/>
  <c r="BN103" i="39"/>
  <c r="BO103" i="39"/>
  <c r="L73" i="38" a="1"/>
  <c r="L73" i="38" s="1"/>
  <c r="AM103" i="38"/>
  <c r="BN72" i="38"/>
  <c r="BO72" i="38"/>
  <c r="P72" i="38"/>
  <c r="AY72" i="38" s="1"/>
  <c r="BN102" i="38"/>
  <c r="BO102" i="38"/>
  <c r="S143" i="31"/>
  <c r="AI143" i="31" s="1"/>
  <c r="S137" i="31"/>
  <c r="AI137" i="31" s="1"/>
  <c r="AL218" i="31"/>
  <c r="M96" i="7"/>
  <c r="M136" i="7"/>
  <c r="M114" i="8"/>
  <c r="S17" i="31"/>
  <c r="AI17" i="31" s="1"/>
  <c r="M128" i="7"/>
  <c r="M106" i="7"/>
  <c r="M246" i="7"/>
  <c r="M79" i="7"/>
  <c r="M99" i="7"/>
  <c r="M159" i="7"/>
  <c r="S157" i="7" s="1"/>
  <c r="M206" i="7"/>
  <c r="S109" i="31"/>
  <c r="AI109" i="31" s="1"/>
  <c r="S207" i="31"/>
  <c r="AI207" i="31" s="1"/>
  <c r="M114" i="7"/>
  <c r="S108" i="31"/>
  <c r="AI108" i="31" s="1"/>
  <c r="S28" i="31"/>
  <c r="AI28" i="31" s="1"/>
  <c r="M149" i="7"/>
  <c r="S16" i="31"/>
  <c r="AI16" i="31" s="1"/>
  <c r="M173" i="7"/>
  <c r="AL215" i="31"/>
  <c r="M92" i="7"/>
  <c r="M107" i="8"/>
  <c r="M76" i="7"/>
  <c r="M69" i="7"/>
  <c r="M77" i="8"/>
  <c r="S73" i="31"/>
  <c r="AI73" i="31" s="1"/>
  <c r="S64" i="31"/>
  <c r="AI64" i="31" s="1"/>
  <c r="S208" i="31"/>
  <c r="AI208" i="31" s="1"/>
  <c r="M117" i="7"/>
  <c r="M85" i="8"/>
  <c r="M86" i="8"/>
  <c r="M78" i="8"/>
  <c r="S74" i="31"/>
  <c r="AI74" i="31" s="1"/>
  <c r="S142" i="31"/>
  <c r="AI142" i="31" s="1"/>
  <c r="S222" i="31"/>
  <c r="AI222" i="31" s="1"/>
  <c r="S15" i="31"/>
  <c r="AI15" i="31" s="1"/>
  <c r="S206" i="31"/>
  <c r="AI206" i="31" s="1"/>
  <c r="S115" i="31"/>
  <c r="AI115" i="31" s="1"/>
  <c r="S25" i="31"/>
  <c r="AI25" i="31" s="1"/>
  <c r="S221" i="31"/>
  <c r="AI221" i="31" s="1"/>
  <c r="AL96" i="31"/>
  <c r="S14" i="31"/>
  <c r="AI14" i="31" s="1"/>
  <c r="S114" i="31"/>
  <c r="AI114" i="31" s="1"/>
  <c r="S205" i="31"/>
  <c r="AI205" i="31" s="1"/>
  <c r="S24" i="31"/>
  <c r="AI24" i="31" s="1"/>
  <c r="S149" i="31"/>
  <c r="AI149" i="31" s="1"/>
  <c r="S89" i="31"/>
  <c r="AI89" i="31" s="1"/>
  <c r="S13" i="31"/>
  <c r="AI13" i="31" s="1"/>
  <c r="M30" i="8"/>
  <c r="M238" i="7"/>
  <c r="M97" i="8"/>
  <c r="M99" i="8" s="1"/>
  <c r="S99" i="8" s="1"/>
  <c r="S106" i="31"/>
  <c r="AI106" i="31" s="1"/>
  <c r="S103" i="31"/>
  <c r="AI103" i="31" s="1"/>
  <c r="M82" i="7"/>
  <c r="M208" i="7"/>
  <c r="M199" i="7"/>
  <c r="M253" i="7"/>
  <c r="S145" i="31"/>
  <c r="AI145" i="31" s="1"/>
  <c r="S88" i="31"/>
  <c r="AI88" i="31" s="1"/>
  <c r="S87" i="31"/>
  <c r="AI87" i="31" s="1"/>
  <c r="M104" i="8"/>
  <c r="P61" i="31"/>
  <c r="M61" i="31" s="1"/>
  <c r="S185" i="31"/>
  <c r="AI185" i="31" s="1"/>
  <c r="AG185" i="31"/>
  <c r="AL186" i="31"/>
  <c r="AL153" i="31"/>
  <c r="M186" i="7"/>
  <c r="M55" i="8"/>
  <c r="M67" i="7"/>
  <c r="M90" i="7"/>
  <c r="M115" i="7"/>
  <c r="M94" i="8"/>
  <c r="M95" i="8" s="1"/>
  <c r="S95" i="8" s="1"/>
  <c r="M58" i="7"/>
  <c r="M97" i="7"/>
  <c r="M147" i="7"/>
  <c r="M78" i="7"/>
  <c r="M63" i="7"/>
  <c r="M80" i="7"/>
  <c r="M134" i="7"/>
  <c r="M217" i="7"/>
  <c r="M143" i="7"/>
  <c r="K37" i="2" s="1"/>
  <c r="M38" i="8"/>
  <c r="M41" i="7"/>
  <c r="S39" i="7" s="1"/>
  <c r="M65" i="8"/>
  <c r="M105" i="8"/>
  <c r="M111" i="8"/>
  <c r="M234" i="7"/>
  <c r="M125" i="7"/>
  <c r="M148" i="7"/>
  <c r="M22" i="7"/>
  <c r="M43" i="7"/>
  <c r="G106" i="31"/>
  <c r="I106" i="31"/>
  <c r="S165" i="7"/>
  <c r="M56" i="7"/>
  <c r="M112" i="8"/>
  <c r="M44" i="7"/>
  <c r="M60" i="7"/>
  <c r="M51" i="7"/>
  <c r="M54" i="7"/>
  <c r="M242" i="31"/>
  <c r="Q9" i="31"/>
  <c r="AG9" i="31" s="1"/>
  <c r="N5" i="31"/>
  <c r="Q5" i="31"/>
  <c r="P44" i="2"/>
  <c r="AB44" i="2"/>
  <c r="O87" i="2"/>
  <c r="M87" i="2"/>
  <c r="N87" i="2"/>
  <c r="O101" i="2"/>
  <c r="M101" i="2"/>
  <c r="N101" i="2"/>
  <c r="N98" i="2"/>
  <c r="M98" i="2"/>
  <c r="O98" i="2"/>
  <c r="M92" i="2"/>
  <c r="O92" i="2"/>
  <c r="N92" i="2"/>
  <c r="X61" i="8" a="1"/>
  <c r="X61" i="8" s="1"/>
  <c r="V62" i="8"/>
  <c r="P65" i="2"/>
  <c r="AB65" i="2"/>
  <c r="Z55" i="5" a="1"/>
  <c r="Z55" i="5" s="1"/>
  <c r="Z31" i="5" a="1"/>
  <c r="Z31" i="5" s="1"/>
  <c r="Z8" i="5" a="1"/>
  <c r="Z8" i="5" s="1"/>
  <c r="X32" i="5"/>
  <c r="V52" i="8"/>
  <c r="X56" i="5"/>
  <c r="G40" i="31"/>
  <c r="S6" i="7"/>
  <c r="V201" i="7"/>
  <c r="V160" i="7"/>
  <c r="C35" i="33"/>
  <c r="E36" i="33"/>
  <c r="S13" i="7"/>
  <c r="V54" i="7"/>
  <c r="X8" i="7" a="1"/>
  <c r="X8" i="7" s="1"/>
  <c r="J34" i="30"/>
  <c r="E29" i="33"/>
  <c r="S49" i="8"/>
  <c r="J18" i="30"/>
  <c r="AA92" i="2"/>
  <c r="Z92" i="2"/>
  <c r="Z87" i="2"/>
  <c r="AA87" i="2"/>
  <c r="Z98" i="2"/>
  <c r="AA98" i="2"/>
  <c r="Z101" i="2"/>
  <c r="AA101" i="2"/>
  <c r="O9" i="2"/>
  <c r="M9" i="2"/>
  <c r="AA9" i="2"/>
  <c r="Z9" i="2"/>
  <c r="J22" i="30"/>
  <c r="O4" i="29" s="1"/>
  <c r="J28" i="30"/>
  <c r="J14" i="30"/>
  <c r="O5" i="2"/>
  <c r="M75" i="2"/>
  <c r="O75" i="2"/>
  <c r="K132" i="7"/>
  <c r="L132" i="7"/>
  <c r="I132" i="7"/>
  <c r="J132" i="7"/>
  <c r="K135" i="7"/>
  <c r="M135" i="7"/>
  <c r="K131" i="7"/>
  <c r="M131" i="7"/>
  <c r="J131" i="7"/>
  <c r="L131" i="7"/>
  <c r="J135" i="7"/>
  <c r="L135" i="7"/>
  <c r="I135" i="7"/>
  <c r="I131" i="7"/>
  <c r="W160" i="7"/>
  <c r="W54" i="7"/>
  <c r="Y32" i="5"/>
  <c r="W52" i="8"/>
  <c r="W62" i="8"/>
  <c r="Y56" i="5"/>
  <c r="W201" i="7"/>
  <c r="R4" i="39" l="1"/>
  <c r="R262" i="39" s="1"/>
  <c r="AH9" i="39"/>
  <c r="O4" i="39"/>
  <c r="O262" i="39" s="1"/>
  <c r="AF9" i="39"/>
  <c r="R4" i="38"/>
  <c r="R263" i="38" s="1"/>
  <c r="AH9" i="38"/>
  <c r="P10" i="38"/>
  <c r="AE10" i="38"/>
  <c r="O10" i="38"/>
  <c r="O9" i="38" s="1"/>
  <c r="O4" i="38" s="1"/>
  <c r="O263" i="38" s="1"/>
  <c r="BO10" i="38"/>
  <c r="R4" i="31"/>
  <c r="R249" i="31" s="1"/>
  <c r="N9" i="38"/>
  <c r="AE9" i="38" s="1"/>
  <c r="AC106" i="31" a="1"/>
  <c r="AC106" i="31" s="1"/>
  <c r="AD106" i="31" a="1"/>
  <c r="AD106" i="31" s="1"/>
  <c r="BI106" i="31"/>
  <c r="BM106" i="31" s="1"/>
  <c r="W149" i="39"/>
  <c r="H203" i="41"/>
  <c r="W148" i="39"/>
  <c r="W70" i="39"/>
  <c r="W153" i="39"/>
  <c r="H195" i="41"/>
  <c r="W140" i="39"/>
  <c r="S220" i="39"/>
  <c r="AI220" i="39" s="1"/>
  <c r="W224" i="39"/>
  <c r="N4" i="39"/>
  <c r="H211" i="41"/>
  <c r="W156" i="39"/>
  <c r="W101" i="39"/>
  <c r="H80" i="41"/>
  <c r="T214" i="39"/>
  <c r="V214" i="39" s="1"/>
  <c r="V219" i="39"/>
  <c r="W122" i="39"/>
  <c r="AQ169" i="39"/>
  <c r="H209" i="41"/>
  <c r="W154" i="39"/>
  <c r="AQ57" i="39"/>
  <c r="W91" i="39"/>
  <c r="Q4" i="39"/>
  <c r="R5" i="40" s="1"/>
  <c r="AQ160" i="39"/>
  <c r="H178" i="41"/>
  <c r="O98" i="41" s="1"/>
  <c r="W82" i="38"/>
  <c r="Y73" i="38"/>
  <c r="W73" i="38"/>
  <c r="V73" i="38"/>
  <c r="Z73" i="38"/>
  <c r="W28" i="38"/>
  <c r="W150" i="38"/>
  <c r="W78" i="38"/>
  <c r="W29" i="38"/>
  <c r="W68" i="38"/>
  <c r="W81" i="38"/>
  <c r="W33" i="38"/>
  <c r="W62" i="38"/>
  <c r="W31" i="38"/>
  <c r="W141" i="38"/>
  <c r="W53" i="38"/>
  <c r="W227" i="38"/>
  <c r="W116" i="38"/>
  <c r="W157" i="38"/>
  <c r="W69" i="38"/>
  <c r="W77" i="38"/>
  <c r="F156" i="41"/>
  <c r="AQ52" i="38"/>
  <c r="BA29" i="38"/>
  <c r="AM73" i="38"/>
  <c r="BI73" i="38" s="1"/>
  <c r="BM73" i="38" s="1"/>
  <c r="BA69" i="38"/>
  <c r="BA28" i="38"/>
  <c r="BA68" i="38"/>
  <c r="F165" i="41"/>
  <c r="BA78" i="38"/>
  <c r="F172" i="41"/>
  <c r="Q4" i="38"/>
  <c r="BA33" i="38"/>
  <c r="BA62" i="38"/>
  <c r="F75" i="41"/>
  <c r="M64" i="41" s="1"/>
  <c r="BA82" i="38"/>
  <c r="N4" i="38"/>
  <c r="J5" i="40" s="1"/>
  <c r="BA81" i="38"/>
  <c r="BA31" i="38"/>
  <c r="AU185" i="31"/>
  <c r="AQ14" i="31"/>
  <c r="AQ25" i="31"/>
  <c r="D128" i="41"/>
  <c r="W142" i="31"/>
  <c r="W205" i="31"/>
  <c r="W213" i="31"/>
  <c r="T87" i="31"/>
  <c r="V87" i="31" s="1"/>
  <c r="W87" i="31"/>
  <c r="D131" i="41"/>
  <c r="W145" i="31"/>
  <c r="W143" i="31"/>
  <c r="AV222" i="31"/>
  <c r="W222" i="31"/>
  <c r="D66" i="41"/>
  <c r="W103" i="31"/>
  <c r="D69" i="41"/>
  <c r="W106" i="31"/>
  <c r="AW139" i="31"/>
  <c r="V139" i="31"/>
  <c r="W89" i="31"/>
  <c r="BA64" i="31"/>
  <c r="W64" i="31"/>
  <c r="AV185" i="31"/>
  <c r="W185" i="31"/>
  <c r="D115" i="41"/>
  <c r="W129" i="31"/>
  <c r="T88" i="31"/>
  <c r="V88" i="31" s="1"/>
  <c r="W88" i="31"/>
  <c r="D123" i="41"/>
  <c r="W137" i="31"/>
  <c r="AQ16" i="31"/>
  <c r="D72" i="41"/>
  <c r="W109" i="31"/>
  <c r="AQ13" i="31"/>
  <c r="AQ149" i="31"/>
  <c r="W73" i="31"/>
  <c r="AQ17" i="31"/>
  <c r="BQ9" i="31"/>
  <c r="W114" i="31"/>
  <c r="W221" i="31"/>
  <c r="BQ27" i="31"/>
  <c r="W206" i="31"/>
  <c r="W108" i="31"/>
  <c r="AV74" i="31"/>
  <c r="W74" i="31"/>
  <c r="AQ207" i="31"/>
  <c r="AQ24" i="31"/>
  <c r="BA101" i="39"/>
  <c r="H82" i="41"/>
  <c r="O64" i="41" s="1"/>
  <c r="BA149" i="39"/>
  <c r="H204" i="41"/>
  <c r="S220" i="31"/>
  <c r="AI220" i="31" s="1"/>
  <c r="H177" i="41"/>
  <c r="S121" i="39"/>
  <c r="AI121" i="39" s="1"/>
  <c r="BA153" i="39"/>
  <c r="H208" i="41"/>
  <c r="BA89" i="31"/>
  <c r="T89" i="31"/>
  <c r="AV108" i="31"/>
  <c r="D71" i="41"/>
  <c r="K65" i="41" s="1"/>
  <c r="AQ115" i="31"/>
  <c r="D101" i="41"/>
  <c r="K98" i="41" s="1"/>
  <c r="BA143" i="31"/>
  <c r="D129" i="41"/>
  <c r="AQ122" i="38"/>
  <c r="F137" i="41"/>
  <c r="M98" i="41" s="1"/>
  <c r="BA208" i="31"/>
  <c r="AQ208" i="31"/>
  <c r="BA114" i="31"/>
  <c r="D100" i="41"/>
  <c r="AQ61" i="38"/>
  <c r="S58" i="38"/>
  <c r="AI58" i="38" s="1"/>
  <c r="BB73" i="39"/>
  <c r="BG73" i="39"/>
  <c r="BH73" i="39"/>
  <c r="BL73" i="39" s="1"/>
  <c r="BI73" i="39"/>
  <c r="BM73" i="39" s="1"/>
  <c r="BB104" i="39"/>
  <c r="BI104" i="39"/>
  <c r="BM104" i="39" s="1"/>
  <c r="BG104" i="39"/>
  <c r="BK104" i="39" s="1"/>
  <c r="BH104" i="39"/>
  <c r="BL104" i="39" s="1"/>
  <c r="BI103" i="38"/>
  <c r="BM103" i="38" s="1"/>
  <c r="BH103" i="38"/>
  <c r="BL103" i="38" s="1"/>
  <c r="BG103" i="38"/>
  <c r="BK103" i="38" s="1"/>
  <c r="BG96" i="31"/>
  <c r="BK96" i="31" s="1"/>
  <c r="BH96" i="31"/>
  <c r="BL96" i="31" s="1"/>
  <c r="BI96" i="31"/>
  <c r="BM96" i="31" s="1"/>
  <c r="BI68" i="31"/>
  <c r="BM68" i="31" s="1"/>
  <c r="BH68" i="31"/>
  <c r="BL68" i="31" s="1"/>
  <c r="BG68" i="31"/>
  <c r="BK68" i="31" s="1"/>
  <c r="AK219" i="39"/>
  <c r="BB219" i="39"/>
  <c r="BB96" i="31"/>
  <c r="AW96" i="31"/>
  <c r="AR96" i="31"/>
  <c r="BB68" i="31"/>
  <c r="AR68" i="31"/>
  <c r="AW68" i="31"/>
  <c r="AK139" i="31"/>
  <c r="BB139" i="31"/>
  <c r="S107" i="38"/>
  <c r="AI107" i="38" s="1"/>
  <c r="BA116" i="38"/>
  <c r="P9" i="38"/>
  <c r="P4" i="38" s="1"/>
  <c r="AO10" i="38"/>
  <c r="BE103" i="38"/>
  <c r="BF103" i="38"/>
  <c r="BC103" i="38"/>
  <c r="BD103" i="38"/>
  <c r="AZ103" i="38"/>
  <c r="BA103" i="38"/>
  <c r="BB103" i="38"/>
  <c r="AX103" i="38"/>
  <c r="AY103" i="38"/>
  <c r="AW103" i="38"/>
  <c r="AU103" i="38"/>
  <c r="AN103" i="38"/>
  <c r="AV103" i="38"/>
  <c r="AO103" i="38"/>
  <c r="AP103" i="38"/>
  <c r="AQ103" i="38"/>
  <c r="AR103" i="38"/>
  <c r="AS103" i="38"/>
  <c r="AT103" i="38"/>
  <c r="AL227" i="38"/>
  <c r="BA227" i="38"/>
  <c r="AL77" i="38"/>
  <c r="BA77" i="38"/>
  <c r="AL150" i="38"/>
  <c r="BA150" i="38"/>
  <c r="AL157" i="38"/>
  <c r="BA157" i="38"/>
  <c r="AL141" i="38"/>
  <c r="BA141" i="38"/>
  <c r="F50" i="41"/>
  <c r="BA53" i="38"/>
  <c r="AT72" i="38"/>
  <c r="AX185" i="31"/>
  <c r="AS185" i="31"/>
  <c r="AS68" i="31"/>
  <c r="AT68" i="31"/>
  <c r="AV68" i="31"/>
  <c r="AU68" i="31"/>
  <c r="AU96" i="31"/>
  <c r="AV96" i="31"/>
  <c r="AS96" i="31"/>
  <c r="AT96" i="31"/>
  <c r="M10" i="38"/>
  <c r="M9" i="38" s="1"/>
  <c r="T52" i="38"/>
  <c r="F49" i="41"/>
  <c r="D5" i="43"/>
  <c r="AL69" i="38"/>
  <c r="F39" i="41"/>
  <c r="F38" i="41"/>
  <c r="AR104" i="39"/>
  <c r="AW104" i="39"/>
  <c r="AR73" i="39"/>
  <c r="AW73" i="39"/>
  <c r="AL122" i="39"/>
  <c r="BA122" i="39"/>
  <c r="AL91" i="39"/>
  <c r="BA91" i="39"/>
  <c r="AL224" i="39"/>
  <c r="BA224" i="39"/>
  <c r="AL140" i="39"/>
  <c r="BA140" i="39"/>
  <c r="T123" i="39"/>
  <c r="AR123" i="39" s="1"/>
  <c r="AQ123" i="39"/>
  <c r="E5" i="43"/>
  <c r="AL61" i="39"/>
  <c r="AQ61" i="39"/>
  <c r="AL154" i="39"/>
  <c r="BA154" i="39"/>
  <c r="H49" i="41"/>
  <c r="O33" i="41" s="1"/>
  <c r="AQ52" i="39"/>
  <c r="AN104" i="39"/>
  <c r="AX104" i="39"/>
  <c r="AO104" i="39"/>
  <c r="AY104" i="39"/>
  <c r="AP104" i="39"/>
  <c r="AS104" i="39"/>
  <c r="AT104" i="39"/>
  <c r="AU104" i="39"/>
  <c r="BA104" i="39"/>
  <c r="AZ104" i="39"/>
  <c r="AV104" i="39"/>
  <c r="AQ104" i="39"/>
  <c r="AL156" i="39"/>
  <c r="BA156" i="39"/>
  <c r="P9" i="39"/>
  <c r="P4" i="39" s="1"/>
  <c r="AO10" i="39"/>
  <c r="T98" i="39"/>
  <c r="AQ98" i="39"/>
  <c r="AS73" i="39"/>
  <c r="AT73" i="39"/>
  <c r="AU73" i="39"/>
  <c r="AO73" i="39"/>
  <c r="AY73" i="39"/>
  <c r="AN73" i="39"/>
  <c r="AP73" i="39"/>
  <c r="AQ73" i="39"/>
  <c r="AV73" i="39"/>
  <c r="AX73" i="39"/>
  <c r="BA73" i="39"/>
  <c r="AZ73" i="39"/>
  <c r="AL148" i="39"/>
  <c r="BA148" i="39"/>
  <c r="AL70" i="39"/>
  <c r="BA70" i="39"/>
  <c r="H18" i="41"/>
  <c r="O5" i="41" s="1"/>
  <c r="AL221" i="31"/>
  <c r="BA221" i="31"/>
  <c r="AL108" i="31"/>
  <c r="BA108" i="31"/>
  <c r="AL137" i="31"/>
  <c r="BA137" i="31"/>
  <c r="AL213" i="31"/>
  <c r="BA213" i="31"/>
  <c r="AL129" i="31"/>
  <c r="BA129" i="31"/>
  <c r="AL185" i="31"/>
  <c r="BA185" i="31"/>
  <c r="AL206" i="31"/>
  <c r="BA206" i="31"/>
  <c r="AL207" i="31"/>
  <c r="BA207" i="31"/>
  <c r="AL87" i="31"/>
  <c r="BA87" i="31"/>
  <c r="AL106" i="31"/>
  <c r="BA106" i="31"/>
  <c r="AL205" i="31"/>
  <c r="BA205" i="31"/>
  <c r="AL109" i="31"/>
  <c r="BA109" i="31"/>
  <c r="AL103" i="31"/>
  <c r="BA103" i="31"/>
  <c r="AL88" i="31"/>
  <c r="BA88" i="31"/>
  <c r="AL222" i="31"/>
  <c r="BA222" i="31"/>
  <c r="AY96" i="31"/>
  <c r="AZ96" i="31"/>
  <c r="BA96" i="31"/>
  <c r="AX96" i="31"/>
  <c r="AL145" i="31"/>
  <c r="BA145" i="31"/>
  <c r="AL142" i="31"/>
  <c r="BA142" i="31"/>
  <c r="AL73" i="31"/>
  <c r="BA73" i="31"/>
  <c r="BQ185" i="31"/>
  <c r="AZ185" i="31"/>
  <c r="AL74" i="31"/>
  <c r="BA74" i="31"/>
  <c r="AY68" i="31"/>
  <c r="AZ68" i="31"/>
  <c r="BA68" i="31"/>
  <c r="AX68" i="31"/>
  <c r="T15" i="31"/>
  <c r="AQ15" i="31"/>
  <c r="AO96" i="31"/>
  <c r="AP96" i="31"/>
  <c r="AQ96" i="31"/>
  <c r="AN96" i="31"/>
  <c r="AP68" i="31"/>
  <c r="AO68" i="31"/>
  <c r="AN68" i="31"/>
  <c r="AQ68" i="31"/>
  <c r="S27" i="31"/>
  <c r="AI27" i="31" s="1"/>
  <c r="AQ28" i="31"/>
  <c r="AL64" i="31"/>
  <c r="D34" i="41"/>
  <c r="S12" i="31"/>
  <c r="AI12" i="31" s="1"/>
  <c r="B8" i="44" a="1"/>
  <c r="B8" i="44" s="1"/>
  <c r="C8" i="44" s="1" a="1"/>
  <c r="C8" i="44" s="1"/>
  <c r="B8" i="42" a="1"/>
  <c r="B8" i="42" s="1"/>
  <c r="C8" i="42" s="1" a="1"/>
  <c r="C8" i="42" s="1"/>
  <c r="BO69" i="31"/>
  <c r="AM69" i="31"/>
  <c r="BO97" i="31"/>
  <c r="AM97" i="31"/>
  <c r="AL97" i="31"/>
  <c r="T33" i="39"/>
  <c r="AL33" i="39"/>
  <c r="T114" i="31"/>
  <c r="AL114" i="31"/>
  <c r="T208" i="31"/>
  <c r="AL208" i="31"/>
  <c r="AL116" i="38"/>
  <c r="T101" i="39"/>
  <c r="V101" i="39" s="1"/>
  <c r="AL101" i="39"/>
  <c r="T143" i="31"/>
  <c r="V143" i="31" s="1"/>
  <c r="AL143" i="31"/>
  <c r="T149" i="39"/>
  <c r="V149" i="39" s="1"/>
  <c r="AL149" i="39"/>
  <c r="T153" i="39"/>
  <c r="V153" i="39" s="1"/>
  <c r="AL153" i="39"/>
  <c r="T31" i="39"/>
  <c r="AL31" i="39"/>
  <c r="AL89" i="31"/>
  <c r="T28" i="39"/>
  <c r="V28" i="39" s="1"/>
  <c r="AL28" i="39"/>
  <c r="T29" i="39"/>
  <c r="AL29" i="39"/>
  <c r="AK104" i="39"/>
  <c r="AL104" i="39"/>
  <c r="AK73" i="39"/>
  <c r="AL73" i="39"/>
  <c r="S136" i="39"/>
  <c r="AI136" i="39" s="1"/>
  <c r="T140" i="39"/>
  <c r="S155" i="39"/>
  <c r="AI155" i="39" s="1"/>
  <c r="T156" i="39"/>
  <c r="S147" i="39"/>
  <c r="AI147" i="39" s="1"/>
  <c r="T148" i="39"/>
  <c r="V148" i="39" s="1"/>
  <c r="S51" i="39"/>
  <c r="AI51" i="39" s="1"/>
  <c r="T52" i="39"/>
  <c r="S168" i="39"/>
  <c r="AI168" i="39" s="1"/>
  <c r="T169" i="39"/>
  <c r="S54" i="39"/>
  <c r="AI54" i="39" s="1"/>
  <c r="T57" i="39"/>
  <c r="S58" i="39"/>
  <c r="AI58" i="39" s="1"/>
  <c r="T61" i="39"/>
  <c r="T58" i="39" s="1"/>
  <c r="V58" i="39" s="1"/>
  <c r="T224" i="39"/>
  <c r="V224" i="39" s="1"/>
  <c r="S152" i="39"/>
  <c r="AI152" i="39" s="1"/>
  <c r="T154" i="39"/>
  <c r="V154" i="39" s="1"/>
  <c r="S159" i="39"/>
  <c r="AI159" i="39" s="1"/>
  <c r="T160" i="39"/>
  <c r="T122" i="39"/>
  <c r="V122" i="39" s="1"/>
  <c r="S88" i="39"/>
  <c r="AI88" i="39" s="1"/>
  <c r="T91" i="39"/>
  <c r="S67" i="39"/>
  <c r="AI67" i="39" s="1"/>
  <c r="T70" i="39"/>
  <c r="T53" i="38"/>
  <c r="V53" i="38" s="1"/>
  <c r="AL53" i="38"/>
  <c r="T81" i="38"/>
  <c r="V81" i="38" s="1"/>
  <c r="AL81" i="38"/>
  <c r="T29" i="38"/>
  <c r="V29" i="38" s="1"/>
  <c r="AL29" i="38"/>
  <c r="T68" i="38"/>
  <c r="V68" i="38" s="1"/>
  <c r="AL68" i="38"/>
  <c r="T82" i="38"/>
  <c r="V82" i="38" s="1"/>
  <c r="AL82" i="38"/>
  <c r="T31" i="38"/>
  <c r="V31" i="38" s="1"/>
  <c r="AL31" i="38"/>
  <c r="T78" i="38"/>
  <c r="V78" i="38" s="1"/>
  <c r="AL78" i="38"/>
  <c r="T28" i="38"/>
  <c r="V28" i="38" s="1"/>
  <c r="AL28" i="38"/>
  <c r="T33" i="38"/>
  <c r="V33" i="38" s="1"/>
  <c r="AL33" i="38"/>
  <c r="T62" i="38"/>
  <c r="V62" i="38" s="1"/>
  <c r="AL62" i="38"/>
  <c r="AK73" i="38"/>
  <c r="AL73" i="38"/>
  <c r="AK103" i="38"/>
  <c r="AL103" i="38"/>
  <c r="S156" i="38"/>
  <c r="AI156" i="38" s="1"/>
  <c r="T157" i="38"/>
  <c r="V157" i="38" s="1"/>
  <c r="T61" i="38"/>
  <c r="S67" i="38"/>
  <c r="AI67" i="38" s="1"/>
  <c r="T69" i="38"/>
  <c r="V69" i="38" s="1"/>
  <c r="S137" i="38"/>
  <c r="AI137" i="38" s="1"/>
  <c r="T141" i="38"/>
  <c r="V141" i="38" s="1"/>
  <c r="S222" i="38"/>
  <c r="AI222" i="38" s="1"/>
  <c r="T227" i="38"/>
  <c r="V227" i="38" s="1"/>
  <c r="S120" i="38"/>
  <c r="AI120" i="38" s="1"/>
  <c r="T122" i="38"/>
  <c r="S76" i="38"/>
  <c r="AI76" i="38" s="1"/>
  <c r="T77" i="38"/>
  <c r="V77" i="38" s="1"/>
  <c r="S148" i="38"/>
  <c r="AI148" i="38" s="1"/>
  <c r="T150" i="38"/>
  <c r="V150" i="38" s="1"/>
  <c r="T116" i="38"/>
  <c r="V116" i="38" s="1"/>
  <c r="AK69" i="31"/>
  <c r="AL69" i="31"/>
  <c r="S144" i="31"/>
  <c r="AI144" i="31" s="1"/>
  <c r="T145" i="31"/>
  <c r="S125" i="31"/>
  <c r="AI125" i="31" s="1"/>
  <c r="T129" i="31"/>
  <c r="S136" i="31"/>
  <c r="AI136" i="31" s="1"/>
  <c r="T137" i="31"/>
  <c r="S209" i="31"/>
  <c r="AI209" i="31" s="1"/>
  <c r="T213" i="31"/>
  <c r="AK97" i="31"/>
  <c r="S72" i="31"/>
  <c r="AI72" i="31" s="1"/>
  <c r="S27" i="39"/>
  <c r="AI27" i="39" s="1"/>
  <c r="S27" i="38"/>
  <c r="AI27" i="38" s="1"/>
  <c r="S51" i="38"/>
  <c r="AI51" i="38" s="1"/>
  <c r="S97" i="39"/>
  <c r="AI97" i="39" s="1"/>
  <c r="S80" i="38"/>
  <c r="AI80" i="38" s="1"/>
  <c r="S23" i="31"/>
  <c r="AI23" i="31" s="1"/>
  <c r="AM105" i="39"/>
  <c r="AM74" i="39"/>
  <c r="BN104" i="39"/>
  <c r="BO104" i="39"/>
  <c r="BN73" i="39"/>
  <c r="BO73" i="39"/>
  <c r="AM104" i="38"/>
  <c r="AM74" i="38"/>
  <c r="M72" i="38"/>
  <c r="BN103" i="38"/>
  <c r="BO103" i="38"/>
  <c r="BN73" i="38"/>
  <c r="P73" i="38"/>
  <c r="M73" i="38" s="1"/>
  <c r="E43" i="41" s="1"/>
  <c r="L35" i="41" s="1"/>
  <c r="BO73" i="38"/>
  <c r="S113" i="31"/>
  <c r="AI113" i="31" s="1"/>
  <c r="S214" i="31"/>
  <c r="AI214" i="31" s="1"/>
  <c r="S204" i="31"/>
  <c r="AI204" i="31" s="1"/>
  <c r="S86" i="31"/>
  <c r="AI86" i="31" s="1"/>
  <c r="S141" i="31"/>
  <c r="AI141" i="31" s="1"/>
  <c r="T142" i="31"/>
  <c r="V142" i="31" s="1"/>
  <c r="O30" i="40"/>
  <c r="S143" i="7"/>
  <c r="X37" i="2" s="1"/>
  <c r="AM98" i="31"/>
  <c r="AN30" i="31"/>
  <c r="AQ30" i="31"/>
  <c r="AL154" i="31"/>
  <c r="AL171" i="31"/>
  <c r="AV171" i="31" s="1"/>
  <c r="BF171" i="31" s="1"/>
  <c r="M150" i="7"/>
  <c r="K39" i="2" s="1"/>
  <c r="P39" i="2" s="1"/>
  <c r="P38" i="2" s="1"/>
  <c r="BR115" i="31"/>
  <c r="S42" i="7"/>
  <c r="S45" i="7" s="1"/>
  <c r="X28" i="2" s="1"/>
  <c r="G107" i="31"/>
  <c r="I107" i="31"/>
  <c r="S101" i="8"/>
  <c r="X73" i="2" s="1"/>
  <c r="M45" i="7"/>
  <c r="K28" i="2" s="1"/>
  <c r="BR137" i="31"/>
  <c r="P28" i="31"/>
  <c r="BR118" i="31"/>
  <c r="BR139" i="31"/>
  <c r="M241" i="31"/>
  <c r="BR138" i="31"/>
  <c r="BR117" i="31"/>
  <c r="BR186" i="31"/>
  <c r="P10" i="31"/>
  <c r="N9" i="31"/>
  <c r="AE9" i="31" s="1"/>
  <c r="BR10" i="31"/>
  <c r="BR142" i="31"/>
  <c r="BR119" i="31"/>
  <c r="BR116" i="31"/>
  <c r="BR114" i="31"/>
  <c r="BR238" i="31"/>
  <c r="BR244" i="31"/>
  <c r="BR185" i="31"/>
  <c r="BR6" i="31"/>
  <c r="BR151" i="31"/>
  <c r="BR236" i="31"/>
  <c r="BR153" i="31"/>
  <c r="BR215" i="31"/>
  <c r="BR206" i="31"/>
  <c r="BR214" i="31"/>
  <c r="BR207" i="31"/>
  <c r="BR205" i="31"/>
  <c r="BR218" i="31"/>
  <c r="BR208" i="31"/>
  <c r="BR150" i="31"/>
  <c r="BR152" i="31"/>
  <c r="BR149" i="31"/>
  <c r="BR25" i="31"/>
  <c r="BR24" i="31"/>
  <c r="BR27" i="31"/>
  <c r="BR28" i="31"/>
  <c r="M101" i="8"/>
  <c r="Q184" i="31"/>
  <c r="AG184" i="31" s="1"/>
  <c r="M236" i="31"/>
  <c r="S184" i="31"/>
  <c r="AI184" i="31" s="1"/>
  <c r="P185" i="31"/>
  <c r="N184" i="31"/>
  <c r="AE184" i="31" s="1"/>
  <c r="Q246" i="31"/>
  <c r="AG246" i="31" s="1"/>
  <c r="P6" i="31"/>
  <c r="AO6" i="31" s="1"/>
  <c r="P24" i="31"/>
  <c r="AO24" i="31" s="1"/>
  <c r="P25" i="31"/>
  <c r="AO25" i="31" s="1"/>
  <c r="M238" i="31"/>
  <c r="M244" i="31"/>
  <c r="P115" i="31"/>
  <c r="P114" i="31"/>
  <c r="AY114" i="31" s="1"/>
  <c r="P117" i="31"/>
  <c r="P119" i="31"/>
  <c r="P116" i="31"/>
  <c r="P138" i="31"/>
  <c r="P137" i="31"/>
  <c r="AY137" i="31" s="1"/>
  <c r="P139" i="31"/>
  <c r="AT139" i="31" s="1"/>
  <c r="P151" i="31"/>
  <c r="P61" i="2"/>
  <c r="AB61" i="2"/>
  <c r="P27" i="2"/>
  <c r="AB27" i="2"/>
  <c r="P149" i="31"/>
  <c r="AO149" i="31" s="1"/>
  <c r="P205" i="31"/>
  <c r="AY205" i="31" s="1"/>
  <c r="P208" i="31"/>
  <c r="AO208" i="31" s="1"/>
  <c r="P206" i="31"/>
  <c r="P150" i="31"/>
  <c r="P207" i="31"/>
  <c r="AO207" i="31" s="1"/>
  <c r="X62" i="8" a="1"/>
  <c r="X62" i="8" s="1"/>
  <c r="V63" i="8"/>
  <c r="Z56" i="5" a="1"/>
  <c r="Z56" i="5" s="1"/>
  <c r="Z32" i="5" a="1"/>
  <c r="Z32" i="5" s="1"/>
  <c r="I31" i="31" a="1"/>
  <c r="I31" i="31" s="1"/>
  <c r="AC31" i="31" s="1" a="1"/>
  <c r="AC31" i="31" s="1"/>
  <c r="AE9" i="2"/>
  <c r="V53" i="8"/>
  <c r="X57" i="5"/>
  <c r="C36" i="33"/>
  <c r="E28" i="33"/>
  <c r="C34" i="33"/>
  <c r="C32" i="33"/>
  <c r="E34" i="33"/>
  <c r="V55" i="7"/>
  <c r="J33" i="30"/>
  <c r="O62" i="2"/>
  <c r="J16" i="30"/>
  <c r="O58" i="2"/>
  <c r="M58" i="2"/>
  <c r="M62" i="2"/>
  <c r="K137" i="7"/>
  <c r="Q137" i="7" s="1"/>
  <c r="M137" i="7"/>
  <c r="S137" i="7" s="1"/>
  <c r="J137" i="7"/>
  <c r="P137" i="7" s="1"/>
  <c r="L137" i="7"/>
  <c r="R137" i="7" s="1"/>
  <c r="I137" i="7"/>
  <c r="O137" i="7" s="1"/>
  <c r="Y57" i="5"/>
  <c r="W63" i="8"/>
  <c r="W55" i="7"/>
  <c r="W53" i="8"/>
  <c r="N263" i="38" l="1"/>
  <c r="D21" i="46" s="1"/>
  <c r="AK88" i="31"/>
  <c r="BB88" i="31"/>
  <c r="AC107" i="31" a="1"/>
  <c r="AC107" i="31" s="1"/>
  <c r="AD107" i="31" a="1"/>
  <c r="AD107" i="31" s="1"/>
  <c r="BB73" i="38"/>
  <c r="BF73" i="38"/>
  <c r="BE73" i="38"/>
  <c r="AD31" i="31" a="1"/>
  <c r="AD31" i="31" s="1"/>
  <c r="BI107" i="31"/>
  <c r="BM107" i="31" s="1"/>
  <c r="BD73" i="38"/>
  <c r="AU73" i="38"/>
  <c r="AT73" i="38"/>
  <c r="AW73" i="38"/>
  <c r="BH73" i="38"/>
  <c r="BL73" i="38" s="1"/>
  <c r="AN73" i="38"/>
  <c r="AV73" i="38"/>
  <c r="AX73" i="38"/>
  <c r="BG73" i="38"/>
  <c r="BK73" i="38" s="1"/>
  <c r="AR73" i="38"/>
  <c r="AZ73" i="38"/>
  <c r="BC73" i="38"/>
  <c r="AK33" i="39"/>
  <c r="V33" i="39"/>
  <c r="S87" i="39"/>
  <c r="AI87" i="39" s="1"/>
  <c r="T136" i="39"/>
  <c r="V136" i="39" s="1"/>
  <c r="V140" i="39"/>
  <c r="W58" i="39"/>
  <c r="W54" i="39"/>
  <c r="W27" i="39"/>
  <c r="AK29" i="39"/>
  <c r="V29" i="39"/>
  <c r="G83" i="41"/>
  <c r="AK31" i="39"/>
  <c r="V31" i="39"/>
  <c r="P5" i="40"/>
  <c r="N262" i="39"/>
  <c r="T67" i="39"/>
  <c r="V70" i="39"/>
  <c r="Q262" i="39"/>
  <c r="O38" i="40" s="1"/>
  <c r="H191" i="41"/>
  <c r="T88" i="39"/>
  <c r="V91" i="39"/>
  <c r="T155" i="39"/>
  <c r="V155" i="39" s="1"/>
  <c r="V156" i="39"/>
  <c r="AS73" i="38"/>
  <c r="BA73" i="38"/>
  <c r="W27" i="38"/>
  <c r="W222" i="38"/>
  <c r="W137" i="38"/>
  <c r="W67" i="38"/>
  <c r="W76" i="38"/>
  <c r="W120" i="38"/>
  <c r="W51" i="38"/>
  <c r="W156" i="38"/>
  <c r="W58" i="38"/>
  <c r="W148" i="38"/>
  <c r="W80" i="38"/>
  <c r="W107" i="38"/>
  <c r="M100" i="41"/>
  <c r="T156" i="38"/>
  <c r="V156" i="38" s="1"/>
  <c r="F163" i="41"/>
  <c r="T80" i="38"/>
  <c r="V80" i="38" s="1"/>
  <c r="T222" i="38"/>
  <c r="V222" i="38" s="1"/>
  <c r="E83" i="41"/>
  <c r="W53" i="40"/>
  <c r="Z53" i="40" s="1"/>
  <c r="Z54" i="40" s="1"/>
  <c r="Z55" i="40" s="1"/>
  <c r="T107" i="38"/>
  <c r="V107" i="38" s="1"/>
  <c r="T148" i="38"/>
  <c r="V148" i="38" s="1"/>
  <c r="AQ73" i="38"/>
  <c r="D33" i="46"/>
  <c r="D29" i="46"/>
  <c r="F171" i="41"/>
  <c r="T137" i="38"/>
  <c r="V137" i="38" s="1"/>
  <c r="AP73" i="38"/>
  <c r="Q263" i="38"/>
  <c r="L5" i="40"/>
  <c r="F152" i="41"/>
  <c r="AO73" i="38"/>
  <c r="W23" i="31"/>
  <c r="W214" i="31"/>
  <c r="W72" i="31"/>
  <c r="S219" i="31"/>
  <c r="AI219" i="31" s="1"/>
  <c r="W220" i="31"/>
  <c r="T209" i="31"/>
  <c r="V209" i="31" s="1"/>
  <c r="V213" i="31"/>
  <c r="T136" i="31"/>
  <c r="V136" i="31" s="1"/>
  <c r="V137" i="31"/>
  <c r="T113" i="31"/>
  <c r="V113" i="31" s="1"/>
  <c r="V114" i="31"/>
  <c r="AK87" i="31"/>
  <c r="BB87" i="31"/>
  <c r="T144" i="31"/>
  <c r="V144" i="31" s="1"/>
  <c r="V145" i="31"/>
  <c r="D130" i="41"/>
  <c r="S11" i="31"/>
  <c r="AI11" i="31" s="1"/>
  <c r="W12" i="31"/>
  <c r="T86" i="31"/>
  <c r="V89" i="31"/>
  <c r="W184" i="31"/>
  <c r="T125" i="31"/>
  <c r="V125" i="31" s="1"/>
  <c r="V129" i="31"/>
  <c r="D127" i="41"/>
  <c r="W86" i="31"/>
  <c r="W204" i="31"/>
  <c r="W27" i="31"/>
  <c r="BQ184" i="31"/>
  <c r="D122" i="41"/>
  <c r="D111" i="41"/>
  <c r="T121" i="39"/>
  <c r="V121" i="39" s="1"/>
  <c r="S50" i="38"/>
  <c r="AI50" i="38" s="1"/>
  <c r="K100" i="41"/>
  <c r="T220" i="39"/>
  <c r="T147" i="39"/>
  <c r="V147" i="39" s="1"/>
  <c r="BK73" i="39"/>
  <c r="AK28" i="39"/>
  <c r="T27" i="39"/>
  <c r="S50" i="39"/>
  <c r="AI50" i="39" s="1"/>
  <c r="AR61" i="38"/>
  <c r="T58" i="38"/>
  <c r="V58" i="38" s="1"/>
  <c r="AR169" i="39"/>
  <c r="T168" i="39"/>
  <c r="V168" i="39" s="1"/>
  <c r="T152" i="39"/>
  <c r="V152" i="39" s="1"/>
  <c r="T141" i="31"/>
  <c r="AR98" i="39"/>
  <c r="T97" i="39"/>
  <c r="O100" i="41"/>
  <c r="T76" i="38"/>
  <c r="V76" i="38" s="1"/>
  <c r="T27" i="38"/>
  <c r="V27" i="38" s="1"/>
  <c r="T67" i="38"/>
  <c r="V67" i="38" s="1"/>
  <c r="T204" i="31"/>
  <c r="AR208" i="31"/>
  <c r="AR15" i="31"/>
  <c r="T12" i="31"/>
  <c r="AR52" i="38"/>
  <c r="T51" i="38"/>
  <c r="V51" i="38" s="1"/>
  <c r="AR122" i="38"/>
  <c r="T120" i="38"/>
  <c r="V120" i="38" s="1"/>
  <c r="AR52" i="39"/>
  <c r="T51" i="39"/>
  <c r="V51" i="39" s="1"/>
  <c r="AR160" i="39"/>
  <c r="T159" i="39"/>
  <c r="AR57" i="39"/>
  <c r="T54" i="39"/>
  <c r="V54" i="39" s="1"/>
  <c r="M67" i="38"/>
  <c r="M66" i="38" s="1"/>
  <c r="E40" i="41"/>
  <c r="L34" i="41" s="1"/>
  <c r="BB105" i="39"/>
  <c r="BG105" i="39"/>
  <c r="BK105" i="39" s="1"/>
  <c r="BH105" i="39"/>
  <c r="BL105" i="39" s="1"/>
  <c r="BI105" i="39"/>
  <c r="BM105" i="39" s="1"/>
  <c r="BB74" i="39"/>
  <c r="BI74" i="39"/>
  <c r="BM74" i="39" s="1"/>
  <c r="BH74" i="39"/>
  <c r="BG74" i="39"/>
  <c r="BK74" i="39" s="1"/>
  <c r="BI74" i="38"/>
  <c r="BH74" i="38"/>
  <c r="BL74" i="38" s="1"/>
  <c r="BG74" i="38"/>
  <c r="BK74" i="38" s="1"/>
  <c r="BI104" i="38"/>
  <c r="BM104" i="38" s="1"/>
  <c r="BH104" i="38"/>
  <c r="BL104" i="38" s="1"/>
  <c r="BG104" i="38"/>
  <c r="BK104" i="38" s="1"/>
  <c r="M33" i="41"/>
  <c r="BI97" i="31"/>
  <c r="BM97" i="31" s="1"/>
  <c r="BG97" i="31"/>
  <c r="BK97" i="31" s="1"/>
  <c r="BH97" i="31"/>
  <c r="BL97" i="31" s="1"/>
  <c r="BH98" i="31"/>
  <c r="BL98" i="31" s="1"/>
  <c r="BI98" i="31"/>
  <c r="BM98" i="31" s="1"/>
  <c r="BG98" i="31"/>
  <c r="BK98" i="31" s="1"/>
  <c r="BH69" i="31"/>
  <c r="BL69" i="31" s="1"/>
  <c r="BI69" i="31"/>
  <c r="BM69" i="31" s="1"/>
  <c r="BG69" i="31"/>
  <c r="BK69" i="31" s="1"/>
  <c r="AK101" i="39"/>
  <c r="BB101" i="39"/>
  <c r="AK70" i="39"/>
  <c r="BB70" i="39"/>
  <c r="AK154" i="39"/>
  <c r="BB154" i="39"/>
  <c r="AK156" i="39"/>
  <c r="BB156" i="39"/>
  <c r="AK153" i="39"/>
  <c r="BB153" i="39"/>
  <c r="AK140" i="39"/>
  <c r="BB140" i="39"/>
  <c r="AK91" i="39"/>
  <c r="BB91" i="39"/>
  <c r="AK224" i="39"/>
  <c r="BB224" i="39"/>
  <c r="AK149" i="39"/>
  <c r="BB149" i="39"/>
  <c r="AK148" i="39"/>
  <c r="BB148" i="39"/>
  <c r="AK122" i="39"/>
  <c r="BB122" i="39"/>
  <c r="BB98" i="31"/>
  <c r="AW98" i="31"/>
  <c r="AR98" i="31"/>
  <c r="AK213" i="31"/>
  <c r="BB213" i="31"/>
  <c r="AK208" i="31"/>
  <c r="BB208" i="31"/>
  <c r="BB69" i="31"/>
  <c r="AW69" i="31"/>
  <c r="AR69" i="31"/>
  <c r="AK137" i="31"/>
  <c r="BB137" i="31"/>
  <c r="AK89" i="31"/>
  <c r="BB89" i="31"/>
  <c r="AK143" i="31"/>
  <c r="BB143" i="31"/>
  <c r="AK114" i="31"/>
  <c r="BB114" i="31"/>
  <c r="AK142" i="31"/>
  <c r="BB142" i="31"/>
  <c r="AK129" i="31"/>
  <c r="BB129" i="31"/>
  <c r="AK145" i="31"/>
  <c r="BB145" i="31"/>
  <c r="BB97" i="31"/>
  <c r="AR97" i="31"/>
  <c r="AW97" i="31"/>
  <c r="AK69" i="38"/>
  <c r="BB69" i="38"/>
  <c r="AK28" i="38"/>
  <c r="BB28" i="38"/>
  <c r="AK68" i="38"/>
  <c r="BB68" i="38"/>
  <c r="AK77" i="38"/>
  <c r="BB77" i="38"/>
  <c r="BE74" i="38"/>
  <c r="BF74" i="38"/>
  <c r="BC74" i="38"/>
  <c r="BD74" i="38"/>
  <c r="AX74" i="38"/>
  <c r="AY74" i="38"/>
  <c r="AZ74" i="38"/>
  <c r="BB74" i="38"/>
  <c r="BA74" i="38"/>
  <c r="AW74" i="38"/>
  <c r="AS74" i="38"/>
  <c r="AT74" i="38"/>
  <c r="AN74" i="38"/>
  <c r="AO74" i="38"/>
  <c r="AU74" i="38"/>
  <c r="AP74" i="38"/>
  <c r="AV74" i="38"/>
  <c r="AQ74" i="38"/>
  <c r="AR74" i="38"/>
  <c r="AK78" i="38"/>
  <c r="BB78" i="38"/>
  <c r="AK29" i="38"/>
  <c r="BB29" i="38"/>
  <c r="BC104" i="38"/>
  <c r="BD104" i="38"/>
  <c r="BF104" i="38"/>
  <c r="BE104" i="38"/>
  <c r="AX104" i="38"/>
  <c r="AY104" i="38"/>
  <c r="BA104" i="38"/>
  <c r="BB104" i="38"/>
  <c r="AW104" i="38"/>
  <c r="AZ104" i="38"/>
  <c r="AQ104" i="38"/>
  <c r="AR104" i="38"/>
  <c r="AS104" i="38"/>
  <c r="AT104" i="38"/>
  <c r="AU104" i="38"/>
  <c r="AV104" i="38"/>
  <c r="AN104" i="38"/>
  <c r="AO104" i="38"/>
  <c r="AP104" i="38"/>
  <c r="AK227" i="38"/>
  <c r="BB227" i="38"/>
  <c r="AK157" i="38"/>
  <c r="BB157" i="38"/>
  <c r="K5" i="40"/>
  <c r="M4" i="38"/>
  <c r="AK116" i="38"/>
  <c r="BB116" i="38"/>
  <c r="AK62" i="38"/>
  <c r="BB62" i="38"/>
  <c r="AK31" i="38"/>
  <c r="BB31" i="38"/>
  <c r="AK81" i="38"/>
  <c r="BB81" i="38"/>
  <c r="AK150" i="38"/>
  <c r="BB150" i="38"/>
  <c r="AK141" i="38"/>
  <c r="BB141" i="38"/>
  <c r="AK33" i="38"/>
  <c r="BB33" i="38"/>
  <c r="AK82" i="38"/>
  <c r="BB82" i="38"/>
  <c r="AK53" i="38"/>
  <c r="BB53" i="38"/>
  <c r="AS97" i="31"/>
  <c r="AT97" i="31"/>
  <c r="AV97" i="31"/>
  <c r="AU97" i="31"/>
  <c r="AU98" i="31"/>
  <c r="AV98" i="31"/>
  <c r="AS98" i="31"/>
  <c r="AT98" i="31"/>
  <c r="AU69" i="31"/>
  <c r="AV69" i="31"/>
  <c r="AS69" i="31"/>
  <c r="AT69" i="31"/>
  <c r="AY185" i="31"/>
  <c r="AT185" i="31"/>
  <c r="AY73" i="38"/>
  <c r="M35" i="41"/>
  <c r="AR74" i="39"/>
  <c r="AW74" i="39"/>
  <c r="AR105" i="39"/>
  <c r="AW105" i="39"/>
  <c r="AK61" i="39"/>
  <c r="AR61" i="39"/>
  <c r="AN74" i="39"/>
  <c r="AX74" i="39"/>
  <c r="AO74" i="39"/>
  <c r="AY74" i="39"/>
  <c r="AP74" i="39"/>
  <c r="AZ74" i="39"/>
  <c r="AT74" i="39"/>
  <c r="AQ74" i="39"/>
  <c r="AS74" i="39"/>
  <c r="AU74" i="39"/>
  <c r="AV74" i="39"/>
  <c r="BA74" i="39"/>
  <c r="AS105" i="39"/>
  <c r="AP105" i="39"/>
  <c r="BA105" i="39"/>
  <c r="AQ105" i="39"/>
  <c r="AT105" i="39"/>
  <c r="AX105" i="39"/>
  <c r="AN105" i="39"/>
  <c r="AO105" i="39"/>
  <c r="AU105" i="39"/>
  <c r="AV105" i="39"/>
  <c r="AY105" i="39"/>
  <c r="AZ105" i="39"/>
  <c r="Q5" i="40"/>
  <c r="M4" i="39"/>
  <c r="O5" i="40" s="1"/>
  <c r="M139" i="31"/>
  <c r="C125" i="41" s="1"/>
  <c r="AY139" i="31"/>
  <c r="P118" i="31"/>
  <c r="AY119" i="31"/>
  <c r="M117" i="31"/>
  <c r="C103" i="41" s="1"/>
  <c r="AY117" i="31"/>
  <c r="AY98" i="31"/>
  <c r="BA98" i="31"/>
  <c r="AX98" i="31"/>
  <c r="AZ98" i="31"/>
  <c r="AY69" i="31"/>
  <c r="BA69" i="31"/>
  <c r="AZ69" i="31"/>
  <c r="AX69" i="31"/>
  <c r="M138" i="31"/>
  <c r="C124" i="41" s="1"/>
  <c r="AY138" i="31"/>
  <c r="AY97" i="31"/>
  <c r="AZ97" i="31"/>
  <c r="BA97" i="31"/>
  <c r="AX97" i="31"/>
  <c r="M208" i="31"/>
  <c r="AY208" i="31"/>
  <c r="M206" i="31"/>
  <c r="AY206" i="31"/>
  <c r="M207" i="31"/>
  <c r="AY207" i="31"/>
  <c r="AP97" i="31"/>
  <c r="AO97" i="31"/>
  <c r="AQ97" i="31"/>
  <c r="AN97" i="31"/>
  <c r="M116" i="31"/>
  <c r="C102" i="41" s="1"/>
  <c r="AO116" i="31"/>
  <c r="BQ30" i="31"/>
  <c r="AP30" i="31"/>
  <c r="AO98" i="31"/>
  <c r="AQ98" i="31"/>
  <c r="AP98" i="31"/>
  <c r="AN98" i="31"/>
  <c r="AO69" i="31"/>
  <c r="AP69" i="31"/>
  <c r="AQ69" i="31"/>
  <c r="AN69" i="31"/>
  <c r="M150" i="31"/>
  <c r="AO150" i="31"/>
  <c r="P27" i="31"/>
  <c r="AO28" i="31"/>
  <c r="M151" i="31"/>
  <c r="AO151" i="31"/>
  <c r="M115" i="31"/>
  <c r="C101" i="41" s="1"/>
  <c r="AO115" i="31"/>
  <c r="M10" i="31"/>
  <c r="AO10" i="31"/>
  <c r="B9" i="44" a="1"/>
  <c r="B9" i="44" s="1"/>
  <c r="C9" i="44" s="1" a="1"/>
  <c r="C9" i="44" s="1"/>
  <c r="B9" i="42" a="1"/>
  <c r="B9" i="42" s="1"/>
  <c r="C9" i="42" s="1" a="1"/>
  <c r="C9" i="42" s="1"/>
  <c r="B60" i="42" a="1"/>
  <c r="B60" i="42" s="1"/>
  <c r="B60" i="44" a="1"/>
  <c r="B60" i="44" s="1"/>
  <c r="BO70" i="31"/>
  <c r="BO249" i="31" s="1"/>
  <c r="AM70" i="31"/>
  <c r="AL98" i="31"/>
  <c r="S158" i="39"/>
  <c r="AI158" i="39" s="1"/>
  <c r="S112" i="31"/>
  <c r="AI112" i="31" s="1"/>
  <c r="S119" i="38"/>
  <c r="AI119" i="38" s="1"/>
  <c r="S120" i="39"/>
  <c r="AI120" i="39" s="1"/>
  <c r="AK74" i="39"/>
  <c r="AL74" i="39"/>
  <c r="AK105" i="39"/>
  <c r="AL105" i="39"/>
  <c r="S96" i="39"/>
  <c r="AI96" i="39" s="1"/>
  <c r="S66" i="39"/>
  <c r="AI66" i="39" s="1"/>
  <c r="S22" i="39"/>
  <c r="AI22" i="39" s="1"/>
  <c r="S213" i="39"/>
  <c r="AI213" i="39" s="1"/>
  <c r="AK74" i="38"/>
  <c r="AL74" i="38"/>
  <c r="AK104" i="38"/>
  <c r="AL104" i="38"/>
  <c r="S22" i="38"/>
  <c r="AI22" i="38" s="1"/>
  <c r="S66" i="38"/>
  <c r="AI66" i="38" s="1"/>
  <c r="S106" i="38"/>
  <c r="AI106" i="38" s="1"/>
  <c r="S215" i="38"/>
  <c r="AI215" i="38" s="1"/>
  <c r="AK70" i="31"/>
  <c r="AL70" i="31"/>
  <c r="AK98" i="31"/>
  <c r="BN74" i="39"/>
  <c r="BN262" i="39" s="1"/>
  <c r="BO74" i="39"/>
  <c r="BO262" i="39" s="1"/>
  <c r="BN74" i="38"/>
  <c r="BN263" i="38" s="1"/>
  <c r="BO74" i="38"/>
  <c r="BO263" i="38" s="1"/>
  <c r="P23" i="31"/>
  <c r="P136" i="31"/>
  <c r="S203" i="31"/>
  <c r="AI203" i="31" s="1"/>
  <c r="M114" i="31"/>
  <c r="C100" i="41" s="1"/>
  <c r="P113" i="31"/>
  <c r="M119" i="31"/>
  <c r="C105" i="41" s="1"/>
  <c r="P214" i="31"/>
  <c r="P204" i="31"/>
  <c r="M214" i="31"/>
  <c r="N29" i="31"/>
  <c r="AE29" i="31" s="1"/>
  <c r="M29" i="31"/>
  <c r="S150" i="7"/>
  <c r="X39" i="2" s="1"/>
  <c r="AB39" i="2" s="1"/>
  <c r="AB38" i="2" s="1"/>
  <c r="AL170" i="31"/>
  <c r="AV170" i="31" s="1"/>
  <c r="BF170" i="31" s="1"/>
  <c r="BQ169" i="31"/>
  <c r="AL172" i="31"/>
  <c r="AV172" i="31" s="1"/>
  <c r="BF172" i="31" s="1"/>
  <c r="Q148" i="31"/>
  <c r="AG148" i="31" s="1"/>
  <c r="N148" i="31"/>
  <c r="AE148" i="31" s="1"/>
  <c r="AL163" i="31"/>
  <c r="BQ168" i="31"/>
  <c r="AL173" i="31"/>
  <c r="AV173" i="31" s="1"/>
  <c r="BF173" i="31" s="1"/>
  <c r="BQ167" i="31"/>
  <c r="X78" i="2"/>
  <c r="X68" i="2"/>
  <c r="P9" i="31"/>
  <c r="G108" i="31"/>
  <c r="I108" i="31"/>
  <c r="BR240" i="31"/>
  <c r="P5" i="31"/>
  <c r="M6" i="31"/>
  <c r="BR247" i="31"/>
  <c r="BR171" i="31"/>
  <c r="BR154" i="31"/>
  <c r="BR30" i="31"/>
  <c r="K78" i="2"/>
  <c r="K68" i="2"/>
  <c r="K73" i="2"/>
  <c r="M240" i="31"/>
  <c r="M185" i="31"/>
  <c r="P184" i="31"/>
  <c r="P246" i="31"/>
  <c r="N246" i="31"/>
  <c r="AE246" i="31" s="1"/>
  <c r="M137" i="31"/>
  <c r="C123" i="41" s="1"/>
  <c r="M205" i="31"/>
  <c r="M149" i="31"/>
  <c r="AO30" i="31"/>
  <c r="X63" i="8" a="1"/>
  <c r="X63" i="8" s="1"/>
  <c r="Z57" i="5" a="1"/>
  <c r="Z57" i="5" s="1"/>
  <c r="X53" i="8" a="1"/>
  <c r="X53" i="8" s="1"/>
  <c r="X58" i="5"/>
  <c r="E33" i="33"/>
  <c r="E31" i="33"/>
  <c r="C33" i="33"/>
  <c r="V56" i="7"/>
  <c r="I112" i="8"/>
  <c r="J112" i="8"/>
  <c r="K112" i="8"/>
  <c r="L112" i="8"/>
  <c r="I114" i="8"/>
  <c r="J114" i="8"/>
  <c r="K114" i="8"/>
  <c r="L114" i="8"/>
  <c r="L111" i="8"/>
  <c r="K111" i="8"/>
  <c r="J111" i="8"/>
  <c r="I111" i="8"/>
  <c r="I105" i="8"/>
  <c r="J105" i="8"/>
  <c r="K105" i="8"/>
  <c r="L105" i="8"/>
  <c r="I107" i="8"/>
  <c r="J107" i="8"/>
  <c r="K107" i="8"/>
  <c r="L107" i="8"/>
  <c r="L104" i="8"/>
  <c r="K104" i="8"/>
  <c r="J104" i="8"/>
  <c r="I104" i="8"/>
  <c r="I98" i="8"/>
  <c r="J98" i="8"/>
  <c r="K98" i="8"/>
  <c r="L98" i="8"/>
  <c r="L97" i="8"/>
  <c r="K97" i="8"/>
  <c r="J97" i="8"/>
  <c r="I97" i="8"/>
  <c r="I94" i="8"/>
  <c r="J94" i="8"/>
  <c r="K94" i="8"/>
  <c r="L94" i="8"/>
  <c r="L93" i="8"/>
  <c r="K93" i="8"/>
  <c r="J93" i="8"/>
  <c r="I93" i="8"/>
  <c r="I84" i="8"/>
  <c r="J84" i="8"/>
  <c r="K84" i="8"/>
  <c r="L84" i="8"/>
  <c r="I85" i="8"/>
  <c r="J85" i="8"/>
  <c r="K85" i="8"/>
  <c r="L85" i="8"/>
  <c r="I86" i="8"/>
  <c r="J86" i="8"/>
  <c r="K86" i="8"/>
  <c r="L86" i="8"/>
  <c r="I78" i="8"/>
  <c r="J78" i="8"/>
  <c r="K78" i="8"/>
  <c r="L78" i="8"/>
  <c r="I80" i="8"/>
  <c r="J80" i="8"/>
  <c r="K80" i="8"/>
  <c r="L80" i="8"/>
  <c r="L77" i="8"/>
  <c r="K77" i="8"/>
  <c r="J77" i="8"/>
  <c r="I77" i="8"/>
  <c r="I74" i="8"/>
  <c r="J74" i="8"/>
  <c r="K74" i="8"/>
  <c r="L74" i="8"/>
  <c r="I65" i="8"/>
  <c r="J65" i="8"/>
  <c r="K65" i="8"/>
  <c r="L65" i="8"/>
  <c r="I70" i="8"/>
  <c r="J70" i="8"/>
  <c r="K70" i="8"/>
  <c r="L70" i="8"/>
  <c r="I55" i="8"/>
  <c r="J55" i="8"/>
  <c r="K55" i="8"/>
  <c r="L55" i="8"/>
  <c r="I56" i="8"/>
  <c r="J56" i="8"/>
  <c r="K56" i="8"/>
  <c r="L56" i="8"/>
  <c r="I60" i="8"/>
  <c r="J60" i="8"/>
  <c r="K60" i="8"/>
  <c r="L60" i="8"/>
  <c r="I49" i="8"/>
  <c r="J49" i="8"/>
  <c r="K49" i="8"/>
  <c r="L49" i="8"/>
  <c r="I50" i="8"/>
  <c r="J50" i="8"/>
  <c r="K50" i="8"/>
  <c r="L50" i="8"/>
  <c r="I51" i="8"/>
  <c r="J51" i="8"/>
  <c r="K51" i="8"/>
  <c r="L51" i="8"/>
  <c r="I37" i="8"/>
  <c r="J37" i="8"/>
  <c r="K37" i="8"/>
  <c r="L37" i="8"/>
  <c r="I38" i="8"/>
  <c r="J38" i="8"/>
  <c r="K38" i="8"/>
  <c r="L38" i="8"/>
  <c r="I30" i="8"/>
  <c r="J30" i="8"/>
  <c r="K30" i="8"/>
  <c r="L30" i="8"/>
  <c r="I31" i="8"/>
  <c r="J31" i="8"/>
  <c r="K31" i="8"/>
  <c r="L31" i="8"/>
  <c r="I253" i="7"/>
  <c r="J253" i="7"/>
  <c r="K253" i="7"/>
  <c r="L253" i="7"/>
  <c r="I254" i="7"/>
  <c r="J254" i="7"/>
  <c r="K254" i="7"/>
  <c r="L254" i="7"/>
  <c r="I242" i="7"/>
  <c r="J242" i="7"/>
  <c r="K242" i="7"/>
  <c r="L242" i="7"/>
  <c r="I243" i="7"/>
  <c r="J243" i="7"/>
  <c r="K243" i="7"/>
  <c r="L243" i="7"/>
  <c r="I246" i="7"/>
  <c r="J246" i="7"/>
  <c r="K246" i="7"/>
  <c r="L246" i="7"/>
  <c r="I234" i="7"/>
  <c r="J234" i="7"/>
  <c r="K234" i="7"/>
  <c r="L234" i="7"/>
  <c r="I235" i="7"/>
  <c r="J235" i="7"/>
  <c r="K235" i="7"/>
  <c r="L235" i="7"/>
  <c r="I238" i="7"/>
  <c r="J238" i="7"/>
  <c r="K238" i="7"/>
  <c r="L238" i="7"/>
  <c r="I227" i="7"/>
  <c r="J227" i="7"/>
  <c r="K227" i="7"/>
  <c r="L227" i="7"/>
  <c r="L225" i="7"/>
  <c r="K225" i="7"/>
  <c r="J225" i="7"/>
  <c r="I225" i="7"/>
  <c r="I215" i="7"/>
  <c r="J215" i="7"/>
  <c r="K215" i="7"/>
  <c r="L215" i="7"/>
  <c r="I217" i="7"/>
  <c r="J217" i="7"/>
  <c r="K217" i="7"/>
  <c r="L217" i="7"/>
  <c r="I206" i="7"/>
  <c r="J206" i="7"/>
  <c r="K206" i="7"/>
  <c r="L206" i="7"/>
  <c r="I208" i="7"/>
  <c r="J208" i="7"/>
  <c r="K208" i="7"/>
  <c r="L208" i="7"/>
  <c r="I197" i="7"/>
  <c r="J197" i="7"/>
  <c r="K197" i="7"/>
  <c r="L197" i="7"/>
  <c r="I199" i="7"/>
  <c r="J199" i="7"/>
  <c r="K199" i="7"/>
  <c r="L199" i="7"/>
  <c r="I186" i="7"/>
  <c r="J186" i="7"/>
  <c r="K186" i="7"/>
  <c r="L186" i="7"/>
  <c r="I190" i="7"/>
  <c r="J190" i="7"/>
  <c r="K190" i="7"/>
  <c r="L190" i="7"/>
  <c r="I181" i="7"/>
  <c r="J181" i="7"/>
  <c r="K181" i="7"/>
  <c r="L181" i="7"/>
  <c r="I172" i="7"/>
  <c r="J172" i="7"/>
  <c r="K172" i="7"/>
  <c r="L172" i="7"/>
  <c r="I173" i="7"/>
  <c r="J173" i="7"/>
  <c r="K173" i="7"/>
  <c r="L173" i="7"/>
  <c r="I165" i="7"/>
  <c r="J165" i="7"/>
  <c r="K165" i="7"/>
  <c r="L165" i="7"/>
  <c r="I166" i="7"/>
  <c r="J166" i="7"/>
  <c r="K166" i="7"/>
  <c r="L166" i="7"/>
  <c r="I167" i="7"/>
  <c r="J167" i="7"/>
  <c r="K167" i="7"/>
  <c r="L167" i="7"/>
  <c r="I157" i="7"/>
  <c r="J157" i="7"/>
  <c r="K157" i="7"/>
  <c r="L157" i="7"/>
  <c r="I158" i="7"/>
  <c r="J158" i="7"/>
  <c r="K158" i="7"/>
  <c r="L158" i="7"/>
  <c r="I159" i="7"/>
  <c r="J159" i="7"/>
  <c r="K159" i="7"/>
  <c r="L159" i="7"/>
  <c r="I148" i="7"/>
  <c r="J148" i="7"/>
  <c r="K148" i="7"/>
  <c r="L148" i="7"/>
  <c r="I149" i="7"/>
  <c r="J149" i="7"/>
  <c r="K149" i="7"/>
  <c r="L149" i="7"/>
  <c r="L147" i="7"/>
  <c r="K147" i="7"/>
  <c r="J147" i="7"/>
  <c r="I147" i="7"/>
  <c r="I141" i="7"/>
  <c r="J141" i="7"/>
  <c r="K141" i="7"/>
  <c r="L141" i="7"/>
  <c r="I142" i="7"/>
  <c r="J142" i="7"/>
  <c r="K142" i="7"/>
  <c r="L142" i="7"/>
  <c r="L140" i="7"/>
  <c r="K140" i="7"/>
  <c r="J140" i="7"/>
  <c r="I140" i="7"/>
  <c r="I125" i="7"/>
  <c r="J125" i="7"/>
  <c r="K125" i="7"/>
  <c r="L125" i="7"/>
  <c r="I126" i="7"/>
  <c r="J126" i="7"/>
  <c r="K126" i="7"/>
  <c r="L126" i="7"/>
  <c r="I128" i="7"/>
  <c r="J128" i="7"/>
  <c r="K128" i="7"/>
  <c r="L128" i="7"/>
  <c r="I114" i="7"/>
  <c r="J114" i="7"/>
  <c r="K114" i="7"/>
  <c r="L114" i="7"/>
  <c r="I115" i="7"/>
  <c r="J115" i="7"/>
  <c r="K115" i="7"/>
  <c r="L115" i="7"/>
  <c r="I117" i="7"/>
  <c r="J117" i="7"/>
  <c r="K117" i="7"/>
  <c r="L117" i="7"/>
  <c r="L113" i="7"/>
  <c r="K113" i="7"/>
  <c r="J113" i="7"/>
  <c r="I113" i="7"/>
  <c r="I106" i="7"/>
  <c r="J106" i="7"/>
  <c r="K106" i="7"/>
  <c r="L106" i="7"/>
  <c r="I107" i="7"/>
  <c r="J107" i="7"/>
  <c r="K107" i="7"/>
  <c r="L107" i="7"/>
  <c r="I109" i="7"/>
  <c r="J109" i="7"/>
  <c r="K109" i="7"/>
  <c r="L109" i="7"/>
  <c r="L105" i="7"/>
  <c r="K105" i="7"/>
  <c r="J105" i="7"/>
  <c r="I105" i="7"/>
  <c r="I96" i="7"/>
  <c r="J96" i="7"/>
  <c r="K96" i="7"/>
  <c r="L96" i="7"/>
  <c r="I97" i="7"/>
  <c r="J97" i="7"/>
  <c r="K97" i="7"/>
  <c r="L97" i="7"/>
  <c r="I99" i="7"/>
  <c r="J99" i="7"/>
  <c r="K99" i="7"/>
  <c r="L99" i="7"/>
  <c r="I76" i="7"/>
  <c r="J76" i="7"/>
  <c r="K76" i="7"/>
  <c r="L76" i="7"/>
  <c r="I77" i="7"/>
  <c r="J77" i="7"/>
  <c r="K77" i="7"/>
  <c r="L77" i="7"/>
  <c r="I78" i="7"/>
  <c r="J78" i="7"/>
  <c r="K78" i="7"/>
  <c r="L78" i="7"/>
  <c r="I79" i="7"/>
  <c r="J79" i="7"/>
  <c r="K79" i="7"/>
  <c r="L79" i="7"/>
  <c r="I80" i="7"/>
  <c r="J80" i="7"/>
  <c r="K80" i="7"/>
  <c r="L80" i="7"/>
  <c r="I82" i="7"/>
  <c r="J82" i="7"/>
  <c r="K82" i="7"/>
  <c r="L82" i="7"/>
  <c r="I65" i="7"/>
  <c r="J65" i="7"/>
  <c r="K65" i="7"/>
  <c r="L65" i="7"/>
  <c r="I66" i="7"/>
  <c r="J66" i="7"/>
  <c r="K66" i="7"/>
  <c r="L66" i="7"/>
  <c r="I67" i="7"/>
  <c r="J67" i="7"/>
  <c r="K67" i="7"/>
  <c r="L67" i="7"/>
  <c r="I69" i="7"/>
  <c r="J69" i="7"/>
  <c r="K69" i="7"/>
  <c r="L69" i="7"/>
  <c r="L63" i="7"/>
  <c r="K63" i="7"/>
  <c r="J63" i="7"/>
  <c r="I63" i="7"/>
  <c r="I56" i="7"/>
  <c r="J56" i="7"/>
  <c r="K56" i="7"/>
  <c r="L56" i="7"/>
  <c r="I57" i="7"/>
  <c r="J57" i="7"/>
  <c r="K57" i="7"/>
  <c r="L57" i="7"/>
  <c r="I58" i="7"/>
  <c r="J58" i="7"/>
  <c r="K58" i="7"/>
  <c r="L58" i="7"/>
  <c r="I60" i="7"/>
  <c r="J60" i="7"/>
  <c r="K60" i="7"/>
  <c r="L60" i="7"/>
  <c r="L54" i="7"/>
  <c r="K54" i="7"/>
  <c r="J54" i="7"/>
  <c r="I54" i="7"/>
  <c r="I51" i="7"/>
  <c r="J51" i="7"/>
  <c r="K51" i="7"/>
  <c r="L51" i="7"/>
  <c r="I22" i="7"/>
  <c r="J22" i="7"/>
  <c r="K22" i="7"/>
  <c r="L22" i="7"/>
  <c r="I13" i="7"/>
  <c r="J13" i="7"/>
  <c r="K13" i="7"/>
  <c r="L13" i="7"/>
  <c r="I14" i="7"/>
  <c r="J14" i="7"/>
  <c r="K14" i="7"/>
  <c r="L14" i="7"/>
  <c r="I15" i="7"/>
  <c r="J15" i="7"/>
  <c r="K15" i="7"/>
  <c r="L15" i="7"/>
  <c r="I6" i="7"/>
  <c r="J6" i="7"/>
  <c r="K6" i="7"/>
  <c r="L6" i="7"/>
  <c r="I7" i="7"/>
  <c r="J7" i="7"/>
  <c r="K7" i="7"/>
  <c r="L7" i="7"/>
  <c r="I8" i="7"/>
  <c r="J8" i="7"/>
  <c r="K8" i="7"/>
  <c r="L8" i="7"/>
  <c r="I82" i="5"/>
  <c r="J82" i="5"/>
  <c r="K82" i="5"/>
  <c r="L82" i="5"/>
  <c r="I83" i="5"/>
  <c r="J83" i="5"/>
  <c r="K83" i="5"/>
  <c r="L83" i="5"/>
  <c r="I87" i="5"/>
  <c r="J87" i="5"/>
  <c r="K87" i="5"/>
  <c r="L87" i="5"/>
  <c r="I71" i="5"/>
  <c r="J71" i="5"/>
  <c r="K71" i="5"/>
  <c r="L71" i="5"/>
  <c r="I72" i="5"/>
  <c r="J72" i="5"/>
  <c r="K72" i="5"/>
  <c r="L72" i="5"/>
  <c r="I75" i="5"/>
  <c r="J75" i="5"/>
  <c r="K75" i="5"/>
  <c r="L75" i="5"/>
  <c r="I62" i="5"/>
  <c r="J62" i="5"/>
  <c r="K62" i="5"/>
  <c r="L62" i="5"/>
  <c r="I63" i="5"/>
  <c r="J63" i="5"/>
  <c r="K63" i="5"/>
  <c r="L63" i="5"/>
  <c r="I64" i="5"/>
  <c r="J64" i="5"/>
  <c r="K64" i="5"/>
  <c r="L64" i="5"/>
  <c r="I44" i="5"/>
  <c r="J44" i="5"/>
  <c r="K44" i="5"/>
  <c r="L44" i="5"/>
  <c r="I39" i="5"/>
  <c r="J39" i="5"/>
  <c r="K39" i="5"/>
  <c r="L39" i="5"/>
  <c r="I29" i="5"/>
  <c r="J29" i="5"/>
  <c r="K29" i="5"/>
  <c r="L29" i="5"/>
  <c r="I30" i="5"/>
  <c r="J30" i="5"/>
  <c r="K30" i="5"/>
  <c r="L30" i="5"/>
  <c r="G3" i="11"/>
  <c r="J17" i="11"/>
  <c r="J18" i="11"/>
  <c r="J10" i="2" s="1"/>
  <c r="J19" i="11"/>
  <c r="J20" i="11"/>
  <c r="J11" i="2" s="1"/>
  <c r="O11" i="2" s="1"/>
  <c r="J16" i="11"/>
  <c r="J9" i="2" s="1"/>
  <c r="I17" i="11"/>
  <c r="I18" i="11"/>
  <c r="H10" i="2" s="1"/>
  <c r="I19" i="11"/>
  <c r="I20" i="11"/>
  <c r="H11" i="2" s="1"/>
  <c r="M11" i="2" s="1"/>
  <c r="I16" i="11"/>
  <c r="H9" i="2" s="1"/>
  <c r="H17" i="11"/>
  <c r="H18" i="11"/>
  <c r="H19" i="11"/>
  <c r="H20" i="11"/>
  <c r="H16" i="11"/>
  <c r="G17" i="11"/>
  <c r="G18" i="11"/>
  <c r="G19" i="11"/>
  <c r="G20" i="11"/>
  <c r="G16" i="11"/>
  <c r="J8" i="11"/>
  <c r="J6" i="2" s="1"/>
  <c r="J9" i="11"/>
  <c r="J10" i="11"/>
  <c r="J7" i="2" s="1"/>
  <c r="J11" i="11"/>
  <c r="J12" i="11"/>
  <c r="J8" i="2" s="1"/>
  <c r="J13" i="11"/>
  <c r="J14" i="11"/>
  <c r="I8" i="11"/>
  <c r="H6" i="2" s="1"/>
  <c r="I9" i="11"/>
  <c r="I10" i="11"/>
  <c r="H7" i="2" s="1"/>
  <c r="I11" i="11"/>
  <c r="I12" i="11"/>
  <c r="H8" i="2" s="1"/>
  <c r="I13" i="11"/>
  <c r="I14" i="11"/>
  <c r="I7" i="11"/>
  <c r="H8" i="11"/>
  <c r="H9" i="11"/>
  <c r="H10" i="11"/>
  <c r="H11" i="11"/>
  <c r="H12" i="11"/>
  <c r="H13" i="11"/>
  <c r="H14" i="11"/>
  <c r="H7" i="11"/>
  <c r="G9" i="11"/>
  <c r="G10" i="11"/>
  <c r="G11" i="11"/>
  <c r="G12" i="11"/>
  <c r="G13" i="11"/>
  <c r="G14" i="11"/>
  <c r="G8" i="11"/>
  <c r="G7" i="11"/>
  <c r="Y58" i="5"/>
  <c r="W56" i="7"/>
  <c r="AP262" i="39" l="1"/>
  <c r="E12" i="45" s="1"/>
  <c r="I34" i="40"/>
  <c r="Y34" i="40" s="1"/>
  <c r="AC108" i="31" a="1"/>
  <c r="AC108" i="31" s="1"/>
  <c r="AD108" i="31" a="1"/>
  <c r="AD108" i="31" s="1"/>
  <c r="AO262" i="39"/>
  <c r="Z38" i="40"/>
  <c r="O47" i="40"/>
  <c r="Z47" i="40" s="1"/>
  <c r="BH108" i="31"/>
  <c r="BL108" i="31" s="1"/>
  <c r="G18" i="40"/>
  <c r="AA18" i="40" s="1"/>
  <c r="AJ18" i="40" s="1"/>
  <c r="T96" i="39"/>
  <c r="V97" i="39"/>
  <c r="T22" i="39"/>
  <c r="V27" i="39"/>
  <c r="S7" i="40"/>
  <c r="AC7" i="40" s="1"/>
  <c r="AL7" i="40" s="1"/>
  <c r="W22" i="39"/>
  <c r="W262" i="39" s="1"/>
  <c r="T87" i="39"/>
  <c r="V88" i="39"/>
  <c r="E21" i="46"/>
  <c r="AC53" i="40"/>
  <c r="AF53" i="40" s="1"/>
  <c r="AF54" i="40" s="1"/>
  <c r="AF55" i="40" s="1"/>
  <c r="AF56" i="40" s="1"/>
  <c r="O34" i="40"/>
  <c r="Z34" i="40" s="1"/>
  <c r="T158" i="39"/>
  <c r="V159" i="39"/>
  <c r="T213" i="39"/>
  <c r="V220" i="39"/>
  <c r="AC113" i="40"/>
  <c r="E23" i="46"/>
  <c r="T66" i="39"/>
  <c r="V67" i="39"/>
  <c r="W50" i="38"/>
  <c r="W119" i="38"/>
  <c r="W215" i="38"/>
  <c r="W106" i="38"/>
  <c r="W66" i="38"/>
  <c r="W22" i="38"/>
  <c r="AT263" i="38"/>
  <c r="D9" i="45" s="1"/>
  <c r="M17" i="40"/>
  <c r="AB17" i="40" s="1"/>
  <c r="AK17" i="40" s="1"/>
  <c r="AN263" i="38"/>
  <c r="AU263" i="38"/>
  <c r="E9" i="45" s="1"/>
  <c r="T119" i="38"/>
  <c r="V119" i="38" s="1"/>
  <c r="T215" i="38"/>
  <c r="V215" i="38" s="1"/>
  <c r="W113" i="40"/>
  <c r="D23" i="46"/>
  <c r="I38" i="40"/>
  <c r="M13" i="40"/>
  <c r="AB13" i="40" s="1"/>
  <c r="AK13" i="40" s="1"/>
  <c r="T106" i="38"/>
  <c r="V106" i="38" s="1"/>
  <c r="T22" i="38"/>
  <c r="V22" i="38" s="1"/>
  <c r="BC263" i="38"/>
  <c r="C11" i="45" s="1"/>
  <c r="BQ148" i="31"/>
  <c r="AX83" i="31"/>
  <c r="G14" i="40"/>
  <c r="AA14" i="40" s="1"/>
  <c r="T81" i="31"/>
  <c r="V86" i="31"/>
  <c r="G17" i="40"/>
  <c r="AA17" i="40" s="1"/>
  <c r="T11" i="31"/>
  <c r="V11" i="31" s="1"/>
  <c r="V12" i="31"/>
  <c r="T203" i="31"/>
  <c r="H17" i="40" s="1"/>
  <c r="AD17" i="40" s="1"/>
  <c r="V204" i="31"/>
  <c r="G6" i="40"/>
  <c r="AA6" i="40" s="1"/>
  <c r="W11" i="31"/>
  <c r="T112" i="31"/>
  <c r="V141" i="31"/>
  <c r="AV262" i="39"/>
  <c r="AU262" i="39"/>
  <c r="E13" i="45" s="1"/>
  <c r="AN262" i="39"/>
  <c r="C12" i="45" s="1"/>
  <c r="AW262" i="39"/>
  <c r="BM262" i="39"/>
  <c r="AZ262" i="39"/>
  <c r="BI262" i="39"/>
  <c r="BA262" i="39"/>
  <c r="AY262" i="39"/>
  <c r="D14" i="45" s="1"/>
  <c r="AT262" i="39"/>
  <c r="AX262" i="39"/>
  <c r="AQ262" i="39"/>
  <c r="AX263" i="38"/>
  <c r="C10" i="45" s="1"/>
  <c r="BA263" i="38"/>
  <c r="F10" i="45" s="1"/>
  <c r="BI263" i="38"/>
  <c r="AP263" i="38"/>
  <c r="E8" i="45" s="1"/>
  <c r="AO263" i="38"/>
  <c r="AS263" i="38"/>
  <c r="C9" i="45" s="1"/>
  <c r="AW263" i="38"/>
  <c r="G9" i="45" s="1"/>
  <c r="AZ263" i="38"/>
  <c r="E10" i="45" s="1"/>
  <c r="BD263" i="38"/>
  <c r="D11" i="45" s="1"/>
  <c r="BE263" i="38"/>
  <c r="E11" i="45" s="1"/>
  <c r="BK263" i="38"/>
  <c r="AQ263" i="38"/>
  <c r="BL263" i="38"/>
  <c r="BG263" i="38"/>
  <c r="AV263" i="38"/>
  <c r="F9" i="45" s="1"/>
  <c r="BH263" i="38"/>
  <c r="AL263" i="38"/>
  <c r="AY263" i="38"/>
  <c r="D10" i="45" s="1"/>
  <c r="M22" i="31"/>
  <c r="C7" i="40" s="1"/>
  <c r="X7" i="40" s="1"/>
  <c r="AG7" i="40" s="1"/>
  <c r="J98" i="41"/>
  <c r="J100" i="41"/>
  <c r="T120" i="39"/>
  <c r="BG262" i="39"/>
  <c r="G15" i="45" s="1"/>
  <c r="BK262" i="39"/>
  <c r="BL74" i="39"/>
  <c r="BL262" i="39" s="1"/>
  <c r="BH262" i="39"/>
  <c r="AS262" i="39"/>
  <c r="AR263" i="38"/>
  <c r="G8" i="45" s="1"/>
  <c r="T50" i="38"/>
  <c r="V50" i="38" s="1"/>
  <c r="AR262" i="39"/>
  <c r="T66" i="38"/>
  <c r="V66" i="38" s="1"/>
  <c r="N7" i="40"/>
  <c r="AE7" i="40" s="1"/>
  <c r="AH7" i="40" s="1"/>
  <c r="T50" i="39"/>
  <c r="V50" i="39" s="1"/>
  <c r="BB262" i="39"/>
  <c r="BB263" i="38"/>
  <c r="BM74" i="38"/>
  <c r="BM263" i="38" s="1"/>
  <c r="M7" i="40"/>
  <c r="AB7" i="40" s="1"/>
  <c r="AK7" i="40" s="1"/>
  <c r="S263" i="38"/>
  <c r="AK263" i="38"/>
  <c r="BG70" i="31"/>
  <c r="BK70" i="31" s="1"/>
  <c r="BK249" i="31" s="1"/>
  <c r="BH70" i="31"/>
  <c r="BL70" i="31" s="1"/>
  <c r="BL249" i="31" s="1"/>
  <c r="BI70" i="31"/>
  <c r="BM70" i="31" s="1"/>
  <c r="BM249" i="31" s="1"/>
  <c r="BB70" i="31"/>
  <c r="AW70" i="31"/>
  <c r="AW249" i="31" s="1"/>
  <c r="AR70" i="31"/>
  <c r="AR249" i="31" s="1"/>
  <c r="AS70" i="31"/>
  <c r="AT70" i="31"/>
  <c r="AV70" i="31"/>
  <c r="AU70" i="31"/>
  <c r="M10" i="40"/>
  <c r="AB10" i="40" s="1"/>
  <c r="M9" i="40"/>
  <c r="AB9" i="40" s="1"/>
  <c r="AK9" i="40" s="1"/>
  <c r="M14" i="40"/>
  <c r="AB14" i="40" s="1"/>
  <c r="AK14" i="40" s="1"/>
  <c r="S17" i="40"/>
  <c r="AC17" i="40" s="1"/>
  <c r="AL17" i="40" s="1"/>
  <c r="S12" i="40"/>
  <c r="AC12" i="40" s="1"/>
  <c r="S14" i="40"/>
  <c r="AC14" i="40" s="1"/>
  <c r="AL14" i="40" s="1"/>
  <c r="S9" i="40"/>
  <c r="AC9" i="40" s="1"/>
  <c r="AL9" i="40" s="1"/>
  <c r="S10" i="40"/>
  <c r="AC10" i="40" s="1"/>
  <c r="S15" i="40"/>
  <c r="AC15" i="40" s="1"/>
  <c r="AL15" i="40" s="1"/>
  <c r="S11" i="40"/>
  <c r="AC11" i="40" s="1"/>
  <c r="AL11" i="40" s="1"/>
  <c r="M136" i="31"/>
  <c r="AY70" i="31"/>
  <c r="AZ70" i="31"/>
  <c r="BA70" i="31"/>
  <c r="AX70" i="31"/>
  <c r="M204" i="31"/>
  <c r="M203" i="31" s="1"/>
  <c r="AQ70" i="31"/>
  <c r="AO70" i="31"/>
  <c r="AP70" i="31"/>
  <c r="AN70" i="31"/>
  <c r="M184" i="31"/>
  <c r="C10" i="41"/>
  <c r="B10" i="44" a="1"/>
  <c r="B10" i="44" s="1"/>
  <c r="B10" i="42" a="1"/>
  <c r="B10" i="42" s="1"/>
  <c r="C10" i="42" s="1" a="1"/>
  <c r="C10" i="42" s="1"/>
  <c r="Q29" i="31"/>
  <c r="AG29" i="31" s="1"/>
  <c r="BQ31" i="31"/>
  <c r="M113" i="31"/>
  <c r="M118" i="31"/>
  <c r="P112" i="31"/>
  <c r="E14" i="40" s="1"/>
  <c r="S148" i="31"/>
  <c r="AI148" i="31" s="1"/>
  <c r="AL155" i="31"/>
  <c r="AL262" i="39"/>
  <c r="O35" i="40" s="1"/>
  <c r="O37" i="40" s="1"/>
  <c r="S29" i="31"/>
  <c r="AI29" i="31" s="1"/>
  <c r="AL31" i="31"/>
  <c r="S262" i="39"/>
  <c r="I30" i="40"/>
  <c r="Z56" i="40"/>
  <c r="P67" i="39"/>
  <c r="P66" i="39" s="1"/>
  <c r="Q10" i="40" s="1"/>
  <c r="M102" i="39"/>
  <c r="M96" i="39" s="1"/>
  <c r="O12" i="40" s="1"/>
  <c r="Z12" i="40" s="1"/>
  <c r="P102" i="39"/>
  <c r="P96" i="39" s="1"/>
  <c r="Q12" i="40" s="1"/>
  <c r="M101" i="38"/>
  <c r="M96" i="38" s="1"/>
  <c r="P101" i="38"/>
  <c r="P96" i="38" s="1"/>
  <c r="K12" i="40" s="1"/>
  <c r="P67" i="38"/>
  <c r="P66" i="38" s="1"/>
  <c r="K10" i="40" s="1"/>
  <c r="N22" i="31"/>
  <c r="AE22" i="31" s="1"/>
  <c r="P203" i="31"/>
  <c r="E17" i="40" s="1"/>
  <c r="AL202" i="31"/>
  <c r="S198" i="31"/>
  <c r="AI198" i="31" s="1"/>
  <c r="AG198" i="31"/>
  <c r="S199" i="31"/>
  <c r="AI199" i="31" s="1"/>
  <c r="AG199" i="31"/>
  <c r="AL200" i="31"/>
  <c r="S196" i="31"/>
  <c r="AI196" i="31" s="1"/>
  <c r="AG196" i="31"/>
  <c r="AL201" i="31"/>
  <c r="S197" i="31"/>
  <c r="AI197" i="31" s="1"/>
  <c r="AG197" i="31"/>
  <c r="AL161" i="31"/>
  <c r="AL162" i="31"/>
  <c r="S158" i="31"/>
  <c r="AI158" i="31" s="1"/>
  <c r="AG158" i="31"/>
  <c r="AG83" i="31"/>
  <c r="S83" i="31"/>
  <c r="AI83" i="31" s="1"/>
  <c r="S159" i="31"/>
  <c r="AI159" i="31" s="1"/>
  <c r="AG159" i="31"/>
  <c r="AL164" i="31"/>
  <c r="S160" i="31"/>
  <c r="AI160" i="31" s="1"/>
  <c r="AG160" i="31"/>
  <c r="S85" i="31"/>
  <c r="AI85" i="31" s="1"/>
  <c r="AG104" i="31"/>
  <c r="S104" i="31"/>
  <c r="AI104" i="31" s="1"/>
  <c r="S84" i="31"/>
  <c r="AI84" i="31" s="1"/>
  <c r="AG84" i="31"/>
  <c r="M247" i="31"/>
  <c r="M246" i="31" s="1"/>
  <c r="BR170" i="31"/>
  <c r="BR168" i="31"/>
  <c r="BR169" i="31"/>
  <c r="BR167" i="31"/>
  <c r="BR172" i="31"/>
  <c r="BR163" i="31"/>
  <c r="BR96" i="31"/>
  <c r="BR97" i="31"/>
  <c r="S166" i="31"/>
  <c r="AI166" i="31" s="1"/>
  <c r="N166" i="31"/>
  <c r="AE166" i="31" s="1"/>
  <c r="Q166" i="31"/>
  <c r="AG166" i="31" s="1"/>
  <c r="P29" i="31"/>
  <c r="P22" i="31" s="1"/>
  <c r="E7" i="40" s="1"/>
  <c r="M148" i="31"/>
  <c r="Z58" i="5" a="1"/>
  <c r="Z58" i="5" s="1"/>
  <c r="X56" i="7" a="1"/>
  <c r="X56" i="7" s="1"/>
  <c r="I60" i="2"/>
  <c r="N60" i="2" s="1"/>
  <c r="I56" i="2"/>
  <c r="N56" i="2" s="1"/>
  <c r="I26" i="2"/>
  <c r="I25" i="2"/>
  <c r="N25" i="2" s="1"/>
  <c r="I41" i="2"/>
  <c r="N41" i="2" s="1"/>
  <c r="G20" i="8"/>
  <c r="M20" i="8" s="1"/>
  <c r="G19" i="8"/>
  <c r="M19" i="8" s="1"/>
  <c r="G13" i="8"/>
  <c r="M13" i="8" s="1"/>
  <c r="G12" i="8"/>
  <c r="M12" i="8" s="1"/>
  <c r="R268" i="39" l="1"/>
  <c r="D12" i="45"/>
  <c r="O268" i="39"/>
  <c r="F8" i="45"/>
  <c r="H8" i="45" s="1"/>
  <c r="I9" i="45" s="1"/>
  <c r="J9" i="45" s="1"/>
  <c r="R269" i="38"/>
  <c r="D8" i="45"/>
  <c r="O269" i="38"/>
  <c r="T10" i="40"/>
  <c r="AF10" i="40" s="1"/>
  <c r="V66" i="39"/>
  <c r="E33" i="46"/>
  <c r="E29" i="46"/>
  <c r="T11" i="40"/>
  <c r="AF11" i="40" s="1"/>
  <c r="AI11" i="40" s="1"/>
  <c r="V87" i="39"/>
  <c r="E35" i="46"/>
  <c r="E31" i="46"/>
  <c r="T14" i="40"/>
  <c r="AF14" i="40" s="1"/>
  <c r="AI14" i="40" s="1"/>
  <c r="V120" i="39"/>
  <c r="T17" i="40"/>
  <c r="AF17" i="40" s="1"/>
  <c r="AI17" i="40" s="1"/>
  <c r="V213" i="39"/>
  <c r="T7" i="40"/>
  <c r="AF7" i="40" s="1"/>
  <c r="AI7" i="40" s="1"/>
  <c r="V22" i="39"/>
  <c r="T15" i="40"/>
  <c r="AF15" i="40" s="1"/>
  <c r="AI15" i="40" s="1"/>
  <c r="V158" i="39"/>
  <c r="T12" i="40"/>
  <c r="AF12" i="40" s="1"/>
  <c r="AI12" i="40" s="1"/>
  <c r="V96" i="39"/>
  <c r="W263" i="38"/>
  <c r="Q268" i="39"/>
  <c r="V263" i="38"/>
  <c r="I47" i="40"/>
  <c r="Y47" i="40" s="1"/>
  <c r="Y38" i="40"/>
  <c r="N10" i="40"/>
  <c r="AE10" i="40" s="1"/>
  <c r="N14" i="40"/>
  <c r="AE14" i="40" s="1"/>
  <c r="AH14" i="40" s="1"/>
  <c r="N17" i="40"/>
  <c r="AE17" i="40" s="1"/>
  <c r="AH17" i="40" s="1"/>
  <c r="N13" i="40"/>
  <c r="AE13" i="40" s="1"/>
  <c r="AH13" i="40" s="1"/>
  <c r="N9" i="40"/>
  <c r="AE9" i="40" s="1"/>
  <c r="AH9" i="40" s="1"/>
  <c r="AN264" i="39"/>
  <c r="D35" i="46"/>
  <c r="D31" i="46"/>
  <c r="W166" i="31"/>
  <c r="H14" i="40"/>
  <c r="AD14" i="40" s="1"/>
  <c r="V112" i="31"/>
  <c r="W83" i="31"/>
  <c r="AX84" i="31"/>
  <c r="BA197" i="31"/>
  <c r="W197" i="31"/>
  <c r="V81" i="31"/>
  <c r="H11" i="40"/>
  <c r="AD11" i="40" s="1"/>
  <c r="AK81" i="31"/>
  <c r="W196" i="31"/>
  <c r="H6" i="40"/>
  <c r="AD6" i="40" s="1"/>
  <c r="AN159" i="31"/>
  <c r="BA198" i="31"/>
  <c r="W198" i="31"/>
  <c r="AN158" i="31"/>
  <c r="D7" i="40"/>
  <c r="AX197" i="31"/>
  <c r="D67" i="41"/>
  <c r="W104" i="31"/>
  <c r="AX196" i="31"/>
  <c r="W148" i="31"/>
  <c r="AX198" i="31"/>
  <c r="W84" i="31"/>
  <c r="W85" i="31"/>
  <c r="AX160" i="31"/>
  <c r="BQ166" i="31"/>
  <c r="BA199" i="31"/>
  <c r="W199" i="31"/>
  <c r="AQ159" i="31"/>
  <c r="BR29" i="31"/>
  <c r="AX104" i="31"/>
  <c r="W160" i="31"/>
  <c r="AX199" i="31"/>
  <c r="W29" i="31"/>
  <c r="AX264" i="39"/>
  <c r="P268" i="39"/>
  <c r="C14" i="45"/>
  <c r="S265" i="39"/>
  <c r="D13" i="45"/>
  <c r="N269" i="38"/>
  <c r="AS265" i="38"/>
  <c r="BC265" i="38"/>
  <c r="P269" i="38"/>
  <c r="S266" i="38"/>
  <c r="D14" i="32"/>
  <c r="BH249" i="31"/>
  <c r="BI249" i="31"/>
  <c r="BG249" i="31"/>
  <c r="G7" i="45" s="1"/>
  <c r="AS264" i="39"/>
  <c r="G12" i="45"/>
  <c r="C13" i="45"/>
  <c r="N268" i="39"/>
  <c r="T263" i="38"/>
  <c r="T266" i="38" s="1"/>
  <c r="I20" i="40"/>
  <c r="I46" i="40" s="1"/>
  <c r="Y46" i="40" s="1"/>
  <c r="T9" i="40"/>
  <c r="AF9" i="40" s="1"/>
  <c r="AI9" i="40" s="1"/>
  <c r="T262" i="39"/>
  <c r="O21" i="40" s="1"/>
  <c r="AL12" i="40"/>
  <c r="G10" i="45"/>
  <c r="Q269" i="38"/>
  <c r="C8" i="45"/>
  <c r="AN265" i="38"/>
  <c r="AX265" i="38"/>
  <c r="G11" i="45"/>
  <c r="G13" i="45"/>
  <c r="G14" i="45"/>
  <c r="G4" i="45"/>
  <c r="G5" i="45"/>
  <c r="E14" i="45"/>
  <c r="F14" i="45"/>
  <c r="F13" i="45"/>
  <c r="F12" i="45"/>
  <c r="AK262" i="39"/>
  <c r="D16" i="41"/>
  <c r="BA160" i="31"/>
  <c r="AL84" i="31"/>
  <c r="BA84" i="31"/>
  <c r="BQ84" i="31"/>
  <c r="AZ84" i="31"/>
  <c r="D21" i="41"/>
  <c r="BA196" i="31"/>
  <c r="AL104" i="31"/>
  <c r="BA104" i="31"/>
  <c r="BQ196" i="31"/>
  <c r="AZ196" i="31"/>
  <c r="BQ104" i="31"/>
  <c r="AZ104" i="31"/>
  <c r="AL85" i="31"/>
  <c r="BA85" i="31"/>
  <c r="AL83" i="31"/>
  <c r="BA83" i="31"/>
  <c r="BQ197" i="31"/>
  <c r="AZ197" i="31"/>
  <c r="BQ199" i="31"/>
  <c r="AZ199" i="31"/>
  <c r="BQ83" i="31"/>
  <c r="AZ83" i="31"/>
  <c r="BQ160" i="31"/>
  <c r="AZ160" i="31"/>
  <c r="BQ198" i="31"/>
  <c r="AZ198" i="31"/>
  <c r="BQ159" i="31"/>
  <c r="AP159" i="31"/>
  <c r="BQ158" i="31"/>
  <c r="AP158" i="31"/>
  <c r="M112" i="31"/>
  <c r="D14" i="41"/>
  <c r="K5" i="41" s="1"/>
  <c r="AQ158" i="31"/>
  <c r="AL197" i="31"/>
  <c r="D22" i="41"/>
  <c r="AL199" i="31"/>
  <c r="D24" i="41"/>
  <c r="AL198" i="31"/>
  <c r="D23" i="41"/>
  <c r="M66" i="39"/>
  <c r="A57" i="44" s="1" a="1"/>
  <c r="A57" i="44" s="1"/>
  <c r="C10" i="44" a="1"/>
  <c r="C10" i="44" s="1"/>
  <c r="B11" i="44" a="1"/>
  <c r="B11" i="44" s="1"/>
  <c r="C11" i="44" s="1" a="1"/>
  <c r="C11" i="44" s="1"/>
  <c r="B11" i="42" a="1"/>
  <c r="B11" i="42" s="1"/>
  <c r="C11" i="42" s="1" a="1"/>
  <c r="C11" i="42" s="1"/>
  <c r="Q22" i="31"/>
  <c r="AG22" i="31" s="1"/>
  <c r="BQ29" i="31"/>
  <c r="T196" i="31"/>
  <c r="AL196" i="31"/>
  <c r="S22" i="31"/>
  <c r="AI22" i="31" s="1"/>
  <c r="T160" i="31"/>
  <c r="AL160" i="31"/>
  <c r="Y113" i="40"/>
  <c r="O20" i="40"/>
  <c r="AD53" i="40"/>
  <c r="AG53" i="40" s="1"/>
  <c r="AE113" i="40"/>
  <c r="I35" i="40"/>
  <c r="I37" i="40" s="1"/>
  <c r="X53" i="40"/>
  <c r="AA53" i="40" s="1"/>
  <c r="AB53" i="40" s="1"/>
  <c r="Z57" i="40"/>
  <c r="AF57" i="40"/>
  <c r="P262" i="39"/>
  <c r="I12" i="40"/>
  <c r="Y12" i="40" s="1"/>
  <c r="P263" i="38"/>
  <c r="C17" i="40"/>
  <c r="X17" i="40" s="1"/>
  <c r="S65" i="31"/>
  <c r="AI65" i="31" s="1"/>
  <c r="AG65" i="31"/>
  <c r="AL194" i="31"/>
  <c r="AL183" i="31"/>
  <c r="S180" i="31"/>
  <c r="AI180" i="31" s="1"/>
  <c r="AG180" i="31"/>
  <c r="S189" i="31"/>
  <c r="AI189" i="31" s="1"/>
  <c r="AG189" i="31"/>
  <c r="S177" i="31"/>
  <c r="AI177" i="31" s="1"/>
  <c r="AG177" i="31"/>
  <c r="S188" i="31"/>
  <c r="AI188" i="31" s="1"/>
  <c r="AG188" i="31"/>
  <c r="AL193" i="31"/>
  <c r="AL182" i="31"/>
  <c r="AL192" i="31"/>
  <c r="S178" i="31"/>
  <c r="AI178" i="31" s="1"/>
  <c r="AG178" i="31"/>
  <c r="AL191" i="31"/>
  <c r="S179" i="31"/>
  <c r="AI179" i="31" s="1"/>
  <c r="AG179" i="31"/>
  <c r="AL181" i="31"/>
  <c r="S190" i="31"/>
  <c r="AI190" i="31" s="1"/>
  <c r="AG190" i="31"/>
  <c r="BR200" i="31"/>
  <c r="S195" i="31"/>
  <c r="AI195" i="31" s="1"/>
  <c r="BR201" i="31"/>
  <c r="BR198" i="31"/>
  <c r="BR196" i="31"/>
  <c r="BR197" i="31"/>
  <c r="BR199" i="31"/>
  <c r="BR202" i="31"/>
  <c r="S157" i="31"/>
  <c r="AI157" i="31" s="1"/>
  <c r="BR70" i="31"/>
  <c r="S82" i="31"/>
  <c r="AI82" i="31" s="1"/>
  <c r="BR158" i="31"/>
  <c r="BR164" i="31"/>
  <c r="BR160" i="31"/>
  <c r="BR162" i="31"/>
  <c r="BR159" i="31"/>
  <c r="BR85" i="31"/>
  <c r="BR161" i="31"/>
  <c r="BR104" i="31"/>
  <c r="BR106" i="31"/>
  <c r="BR83" i="31"/>
  <c r="BR84" i="31"/>
  <c r="BR58" i="31"/>
  <c r="BR61" i="31"/>
  <c r="S19" i="8"/>
  <c r="P198" i="31"/>
  <c r="N195" i="31"/>
  <c r="AE195" i="31" s="1"/>
  <c r="Q195" i="31"/>
  <c r="AG195" i="31" s="1"/>
  <c r="M166" i="31"/>
  <c r="P166" i="31"/>
  <c r="N157" i="31"/>
  <c r="AE157" i="31" s="1"/>
  <c r="Q157" i="31"/>
  <c r="AG157" i="31" s="1"/>
  <c r="P148" i="31"/>
  <c r="N82" i="31"/>
  <c r="AE82" i="31" s="1"/>
  <c r="Q82" i="31"/>
  <c r="AG82" i="31" s="1"/>
  <c r="P199" i="31"/>
  <c r="P196" i="31"/>
  <c r="AY196" i="31" s="1"/>
  <c r="P197" i="31"/>
  <c r="P158" i="31"/>
  <c r="AO158" i="31" s="1"/>
  <c r="P106" i="31"/>
  <c r="P160" i="31"/>
  <c r="P159" i="31"/>
  <c r="P104" i="31"/>
  <c r="M85" i="31"/>
  <c r="P84" i="31"/>
  <c r="P83" i="31"/>
  <c r="AY83" i="31" s="1"/>
  <c r="S12" i="8"/>
  <c r="L13" i="8"/>
  <c r="I13" i="8"/>
  <c r="J13" i="8"/>
  <c r="K13" i="8"/>
  <c r="L19" i="8"/>
  <c r="K19" i="8"/>
  <c r="I19" i="8"/>
  <c r="J19" i="8"/>
  <c r="L12" i="8"/>
  <c r="I12" i="8"/>
  <c r="K12" i="8"/>
  <c r="J12" i="8"/>
  <c r="I20" i="8"/>
  <c r="J20" i="8"/>
  <c r="L20" i="8"/>
  <c r="K20" i="8"/>
  <c r="G124" i="7"/>
  <c r="M124" i="7" s="1"/>
  <c r="G123" i="7"/>
  <c r="M123" i="7" s="1"/>
  <c r="G12" i="7"/>
  <c r="M12" i="7" s="1"/>
  <c r="G11" i="7"/>
  <c r="M11" i="7" s="1"/>
  <c r="E22" i="46" l="1"/>
  <c r="E34" i="46" s="1"/>
  <c r="O265" i="39"/>
  <c r="D22" i="46"/>
  <c r="D34" i="46" s="1"/>
  <c r="O266" i="38"/>
  <c r="V262" i="39"/>
  <c r="AN265" i="39"/>
  <c r="AX177" i="31"/>
  <c r="AU189" i="31"/>
  <c r="AU180" i="31"/>
  <c r="T157" i="31"/>
  <c r="V160" i="31"/>
  <c r="Q81" i="31"/>
  <c r="AG81" i="31" s="1"/>
  <c r="T195" i="31"/>
  <c r="V196" i="31"/>
  <c r="AV190" i="31"/>
  <c r="W190" i="31"/>
  <c r="W179" i="31"/>
  <c r="AU178" i="31"/>
  <c r="W178" i="31"/>
  <c r="AX188" i="31"/>
  <c r="AV189" i="31"/>
  <c r="W189" i="31"/>
  <c r="AU179" i="31"/>
  <c r="AV65" i="31"/>
  <c r="W65" i="31"/>
  <c r="BA177" i="31"/>
  <c r="W177" i="31"/>
  <c r="AU190" i="31"/>
  <c r="AV180" i="31"/>
  <c r="W180" i="31"/>
  <c r="W22" i="31"/>
  <c r="AU65" i="31"/>
  <c r="N147" i="31"/>
  <c r="AE147" i="31" s="1"/>
  <c r="W82" i="31"/>
  <c r="BQ195" i="31"/>
  <c r="W188" i="31"/>
  <c r="N265" i="39"/>
  <c r="N266" i="38"/>
  <c r="A59" i="44" a="1"/>
  <c r="A59" i="44" s="1"/>
  <c r="H12" i="45"/>
  <c r="I13" i="45" s="1"/>
  <c r="J13" i="45" s="1"/>
  <c r="K14" i="45" s="1"/>
  <c r="L14" i="45" s="1"/>
  <c r="I21" i="40"/>
  <c r="I45" i="40" s="1"/>
  <c r="Y45" i="40" s="1"/>
  <c r="I41" i="40"/>
  <c r="Y41" i="40" s="1"/>
  <c r="I33" i="40"/>
  <c r="I39" i="40" s="1"/>
  <c r="Y20" i="40"/>
  <c r="AL82" i="31"/>
  <c r="S81" i="31"/>
  <c r="AI81" i="31" s="1"/>
  <c r="N81" i="31"/>
  <c r="AE81" i="31" s="1"/>
  <c r="AH12" i="40"/>
  <c r="AK12" i="40"/>
  <c r="AG17" i="40"/>
  <c r="AJ17" i="40"/>
  <c r="K10" i="45"/>
  <c r="L10" i="45" s="1"/>
  <c r="T265" i="39"/>
  <c r="AN266" i="38"/>
  <c r="AK160" i="31"/>
  <c r="BB160" i="31"/>
  <c r="AK196" i="31"/>
  <c r="BB196" i="31"/>
  <c r="AX180" i="31"/>
  <c r="AS180" i="31"/>
  <c r="AX65" i="31"/>
  <c r="AS65" i="31"/>
  <c r="AX190" i="31"/>
  <c r="AS190" i="31"/>
  <c r="BA178" i="31"/>
  <c r="AV178" i="31"/>
  <c r="AX178" i="31"/>
  <c r="AS178" i="31"/>
  <c r="AX189" i="31"/>
  <c r="AS189" i="31"/>
  <c r="AX179" i="31"/>
  <c r="AS179" i="31"/>
  <c r="BA179" i="31"/>
  <c r="AV179" i="31"/>
  <c r="O10" i="40"/>
  <c r="Z10" i="40" s="1"/>
  <c r="AL10" i="40" s="1"/>
  <c r="Z20" i="40"/>
  <c r="O33" i="40"/>
  <c r="O39" i="40" s="1"/>
  <c r="BQ178" i="31"/>
  <c r="AZ178" i="31"/>
  <c r="AL180" i="31"/>
  <c r="BA180" i="31"/>
  <c r="M197" i="31"/>
  <c r="C22" i="41" s="1"/>
  <c r="AY197" i="31"/>
  <c r="AL190" i="31"/>
  <c r="BA190" i="31"/>
  <c r="BQ177" i="31"/>
  <c r="AZ177" i="31"/>
  <c r="M106" i="31"/>
  <c r="C69" i="41" s="1"/>
  <c r="AY106" i="31"/>
  <c r="M199" i="31"/>
  <c r="C24" i="41" s="1"/>
  <c r="AY199" i="31"/>
  <c r="BQ65" i="31"/>
  <c r="AZ65" i="31"/>
  <c r="BQ179" i="31"/>
  <c r="AZ179" i="31"/>
  <c r="AL189" i="31"/>
  <c r="BA189" i="31"/>
  <c r="AL65" i="31"/>
  <c r="BA65" i="31"/>
  <c r="M104" i="31"/>
  <c r="C67" i="41" s="1"/>
  <c r="AY104" i="31"/>
  <c r="M198" i="31"/>
  <c r="C23" i="41" s="1"/>
  <c r="AY198" i="31"/>
  <c r="BQ190" i="31"/>
  <c r="AZ190" i="31"/>
  <c r="BQ189" i="31"/>
  <c r="AZ189" i="31"/>
  <c r="M160" i="31"/>
  <c r="C16" i="41" s="1"/>
  <c r="AY160" i="31"/>
  <c r="BQ188" i="31"/>
  <c r="AZ188" i="31"/>
  <c r="AL188" i="31"/>
  <c r="BA188" i="31"/>
  <c r="BQ180" i="31"/>
  <c r="AZ180" i="31"/>
  <c r="M84" i="31"/>
  <c r="AY84" i="31"/>
  <c r="M159" i="31"/>
  <c r="C15" i="41" s="1"/>
  <c r="AO159" i="31"/>
  <c r="AL179" i="31"/>
  <c r="D8" i="41"/>
  <c r="AL178" i="31"/>
  <c r="D7" i="41"/>
  <c r="BQ22" i="31"/>
  <c r="F7" i="40"/>
  <c r="AL177" i="31"/>
  <c r="D5" i="41"/>
  <c r="K7" i="41" s="1"/>
  <c r="G7" i="40"/>
  <c r="AA7" i="40" s="1"/>
  <c r="AJ7" i="40" s="1"/>
  <c r="M262" i="39"/>
  <c r="A60" i="44" a="1"/>
  <c r="A60" i="44" s="1"/>
  <c r="B12" i="44" a="1"/>
  <c r="B12" i="44" s="1"/>
  <c r="C12" i="44" s="1" a="1"/>
  <c r="C12" i="44" s="1"/>
  <c r="B12" i="42" a="1"/>
  <c r="B12" i="42" s="1"/>
  <c r="C12" i="42" s="1" a="1"/>
  <c r="C12" i="42" s="1"/>
  <c r="BQ82" i="31"/>
  <c r="O45" i="40"/>
  <c r="Z45" i="40" s="1"/>
  <c r="Z21" i="40"/>
  <c r="Q147" i="31"/>
  <c r="AG147" i="31" s="1"/>
  <c r="BQ157" i="31"/>
  <c r="A57" i="42" a="1"/>
  <c r="A57" i="42" s="1"/>
  <c r="A59" i="42" a="1"/>
  <c r="A59" i="42" s="1"/>
  <c r="A60" i="42" a="1"/>
  <c r="A60" i="42" s="1"/>
  <c r="A4" i="42" a="1"/>
  <c r="A4" i="42" s="1"/>
  <c r="A5" i="42" a="1"/>
  <c r="A5" i="42" s="1"/>
  <c r="A10" i="42" a="1"/>
  <c r="A10" i="42" s="1"/>
  <c r="A6" i="42" a="1"/>
  <c r="A6" i="42" s="1"/>
  <c r="A7" i="42" a="1"/>
  <c r="A7" i="42" s="1"/>
  <c r="A11" i="42" a="1"/>
  <c r="A11" i="42" s="1"/>
  <c r="A8" i="42" a="1"/>
  <c r="A8" i="42" s="1"/>
  <c r="A9" i="42" a="1"/>
  <c r="A9" i="42" s="1"/>
  <c r="I10" i="40"/>
  <c r="Y10" i="40" s="1"/>
  <c r="O41" i="40"/>
  <c r="O46" i="40"/>
  <c r="Z46" i="40" s="1"/>
  <c r="S147" i="31"/>
  <c r="AI147" i="31" s="1"/>
  <c r="AA54" i="40"/>
  <c r="AB54" i="40" s="1"/>
  <c r="AH53" i="40"/>
  <c r="AG54" i="40"/>
  <c r="AC83" i="40"/>
  <c r="O36" i="40"/>
  <c r="Z36" i="40" s="1"/>
  <c r="W83" i="40"/>
  <c r="I36" i="40"/>
  <c r="Y36" i="40" s="1"/>
  <c r="AF58" i="40"/>
  <c r="Z58" i="40"/>
  <c r="M263" i="38"/>
  <c r="BR76" i="31"/>
  <c r="BR141" i="31"/>
  <c r="BR192" i="31"/>
  <c r="BR193" i="31"/>
  <c r="BR189" i="31"/>
  <c r="BR180" i="31"/>
  <c r="S176" i="31"/>
  <c r="AI176" i="31" s="1"/>
  <c r="BR183" i="31"/>
  <c r="BR178" i="31"/>
  <c r="BR194" i="31"/>
  <c r="BR190" i="31"/>
  <c r="BR188" i="31"/>
  <c r="BR181" i="31"/>
  <c r="BR191" i="31"/>
  <c r="BR177" i="31"/>
  <c r="BR179" i="31"/>
  <c r="BR182" i="31"/>
  <c r="BR67" i="31"/>
  <c r="BR68" i="31"/>
  <c r="BR65" i="31"/>
  <c r="BR66" i="31"/>
  <c r="BR71" i="31"/>
  <c r="BR64" i="31"/>
  <c r="Q176" i="31"/>
  <c r="AG176" i="31" s="1"/>
  <c r="P190" i="31"/>
  <c r="AT190" i="31" s="1"/>
  <c r="N187" i="31"/>
  <c r="AE187" i="31" s="1"/>
  <c r="P188" i="31"/>
  <c r="Q187" i="31"/>
  <c r="AG187" i="31" s="1"/>
  <c r="S187" i="31"/>
  <c r="AI187" i="31" s="1"/>
  <c r="P189" i="31"/>
  <c r="AT189" i="31" s="1"/>
  <c r="P178" i="31"/>
  <c r="AT178" i="31" s="1"/>
  <c r="M196" i="31"/>
  <c r="P195" i="31"/>
  <c r="P177" i="31"/>
  <c r="AY177" i="31" s="1"/>
  <c r="N176" i="31"/>
  <c r="AE176" i="31" s="1"/>
  <c r="M158" i="31"/>
  <c r="C14" i="41" s="1"/>
  <c r="P157" i="31"/>
  <c r="P147" i="31" s="1"/>
  <c r="E15" i="40" s="1"/>
  <c r="M83" i="31"/>
  <c r="P82" i="31"/>
  <c r="P180" i="31"/>
  <c r="AT180" i="31" s="1"/>
  <c r="P179" i="31"/>
  <c r="AT179" i="31" s="1"/>
  <c r="S11" i="7"/>
  <c r="S16" i="7" s="1"/>
  <c r="X26" i="2" s="1"/>
  <c r="M16" i="7"/>
  <c r="K26" i="2" s="1"/>
  <c r="P65" i="31"/>
  <c r="AT65" i="31" s="1"/>
  <c r="P64" i="31"/>
  <c r="AY64" i="31" s="1"/>
  <c r="J11" i="7"/>
  <c r="K11" i="7"/>
  <c r="L11" i="7"/>
  <c r="I11" i="7"/>
  <c r="L124" i="7"/>
  <c r="K124" i="7"/>
  <c r="I124" i="7"/>
  <c r="J124" i="7"/>
  <c r="K12" i="7"/>
  <c r="J12" i="7"/>
  <c r="I12" i="7"/>
  <c r="L12" i="7"/>
  <c r="L123" i="7"/>
  <c r="K123" i="7"/>
  <c r="J123" i="7"/>
  <c r="I123" i="7"/>
  <c r="H88" i="2"/>
  <c r="M88" i="2" s="1"/>
  <c r="G5" i="10"/>
  <c r="O267" i="38" l="1"/>
  <c r="D30" i="46"/>
  <c r="O266" i="39"/>
  <c r="E30" i="46"/>
  <c r="I40" i="40"/>
  <c r="Y40" i="40" s="1"/>
  <c r="Y21" i="40"/>
  <c r="Y22" i="40" s="1"/>
  <c r="AU249" i="31"/>
  <c r="E5" i="45" s="1"/>
  <c r="D11" i="40"/>
  <c r="T147" i="31"/>
  <c r="V157" i="31"/>
  <c r="BQ187" i="31"/>
  <c r="W176" i="31"/>
  <c r="T175" i="31"/>
  <c r="H16" i="40" s="1"/>
  <c r="AD16" i="40" s="1"/>
  <c r="V195" i="31"/>
  <c r="W81" i="31"/>
  <c r="D15" i="40"/>
  <c r="G15" i="40"/>
  <c r="AA15" i="40" s="1"/>
  <c r="W187" i="31"/>
  <c r="BQ176" i="31"/>
  <c r="AN266" i="39"/>
  <c r="Z22" i="40"/>
  <c r="AV249" i="31"/>
  <c r="F5" i="45" s="1"/>
  <c r="AS249" i="31"/>
  <c r="AH10" i="40"/>
  <c r="AK10" i="40"/>
  <c r="AN267" i="38"/>
  <c r="Z29" i="40"/>
  <c r="AI10" i="40"/>
  <c r="M265" i="39"/>
  <c r="N266" i="39"/>
  <c r="N267" i="38"/>
  <c r="P81" i="31"/>
  <c r="E11" i="40" s="1"/>
  <c r="D12" i="44"/>
  <c r="J5" i="41"/>
  <c r="A8" i="44" a="1"/>
  <c r="A8" i="44" s="1"/>
  <c r="A10" i="44" a="1"/>
  <c r="A10" i="44" s="1"/>
  <c r="K6" i="41"/>
  <c r="M180" i="31"/>
  <c r="C9" i="41" s="1"/>
  <c r="AY180" i="31"/>
  <c r="M178" i="31"/>
  <c r="AY178" i="31"/>
  <c r="M188" i="31"/>
  <c r="AY188" i="31"/>
  <c r="M82" i="31"/>
  <c r="A5" i="44" a="1"/>
  <c r="A5" i="44" s="1"/>
  <c r="M189" i="31"/>
  <c r="AY189" i="31"/>
  <c r="M179" i="31"/>
  <c r="AY179" i="31"/>
  <c r="M190" i="31"/>
  <c r="AY190" i="31"/>
  <c r="A4" i="44" a="1"/>
  <c r="A4" i="44" s="1"/>
  <c r="M65" i="31"/>
  <c r="C35" i="41" s="1"/>
  <c r="J34" i="41" s="1"/>
  <c r="AY65" i="31"/>
  <c r="A11" i="44" a="1"/>
  <c r="A11" i="44" s="1"/>
  <c r="A9" i="44" a="1"/>
  <c r="A9" i="44" s="1"/>
  <c r="A6" i="44" a="1"/>
  <c r="A6" i="44" s="1"/>
  <c r="A7" i="44" a="1"/>
  <c r="A7" i="44" s="1"/>
  <c r="BQ147" i="31"/>
  <c r="F15" i="40"/>
  <c r="BQ81" i="31"/>
  <c r="F11" i="40"/>
  <c r="M195" i="31"/>
  <c r="C21" i="41"/>
  <c r="Y29" i="40"/>
  <c r="A12" i="44" a="1"/>
  <c r="A12" i="44" s="1"/>
  <c r="B13" i="44" a="1"/>
  <c r="B13" i="44" s="1"/>
  <c r="A12" i="42" a="1"/>
  <c r="A12" i="42" s="1"/>
  <c r="B13" i="42" a="1"/>
  <c r="B13" i="42" s="1"/>
  <c r="O40" i="40"/>
  <c r="Z40" i="40" s="1"/>
  <c r="Z41" i="40"/>
  <c r="AA55" i="40"/>
  <c r="AB55" i="40" s="1"/>
  <c r="I44" i="40"/>
  <c r="Y44" i="40" s="1"/>
  <c r="O44" i="40"/>
  <c r="Z44" i="40" s="1"/>
  <c r="O43" i="40"/>
  <c r="O48" i="40"/>
  <c r="I43" i="40"/>
  <c r="I48" i="40"/>
  <c r="M157" i="31"/>
  <c r="M147" i="31" s="1"/>
  <c r="O42" i="40"/>
  <c r="Z42" i="40" s="1"/>
  <c r="I42" i="40"/>
  <c r="Y42" i="40" s="1"/>
  <c r="AG55" i="40"/>
  <c r="AH54" i="40"/>
  <c r="Z59" i="40"/>
  <c r="AF59" i="40"/>
  <c r="S175" i="31"/>
  <c r="AI175" i="31" s="1"/>
  <c r="C14" i="40"/>
  <c r="X14" i="40" s="1"/>
  <c r="Q175" i="31"/>
  <c r="AG175" i="31" s="1"/>
  <c r="N175" i="31"/>
  <c r="AE175" i="31" s="1"/>
  <c r="P176" i="31"/>
  <c r="P187" i="31"/>
  <c r="M177" i="31"/>
  <c r="M64" i="31"/>
  <c r="C34" i="41" s="1"/>
  <c r="D11" i="2"/>
  <c r="D10" i="2"/>
  <c r="D9" i="2"/>
  <c r="B12" i="11"/>
  <c r="C8" i="2" s="1"/>
  <c r="B10" i="11"/>
  <c r="C7" i="2" s="1"/>
  <c r="B8" i="11"/>
  <c r="C6" i="2" s="1"/>
  <c r="H15" i="40" l="1"/>
  <c r="AD15" i="40" s="1"/>
  <c r="V147" i="31"/>
  <c r="D16" i="40"/>
  <c r="C7" i="41"/>
  <c r="AG14" i="40"/>
  <c r="AJ14" i="40"/>
  <c r="C15" i="40"/>
  <c r="X15" i="40" s="1"/>
  <c r="C5" i="45"/>
  <c r="M187" i="31"/>
  <c r="C8" i="41"/>
  <c r="H21" i="32"/>
  <c r="G16" i="40"/>
  <c r="AA16" i="40" s="1"/>
  <c r="M176" i="31"/>
  <c r="C5" i="41"/>
  <c r="J7" i="41" s="1"/>
  <c r="BQ175" i="31"/>
  <c r="F16" i="40"/>
  <c r="C13" i="44" a="1"/>
  <c r="C13" i="44" s="1"/>
  <c r="A13" i="44" a="1"/>
  <c r="A13" i="44" s="1"/>
  <c r="B14" i="44" a="1"/>
  <c r="B14" i="44" s="1"/>
  <c r="C13" i="42" a="1"/>
  <c r="C13" i="42" s="1"/>
  <c r="A13" i="42" a="1"/>
  <c r="A13" i="42" s="1"/>
  <c r="B14" i="42" a="1"/>
  <c r="B14" i="42" s="1"/>
  <c r="B15" i="42" s="1" a="1"/>
  <c r="B15" i="42" s="1"/>
  <c r="AA56" i="40"/>
  <c r="AB56" i="40" s="1"/>
  <c r="Y43" i="40"/>
  <c r="Y48" i="40"/>
  <c r="Z48" i="40"/>
  <c r="Z43" i="40"/>
  <c r="O49" i="40"/>
  <c r="O51" i="40"/>
  <c r="I49" i="40"/>
  <c r="I51" i="40"/>
  <c r="I50" i="40"/>
  <c r="O50" i="40"/>
  <c r="AG56" i="40"/>
  <c r="AH55" i="40"/>
  <c r="AF60" i="40"/>
  <c r="Z60" i="40"/>
  <c r="P175" i="31"/>
  <c r="E16" i="40" s="1"/>
  <c r="F5" i="30"/>
  <c r="E5" i="30" s="1"/>
  <c r="J19" i="10"/>
  <c r="I19" i="10"/>
  <c r="H19" i="10"/>
  <c r="M19" i="10" s="1"/>
  <c r="G19" i="10"/>
  <c r="L19" i="10" s="1"/>
  <c r="G79" i="8"/>
  <c r="M79" i="8" s="1"/>
  <c r="M81" i="8" s="1"/>
  <c r="G69" i="8"/>
  <c r="M69" i="8" s="1"/>
  <c r="G68" i="8"/>
  <c r="M68" i="8" s="1"/>
  <c r="G67" i="8"/>
  <c r="M67" i="8" s="1"/>
  <c r="G59" i="8"/>
  <c r="M59" i="8" s="1"/>
  <c r="G58" i="8"/>
  <c r="M58" i="8" s="1"/>
  <c r="G57" i="8"/>
  <c r="M57" i="8" s="1"/>
  <c r="G40" i="8"/>
  <c r="M40" i="8" s="1"/>
  <c r="G39" i="8"/>
  <c r="M39" i="8" s="1"/>
  <c r="G33" i="8"/>
  <c r="M33" i="8" s="1"/>
  <c r="G32" i="8"/>
  <c r="M32" i="8" s="1"/>
  <c r="G23" i="8"/>
  <c r="M23" i="8" s="1"/>
  <c r="G22" i="8"/>
  <c r="M22" i="8" s="1"/>
  <c r="G21" i="8"/>
  <c r="M21" i="8" s="1"/>
  <c r="G16" i="8"/>
  <c r="M16" i="8" s="1"/>
  <c r="G15" i="8"/>
  <c r="M15" i="8" s="1"/>
  <c r="G14" i="8"/>
  <c r="M14" i="8" s="1"/>
  <c r="G7" i="8"/>
  <c r="M7" i="8" s="1"/>
  <c r="G9" i="8"/>
  <c r="M9" i="8" s="1"/>
  <c r="G8" i="8"/>
  <c r="M8" i="8" s="1"/>
  <c r="G189" i="7"/>
  <c r="M189" i="7" s="1"/>
  <c r="G188" i="7"/>
  <c r="M188" i="7" s="1"/>
  <c r="G187" i="7"/>
  <c r="M187" i="7" s="1"/>
  <c r="G180" i="7"/>
  <c r="M180" i="7" s="1"/>
  <c r="G179" i="7"/>
  <c r="M179" i="7" s="1"/>
  <c r="G178" i="7"/>
  <c r="M178" i="7" s="1"/>
  <c r="G130" i="8"/>
  <c r="M130" i="8" s="1"/>
  <c r="G129" i="8"/>
  <c r="M129" i="8" s="1"/>
  <c r="G128" i="8"/>
  <c r="M128" i="8" s="1"/>
  <c r="G127" i="8"/>
  <c r="M127" i="8" s="1"/>
  <c r="G126" i="8"/>
  <c r="G125" i="8"/>
  <c r="M125" i="8" s="1"/>
  <c r="G124" i="8"/>
  <c r="M124" i="8" s="1"/>
  <c r="M175" i="31" l="1"/>
  <c r="J6" i="41"/>
  <c r="AG15" i="40"/>
  <c r="AJ15" i="40"/>
  <c r="AA57" i="40"/>
  <c r="AB57" i="40" s="1"/>
  <c r="C14" i="44" a="1"/>
  <c r="C14" i="44" s="1"/>
  <c r="A14" i="44" a="1"/>
  <c r="A14" i="44" s="1"/>
  <c r="B15" i="44" a="1"/>
  <c r="B15" i="44" s="1"/>
  <c r="C15" i="42" a="1"/>
  <c r="C15" i="42" s="1"/>
  <c r="A15" i="42" a="1"/>
  <c r="A15" i="42" s="1"/>
  <c r="C14" i="42" a="1"/>
  <c r="C14" i="42" s="1"/>
  <c r="A14" i="42" a="1"/>
  <c r="A14" i="42" s="1"/>
  <c r="B16" i="42" a="1"/>
  <c r="B16" i="42" s="1"/>
  <c r="Y51" i="40"/>
  <c r="Z51" i="40"/>
  <c r="Z50" i="40"/>
  <c r="Y49" i="40"/>
  <c r="Y50" i="40"/>
  <c r="Z49" i="40"/>
  <c r="AH56" i="40"/>
  <c r="AG57" i="40"/>
  <c r="Z61" i="40"/>
  <c r="E7" i="39"/>
  <c r="E7" i="38"/>
  <c r="AF61" i="40"/>
  <c r="D23" i="32"/>
  <c r="C16" i="40"/>
  <c r="X16" i="40" s="1"/>
  <c r="S57" i="8"/>
  <c r="M17" i="8"/>
  <c r="S81" i="8"/>
  <c r="M24" i="8"/>
  <c r="S67" i="8"/>
  <c r="O6" i="2"/>
  <c r="E7" i="31"/>
  <c r="AA7" i="2"/>
  <c r="AA8" i="2"/>
  <c r="Z8" i="2"/>
  <c r="Z7" i="2"/>
  <c r="O7" i="2"/>
  <c r="M7" i="2"/>
  <c r="M6" i="2"/>
  <c r="N19" i="10"/>
  <c r="V93" i="2" s="1"/>
  <c r="Z93" i="2" s="1"/>
  <c r="H93" i="2"/>
  <c r="M93" i="2" s="1"/>
  <c r="O19" i="10"/>
  <c r="W93" i="2" s="1"/>
  <c r="AA93" i="2" s="1"/>
  <c r="J93" i="2"/>
  <c r="O93" i="2" s="1"/>
  <c r="S21" i="8"/>
  <c r="S24" i="8" s="1"/>
  <c r="O8" i="2"/>
  <c r="S7" i="8"/>
  <c r="M131" i="8"/>
  <c r="S14" i="8"/>
  <c r="S17" i="8" s="1"/>
  <c r="M8" i="2"/>
  <c r="S178" i="7"/>
  <c r="S187" i="7"/>
  <c r="I67" i="8"/>
  <c r="J67" i="8"/>
  <c r="K67" i="8"/>
  <c r="L67" i="8"/>
  <c r="I69" i="8"/>
  <c r="J69" i="8"/>
  <c r="K69" i="8"/>
  <c r="L69" i="8"/>
  <c r="I32" i="8"/>
  <c r="L32" i="8"/>
  <c r="J32" i="8"/>
  <c r="K32" i="8"/>
  <c r="L23" i="8"/>
  <c r="I23" i="8"/>
  <c r="J23" i="8"/>
  <c r="K23" i="8"/>
  <c r="I125" i="8"/>
  <c r="J125" i="8"/>
  <c r="L125" i="8"/>
  <c r="K125" i="8"/>
  <c r="I130" i="8"/>
  <c r="J130" i="8"/>
  <c r="K130" i="8"/>
  <c r="L130" i="8"/>
  <c r="I7" i="8"/>
  <c r="J7" i="8"/>
  <c r="L7" i="8"/>
  <c r="K7" i="8"/>
  <c r="I14" i="8"/>
  <c r="J14" i="8"/>
  <c r="L14" i="8"/>
  <c r="K14" i="8"/>
  <c r="L15" i="8"/>
  <c r="I15" i="8"/>
  <c r="J15" i="8"/>
  <c r="K15" i="8"/>
  <c r="I16" i="8"/>
  <c r="J16" i="8"/>
  <c r="L16" i="8"/>
  <c r="K16" i="8"/>
  <c r="L57" i="8"/>
  <c r="I57" i="8"/>
  <c r="J57" i="8"/>
  <c r="K57" i="8"/>
  <c r="I8" i="8"/>
  <c r="L8" i="8"/>
  <c r="J8" i="8"/>
  <c r="K8" i="8"/>
  <c r="I9" i="8"/>
  <c r="J9" i="8"/>
  <c r="L9" i="8"/>
  <c r="K9" i="8"/>
  <c r="I33" i="8"/>
  <c r="J33" i="8"/>
  <c r="L33" i="8"/>
  <c r="K33" i="8"/>
  <c r="I39" i="8"/>
  <c r="J39" i="8"/>
  <c r="L39" i="8"/>
  <c r="K39" i="8"/>
  <c r="L40" i="8"/>
  <c r="I40" i="8"/>
  <c r="J40" i="8"/>
  <c r="K40" i="8"/>
  <c r="L21" i="8"/>
  <c r="I21" i="8"/>
  <c r="J21" i="8"/>
  <c r="K21" i="8"/>
  <c r="I58" i="8"/>
  <c r="J58" i="8"/>
  <c r="K58" i="8"/>
  <c r="L58" i="8"/>
  <c r="I129" i="8"/>
  <c r="L129" i="8"/>
  <c r="K129" i="8"/>
  <c r="J129" i="8"/>
  <c r="I68" i="8"/>
  <c r="J68" i="8"/>
  <c r="K68" i="8"/>
  <c r="L68" i="8"/>
  <c r="L124" i="8"/>
  <c r="K124" i="8"/>
  <c r="I124" i="8"/>
  <c r="J124" i="8"/>
  <c r="I79" i="8"/>
  <c r="J79" i="8"/>
  <c r="L79" i="8"/>
  <c r="K79" i="8"/>
  <c r="I126" i="8"/>
  <c r="J126" i="8"/>
  <c r="K126" i="8"/>
  <c r="L126" i="8"/>
  <c r="I127" i="8"/>
  <c r="J127" i="8"/>
  <c r="L127" i="8"/>
  <c r="K127" i="8"/>
  <c r="I128" i="8"/>
  <c r="J128" i="8"/>
  <c r="K128" i="8"/>
  <c r="L128" i="8"/>
  <c r="I22" i="8"/>
  <c r="J22" i="8"/>
  <c r="L22" i="8"/>
  <c r="K22" i="8"/>
  <c r="I59" i="8"/>
  <c r="L59" i="8"/>
  <c r="J59" i="8"/>
  <c r="K59" i="8"/>
  <c r="K179" i="7"/>
  <c r="I179" i="7"/>
  <c r="L179" i="7"/>
  <c r="J179" i="7"/>
  <c r="I178" i="7"/>
  <c r="J178" i="7"/>
  <c r="K178" i="7"/>
  <c r="L178" i="7"/>
  <c r="I180" i="7"/>
  <c r="J180" i="7"/>
  <c r="K180" i="7"/>
  <c r="L180" i="7"/>
  <c r="L188" i="7"/>
  <c r="K188" i="7"/>
  <c r="I188" i="7"/>
  <c r="J188" i="7"/>
  <c r="I187" i="7"/>
  <c r="J187" i="7"/>
  <c r="K187" i="7"/>
  <c r="L187" i="7"/>
  <c r="I189" i="7"/>
  <c r="J189" i="7"/>
  <c r="K189" i="7"/>
  <c r="L189" i="7"/>
  <c r="R165" i="7"/>
  <c r="P49" i="8"/>
  <c r="G93" i="2"/>
  <c r="P165" i="7"/>
  <c r="R49" i="8"/>
  <c r="Q49" i="8"/>
  <c r="O49" i="8"/>
  <c r="Q165" i="7"/>
  <c r="O165" i="7"/>
  <c r="O157" i="7"/>
  <c r="Q157" i="7"/>
  <c r="P157" i="7"/>
  <c r="R157" i="7"/>
  <c r="G21" i="7"/>
  <c r="M21" i="7" s="1"/>
  <c r="G20" i="7"/>
  <c r="M20" i="7" s="1"/>
  <c r="G19" i="7"/>
  <c r="M19" i="7" s="1"/>
  <c r="AG16" i="40" l="1"/>
  <c r="AJ16" i="40"/>
  <c r="D6" i="43"/>
  <c r="D14" i="44"/>
  <c r="AA58" i="40"/>
  <c r="AA59" i="40" s="1"/>
  <c r="B16" i="44" a="1"/>
  <c r="B16" i="44" s="1"/>
  <c r="C15" i="44" a="1"/>
  <c r="C15" i="44" s="1"/>
  <c r="A15" i="44" a="1"/>
  <c r="A15" i="44" s="1"/>
  <c r="B17" i="42" a="1"/>
  <c r="B17" i="42" s="1"/>
  <c r="B18" i="42" s="1" a="1"/>
  <c r="B18" i="42" s="1"/>
  <c r="A16" i="42" a="1"/>
  <c r="A16" i="42" s="1"/>
  <c r="C16" i="42" a="1"/>
  <c r="C16" i="42" s="1"/>
  <c r="AG58" i="40"/>
  <c r="AH57" i="40"/>
  <c r="AF62" i="40"/>
  <c r="Z62" i="40"/>
  <c r="R67" i="8"/>
  <c r="I53" i="2"/>
  <c r="N53" i="2" s="1"/>
  <c r="S131" i="8"/>
  <c r="X83" i="2" s="1"/>
  <c r="AB83" i="2" s="1"/>
  <c r="AB82" i="2" s="1"/>
  <c r="K83" i="2"/>
  <c r="P83" i="2" s="1"/>
  <c r="P82" i="2" s="1"/>
  <c r="O4" i="2"/>
  <c r="T4" i="2" s="1"/>
  <c r="T3" i="2" s="1"/>
  <c r="AE8" i="2"/>
  <c r="AE7" i="2"/>
  <c r="O7" i="8"/>
  <c r="I61" i="2"/>
  <c r="N61" i="2" s="1"/>
  <c r="N59" i="2" s="1"/>
  <c r="S59" i="2" s="1"/>
  <c r="I57" i="2"/>
  <c r="N57" i="2" s="1"/>
  <c r="N55" i="2" s="1"/>
  <c r="S55" i="2" s="1"/>
  <c r="I44" i="2"/>
  <c r="N44" i="2" s="1"/>
  <c r="N40" i="2" s="1"/>
  <c r="S40" i="2" s="1"/>
  <c r="S19" i="7"/>
  <c r="R14" i="8"/>
  <c r="P178" i="7"/>
  <c r="O178" i="7"/>
  <c r="O187" i="7"/>
  <c r="P187" i="7"/>
  <c r="L20" i="7"/>
  <c r="J20" i="7"/>
  <c r="I20" i="7"/>
  <c r="K20" i="7"/>
  <c r="I19" i="7"/>
  <c r="J19" i="7"/>
  <c r="K19" i="7"/>
  <c r="L19" i="7"/>
  <c r="I21" i="7"/>
  <c r="J21" i="7"/>
  <c r="K21" i="7"/>
  <c r="L21" i="7"/>
  <c r="R57" i="8"/>
  <c r="Q57" i="8"/>
  <c r="O67" i="8"/>
  <c r="O57" i="8"/>
  <c r="P67" i="8"/>
  <c r="R7" i="8"/>
  <c r="P14" i="8"/>
  <c r="Q187" i="7"/>
  <c r="Q67" i="8"/>
  <c r="P7" i="8"/>
  <c r="O21" i="8"/>
  <c r="Q7" i="8"/>
  <c r="P57" i="8"/>
  <c r="O14" i="8"/>
  <c r="P21" i="8"/>
  <c r="R21" i="8"/>
  <c r="Q21" i="8"/>
  <c r="Q14" i="8"/>
  <c r="I131" i="8"/>
  <c r="O131" i="8" s="1"/>
  <c r="L131" i="8"/>
  <c r="J131" i="8"/>
  <c r="P131" i="8" s="1"/>
  <c r="K131" i="8"/>
  <c r="R187" i="7"/>
  <c r="Q178" i="7"/>
  <c r="R178" i="7"/>
  <c r="R13" i="7"/>
  <c r="P13" i="7"/>
  <c r="O13" i="7"/>
  <c r="Q13" i="7"/>
  <c r="O20" i="11"/>
  <c r="W11" i="2" s="1"/>
  <c r="AA11" i="2" s="1"/>
  <c r="N20" i="11"/>
  <c r="V11" i="2" s="1"/>
  <c r="Z11" i="2" s="1"/>
  <c r="M20" i="11"/>
  <c r="L20" i="11"/>
  <c r="O19" i="11"/>
  <c r="N19" i="11"/>
  <c r="M19" i="11"/>
  <c r="L19" i="11"/>
  <c r="O18" i="11"/>
  <c r="W10" i="2" s="1"/>
  <c r="N18" i="11"/>
  <c r="V10" i="2" s="1"/>
  <c r="M18" i="11"/>
  <c r="L18" i="11"/>
  <c r="O17" i="11"/>
  <c r="N17" i="11"/>
  <c r="M17" i="11"/>
  <c r="L17" i="11"/>
  <c r="L8" i="11"/>
  <c r="M8" i="11"/>
  <c r="N8" i="11"/>
  <c r="V6" i="2" s="1"/>
  <c r="Z6" i="2" s="1"/>
  <c r="O8" i="11"/>
  <c r="W6" i="2" s="1"/>
  <c r="AA6" i="2" s="1"/>
  <c r="L9" i="11"/>
  <c r="M9" i="11"/>
  <c r="N9" i="11"/>
  <c r="O9" i="11"/>
  <c r="L10" i="11"/>
  <c r="M10" i="11"/>
  <c r="N10" i="11"/>
  <c r="V7" i="2" s="1"/>
  <c r="O10" i="11"/>
  <c r="W7" i="2" s="1"/>
  <c r="L11" i="11"/>
  <c r="M11" i="11"/>
  <c r="N11" i="11"/>
  <c r="O11" i="11"/>
  <c r="L12" i="11"/>
  <c r="M12" i="11"/>
  <c r="N12" i="11"/>
  <c r="V8" i="2" s="1"/>
  <c r="O12" i="11"/>
  <c r="W8" i="2" s="1"/>
  <c r="L13" i="11"/>
  <c r="M13" i="11"/>
  <c r="N13" i="11"/>
  <c r="O13" i="11"/>
  <c r="L14" i="11"/>
  <c r="M14" i="11"/>
  <c r="N14" i="11"/>
  <c r="O14" i="11"/>
  <c r="O7" i="11"/>
  <c r="N7" i="11"/>
  <c r="M3" i="11"/>
  <c r="O3" i="11"/>
  <c r="W5" i="2" s="1"/>
  <c r="AA5" i="2" s="1"/>
  <c r="I3" i="11"/>
  <c r="L3" i="11"/>
  <c r="AB58" i="40" l="1"/>
  <c r="C16" i="44" a="1"/>
  <c r="C16" i="44" s="1"/>
  <c r="A16" i="44" a="1"/>
  <c r="A16" i="44" s="1"/>
  <c r="B17" i="44" a="1"/>
  <c r="B17" i="44" s="1"/>
  <c r="A18" i="42" a="1"/>
  <c r="A18" i="42" s="1"/>
  <c r="C18" i="42" a="1"/>
  <c r="C18" i="42" s="1"/>
  <c r="B19" i="42" a="1"/>
  <c r="B19" i="42" s="1"/>
  <c r="B20" i="42" s="1" a="1"/>
  <c r="B20" i="42" s="1"/>
  <c r="A17" i="42" a="1"/>
  <c r="A17" i="42" s="1"/>
  <c r="C17" i="42" a="1"/>
  <c r="C17" i="42" s="1"/>
  <c r="AH58" i="40"/>
  <c r="AG59" i="40"/>
  <c r="Z63" i="40"/>
  <c r="AF63" i="40"/>
  <c r="AA60" i="40"/>
  <c r="AB59" i="40"/>
  <c r="AG8" i="31"/>
  <c r="AE11" i="2"/>
  <c r="M9" i="31" s="1"/>
  <c r="AE6" i="2"/>
  <c r="N3" i="11"/>
  <c r="V5" i="2" s="1"/>
  <c r="Z5" i="2" s="1"/>
  <c r="H5" i="2"/>
  <c r="M5" i="2" s="1"/>
  <c r="M4" i="2" s="1"/>
  <c r="R4" i="2" s="1"/>
  <c r="R3" i="2" s="1"/>
  <c r="U3" i="2" s="1"/>
  <c r="Q131" i="8"/>
  <c r="V83" i="2" s="1"/>
  <c r="Z83" i="2" s="1"/>
  <c r="Z82" i="2" s="1"/>
  <c r="I83" i="2"/>
  <c r="N83" i="2" s="1"/>
  <c r="N82" i="2" s="1"/>
  <c r="S82" i="2" s="1"/>
  <c r="H83" i="2"/>
  <c r="M83" i="2" s="1"/>
  <c r="M82" i="2" s="1"/>
  <c r="R82" i="2" s="1"/>
  <c r="AA4" i="2"/>
  <c r="AA3" i="2" s="1"/>
  <c r="R131" i="8"/>
  <c r="W83" i="2" s="1"/>
  <c r="AA83" i="2" s="1"/>
  <c r="AA82" i="2" s="1"/>
  <c r="J83" i="2"/>
  <c r="O83" i="2" s="1"/>
  <c r="O82" i="2" s="1"/>
  <c r="T82" i="2" s="1"/>
  <c r="I27" i="2"/>
  <c r="N27" i="2" s="1"/>
  <c r="N24" i="2" s="1"/>
  <c r="S24" i="2" s="1"/>
  <c r="P19" i="7"/>
  <c r="G11" i="2"/>
  <c r="R19" i="7"/>
  <c r="G10" i="2"/>
  <c r="O19" i="7"/>
  <c r="G5" i="2"/>
  <c r="G6" i="2"/>
  <c r="G7" i="2"/>
  <c r="G8" i="2"/>
  <c r="G83" i="2"/>
  <c r="Q19" i="7"/>
  <c r="N16" i="11"/>
  <c r="V9" i="2" s="1"/>
  <c r="M7" i="11"/>
  <c r="M16" i="11"/>
  <c r="L7" i="11"/>
  <c r="L16" i="11"/>
  <c r="O16" i="11"/>
  <c r="W9" i="2" s="1"/>
  <c r="O6" i="7"/>
  <c r="P6" i="7"/>
  <c r="Q6" i="7"/>
  <c r="R6" i="7"/>
  <c r="G83" i="8"/>
  <c r="M83" i="8" s="1"/>
  <c r="M87" i="8" s="1"/>
  <c r="J9" i="10"/>
  <c r="I9" i="10"/>
  <c r="H9" i="10"/>
  <c r="M9" i="10" s="1"/>
  <c r="G9" i="10"/>
  <c r="L9" i="10" s="1"/>
  <c r="G106" i="8"/>
  <c r="M106" i="8" s="1"/>
  <c r="G108" i="8"/>
  <c r="M108" i="8" s="1"/>
  <c r="G73" i="8"/>
  <c r="M73" i="8" s="1"/>
  <c r="M75" i="8" s="1"/>
  <c r="G36" i="8"/>
  <c r="M36" i="8" s="1"/>
  <c r="M41" i="8" s="1"/>
  <c r="S41" i="8" s="1"/>
  <c r="G29" i="8"/>
  <c r="M29" i="8" s="1"/>
  <c r="M34" i="8" s="1"/>
  <c r="AN8" i="31" l="1"/>
  <c r="AP8" i="31"/>
  <c r="C17" i="44" a="1"/>
  <c r="C17" i="44" s="1"/>
  <c r="A17" i="44" a="1"/>
  <c r="A17" i="44" s="1"/>
  <c r="B18" i="44" a="1"/>
  <c r="B18" i="44" s="1"/>
  <c r="A20" i="42" a="1"/>
  <c r="A20" i="42" s="1"/>
  <c r="C20" i="42" a="1"/>
  <c r="C20" i="42" s="1"/>
  <c r="B21" i="42" a="1"/>
  <c r="B21" i="42" s="1"/>
  <c r="C21" i="42" s="1" a="1"/>
  <c r="C21" i="42" s="1"/>
  <c r="C19" i="42" a="1"/>
  <c r="C19" i="42" s="1"/>
  <c r="A19" i="42" a="1"/>
  <c r="A19" i="42" s="1"/>
  <c r="Q7" i="31"/>
  <c r="AG7" i="31" s="1"/>
  <c r="BQ8" i="31"/>
  <c r="AG60" i="40"/>
  <c r="AH59" i="40"/>
  <c r="AA61" i="40"/>
  <c r="AB60" i="40"/>
  <c r="AF64" i="40"/>
  <c r="Z64" i="40"/>
  <c r="BR8" i="31"/>
  <c r="S34" i="8"/>
  <c r="X54" i="2" s="1"/>
  <c r="K54" i="2"/>
  <c r="P54" i="2" s="1"/>
  <c r="M43" i="8"/>
  <c r="S43" i="8" s="1"/>
  <c r="S87" i="8"/>
  <c r="S89" i="8" s="1"/>
  <c r="M89" i="8"/>
  <c r="S75" i="8"/>
  <c r="K80" i="2"/>
  <c r="K75" i="2"/>
  <c r="K70" i="2"/>
  <c r="P70" i="2" s="1"/>
  <c r="P8" i="31"/>
  <c r="N7" i="31"/>
  <c r="AE7" i="31" s="1"/>
  <c r="Z4" i="2"/>
  <c r="Z3" i="2" s="1"/>
  <c r="AC3" i="2" s="1"/>
  <c r="AE5" i="2"/>
  <c r="M5" i="31" s="1"/>
  <c r="N9" i="10"/>
  <c r="V90" i="2" s="1"/>
  <c r="Z90" i="2" s="1"/>
  <c r="I90" i="2"/>
  <c r="N90" i="2" s="1"/>
  <c r="H90" i="2"/>
  <c r="M90" i="2" s="1"/>
  <c r="O9" i="10"/>
  <c r="W90" i="2" s="1"/>
  <c r="AA90" i="2" s="1"/>
  <c r="J90" i="2"/>
  <c r="O90" i="2" s="1"/>
  <c r="M109" i="8"/>
  <c r="AD82" i="2"/>
  <c r="L73" i="8"/>
  <c r="K73" i="8"/>
  <c r="J73" i="8"/>
  <c r="I73" i="8"/>
  <c r="I108" i="8"/>
  <c r="J108" i="8"/>
  <c r="K108" i="8"/>
  <c r="L108" i="8"/>
  <c r="I106" i="8"/>
  <c r="J106" i="8"/>
  <c r="K106" i="8"/>
  <c r="L106" i="8"/>
  <c r="I29" i="8"/>
  <c r="L29" i="8"/>
  <c r="K29" i="8"/>
  <c r="J29" i="8"/>
  <c r="L36" i="8"/>
  <c r="I36" i="8"/>
  <c r="K36" i="8"/>
  <c r="J36" i="8"/>
  <c r="L83" i="8"/>
  <c r="L87" i="8" s="1"/>
  <c r="K83" i="8"/>
  <c r="K87" i="8" s="1"/>
  <c r="I83" i="8"/>
  <c r="I87" i="8" s="1"/>
  <c r="O87" i="8" s="1"/>
  <c r="J83" i="8"/>
  <c r="J87" i="8" s="1"/>
  <c r="G9" i="2"/>
  <c r="G90" i="2"/>
  <c r="N4" i="31" l="1"/>
  <c r="D5" i="40" s="1"/>
  <c r="P7" i="31"/>
  <c r="P4" i="31" s="1"/>
  <c r="E5" i="40" s="1"/>
  <c r="AO8" i="31"/>
  <c r="C18" i="44" a="1"/>
  <c r="C18" i="44" s="1"/>
  <c r="A18" i="44" a="1"/>
  <c r="A18" i="44" s="1"/>
  <c r="B19" i="44" a="1"/>
  <c r="B19" i="44" s="1"/>
  <c r="B22" i="42" a="1"/>
  <c r="B22" i="42" s="1"/>
  <c r="C22" i="42" s="1" a="1"/>
  <c r="C22" i="42" s="1"/>
  <c r="A21" i="42" a="1"/>
  <c r="A21" i="42" s="1"/>
  <c r="Q4" i="31"/>
  <c r="BQ7" i="31"/>
  <c r="AH60" i="40"/>
  <c r="AG61" i="40"/>
  <c r="Z65" i="40"/>
  <c r="AF65" i="40"/>
  <c r="AA62" i="40"/>
  <c r="AB61" i="40"/>
  <c r="I5" i="40"/>
  <c r="AB54" i="2"/>
  <c r="M8" i="31"/>
  <c r="M7" i="31" s="1"/>
  <c r="X75" i="2"/>
  <c r="X80" i="2"/>
  <c r="X70" i="2"/>
  <c r="AB70" i="2" s="1"/>
  <c r="K81" i="2"/>
  <c r="K76" i="2"/>
  <c r="K71" i="2"/>
  <c r="X76" i="2"/>
  <c r="X81" i="2"/>
  <c r="X71" i="2"/>
  <c r="S109" i="8"/>
  <c r="AD4" i="2"/>
  <c r="D24" i="32"/>
  <c r="P87" i="8"/>
  <c r="Q87" i="8"/>
  <c r="R87" i="8"/>
  <c r="G6" i="8"/>
  <c r="G5" i="8"/>
  <c r="M5" i="8" s="1"/>
  <c r="G163" i="7"/>
  <c r="M163" i="7" s="1"/>
  <c r="M93" i="7"/>
  <c r="G98" i="7"/>
  <c r="M98" i="7" s="1"/>
  <c r="G95" i="7"/>
  <c r="M95" i="7" s="1"/>
  <c r="M64" i="7"/>
  <c r="G68" i="7"/>
  <c r="M68" i="7" s="1"/>
  <c r="G33" i="7"/>
  <c r="G31" i="7"/>
  <c r="M31" i="7" s="1"/>
  <c r="G28" i="7"/>
  <c r="G27" i="7"/>
  <c r="M27" i="7" s="1"/>
  <c r="G26" i="7"/>
  <c r="M26" i="7" s="1"/>
  <c r="G18" i="7"/>
  <c r="M18" i="7" s="1"/>
  <c r="G4" i="7"/>
  <c r="G86" i="5"/>
  <c r="G80" i="5"/>
  <c r="G73" i="5"/>
  <c r="G69" i="5"/>
  <c r="G60" i="5"/>
  <c r="M4" i="31" l="1"/>
  <c r="D12" i="32" s="1"/>
  <c r="E12" i="32" s="1"/>
  <c r="F5" i="40"/>
  <c r="A19" i="44" a="1"/>
  <c r="A19" i="44" s="1"/>
  <c r="C19" i="44" a="1"/>
  <c r="C19" i="44" s="1"/>
  <c r="B20" i="44" a="1"/>
  <c r="B20" i="44" s="1"/>
  <c r="O23" i="40"/>
  <c r="Z5" i="40"/>
  <c r="AL5" i="40" s="1"/>
  <c r="A22" i="42" a="1"/>
  <c r="A22" i="42" s="1"/>
  <c r="B23" i="42" a="1"/>
  <c r="B23" i="42" s="1"/>
  <c r="C23" i="42" s="1" a="1"/>
  <c r="C23" i="42" s="1"/>
  <c r="I23" i="40"/>
  <c r="Y5" i="40"/>
  <c r="AK5" i="40" s="1"/>
  <c r="AG62" i="40"/>
  <c r="AH61" i="40"/>
  <c r="AA63" i="40"/>
  <c r="AB62" i="40"/>
  <c r="AF66" i="40"/>
  <c r="Z66" i="40"/>
  <c r="C5" i="40"/>
  <c r="X5" i="40" s="1"/>
  <c r="S18" i="7"/>
  <c r="S23" i="7" s="1"/>
  <c r="X27" i="2" s="1"/>
  <c r="M23" i="7"/>
  <c r="K27" i="2" s="1"/>
  <c r="S93" i="7"/>
  <c r="M4" i="7"/>
  <c r="G59" i="5"/>
  <c r="I60" i="5"/>
  <c r="L60" i="5"/>
  <c r="J60" i="5"/>
  <c r="K60" i="5"/>
  <c r="K86" i="5"/>
  <c r="I86" i="5"/>
  <c r="L86" i="5"/>
  <c r="J86" i="5"/>
  <c r="K73" i="5"/>
  <c r="L73" i="5"/>
  <c r="J73" i="5"/>
  <c r="I73" i="5"/>
  <c r="G68" i="5"/>
  <c r="K69" i="5"/>
  <c r="I69" i="5"/>
  <c r="L69" i="5"/>
  <c r="J69" i="5"/>
  <c r="G79" i="5"/>
  <c r="K80" i="5"/>
  <c r="L80" i="5"/>
  <c r="I80" i="5"/>
  <c r="J80" i="5"/>
  <c r="M100" i="7"/>
  <c r="S100" i="7" s="1"/>
  <c r="M70" i="7"/>
  <c r="S70" i="7" s="1"/>
  <c r="M29" i="7"/>
  <c r="L6" i="8"/>
  <c r="I6" i="8"/>
  <c r="J6" i="8"/>
  <c r="K6" i="8"/>
  <c r="I5" i="8"/>
  <c r="J5" i="8"/>
  <c r="L5" i="8"/>
  <c r="K5" i="8"/>
  <c r="L27" i="7"/>
  <c r="J27" i="7"/>
  <c r="I27" i="7"/>
  <c r="K27" i="7"/>
  <c r="G162" i="7"/>
  <c r="M162" i="7" s="1"/>
  <c r="L163" i="7"/>
  <c r="I163" i="7"/>
  <c r="J163" i="7"/>
  <c r="K163" i="7"/>
  <c r="I26" i="7"/>
  <c r="K26" i="7"/>
  <c r="L26" i="7"/>
  <c r="J26" i="7"/>
  <c r="I28" i="7"/>
  <c r="J28" i="7"/>
  <c r="K28" i="7"/>
  <c r="L28" i="7"/>
  <c r="L33" i="7"/>
  <c r="J33" i="7"/>
  <c r="I33" i="7"/>
  <c r="K33" i="7"/>
  <c r="G3" i="7"/>
  <c r="I4" i="7"/>
  <c r="J4" i="7"/>
  <c r="K4" i="7"/>
  <c r="L4" i="7"/>
  <c r="K64" i="7"/>
  <c r="I64" i="7"/>
  <c r="J64" i="7"/>
  <c r="L64" i="7"/>
  <c r="L98" i="7"/>
  <c r="K98" i="7"/>
  <c r="I98" i="7"/>
  <c r="J98" i="7"/>
  <c r="L31" i="7"/>
  <c r="K31" i="7"/>
  <c r="J31" i="7"/>
  <c r="I31" i="7"/>
  <c r="L68" i="7"/>
  <c r="I68" i="7"/>
  <c r="K68" i="7"/>
  <c r="J68" i="7"/>
  <c r="L18" i="7"/>
  <c r="K18" i="7"/>
  <c r="J18" i="7"/>
  <c r="I18" i="7"/>
  <c r="I95" i="7"/>
  <c r="J95" i="7"/>
  <c r="L95" i="7"/>
  <c r="K95" i="7"/>
  <c r="G4" i="8"/>
  <c r="M4" i="8" s="1"/>
  <c r="G127" i="7"/>
  <c r="M127" i="7" s="1"/>
  <c r="M129" i="7" s="1"/>
  <c r="G116" i="7"/>
  <c r="M116" i="7" s="1"/>
  <c r="M118" i="7" s="1"/>
  <c r="S118" i="7" s="1"/>
  <c r="G108" i="7"/>
  <c r="M108" i="7" s="1"/>
  <c r="M110" i="7" s="1"/>
  <c r="M81" i="7"/>
  <c r="M55" i="7"/>
  <c r="G32" i="7"/>
  <c r="M32" i="7" s="1"/>
  <c r="M34" i="7" s="1"/>
  <c r="S34" i="7" s="1"/>
  <c r="G27" i="5"/>
  <c r="G34" i="5" s="1"/>
  <c r="AG5" i="40" l="1"/>
  <c r="AJ5" i="40"/>
  <c r="Z23" i="40"/>
  <c r="AI5" i="40"/>
  <c r="Y23" i="40"/>
  <c r="AH5" i="40"/>
  <c r="V18" i="40"/>
  <c r="W5" i="40"/>
  <c r="O2" i="40"/>
  <c r="O31" i="40"/>
  <c r="O25" i="40"/>
  <c r="W12" i="40"/>
  <c r="W10" i="40"/>
  <c r="W11" i="40"/>
  <c r="W17" i="40"/>
  <c r="W16" i="40"/>
  <c r="W14" i="40"/>
  <c r="W6" i="40"/>
  <c r="W7" i="40"/>
  <c r="W8" i="40"/>
  <c r="I31" i="40"/>
  <c r="W19" i="40"/>
  <c r="W18" i="40"/>
  <c r="O24" i="40"/>
  <c r="W9" i="40"/>
  <c r="W13" i="40"/>
  <c r="A20" i="44" a="1"/>
  <c r="A20" i="44" s="1"/>
  <c r="C20" i="44" a="1"/>
  <c r="C20" i="44" s="1"/>
  <c r="B21" i="44" a="1"/>
  <c r="B21" i="44" s="1"/>
  <c r="W15" i="40"/>
  <c r="V7" i="40"/>
  <c r="V14" i="40"/>
  <c r="V6" i="40"/>
  <c r="V5" i="40"/>
  <c r="V16" i="40"/>
  <c r="V13" i="40"/>
  <c r="V9" i="40"/>
  <c r="I25" i="40"/>
  <c r="V12" i="40"/>
  <c r="V19" i="40"/>
  <c r="V10" i="40"/>
  <c r="A23" i="42" a="1"/>
  <c r="A23" i="42" s="1"/>
  <c r="B24" i="42" a="1"/>
  <c r="B24" i="42" s="1"/>
  <c r="A24" i="42" s="1" a="1"/>
  <c r="A24" i="42" s="1"/>
  <c r="V8" i="40"/>
  <c r="V15" i="40"/>
  <c r="V11" i="40"/>
  <c r="I24" i="40"/>
  <c r="V17" i="40"/>
  <c r="AG63" i="40"/>
  <c r="AH62" i="40"/>
  <c r="Z67" i="40"/>
  <c r="AF67" i="40"/>
  <c r="AA64" i="40"/>
  <c r="AB63" i="40"/>
  <c r="S48" i="31"/>
  <c r="AI48" i="31" s="1"/>
  <c r="AG48" i="31"/>
  <c r="S102" i="7"/>
  <c r="X34" i="2" s="1"/>
  <c r="S4" i="8"/>
  <c r="S10" i="8" s="1"/>
  <c r="M10" i="8"/>
  <c r="S129" i="7"/>
  <c r="X36" i="2" s="1"/>
  <c r="K36" i="2"/>
  <c r="M102" i="7"/>
  <c r="K34" i="2" s="1"/>
  <c r="S29" i="7"/>
  <c r="S36" i="7" s="1"/>
  <c r="X29" i="2" s="1"/>
  <c r="M36" i="7"/>
  <c r="K29" i="2" s="1"/>
  <c r="M3" i="7"/>
  <c r="J68" i="5"/>
  <c r="I68" i="5"/>
  <c r="L68" i="5"/>
  <c r="K68" i="5"/>
  <c r="K27" i="5"/>
  <c r="L27" i="5"/>
  <c r="J27" i="5"/>
  <c r="I27" i="5"/>
  <c r="L79" i="5"/>
  <c r="K79" i="5"/>
  <c r="J79" i="5"/>
  <c r="I79" i="5"/>
  <c r="I59" i="5"/>
  <c r="L59" i="5"/>
  <c r="K59" i="5"/>
  <c r="J59" i="5"/>
  <c r="M120" i="7"/>
  <c r="K35" i="2" s="1"/>
  <c r="S110" i="7"/>
  <c r="S120" i="7" s="1"/>
  <c r="X35" i="2" s="1"/>
  <c r="L4" i="8"/>
  <c r="L10" i="8" s="1"/>
  <c r="J53" i="2" s="1"/>
  <c r="O53" i="2" s="1"/>
  <c r="K4" i="8"/>
  <c r="K10" i="8" s="1"/>
  <c r="H53" i="2" s="1"/>
  <c r="M53" i="2" s="1"/>
  <c r="J4" i="8"/>
  <c r="J10" i="8" s="1"/>
  <c r="I4" i="8"/>
  <c r="I10" i="8" s="1"/>
  <c r="K100" i="7"/>
  <c r="Q100" i="7" s="1"/>
  <c r="J70" i="7"/>
  <c r="P70" i="7" s="1"/>
  <c r="L100" i="7"/>
  <c r="R100" i="7" s="1"/>
  <c r="I32" i="7"/>
  <c r="J32" i="7"/>
  <c r="K32" i="7"/>
  <c r="L32" i="7"/>
  <c r="I127" i="7"/>
  <c r="I129" i="7" s="1"/>
  <c r="O129" i="7" s="1"/>
  <c r="J127" i="7"/>
  <c r="J129" i="7" s="1"/>
  <c r="P129" i="7" s="1"/>
  <c r="K127" i="7"/>
  <c r="K129" i="7" s="1"/>
  <c r="L127" i="7"/>
  <c r="L129" i="7" s="1"/>
  <c r="I55" i="7"/>
  <c r="J55" i="7"/>
  <c r="K55" i="7"/>
  <c r="L55" i="7"/>
  <c r="I108" i="7"/>
  <c r="J108" i="7"/>
  <c r="K108" i="7"/>
  <c r="L108" i="7"/>
  <c r="L162" i="7"/>
  <c r="K162" i="7"/>
  <c r="J162" i="7"/>
  <c r="I162" i="7"/>
  <c r="I81" i="7"/>
  <c r="J81" i="7"/>
  <c r="K81" i="7"/>
  <c r="L81" i="7"/>
  <c r="K116" i="7"/>
  <c r="I116" i="7"/>
  <c r="J116" i="7"/>
  <c r="L116" i="7"/>
  <c r="J3" i="7"/>
  <c r="L3" i="7"/>
  <c r="K3" i="7"/>
  <c r="I3" i="7"/>
  <c r="I100" i="7"/>
  <c r="O100" i="7" s="1"/>
  <c r="K70" i="7"/>
  <c r="Q70" i="7" s="1"/>
  <c r="I70" i="7"/>
  <c r="O70" i="7" s="1"/>
  <c r="L70" i="7"/>
  <c r="R70" i="7" s="1"/>
  <c r="J100" i="7"/>
  <c r="P100" i="7" s="1"/>
  <c r="G31" i="10"/>
  <c r="H31" i="10"/>
  <c r="I31" i="10"/>
  <c r="J31" i="10"/>
  <c r="J101" i="2" s="1"/>
  <c r="G32" i="10"/>
  <c r="H32" i="10"/>
  <c r="I32" i="10"/>
  <c r="J32" i="10"/>
  <c r="J30" i="10"/>
  <c r="I30" i="10"/>
  <c r="H30" i="10"/>
  <c r="M30" i="10" s="1"/>
  <c r="G30" i="10"/>
  <c r="L30" i="10" s="1"/>
  <c r="J27" i="10"/>
  <c r="I27" i="10"/>
  <c r="H27" i="10"/>
  <c r="G27" i="10"/>
  <c r="J26" i="10"/>
  <c r="I26" i="10"/>
  <c r="H26" i="10"/>
  <c r="G26" i="10"/>
  <c r="J25" i="10"/>
  <c r="I25" i="10"/>
  <c r="H25" i="10"/>
  <c r="M25" i="10" s="1"/>
  <c r="G25" i="10"/>
  <c r="L25" i="10" s="1"/>
  <c r="J24" i="10"/>
  <c r="I24" i="10"/>
  <c r="H24" i="10"/>
  <c r="M24" i="10" s="1"/>
  <c r="G24" i="10"/>
  <c r="L24" i="10" s="1"/>
  <c r="I21" i="10"/>
  <c r="G21" i="10"/>
  <c r="L21" i="10" s="1"/>
  <c r="G94" i="2" s="1"/>
  <c r="G15" i="10"/>
  <c r="L15" i="10" s="1"/>
  <c r="H15" i="10"/>
  <c r="M15" i="10" s="1"/>
  <c r="I15" i="10"/>
  <c r="N15" i="10" s="1"/>
  <c r="J15" i="10"/>
  <c r="O15" i="10" s="1"/>
  <c r="G16" i="10"/>
  <c r="L16" i="10" s="1"/>
  <c r="H16" i="10"/>
  <c r="M16" i="10" s="1"/>
  <c r="I16" i="10"/>
  <c r="N16" i="10" s="1"/>
  <c r="J16" i="10"/>
  <c r="O16" i="10" s="1"/>
  <c r="G11" i="10"/>
  <c r="L11" i="10" s="1"/>
  <c r="H11" i="10"/>
  <c r="M11" i="10" s="1"/>
  <c r="I11" i="10"/>
  <c r="N11" i="10" s="1"/>
  <c r="J11" i="10"/>
  <c r="O11" i="10" s="1"/>
  <c r="G12" i="10"/>
  <c r="L12" i="10" s="1"/>
  <c r="H12" i="10"/>
  <c r="M12" i="10" s="1"/>
  <c r="I12" i="10"/>
  <c r="N12" i="10" s="1"/>
  <c r="J12" i="10"/>
  <c r="O12" i="10" s="1"/>
  <c r="N5" i="10"/>
  <c r="V88" i="2" s="1"/>
  <c r="Z88" i="2" s="1"/>
  <c r="L5" i="10"/>
  <c r="G88" i="2" s="1"/>
  <c r="G4" i="10"/>
  <c r="L4" i="10" s="1"/>
  <c r="H4" i="10"/>
  <c r="M4" i="10" s="1"/>
  <c r="I4" i="10"/>
  <c r="J4" i="10"/>
  <c r="J3" i="10"/>
  <c r="I3" i="10"/>
  <c r="H3" i="10"/>
  <c r="M3" i="10" s="1"/>
  <c r="G3" i="10"/>
  <c r="L3" i="10" s="1"/>
  <c r="G115" i="8"/>
  <c r="M115" i="8" s="1"/>
  <c r="G113" i="8"/>
  <c r="M113" i="8" s="1"/>
  <c r="L99" i="8"/>
  <c r="R99" i="8" s="1"/>
  <c r="K99" i="8"/>
  <c r="Q99" i="8" s="1"/>
  <c r="J99" i="8"/>
  <c r="P99" i="8" s="1"/>
  <c r="I99" i="8"/>
  <c r="O99" i="8" s="1"/>
  <c r="G66" i="8"/>
  <c r="M66" i="8" s="1"/>
  <c r="G64" i="8"/>
  <c r="M64" i="8" s="1"/>
  <c r="G54" i="8"/>
  <c r="M54" i="8" s="1"/>
  <c r="G48" i="8"/>
  <c r="G47" i="8"/>
  <c r="M47" i="8" s="1"/>
  <c r="G255" i="7"/>
  <c r="M255" i="7" s="1"/>
  <c r="G252" i="7"/>
  <c r="M252" i="7" s="1"/>
  <c r="G245" i="7"/>
  <c r="M245" i="7" s="1"/>
  <c r="G244" i="7"/>
  <c r="M244" i="7" s="1"/>
  <c r="G241" i="7"/>
  <c r="M241" i="7" s="1"/>
  <c r="M237" i="7"/>
  <c r="G236" i="7"/>
  <c r="M236" i="7" s="1"/>
  <c r="G233" i="7"/>
  <c r="M233" i="7" s="1"/>
  <c r="G229" i="7"/>
  <c r="M229" i="7" s="1"/>
  <c r="G228" i="7"/>
  <c r="M228" i="7" s="1"/>
  <c r="G226" i="7"/>
  <c r="M226" i="7" s="1"/>
  <c r="AQ48" i="31" l="1"/>
  <c r="AN48" i="31"/>
  <c r="BQ48" i="31"/>
  <c r="AP48" i="31"/>
  <c r="C21" i="44" a="1"/>
  <c r="C21" i="44" s="1"/>
  <c r="A21" i="44" a="1"/>
  <c r="A21" i="44" s="1"/>
  <c r="B22" i="44" a="1"/>
  <c r="B22" i="44" s="1"/>
  <c r="C24" i="42" a="1"/>
  <c r="C24" i="42" s="1"/>
  <c r="B25" i="42" a="1"/>
  <c r="B25" i="42" s="1"/>
  <c r="B26" i="42" s="1" a="1"/>
  <c r="B26" i="42" s="1"/>
  <c r="AG64" i="40"/>
  <c r="AH63" i="40"/>
  <c r="AA65" i="40"/>
  <c r="AB64" i="40"/>
  <c r="AF68" i="40"/>
  <c r="Z68" i="40"/>
  <c r="J98" i="2"/>
  <c r="S47" i="31"/>
  <c r="AI47" i="31" s="1"/>
  <c r="AG47" i="31"/>
  <c r="BR48" i="31"/>
  <c r="P48" i="31"/>
  <c r="S54" i="8"/>
  <c r="S61" i="8" s="1"/>
  <c r="M61" i="8"/>
  <c r="M71" i="8"/>
  <c r="K53" i="2"/>
  <c r="P53" i="2" s="1"/>
  <c r="P52" i="2" s="1"/>
  <c r="M26" i="8"/>
  <c r="S26" i="8"/>
  <c r="X53" i="2"/>
  <c r="AB53" i="2" s="1"/>
  <c r="AB52" i="2" s="1"/>
  <c r="S3" i="7"/>
  <c r="S9" i="7" s="1"/>
  <c r="X25" i="2" s="1"/>
  <c r="AB25" i="2" s="1"/>
  <c r="AB24" i="2" s="1"/>
  <c r="M9" i="7"/>
  <c r="K25" i="2" s="1"/>
  <c r="P25" i="2" s="1"/>
  <c r="P24" i="2" s="1"/>
  <c r="G81" i="2"/>
  <c r="N3" i="10"/>
  <c r="V86" i="2" s="1"/>
  <c r="Z86" i="2" s="1"/>
  <c r="Z85" i="2" s="1"/>
  <c r="I86" i="2"/>
  <c r="N86" i="2" s="1"/>
  <c r="N85" i="2" s="1"/>
  <c r="S85" i="2" s="1"/>
  <c r="H86" i="2"/>
  <c r="M86" i="2" s="1"/>
  <c r="M85" i="2" s="1"/>
  <c r="R85" i="2" s="1"/>
  <c r="N25" i="10"/>
  <c r="V97" i="2" s="1"/>
  <c r="Z97" i="2" s="1"/>
  <c r="I97" i="2"/>
  <c r="N97" i="2" s="1"/>
  <c r="H97" i="2"/>
  <c r="M97" i="2" s="1"/>
  <c r="O3" i="10"/>
  <c r="W86" i="2" s="1"/>
  <c r="AA86" i="2" s="1"/>
  <c r="AA85" i="2" s="1"/>
  <c r="J86" i="2"/>
  <c r="O86" i="2" s="1"/>
  <c r="O85" i="2" s="1"/>
  <c r="T85" i="2" s="1"/>
  <c r="N21" i="10"/>
  <c r="V94" i="2" s="1"/>
  <c r="Z94" i="2" s="1"/>
  <c r="H94" i="2"/>
  <c r="M94" i="2" s="1"/>
  <c r="O25" i="10"/>
  <c r="W97" i="2" s="1"/>
  <c r="AA97" i="2" s="1"/>
  <c r="J97" i="2"/>
  <c r="O97" i="2" s="1"/>
  <c r="O4" i="10"/>
  <c r="W87" i="2" s="1"/>
  <c r="J87" i="2"/>
  <c r="I101" i="2"/>
  <c r="H101" i="2"/>
  <c r="N24" i="10"/>
  <c r="V96" i="2" s="1"/>
  <c r="Z96" i="2" s="1"/>
  <c r="I96" i="2"/>
  <c r="N96" i="2" s="1"/>
  <c r="H96" i="2"/>
  <c r="M96" i="2" s="1"/>
  <c r="I98" i="2"/>
  <c r="H98" i="2"/>
  <c r="N30" i="10"/>
  <c r="V100" i="2" s="1"/>
  <c r="Z100" i="2" s="1"/>
  <c r="Z99" i="2" s="1"/>
  <c r="I100" i="2"/>
  <c r="N100" i="2" s="1"/>
  <c r="N99" i="2" s="1"/>
  <c r="S99" i="2" s="1"/>
  <c r="H100" i="2"/>
  <c r="M100" i="2" s="1"/>
  <c r="M99" i="2" s="1"/>
  <c r="R99" i="2" s="1"/>
  <c r="O24" i="10"/>
  <c r="W96" i="2" s="1"/>
  <c r="AA96" i="2" s="1"/>
  <c r="J96" i="2"/>
  <c r="O96" i="2" s="1"/>
  <c r="O30" i="10"/>
  <c r="W100" i="2" s="1"/>
  <c r="AA100" i="2" s="1"/>
  <c r="AA99" i="2" s="1"/>
  <c r="J100" i="2"/>
  <c r="O100" i="2" s="1"/>
  <c r="O99" i="2" s="1"/>
  <c r="T99" i="2" s="1"/>
  <c r="N4" i="10"/>
  <c r="V87" i="2" s="1"/>
  <c r="I87" i="2"/>
  <c r="H87" i="2"/>
  <c r="M116" i="8"/>
  <c r="S64" i="8"/>
  <c r="S71" i="8" s="1"/>
  <c r="R129" i="7"/>
  <c r="W36" i="2" s="1"/>
  <c r="J36" i="2"/>
  <c r="Q129" i="7"/>
  <c r="V36" i="2" s="1"/>
  <c r="H36" i="2"/>
  <c r="M256" i="7"/>
  <c r="M230" i="7"/>
  <c r="M239" i="7"/>
  <c r="M247" i="7"/>
  <c r="S247" i="7" s="1"/>
  <c r="I66" i="8"/>
  <c r="J66" i="8"/>
  <c r="K66" i="8"/>
  <c r="L66" i="8"/>
  <c r="L64" i="8"/>
  <c r="K64" i="8"/>
  <c r="J64" i="8"/>
  <c r="I64" i="8"/>
  <c r="L48" i="8"/>
  <c r="I48" i="8"/>
  <c r="J48" i="8"/>
  <c r="K48" i="8"/>
  <c r="I113" i="8"/>
  <c r="J113" i="8"/>
  <c r="L113" i="8"/>
  <c r="K113" i="8"/>
  <c r="I47" i="8"/>
  <c r="J47" i="8"/>
  <c r="K47" i="8"/>
  <c r="L47" i="8"/>
  <c r="I54" i="8"/>
  <c r="L54" i="8"/>
  <c r="L61" i="8" s="1"/>
  <c r="K54" i="8"/>
  <c r="J54" i="8"/>
  <c r="I115" i="8"/>
  <c r="J115" i="8"/>
  <c r="L115" i="8"/>
  <c r="K115" i="8"/>
  <c r="I236" i="7"/>
  <c r="J236" i="7"/>
  <c r="K236" i="7"/>
  <c r="L236" i="7"/>
  <c r="I233" i="7"/>
  <c r="L233" i="7"/>
  <c r="J233" i="7"/>
  <c r="K233" i="7"/>
  <c r="L237" i="7"/>
  <c r="I237" i="7"/>
  <c r="K237" i="7"/>
  <c r="J237" i="7"/>
  <c r="I241" i="7"/>
  <c r="L241" i="7"/>
  <c r="K241" i="7"/>
  <c r="J241" i="7"/>
  <c r="I244" i="7"/>
  <c r="J244" i="7"/>
  <c r="K244" i="7"/>
  <c r="L244" i="7"/>
  <c r="I228" i="7"/>
  <c r="J228" i="7"/>
  <c r="K228" i="7"/>
  <c r="L228" i="7"/>
  <c r="J252" i="7"/>
  <c r="L252" i="7"/>
  <c r="K252" i="7"/>
  <c r="I252" i="7"/>
  <c r="I226" i="7"/>
  <c r="J226" i="7"/>
  <c r="K226" i="7"/>
  <c r="L226" i="7"/>
  <c r="L245" i="7"/>
  <c r="I245" i="7"/>
  <c r="J245" i="7"/>
  <c r="K245" i="7"/>
  <c r="K229" i="7"/>
  <c r="L229" i="7"/>
  <c r="I229" i="7"/>
  <c r="J229" i="7"/>
  <c r="I255" i="7"/>
  <c r="J255" i="7"/>
  <c r="K255" i="7"/>
  <c r="L255" i="7"/>
  <c r="N31" i="10"/>
  <c r="V101" i="2" s="1"/>
  <c r="O31" i="10"/>
  <c r="W101" i="2" s="1"/>
  <c r="G97" i="2"/>
  <c r="G100" i="2"/>
  <c r="N26" i="10"/>
  <c r="V98" i="2" s="1"/>
  <c r="O26" i="10"/>
  <c r="W98" i="2" s="1"/>
  <c r="G96" i="2"/>
  <c r="K81" i="8"/>
  <c r="L26" i="10"/>
  <c r="M31" i="10"/>
  <c r="L81" i="8"/>
  <c r="M26" i="10"/>
  <c r="L31" i="10"/>
  <c r="G36" i="2"/>
  <c r="G86" i="2"/>
  <c r="M13" i="10"/>
  <c r="M17" i="10"/>
  <c r="L13" i="10"/>
  <c r="L17" i="10"/>
  <c r="O13" i="10"/>
  <c r="W91" i="2" s="1"/>
  <c r="AA91" i="2" s="1"/>
  <c r="AA89" i="2" s="1"/>
  <c r="O17" i="10"/>
  <c r="W92" i="2" s="1"/>
  <c r="G87" i="2"/>
  <c r="N13" i="10"/>
  <c r="V91" i="2" s="1"/>
  <c r="Z91" i="2" s="1"/>
  <c r="N17" i="10"/>
  <c r="V92" i="2" s="1"/>
  <c r="I81" i="8"/>
  <c r="J81" i="8"/>
  <c r="J41" i="8"/>
  <c r="P41" i="8" s="1"/>
  <c r="J34" i="8"/>
  <c r="P34" i="8" s="1"/>
  <c r="K24" i="8"/>
  <c r="Q19" i="8"/>
  <c r="Q24" i="8" s="1"/>
  <c r="L17" i="8"/>
  <c r="R12" i="8"/>
  <c r="R17" i="8" s="1"/>
  <c r="Q4" i="8"/>
  <c r="Q10" i="8" s="1"/>
  <c r="V53" i="2" s="1"/>
  <c r="Z53" i="2" s="1"/>
  <c r="R4" i="8"/>
  <c r="R10" i="8" s="1"/>
  <c r="W53" i="2" s="1"/>
  <c r="AA53" i="2" s="1"/>
  <c r="O4" i="8"/>
  <c r="O10" i="8" s="1"/>
  <c r="P4" i="8"/>
  <c r="P10" i="8" s="1"/>
  <c r="G17" i="10"/>
  <c r="H13" i="10"/>
  <c r="H17" i="10"/>
  <c r="G13" i="10"/>
  <c r="I95" i="8"/>
  <c r="J95" i="8"/>
  <c r="K95" i="8"/>
  <c r="L95" i="8"/>
  <c r="J75" i="8"/>
  <c r="P75" i="8" s="1"/>
  <c r="K75" i="8"/>
  <c r="K34" i="8"/>
  <c r="I75" i="8"/>
  <c r="O75" i="8" s="1"/>
  <c r="I17" i="10"/>
  <c r="J17" i="10"/>
  <c r="J92" i="2" s="1"/>
  <c r="J13" i="10"/>
  <c r="J91" i="2" s="1"/>
  <c r="O91" i="2" s="1"/>
  <c r="O89" i="2" s="1"/>
  <c r="T89" i="2" s="1"/>
  <c r="I13" i="10"/>
  <c r="L109" i="8"/>
  <c r="L34" i="8"/>
  <c r="L75" i="8"/>
  <c r="K41" i="8"/>
  <c r="L41" i="8"/>
  <c r="R41" i="8" s="1"/>
  <c r="I34" i="8"/>
  <c r="O34" i="8" s="1"/>
  <c r="I41" i="8"/>
  <c r="O41" i="8" s="1"/>
  <c r="G46" i="8"/>
  <c r="M46" i="8" s="1"/>
  <c r="I17" i="8"/>
  <c r="J17" i="8"/>
  <c r="K17" i="8"/>
  <c r="G219" i="7"/>
  <c r="M219" i="7" s="1"/>
  <c r="G218" i="7"/>
  <c r="M218" i="7" s="1"/>
  <c r="G216" i="7"/>
  <c r="M216" i="7" s="1"/>
  <c r="G214" i="7"/>
  <c r="M214" i="7" s="1"/>
  <c r="G213" i="7"/>
  <c r="M213" i="7" s="1"/>
  <c r="G210" i="7"/>
  <c r="M210" i="7" s="1"/>
  <c r="G209" i="7"/>
  <c r="M209" i="7" s="1"/>
  <c r="G207" i="7"/>
  <c r="M207" i="7" s="1"/>
  <c r="G205" i="7"/>
  <c r="M205" i="7" s="1"/>
  <c r="G204" i="7"/>
  <c r="M204" i="7" s="1"/>
  <c r="G201" i="7"/>
  <c r="G200" i="7"/>
  <c r="G198" i="7"/>
  <c r="G196" i="7"/>
  <c r="G185" i="7"/>
  <c r="M185" i="7" s="1"/>
  <c r="G184" i="7"/>
  <c r="M184" i="7" s="1"/>
  <c r="G177" i="7"/>
  <c r="M177" i="7" s="1"/>
  <c r="AN47" i="31" l="1"/>
  <c r="AQ47" i="31"/>
  <c r="M48" i="31"/>
  <c r="C47" i="41" s="1"/>
  <c r="AO48" i="31"/>
  <c r="BQ47" i="31"/>
  <c r="AP47" i="31"/>
  <c r="A22" i="44" a="1"/>
  <c r="A22" i="44" s="1"/>
  <c r="C22" i="44" a="1"/>
  <c r="C22" i="44" s="1"/>
  <c r="B23" i="44" a="1"/>
  <c r="B23" i="44" s="1"/>
  <c r="C25" i="42" a="1"/>
  <c r="C25" i="42" s="1"/>
  <c r="A25" i="42" a="1"/>
  <c r="A25" i="42" s="1"/>
  <c r="C26" i="42" a="1"/>
  <c r="C26" i="42" s="1"/>
  <c r="B27" i="42" a="1"/>
  <c r="B27" i="42" s="1"/>
  <c r="A26" i="42" a="1"/>
  <c r="A26" i="42" s="1"/>
  <c r="AG65" i="40"/>
  <c r="AH64" i="40"/>
  <c r="Z69" i="40"/>
  <c r="AF69" i="40"/>
  <c r="AA66" i="40"/>
  <c r="AB65" i="40"/>
  <c r="M191" i="7"/>
  <c r="K45" i="2" s="1"/>
  <c r="P47" i="31"/>
  <c r="AO47" i="31" s="1"/>
  <c r="BR47" i="31"/>
  <c r="X66" i="2"/>
  <c r="X62" i="2"/>
  <c r="X58" i="2"/>
  <c r="S116" i="8"/>
  <c r="S118" i="8" s="1"/>
  <c r="M118" i="8"/>
  <c r="R34" i="8"/>
  <c r="W54" i="2" s="1"/>
  <c r="J54" i="2"/>
  <c r="R109" i="8"/>
  <c r="S46" i="8"/>
  <c r="S52" i="8" s="1"/>
  <c r="M52" i="8"/>
  <c r="K66" i="2"/>
  <c r="K58" i="2"/>
  <c r="K62" i="2"/>
  <c r="Q34" i="8"/>
  <c r="V54" i="2" s="1"/>
  <c r="H54" i="2"/>
  <c r="I54" i="2"/>
  <c r="N54" i="2" s="1"/>
  <c r="N52" i="2" s="1"/>
  <c r="S52" i="2" s="1"/>
  <c r="K65" i="2"/>
  <c r="K57" i="2"/>
  <c r="K61" i="2"/>
  <c r="X61" i="2"/>
  <c r="X57" i="2"/>
  <c r="X65" i="2"/>
  <c r="M201" i="7"/>
  <c r="S239" i="7"/>
  <c r="S249" i="7" s="1"/>
  <c r="X49" i="2" s="1"/>
  <c r="AB49" i="2" s="1"/>
  <c r="M249" i="7"/>
  <c r="K49" i="2" s="1"/>
  <c r="P49" i="2" s="1"/>
  <c r="S230" i="7"/>
  <c r="X48" i="2" s="1"/>
  <c r="K48" i="2"/>
  <c r="S256" i="7"/>
  <c r="X50" i="2" s="1"/>
  <c r="K50" i="2"/>
  <c r="M195" i="7"/>
  <c r="M196" i="7"/>
  <c r="M198" i="7"/>
  <c r="M200" i="7"/>
  <c r="Z89" i="2"/>
  <c r="AD89" i="2" s="1"/>
  <c r="K71" i="8"/>
  <c r="H66" i="2" s="1"/>
  <c r="R54" i="8"/>
  <c r="R61" i="8" s="1"/>
  <c r="W65" i="2" s="1"/>
  <c r="AA65" i="2" s="1"/>
  <c r="G62" i="2"/>
  <c r="M95" i="2"/>
  <c r="R95" i="2" s="1"/>
  <c r="O95" i="2"/>
  <c r="T95" i="2" s="1"/>
  <c r="T84" i="2" s="1"/>
  <c r="Z95" i="2"/>
  <c r="AA95" i="2"/>
  <c r="AA84" i="2" s="1"/>
  <c r="N95" i="2"/>
  <c r="S95" i="2" s="1"/>
  <c r="U99" i="2"/>
  <c r="I91" i="2"/>
  <c r="N91" i="2" s="1"/>
  <c r="N89" i="2" s="1"/>
  <c r="S89" i="2" s="1"/>
  <c r="H91" i="2"/>
  <c r="M91" i="2" s="1"/>
  <c r="M89" i="2" s="1"/>
  <c r="R89" i="2" s="1"/>
  <c r="AD99" i="2"/>
  <c r="I92" i="2"/>
  <c r="H92" i="2"/>
  <c r="U85" i="2"/>
  <c r="AD85" i="2"/>
  <c r="J61" i="2"/>
  <c r="O61" i="2" s="1"/>
  <c r="J57" i="2"/>
  <c r="O57" i="2" s="1"/>
  <c r="J65" i="2"/>
  <c r="O65" i="2" s="1"/>
  <c r="Q41" i="8"/>
  <c r="R75" i="8"/>
  <c r="J75" i="2"/>
  <c r="J80" i="2"/>
  <c r="J70" i="2"/>
  <c r="O70" i="2" s="1"/>
  <c r="Q75" i="8"/>
  <c r="I70" i="2"/>
  <c r="N70" i="2" s="1"/>
  <c r="H75" i="2"/>
  <c r="H70" i="2"/>
  <c r="M70" i="2" s="1"/>
  <c r="H80" i="2"/>
  <c r="S184" i="7"/>
  <c r="S191" i="7" s="1"/>
  <c r="X45" i="2" s="1"/>
  <c r="M220" i="7"/>
  <c r="M211" i="7"/>
  <c r="S211" i="7" s="1"/>
  <c r="L116" i="8"/>
  <c r="R116" i="8" s="1"/>
  <c r="L46" i="8"/>
  <c r="R46" i="8" s="1"/>
  <c r="R52" i="8" s="1"/>
  <c r="I46" i="8"/>
  <c r="I52" i="8" s="1"/>
  <c r="K46" i="8"/>
  <c r="J46" i="8"/>
  <c r="J52" i="8" s="1"/>
  <c r="I230" i="7"/>
  <c r="O230" i="7" s="1"/>
  <c r="J247" i="7"/>
  <c r="P247" i="7" s="1"/>
  <c r="I256" i="7"/>
  <c r="O256" i="7" s="1"/>
  <c r="L256" i="7"/>
  <c r="I185" i="7"/>
  <c r="J185" i="7"/>
  <c r="K185" i="7"/>
  <c r="L185" i="7"/>
  <c r="I207" i="7"/>
  <c r="J207" i="7"/>
  <c r="K207" i="7"/>
  <c r="L207" i="7"/>
  <c r="I195" i="7"/>
  <c r="J195" i="7"/>
  <c r="L195" i="7"/>
  <c r="K195" i="7"/>
  <c r="I209" i="7"/>
  <c r="J209" i="7"/>
  <c r="K209" i="7"/>
  <c r="L209" i="7"/>
  <c r="L196" i="7"/>
  <c r="I196" i="7"/>
  <c r="J196" i="7"/>
  <c r="K196" i="7"/>
  <c r="L210" i="7"/>
  <c r="K210" i="7"/>
  <c r="I210" i="7"/>
  <c r="J210" i="7"/>
  <c r="L198" i="7"/>
  <c r="I198" i="7"/>
  <c r="J198" i="7"/>
  <c r="K198" i="7"/>
  <c r="J213" i="7"/>
  <c r="I213" i="7"/>
  <c r="L213" i="7"/>
  <c r="K213" i="7"/>
  <c r="L204" i="7"/>
  <c r="K204" i="7"/>
  <c r="J204" i="7"/>
  <c r="I204" i="7"/>
  <c r="L184" i="7"/>
  <c r="K184" i="7"/>
  <c r="J184" i="7"/>
  <c r="I184" i="7"/>
  <c r="I205" i="7"/>
  <c r="J205" i="7"/>
  <c r="K205" i="7"/>
  <c r="L205" i="7"/>
  <c r="L200" i="7"/>
  <c r="I200" i="7"/>
  <c r="J200" i="7"/>
  <c r="K200" i="7"/>
  <c r="K214" i="7"/>
  <c r="L214" i="7"/>
  <c r="I214" i="7"/>
  <c r="J214" i="7"/>
  <c r="I201" i="7"/>
  <c r="J201" i="7"/>
  <c r="K201" i="7"/>
  <c r="L201" i="7"/>
  <c r="K216" i="7"/>
  <c r="L216" i="7"/>
  <c r="I216" i="7"/>
  <c r="J216" i="7"/>
  <c r="K177" i="7"/>
  <c r="I177" i="7"/>
  <c r="L177" i="7"/>
  <c r="J177" i="7"/>
  <c r="K218" i="7"/>
  <c r="I218" i="7"/>
  <c r="J218" i="7"/>
  <c r="L218" i="7"/>
  <c r="I219" i="7"/>
  <c r="J219" i="7"/>
  <c r="K219" i="7"/>
  <c r="L219" i="7"/>
  <c r="G98" i="2"/>
  <c r="K26" i="8"/>
  <c r="J101" i="8"/>
  <c r="P95" i="8"/>
  <c r="P101" i="8" s="1"/>
  <c r="I101" i="8"/>
  <c r="O95" i="8"/>
  <c r="O101" i="8" s="1"/>
  <c r="P81" i="8"/>
  <c r="P89" i="8" s="1"/>
  <c r="J89" i="8"/>
  <c r="O81" i="8"/>
  <c r="O89" i="8" s="1"/>
  <c r="I89" i="8"/>
  <c r="Q81" i="8"/>
  <c r="Q89" i="8" s="1"/>
  <c r="K89" i="8"/>
  <c r="G101" i="2"/>
  <c r="L101" i="8"/>
  <c r="R95" i="8"/>
  <c r="R101" i="8" s="1"/>
  <c r="K101" i="8"/>
  <c r="Q95" i="8"/>
  <c r="Q101" i="8" s="1"/>
  <c r="R81" i="8"/>
  <c r="R89" i="8" s="1"/>
  <c r="L89" i="8"/>
  <c r="G92" i="2"/>
  <c r="G91" i="2"/>
  <c r="G70" i="2"/>
  <c r="J71" i="8"/>
  <c r="P64" i="8"/>
  <c r="P71" i="8" s="1"/>
  <c r="R64" i="8"/>
  <c r="R71" i="8" s="1"/>
  <c r="O64" i="8"/>
  <c r="O71" i="8" s="1"/>
  <c r="Q64" i="8"/>
  <c r="Q71" i="8" s="1"/>
  <c r="J61" i="8"/>
  <c r="P54" i="8"/>
  <c r="P61" i="8" s="1"/>
  <c r="K61" i="8"/>
  <c r="Q54" i="8"/>
  <c r="Q61" i="8" s="1"/>
  <c r="I61" i="8"/>
  <c r="O54" i="8"/>
  <c r="O61" i="8" s="1"/>
  <c r="I24" i="8"/>
  <c r="I26" i="8" s="1"/>
  <c r="O19" i="8"/>
  <c r="O24" i="8" s="1"/>
  <c r="J24" i="8"/>
  <c r="J26" i="8" s="1"/>
  <c r="P19" i="8"/>
  <c r="P24" i="8" s="1"/>
  <c r="L24" i="8"/>
  <c r="L26" i="8" s="1"/>
  <c r="R19" i="8"/>
  <c r="R24" i="8" s="1"/>
  <c r="R26" i="8" s="1"/>
  <c r="O12" i="8"/>
  <c r="O17" i="8" s="1"/>
  <c r="Q12" i="8"/>
  <c r="Q17" i="8" s="1"/>
  <c r="Q26" i="8" s="1"/>
  <c r="P12" i="8"/>
  <c r="P17" i="8" s="1"/>
  <c r="I116" i="8"/>
  <c r="O116" i="8" s="1"/>
  <c r="J116" i="8"/>
  <c r="P116" i="8" s="1"/>
  <c r="K109" i="8"/>
  <c r="I71" i="8"/>
  <c r="J109" i="8"/>
  <c r="P109" i="8" s="1"/>
  <c r="L71" i="8"/>
  <c r="I109" i="8"/>
  <c r="O109" i="8" s="1"/>
  <c r="K247" i="7"/>
  <c r="Q247" i="7" s="1"/>
  <c r="I247" i="7"/>
  <c r="O247" i="7" s="1"/>
  <c r="J239" i="7"/>
  <c r="J256" i="7"/>
  <c r="P256" i="7" s="1"/>
  <c r="K230" i="7"/>
  <c r="K239" i="7"/>
  <c r="Q239" i="7" s="1"/>
  <c r="L230" i="7"/>
  <c r="L239" i="7"/>
  <c r="R239" i="7" s="1"/>
  <c r="I239" i="7"/>
  <c r="O239" i="7" s="1"/>
  <c r="J230" i="7"/>
  <c r="P230" i="7" s="1"/>
  <c r="K256" i="7"/>
  <c r="K116" i="8"/>
  <c r="Q116" i="8" s="1"/>
  <c r="L43" i="8"/>
  <c r="I43" i="8"/>
  <c r="O43" i="8" s="1"/>
  <c r="J43" i="8"/>
  <c r="P43" i="8" s="1"/>
  <c r="K52" i="8"/>
  <c r="K43" i="8"/>
  <c r="L247" i="7"/>
  <c r="R247" i="7" s="1"/>
  <c r="G48" i="2" l="1"/>
  <c r="G50" i="2"/>
  <c r="A23" i="44" a="1"/>
  <c r="A23" i="44" s="1"/>
  <c r="C23" i="44" a="1"/>
  <c r="C23" i="44" s="1"/>
  <c r="B24" i="44" a="1"/>
  <c r="B24" i="44" s="1"/>
  <c r="C27" i="42" a="1"/>
  <c r="C27" i="42" s="1"/>
  <c r="B28" i="42" a="1"/>
  <c r="B28" i="42" s="1"/>
  <c r="A27" i="42" a="1"/>
  <c r="A27" i="42" s="1"/>
  <c r="AG66" i="40"/>
  <c r="AH65" i="40"/>
  <c r="AA67" i="40"/>
  <c r="AB66" i="40"/>
  <c r="AF70" i="40"/>
  <c r="Z70" i="40"/>
  <c r="M47" i="31"/>
  <c r="C46" i="41" s="1"/>
  <c r="J33" i="41" s="1"/>
  <c r="S107" i="31"/>
  <c r="AI107" i="31" s="1"/>
  <c r="AG107" i="31"/>
  <c r="S105" i="31"/>
  <c r="AI105" i="31" s="1"/>
  <c r="AG105" i="31"/>
  <c r="S102" i="31"/>
  <c r="AI102" i="31" s="1"/>
  <c r="AG102" i="31"/>
  <c r="W61" i="2"/>
  <c r="AA61" i="2" s="1"/>
  <c r="H62" i="2"/>
  <c r="W57" i="2"/>
  <c r="AA57" i="2" s="1"/>
  <c r="Q109" i="8"/>
  <c r="Q118" i="8" s="1"/>
  <c r="K118" i="8"/>
  <c r="H58" i="2"/>
  <c r="K79" i="2"/>
  <c r="P79" i="2" s="1"/>
  <c r="P77" i="2" s="1"/>
  <c r="K69" i="2"/>
  <c r="P69" i="2" s="1"/>
  <c r="P67" i="2" s="1"/>
  <c r="K74" i="2"/>
  <c r="P74" i="2" s="1"/>
  <c r="P72" i="2" s="1"/>
  <c r="X79" i="2"/>
  <c r="AB79" i="2" s="1"/>
  <c r="AB77" i="2" s="1"/>
  <c r="X69" i="2"/>
  <c r="AB69" i="2" s="1"/>
  <c r="AB67" i="2" s="1"/>
  <c r="X74" i="2"/>
  <c r="AB74" i="2" s="1"/>
  <c r="AB72" i="2" s="1"/>
  <c r="K64" i="2"/>
  <c r="P64" i="2" s="1"/>
  <c r="P63" i="2" s="1"/>
  <c r="K56" i="2"/>
  <c r="P56" i="2" s="1"/>
  <c r="P55" i="2" s="1"/>
  <c r="K60" i="2"/>
  <c r="P60" i="2" s="1"/>
  <c r="P59" i="2" s="1"/>
  <c r="X56" i="2"/>
  <c r="AB56" i="2" s="1"/>
  <c r="AB55" i="2" s="1"/>
  <c r="X64" i="2"/>
  <c r="AB64" i="2" s="1"/>
  <c r="AB63" i="2" s="1"/>
  <c r="X60" i="2"/>
  <c r="AB60" i="2" s="1"/>
  <c r="AB59" i="2" s="1"/>
  <c r="M202" i="7"/>
  <c r="S202" i="7" s="1"/>
  <c r="L118" i="8"/>
  <c r="J69" i="2" s="1"/>
  <c r="O69" i="2" s="1"/>
  <c r="O67" i="2" s="1"/>
  <c r="T67" i="2" s="1"/>
  <c r="R118" i="8"/>
  <c r="W74" i="2" s="1"/>
  <c r="AA74" i="2" s="1"/>
  <c r="AA72" i="2" s="1"/>
  <c r="S220" i="7"/>
  <c r="K47" i="2"/>
  <c r="P47" i="2" s="1"/>
  <c r="P46" i="2" s="1"/>
  <c r="AD95" i="2"/>
  <c r="D28" i="32"/>
  <c r="Z84" i="2"/>
  <c r="AC84" i="2" s="1"/>
  <c r="U95" i="2"/>
  <c r="L52" i="8"/>
  <c r="J64" i="2" s="1"/>
  <c r="O64" i="2" s="1"/>
  <c r="O63" i="2" s="1"/>
  <c r="T63" i="2" s="1"/>
  <c r="S84" i="2"/>
  <c r="U89" i="2"/>
  <c r="R84" i="2"/>
  <c r="V57" i="2"/>
  <c r="Z57" i="2" s="1"/>
  <c r="V65" i="2"/>
  <c r="Z65" i="2" s="1"/>
  <c r="V61" i="2"/>
  <c r="Z61" i="2" s="1"/>
  <c r="H68" i="2"/>
  <c r="H78" i="2"/>
  <c r="H73" i="2"/>
  <c r="H60" i="2"/>
  <c r="M60" i="2" s="1"/>
  <c r="H56" i="2"/>
  <c r="M56" i="2" s="1"/>
  <c r="H64" i="2"/>
  <c r="M64" i="2" s="1"/>
  <c r="V75" i="2"/>
  <c r="V80" i="2"/>
  <c r="V70" i="2"/>
  <c r="Z70" i="2" s="1"/>
  <c r="W71" i="2"/>
  <c r="W81" i="2"/>
  <c r="W76" i="2"/>
  <c r="J66" i="2"/>
  <c r="J62" i="2"/>
  <c r="J58" i="2"/>
  <c r="H81" i="2"/>
  <c r="H76" i="2"/>
  <c r="H71" i="2"/>
  <c r="V76" i="2"/>
  <c r="V81" i="2"/>
  <c r="V71" i="2"/>
  <c r="V58" i="2"/>
  <c r="V66" i="2"/>
  <c r="V62" i="2"/>
  <c r="Q43" i="8"/>
  <c r="Z54" i="2" s="1"/>
  <c r="Z52" i="2" s="1"/>
  <c r="M54" i="2"/>
  <c r="M52" i="2" s="1"/>
  <c r="R52" i="2" s="1"/>
  <c r="H61" i="2"/>
  <c r="M61" i="2" s="1"/>
  <c r="H65" i="2"/>
  <c r="M65" i="2" s="1"/>
  <c r="H57" i="2"/>
  <c r="M57" i="2" s="1"/>
  <c r="W73" i="2"/>
  <c r="W68" i="2"/>
  <c r="W78" i="2"/>
  <c r="W60" i="2"/>
  <c r="AA60" i="2" s="1"/>
  <c r="W64" i="2"/>
  <c r="AA64" i="2" s="1"/>
  <c r="AA63" i="2" s="1"/>
  <c r="W56" i="2"/>
  <c r="AA56" i="2" s="1"/>
  <c r="J76" i="2"/>
  <c r="J81" i="2"/>
  <c r="J71" i="2"/>
  <c r="R43" i="8"/>
  <c r="AA54" i="2" s="1"/>
  <c r="AA52" i="2" s="1"/>
  <c r="O54" i="2"/>
  <c r="O52" i="2" s="1"/>
  <c r="T52" i="2" s="1"/>
  <c r="W62" i="2"/>
  <c r="W66" i="2"/>
  <c r="W58" i="2"/>
  <c r="V78" i="2"/>
  <c r="V68" i="2"/>
  <c r="V73" i="2"/>
  <c r="J73" i="2"/>
  <c r="J78" i="2"/>
  <c r="J68" i="2"/>
  <c r="W70" i="2"/>
  <c r="AA70" i="2" s="1"/>
  <c r="W80" i="2"/>
  <c r="W75" i="2"/>
  <c r="R256" i="7"/>
  <c r="W50" i="2" s="1"/>
  <c r="J50" i="2"/>
  <c r="Q230" i="7"/>
  <c r="V48" i="2" s="1"/>
  <c r="H48" i="2"/>
  <c r="Q256" i="7"/>
  <c r="V50" i="2" s="1"/>
  <c r="H50" i="2"/>
  <c r="R230" i="7"/>
  <c r="W48" i="2" s="1"/>
  <c r="J48" i="2"/>
  <c r="K202" i="7"/>
  <c r="Q202" i="7" s="1"/>
  <c r="L191" i="7"/>
  <c r="J45" i="2" s="1"/>
  <c r="L211" i="7"/>
  <c r="R211" i="7" s="1"/>
  <c r="I220" i="7"/>
  <c r="O220" i="7" s="1"/>
  <c r="R184" i="7"/>
  <c r="R191" i="7" s="1"/>
  <c r="W45" i="2" s="1"/>
  <c r="O249" i="7"/>
  <c r="G68" i="2"/>
  <c r="P118" i="8"/>
  <c r="O118" i="8"/>
  <c r="G57" i="2"/>
  <c r="G71" i="2"/>
  <c r="R249" i="7"/>
  <c r="W49" i="2" s="1"/>
  <c r="AA49" i="2" s="1"/>
  <c r="P184" i="7"/>
  <c r="P191" i="7" s="1"/>
  <c r="J249" i="7"/>
  <c r="P239" i="7"/>
  <c r="P249" i="7" s="1"/>
  <c r="K191" i="7"/>
  <c r="H45" i="2" s="1"/>
  <c r="Q184" i="7"/>
  <c r="Q191" i="7" s="1"/>
  <c r="V45" i="2" s="1"/>
  <c r="O184" i="7"/>
  <c r="O191" i="7" s="1"/>
  <c r="Q249" i="7"/>
  <c r="V49" i="2" s="1"/>
  <c r="Z49" i="2" s="1"/>
  <c r="G58" i="2"/>
  <c r="O26" i="8"/>
  <c r="Q46" i="8"/>
  <c r="Q52" i="8" s="1"/>
  <c r="P46" i="8"/>
  <c r="P52" i="8" s="1"/>
  <c r="O46" i="8"/>
  <c r="O52" i="8" s="1"/>
  <c r="G54" i="2"/>
  <c r="P26" i="8"/>
  <c r="J191" i="7"/>
  <c r="I191" i="7"/>
  <c r="K249" i="7"/>
  <c r="I249" i="7"/>
  <c r="I118" i="8"/>
  <c r="J118" i="8"/>
  <c r="L249" i="7"/>
  <c r="J49" i="2" s="1"/>
  <c r="O49" i="2" s="1"/>
  <c r="J202" i="7"/>
  <c r="P202" i="7" s="1"/>
  <c r="K211" i="7"/>
  <c r="Q211" i="7" s="1"/>
  <c r="I211" i="7"/>
  <c r="O211" i="7" s="1"/>
  <c r="L202" i="7"/>
  <c r="R202" i="7" s="1"/>
  <c r="L220" i="7"/>
  <c r="J211" i="7"/>
  <c r="P211" i="7" s="1"/>
  <c r="K220" i="7"/>
  <c r="J220" i="7"/>
  <c r="P220" i="7" s="1"/>
  <c r="I202" i="7"/>
  <c r="O202" i="7" s="1"/>
  <c r="G176" i="7"/>
  <c r="M176" i="7" s="1"/>
  <c r="G171" i="7"/>
  <c r="M171" i="7" s="1"/>
  <c r="G164" i="7"/>
  <c r="M164" i="7" s="1"/>
  <c r="G155" i="7"/>
  <c r="G156" i="7"/>
  <c r="D68" i="41" l="1"/>
  <c r="W105" i="31"/>
  <c r="D70" i="41"/>
  <c r="W107" i="31"/>
  <c r="AX102" i="31"/>
  <c r="AX105" i="31"/>
  <c r="AX107" i="31"/>
  <c r="W102" i="31"/>
  <c r="BA102" i="31"/>
  <c r="D65" i="41"/>
  <c r="AL107" i="31"/>
  <c r="BA107" i="31"/>
  <c r="BQ102" i="31"/>
  <c r="AZ102" i="31"/>
  <c r="BQ105" i="31"/>
  <c r="AZ105" i="31"/>
  <c r="BQ107" i="31"/>
  <c r="AZ107" i="31"/>
  <c r="AL105" i="31"/>
  <c r="BA105" i="31"/>
  <c r="A24" i="44" a="1"/>
  <c r="A24" i="44" s="1"/>
  <c r="C24" i="44" a="1"/>
  <c r="C24" i="44" s="1"/>
  <c r="B25" i="44" a="1"/>
  <c r="B25" i="44" s="1"/>
  <c r="C28" i="42" a="1"/>
  <c r="C28" i="42" s="1"/>
  <c r="B29" i="42" a="1"/>
  <c r="B29" i="42" s="1"/>
  <c r="A28" i="42" a="1"/>
  <c r="A28" i="42" s="1"/>
  <c r="S101" i="31"/>
  <c r="AI101" i="31" s="1"/>
  <c r="N101" i="31"/>
  <c r="AE101" i="31" s="1"/>
  <c r="Q101" i="31"/>
  <c r="AG101" i="31" s="1"/>
  <c r="AL102" i="31"/>
  <c r="AG67" i="40"/>
  <c r="AH66" i="40"/>
  <c r="Z71" i="40"/>
  <c r="AF71" i="40"/>
  <c r="AA68" i="40"/>
  <c r="AB67" i="40"/>
  <c r="AA55" i="2"/>
  <c r="J79" i="2"/>
  <c r="O79" i="2" s="1"/>
  <c r="O77" i="2" s="1"/>
  <c r="T77" i="2" s="1"/>
  <c r="W79" i="2"/>
  <c r="AA79" i="2" s="1"/>
  <c r="AA77" i="2" s="1"/>
  <c r="AA59" i="2"/>
  <c r="J74" i="2"/>
  <c r="O74" i="2" s="1"/>
  <c r="O72" i="2" s="1"/>
  <c r="T72" i="2" s="1"/>
  <c r="W69" i="2"/>
  <c r="AA69" i="2" s="1"/>
  <c r="AA67" i="2" s="1"/>
  <c r="M222" i="7"/>
  <c r="S222" i="7"/>
  <c r="M59" i="2"/>
  <c r="R59" i="2" s="1"/>
  <c r="BR105" i="31"/>
  <c r="BR103" i="31"/>
  <c r="BR108" i="31"/>
  <c r="BR107" i="31"/>
  <c r="BR102" i="31"/>
  <c r="M63" i="2"/>
  <c r="R63" i="2" s="1"/>
  <c r="J60" i="2"/>
  <c r="O60" i="2" s="1"/>
  <c r="O59" i="2" s="1"/>
  <c r="T59" i="2" s="1"/>
  <c r="J56" i="2"/>
  <c r="O56" i="2" s="1"/>
  <c r="O55" i="2" s="1"/>
  <c r="T55" i="2" s="1"/>
  <c r="X47" i="2"/>
  <c r="AB47" i="2" s="1"/>
  <c r="AB46" i="2" s="1"/>
  <c r="AB51" i="2"/>
  <c r="AF51" i="2" s="1"/>
  <c r="P108" i="31"/>
  <c r="AT108" i="31" s="1"/>
  <c r="AT249" i="31" s="1"/>
  <c r="AS251" i="31" s="1"/>
  <c r="P102" i="31"/>
  <c r="AY102" i="31" s="1"/>
  <c r="P105" i="31"/>
  <c r="P103" i="31"/>
  <c r="P107" i="31"/>
  <c r="S176" i="7"/>
  <c r="S182" i="7" s="1"/>
  <c r="X44" i="2" s="1"/>
  <c r="M182" i="7"/>
  <c r="K44" i="2" s="1"/>
  <c r="M156" i="7"/>
  <c r="M155" i="7"/>
  <c r="S162" i="7"/>
  <c r="S168" i="7" s="1"/>
  <c r="X42" i="2" s="1"/>
  <c r="M168" i="7"/>
  <c r="K42" i="2" s="1"/>
  <c r="U84" i="2"/>
  <c r="M55" i="2"/>
  <c r="R55" i="2" s="1"/>
  <c r="AD52" i="2"/>
  <c r="V79" i="2"/>
  <c r="Z79" i="2" s="1"/>
  <c r="Z77" i="2" s="1"/>
  <c r="V69" i="2"/>
  <c r="Z69" i="2" s="1"/>
  <c r="Z67" i="2" s="1"/>
  <c r="V74" i="2"/>
  <c r="Z74" i="2" s="1"/>
  <c r="Z72" i="2" s="1"/>
  <c r="AD72" i="2" s="1"/>
  <c r="I74" i="2"/>
  <c r="N74" i="2" s="1"/>
  <c r="N72" i="2" s="1"/>
  <c r="S72" i="2" s="1"/>
  <c r="I69" i="2"/>
  <c r="N69" i="2" s="1"/>
  <c r="N67" i="2" s="1"/>
  <c r="S67" i="2" s="1"/>
  <c r="H69" i="2"/>
  <c r="M69" i="2" s="1"/>
  <c r="M67" i="2" s="1"/>
  <c r="R67" i="2" s="1"/>
  <c r="H79" i="2"/>
  <c r="M79" i="2" s="1"/>
  <c r="M77" i="2" s="1"/>
  <c r="R77" i="2" s="1"/>
  <c r="H74" i="2"/>
  <c r="M74" i="2" s="1"/>
  <c r="M72" i="2" s="1"/>
  <c r="R72" i="2" s="1"/>
  <c r="V56" i="2"/>
  <c r="Z56" i="2" s="1"/>
  <c r="Z55" i="2" s="1"/>
  <c r="V64" i="2"/>
  <c r="Z64" i="2" s="1"/>
  <c r="Z63" i="2" s="1"/>
  <c r="AD63" i="2" s="1"/>
  <c r="V60" i="2"/>
  <c r="Z60" i="2" s="1"/>
  <c r="Z59" i="2" s="1"/>
  <c r="Q220" i="7"/>
  <c r="V47" i="2" s="1"/>
  <c r="H47" i="2"/>
  <c r="I47" i="2"/>
  <c r="N47" i="2" s="1"/>
  <c r="H49" i="2"/>
  <c r="M49" i="2" s="1"/>
  <c r="I49" i="2"/>
  <c r="N49" i="2" s="1"/>
  <c r="R220" i="7"/>
  <c r="W47" i="2" s="1"/>
  <c r="J47" i="2"/>
  <c r="I164" i="7"/>
  <c r="J164" i="7"/>
  <c r="K164" i="7"/>
  <c r="L164" i="7"/>
  <c r="L176" i="7"/>
  <c r="K176" i="7"/>
  <c r="J176" i="7"/>
  <c r="I176" i="7"/>
  <c r="L171" i="7"/>
  <c r="I171" i="7"/>
  <c r="K171" i="7"/>
  <c r="J171" i="7"/>
  <c r="I156" i="7"/>
  <c r="J156" i="7"/>
  <c r="K156" i="7"/>
  <c r="L156" i="7"/>
  <c r="K155" i="7"/>
  <c r="I155" i="7"/>
  <c r="J155" i="7"/>
  <c r="L155" i="7"/>
  <c r="G49" i="2"/>
  <c r="G69" i="2"/>
  <c r="P222" i="7"/>
  <c r="G45" i="2"/>
  <c r="O222" i="7"/>
  <c r="G53" i="2"/>
  <c r="G56" i="2"/>
  <c r="J222" i="7"/>
  <c r="G170" i="7"/>
  <c r="M170" i="7" s="1"/>
  <c r="M174" i="7" s="1"/>
  <c r="K222" i="7"/>
  <c r="I222" i="7"/>
  <c r="J150" i="7"/>
  <c r="P150" i="7" s="1"/>
  <c r="L222" i="7"/>
  <c r="G154" i="7"/>
  <c r="L150" i="7"/>
  <c r="K150" i="7"/>
  <c r="I150" i="7"/>
  <c r="O150" i="7" s="1"/>
  <c r="N100" i="31" l="1"/>
  <c r="AE100" i="31" s="1"/>
  <c r="W101" i="31"/>
  <c r="D5" i="45"/>
  <c r="M108" i="31"/>
  <c r="C71" i="41" s="1"/>
  <c r="J65" i="41" s="1"/>
  <c r="AY108" i="31"/>
  <c r="M105" i="31"/>
  <c r="C68" i="41" s="1"/>
  <c r="AY105" i="31"/>
  <c r="M107" i="31"/>
  <c r="C70" i="41" s="1"/>
  <c r="AY107" i="31"/>
  <c r="M103" i="31"/>
  <c r="C66" i="41" s="1"/>
  <c r="AY103" i="31"/>
  <c r="S100" i="31"/>
  <c r="AI100" i="31" s="1"/>
  <c r="C25" i="44" a="1"/>
  <c r="C25" i="44" s="1"/>
  <c r="A25" i="44" a="1"/>
  <c r="A25" i="44" s="1"/>
  <c r="B26" i="44" a="1"/>
  <c r="B26" i="44" s="1"/>
  <c r="C29" i="42" a="1"/>
  <c r="C29" i="42" s="1"/>
  <c r="B30" i="42" a="1"/>
  <c r="B30" i="42" s="1"/>
  <c r="A29" i="42" a="1"/>
  <c r="A29" i="42" s="1"/>
  <c r="Q100" i="31"/>
  <c r="AG100" i="31" s="1"/>
  <c r="BQ101" i="31"/>
  <c r="P101" i="31"/>
  <c r="P100" i="31" s="1"/>
  <c r="E13" i="40" s="1"/>
  <c r="AG68" i="40"/>
  <c r="AH67" i="40"/>
  <c r="AA69" i="40"/>
  <c r="AB68" i="40"/>
  <c r="AF72" i="40"/>
  <c r="Z72" i="40"/>
  <c r="AD55" i="2"/>
  <c r="S94" i="31"/>
  <c r="AI94" i="31" s="1"/>
  <c r="AG94" i="31"/>
  <c r="AG93" i="31"/>
  <c r="S93" i="31"/>
  <c r="AI93" i="31" s="1"/>
  <c r="Q222" i="7"/>
  <c r="M47" i="2"/>
  <c r="M46" i="2" s="1"/>
  <c r="R46" i="2" s="1"/>
  <c r="AD77" i="2"/>
  <c r="AD59" i="2"/>
  <c r="AA51" i="2"/>
  <c r="R222" i="7"/>
  <c r="T51" i="2"/>
  <c r="M102" i="31"/>
  <c r="M154" i="7"/>
  <c r="S174" i="7"/>
  <c r="X43" i="2" s="1"/>
  <c r="K43" i="2"/>
  <c r="I39" i="2"/>
  <c r="N39" i="2" s="1"/>
  <c r="N38" i="2" s="1"/>
  <c r="S38" i="2" s="1"/>
  <c r="Z47" i="2"/>
  <c r="Z46" i="2" s="1"/>
  <c r="AD67" i="2"/>
  <c r="D22" i="32"/>
  <c r="D21" i="32"/>
  <c r="R51" i="2"/>
  <c r="S51" i="2"/>
  <c r="N46" i="2"/>
  <c r="S46" i="2" s="1"/>
  <c r="Z51" i="2"/>
  <c r="AA47" i="2"/>
  <c r="AA46" i="2" s="1"/>
  <c r="O47" i="2"/>
  <c r="O46" i="2" s="1"/>
  <c r="T46" i="2" s="1"/>
  <c r="Q150" i="7"/>
  <c r="V39" i="2" s="1"/>
  <c r="Z39" i="2" s="1"/>
  <c r="Z38" i="2" s="1"/>
  <c r="H39" i="2"/>
  <c r="M39" i="2" s="1"/>
  <c r="M38" i="2" s="1"/>
  <c r="R38" i="2" s="1"/>
  <c r="R150" i="7"/>
  <c r="W39" i="2" s="1"/>
  <c r="AA39" i="2" s="1"/>
  <c r="AA38" i="2" s="1"/>
  <c r="J39" i="2"/>
  <c r="O39" i="2" s="1"/>
  <c r="O38" i="2" s="1"/>
  <c r="T38" i="2" s="1"/>
  <c r="L170" i="7"/>
  <c r="L174" i="7" s="1"/>
  <c r="K170" i="7"/>
  <c r="K174" i="7" s="1"/>
  <c r="J170" i="7"/>
  <c r="J174" i="7" s="1"/>
  <c r="P174" i="7" s="1"/>
  <c r="I170" i="7"/>
  <c r="I174" i="7" s="1"/>
  <c r="O174" i="7" s="1"/>
  <c r="L154" i="7"/>
  <c r="L160" i="7" s="1"/>
  <c r="J41" i="2" s="1"/>
  <c r="O41" i="2" s="1"/>
  <c r="K154" i="7"/>
  <c r="K160" i="7" s="1"/>
  <c r="H41" i="2" s="1"/>
  <c r="M41" i="2" s="1"/>
  <c r="J154" i="7"/>
  <c r="J160" i="7" s="1"/>
  <c r="I154" i="7"/>
  <c r="I160" i="7" s="1"/>
  <c r="G39" i="2"/>
  <c r="G47" i="2"/>
  <c r="J168" i="7"/>
  <c r="P176" i="7"/>
  <c r="P182" i="7" s="1"/>
  <c r="J182" i="7"/>
  <c r="K168" i="7"/>
  <c r="H42" i="2" s="1"/>
  <c r="O176" i="7"/>
  <c r="O182" i="7" s="1"/>
  <c r="I182" i="7"/>
  <c r="R162" i="7"/>
  <c r="R168" i="7" s="1"/>
  <c r="W42" i="2" s="1"/>
  <c r="L168" i="7"/>
  <c r="J42" i="2" s="1"/>
  <c r="Q176" i="7"/>
  <c r="Q182" i="7" s="1"/>
  <c r="V44" i="2" s="1"/>
  <c r="Z44" i="2" s="1"/>
  <c r="K182" i="7"/>
  <c r="H44" i="2" s="1"/>
  <c r="M44" i="2" s="1"/>
  <c r="I168" i="7"/>
  <c r="R176" i="7"/>
  <c r="R182" i="7" s="1"/>
  <c r="W44" i="2" s="1"/>
  <c r="AA44" i="2" s="1"/>
  <c r="L182" i="7"/>
  <c r="J44" i="2" s="1"/>
  <c r="O44" i="2" s="1"/>
  <c r="O162" i="7"/>
  <c r="O168" i="7" s="1"/>
  <c r="P162" i="7"/>
  <c r="P168" i="7" s="1"/>
  <c r="Q162" i="7"/>
  <c r="Q168" i="7" s="1"/>
  <c r="V42" i="2" s="1"/>
  <c r="AN93" i="31" l="1"/>
  <c r="W100" i="31"/>
  <c r="W94" i="31"/>
  <c r="AX94" i="31"/>
  <c r="D13" i="40"/>
  <c r="M101" i="31"/>
  <c r="M100" i="31" s="1"/>
  <c r="AQ93" i="31"/>
  <c r="D77" i="41"/>
  <c r="BA94" i="31"/>
  <c r="D78" i="41"/>
  <c r="K66" i="41" s="1"/>
  <c r="BQ94" i="31"/>
  <c r="AZ94" i="31"/>
  <c r="BQ93" i="31"/>
  <c r="AP93" i="31"/>
  <c r="BQ100" i="31"/>
  <c r="F13" i="40"/>
  <c r="G13" i="40"/>
  <c r="AA13" i="40" s="1"/>
  <c r="A26" i="44" a="1"/>
  <c r="A26" i="44" s="1"/>
  <c r="C26" i="44" a="1"/>
  <c r="C26" i="44" s="1"/>
  <c r="B27" i="44" a="1"/>
  <c r="B27" i="44" s="1"/>
  <c r="C30" i="42" a="1"/>
  <c r="C30" i="42" s="1"/>
  <c r="B31" i="42" a="1"/>
  <c r="B31" i="42" s="1"/>
  <c r="A30" i="42" a="1"/>
  <c r="A30" i="42" s="1"/>
  <c r="T94" i="31"/>
  <c r="AL94" i="31"/>
  <c r="C65" i="41"/>
  <c r="AG69" i="40"/>
  <c r="AH68" i="40"/>
  <c r="Z73" i="40"/>
  <c r="AF73" i="40"/>
  <c r="AA70" i="40"/>
  <c r="AB69" i="40"/>
  <c r="S92" i="31"/>
  <c r="AI92" i="31" s="1"/>
  <c r="AG92" i="31"/>
  <c r="AC51" i="2"/>
  <c r="BR93" i="31"/>
  <c r="BR94" i="31"/>
  <c r="P93" i="31"/>
  <c r="P94" i="31"/>
  <c r="S154" i="7"/>
  <c r="S160" i="7" s="1"/>
  <c r="X41" i="2" s="1"/>
  <c r="AB41" i="2" s="1"/>
  <c r="AB40" i="2" s="1"/>
  <c r="M160" i="7"/>
  <c r="K41" i="2" s="1"/>
  <c r="P41" i="2" s="1"/>
  <c r="P40" i="2" s="1"/>
  <c r="AD46" i="2"/>
  <c r="E21" i="32"/>
  <c r="U51" i="2"/>
  <c r="AD38" i="2"/>
  <c r="M40" i="2"/>
  <c r="R40" i="2" s="1"/>
  <c r="O40" i="2"/>
  <c r="T40" i="2" s="1"/>
  <c r="Q174" i="7"/>
  <c r="V43" i="2" s="1"/>
  <c r="H43" i="2"/>
  <c r="R174" i="7"/>
  <c r="W43" i="2" s="1"/>
  <c r="J43" i="2"/>
  <c r="G44" i="2"/>
  <c r="G42" i="2"/>
  <c r="G43" i="2"/>
  <c r="Q154" i="7"/>
  <c r="Q160" i="7" s="1"/>
  <c r="V41" i="2" s="1"/>
  <c r="Z41" i="2" s="1"/>
  <c r="Z40" i="2" s="1"/>
  <c r="R154" i="7"/>
  <c r="R160" i="7" s="1"/>
  <c r="W41" i="2" s="1"/>
  <c r="AA41" i="2" s="1"/>
  <c r="AA40" i="2" s="1"/>
  <c r="O154" i="7"/>
  <c r="O160" i="7" s="1"/>
  <c r="P154" i="7"/>
  <c r="P160" i="7" s="1"/>
  <c r="I118" i="7"/>
  <c r="O118" i="7" s="1"/>
  <c r="L118" i="7"/>
  <c r="R118" i="7" s="1"/>
  <c r="K118" i="7"/>
  <c r="Q118" i="7" s="1"/>
  <c r="J143" i="7"/>
  <c r="P143" i="7" s="1"/>
  <c r="K143" i="7"/>
  <c r="L143" i="7"/>
  <c r="I143" i="7"/>
  <c r="O143" i="7" s="1"/>
  <c r="J118" i="7"/>
  <c r="P118" i="7" s="1"/>
  <c r="L110" i="7"/>
  <c r="R110" i="7" s="1"/>
  <c r="K110" i="7"/>
  <c r="Q110" i="7" s="1"/>
  <c r="J110" i="7"/>
  <c r="P110" i="7" s="1"/>
  <c r="I110" i="7"/>
  <c r="O110" i="7" s="1"/>
  <c r="G75" i="7"/>
  <c r="M75" i="7" s="1"/>
  <c r="M83" i="7" s="1"/>
  <c r="G59" i="7"/>
  <c r="G50" i="7"/>
  <c r="M50" i="7" s="1"/>
  <c r="G49" i="7"/>
  <c r="M49" i="7" s="1"/>
  <c r="T91" i="31" l="1"/>
  <c r="V94" i="31"/>
  <c r="AQ92" i="31"/>
  <c r="D76" i="41"/>
  <c r="K64" i="41" s="1"/>
  <c r="AK94" i="31"/>
  <c r="BB94" i="31"/>
  <c r="M94" i="31"/>
  <c r="C78" i="41" s="1"/>
  <c r="J66" i="41" s="1"/>
  <c r="AY94" i="31"/>
  <c r="Q91" i="31"/>
  <c r="AG91" i="31" s="1"/>
  <c r="AP92" i="31"/>
  <c r="N91" i="31"/>
  <c r="AE91" i="31" s="1"/>
  <c r="AN92" i="31"/>
  <c r="M93" i="31"/>
  <c r="C77" i="41" s="1"/>
  <c r="AO93" i="31"/>
  <c r="S91" i="31"/>
  <c r="AI91" i="31" s="1"/>
  <c r="C27" i="44" a="1"/>
  <c r="C27" i="44" s="1"/>
  <c r="A27" i="44" a="1"/>
  <c r="A27" i="44" s="1"/>
  <c r="B28" i="44" a="1"/>
  <c r="B28" i="44" s="1"/>
  <c r="C31" i="42" a="1"/>
  <c r="C31" i="42" s="1"/>
  <c r="B32" i="42" a="1"/>
  <c r="B32" i="42" s="1"/>
  <c r="A31" i="42" a="1"/>
  <c r="A31" i="42" s="1"/>
  <c r="BQ92" i="31"/>
  <c r="AG70" i="40"/>
  <c r="AH69" i="40"/>
  <c r="AA71" i="40"/>
  <c r="AB70" i="40"/>
  <c r="AF74" i="40"/>
  <c r="Z74" i="40"/>
  <c r="C13" i="40"/>
  <c r="X13" i="40" s="1"/>
  <c r="D20" i="32"/>
  <c r="BR92" i="31"/>
  <c r="P92" i="31"/>
  <c r="AO92" i="31" s="1"/>
  <c r="M59" i="7"/>
  <c r="M61" i="7" s="1"/>
  <c r="K32" i="2" s="1"/>
  <c r="P32" i="2" s="1"/>
  <c r="S83" i="7"/>
  <c r="X33" i="2" s="1"/>
  <c r="AB33" i="2" s="1"/>
  <c r="K33" i="2"/>
  <c r="P33" i="2" s="1"/>
  <c r="AD40" i="2"/>
  <c r="Q143" i="7"/>
  <c r="V37" i="2" s="1"/>
  <c r="H37" i="2"/>
  <c r="R143" i="7"/>
  <c r="W37" i="2" s="1"/>
  <c r="J37" i="2"/>
  <c r="M52" i="7"/>
  <c r="I59" i="7"/>
  <c r="I61" i="7" s="1"/>
  <c r="J59" i="7"/>
  <c r="K59" i="7"/>
  <c r="L59" i="7"/>
  <c r="L61" i="7" s="1"/>
  <c r="J32" i="2" s="1"/>
  <c r="L75" i="7"/>
  <c r="L83" i="7" s="1"/>
  <c r="K75" i="7"/>
  <c r="J75" i="7"/>
  <c r="I75" i="7"/>
  <c r="I83" i="7" s="1"/>
  <c r="O83" i="7" s="1"/>
  <c r="I49" i="7"/>
  <c r="K49" i="7"/>
  <c r="L49" i="7"/>
  <c r="J49" i="7"/>
  <c r="J50" i="7"/>
  <c r="I50" i="7"/>
  <c r="K50" i="7"/>
  <c r="L50" i="7"/>
  <c r="R120" i="7"/>
  <c r="W35" i="2" s="1"/>
  <c r="G41" i="2"/>
  <c r="Q120" i="7"/>
  <c r="V35" i="2" s="1"/>
  <c r="G37" i="2"/>
  <c r="O120" i="7"/>
  <c r="P120" i="7"/>
  <c r="J120" i="7"/>
  <c r="K120" i="7"/>
  <c r="H35" i="2" s="1"/>
  <c r="L120" i="7"/>
  <c r="J35" i="2" s="1"/>
  <c r="I120" i="7"/>
  <c r="K93" i="7"/>
  <c r="J93" i="7"/>
  <c r="L93" i="7"/>
  <c r="I93" i="7"/>
  <c r="S90" i="31" l="1"/>
  <c r="AI90" i="31" s="1"/>
  <c r="Q90" i="31"/>
  <c r="AG90" i="31" s="1"/>
  <c r="N90" i="31"/>
  <c r="AE90" i="31" s="1"/>
  <c r="T90" i="31"/>
  <c r="V91" i="31"/>
  <c r="AG13" i="40"/>
  <c r="AJ13" i="40"/>
  <c r="C83" i="41"/>
  <c r="P91" i="31"/>
  <c r="P90" i="31" s="1"/>
  <c r="E12" i="40" s="1"/>
  <c r="C28" i="44" a="1"/>
  <c r="C28" i="44" s="1"/>
  <c r="A28" i="44" a="1"/>
  <c r="A28" i="44" s="1"/>
  <c r="B29" i="44" a="1"/>
  <c r="B29" i="44" s="1"/>
  <c r="C32" i="42" a="1"/>
  <c r="C32" i="42" s="1"/>
  <c r="B33" i="42" a="1"/>
  <c r="B33" i="42" s="1"/>
  <c r="A32" i="42" a="1"/>
  <c r="A32" i="42" s="1"/>
  <c r="BQ91" i="31"/>
  <c r="AH70" i="40"/>
  <c r="AG71" i="40"/>
  <c r="Z75" i="40"/>
  <c r="AF75" i="40"/>
  <c r="AA72" i="40"/>
  <c r="AB71" i="40"/>
  <c r="S63" i="31"/>
  <c r="AI63" i="31" s="1"/>
  <c r="M92" i="31"/>
  <c r="P30" i="2"/>
  <c r="S61" i="7"/>
  <c r="S72" i="7" s="1"/>
  <c r="M72" i="7"/>
  <c r="S52" i="7"/>
  <c r="X31" i="2" s="1"/>
  <c r="K31" i="2"/>
  <c r="Q63" i="31"/>
  <c r="AG63" i="31" s="1"/>
  <c r="X32" i="2"/>
  <c r="AB32" i="2" s="1"/>
  <c r="AB30" i="2" s="1"/>
  <c r="AB23" i="2" s="1"/>
  <c r="AF23" i="2" s="1"/>
  <c r="R83" i="7"/>
  <c r="W33" i="2" s="1"/>
  <c r="AA33" i="2" s="1"/>
  <c r="J33" i="2"/>
  <c r="O33" i="2" s="1"/>
  <c r="I52" i="7"/>
  <c r="O52" i="7" s="1"/>
  <c r="L52" i="7"/>
  <c r="G35" i="2"/>
  <c r="K102" i="7"/>
  <c r="H34" i="2" s="1"/>
  <c r="Q93" i="7"/>
  <c r="Q102" i="7" s="1"/>
  <c r="V34" i="2" s="1"/>
  <c r="L102" i="7"/>
  <c r="J34" i="2" s="1"/>
  <c r="R93" i="7"/>
  <c r="R102" i="7" s="1"/>
  <c r="W34" i="2" s="1"/>
  <c r="I102" i="7"/>
  <c r="O93" i="7"/>
  <c r="O102" i="7" s="1"/>
  <c r="L72" i="7"/>
  <c r="O32" i="2" s="1"/>
  <c r="R61" i="7"/>
  <c r="J102" i="7"/>
  <c r="P93" i="7"/>
  <c r="P102" i="7" s="1"/>
  <c r="I72" i="7"/>
  <c r="O61" i="7"/>
  <c r="O72" i="7" s="1"/>
  <c r="K61" i="7"/>
  <c r="I32" i="2" s="1"/>
  <c r="K83" i="7"/>
  <c r="I33" i="2" s="1"/>
  <c r="N33" i="2" s="1"/>
  <c r="J61" i="7"/>
  <c r="P61" i="7" s="1"/>
  <c r="P72" i="7" s="1"/>
  <c r="J83" i="7"/>
  <c r="P83" i="7" s="1"/>
  <c r="G33" i="2" s="1"/>
  <c r="J52" i="7"/>
  <c r="P52" i="7" s="1"/>
  <c r="K52" i="7"/>
  <c r="D12" i="40" l="1"/>
  <c r="F12" i="40"/>
  <c r="W63" i="31"/>
  <c r="H12" i="40"/>
  <c r="AD12" i="40" s="1"/>
  <c r="V90" i="31"/>
  <c r="G12" i="40"/>
  <c r="AA12" i="40" s="1"/>
  <c r="C76" i="41"/>
  <c r="J64" i="41" s="1"/>
  <c r="M91" i="31"/>
  <c r="M90" i="31" s="1"/>
  <c r="A29" i="44" a="1"/>
  <c r="A29" i="44" s="1"/>
  <c r="C29" i="44" a="1"/>
  <c r="C29" i="44" s="1"/>
  <c r="B30" i="44" a="1"/>
  <c r="B30" i="44" s="1"/>
  <c r="E6" i="43"/>
  <c r="D28" i="44"/>
  <c r="C33" i="42" a="1"/>
  <c r="C33" i="42" s="1"/>
  <c r="B34" i="42" a="1"/>
  <c r="B34" i="42" s="1"/>
  <c r="A33" i="42" a="1"/>
  <c r="A33" i="42" s="1"/>
  <c r="Q62" i="31"/>
  <c r="AG62" i="31" s="1"/>
  <c r="BQ63" i="31"/>
  <c r="S62" i="31"/>
  <c r="AI62" i="31" s="1"/>
  <c r="AG72" i="40"/>
  <c r="AH71" i="40"/>
  <c r="AA73" i="40"/>
  <c r="AB72" i="40"/>
  <c r="AF76" i="40"/>
  <c r="Z76" i="40"/>
  <c r="N63" i="31"/>
  <c r="AE63" i="31" s="1"/>
  <c r="BR69" i="31"/>
  <c r="AF103" i="2"/>
  <c r="O30" i="2"/>
  <c r="T30" i="2" s="1"/>
  <c r="R72" i="7"/>
  <c r="W32" i="2"/>
  <c r="Q61" i="7"/>
  <c r="H32" i="2"/>
  <c r="N32" i="2"/>
  <c r="N30" i="2" s="1"/>
  <c r="S30" i="2" s="1"/>
  <c r="S23" i="2" s="1"/>
  <c r="Q52" i="7"/>
  <c r="V31" i="2" s="1"/>
  <c r="H31" i="2"/>
  <c r="R52" i="7"/>
  <c r="W31" i="2" s="1"/>
  <c r="J31" i="2"/>
  <c r="Q83" i="7"/>
  <c r="V33" i="2" s="1"/>
  <c r="Z33" i="2" s="1"/>
  <c r="H33" i="2"/>
  <c r="M33" i="2" s="1"/>
  <c r="G31" i="2"/>
  <c r="G34" i="2"/>
  <c r="G32" i="2"/>
  <c r="J72" i="7"/>
  <c r="K72" i="7"/>
  <c r="G85" i="5"/>
  <c r="G84" i="5"/>
  <c r="G88" i="5"/>
  <c r="G81" i="5"/>
  <c r="G43" i="5"/>
  <c r="G38" i="5"/>
  <c r="G12" i="5"/>
  <c r="G5" i="7"/>
  <c r="G76" i="5"/>
  <c r="G74" i="5"/>
  <c r="G70" i="5"/>
  <c r="G65" i="5"/>
  <c r="G61" i="5"/>
  <c r="G28" i="5"/>
  <c r="G35" i="5" s="1"/>
  <c r="G3" i="5"/>
  <c r="G5" i="5"/>
  <c r="W62" i="31" l="1"/>
  <c r="G10" i="40"/>
  <c r="AA10" i="40" s="1"/>
  <c r="BQ62" i="31"/>
  <c r="F10" i="40"/>
  <c r="A30" i="44" a="1"/>
  <c r="A30" i="44" s="1"/>
  <c r="C30" i="44" a="1"/>
  <c r="C30" i="44" s="1"/>
  <c r="B31" i="44" a="1"/>
  <c r="B31" i="44" s="1"/>
  <c r="C34" i="42" a="1"/>
  <c r="C34" i="42" s="1"/>
  <c r="B35" i="42" a="1"/>
  <c r="B35" i="42" s="1"/>
  <c r="A34" i="42" a="1"/>
  <c r="A34" i="42" s="1"/>
  <c r="AG73" i="40"/>
  <c r="AH72" i="40"/>
  <c r="BR55" i="31"/>
  <c r="N62" i="31"/>
  <c r="AE62" i="31" s="1"/>
  <c r="Z77" i="40"/>
  <c r="AF77" i="40"/>
  <c r="AA74" i="40"/>
  <c r="AB73" i="40"/>
  <c r="S49" i="31"/>
  <c r="AI49" i="31" s="1"/>
  <c r="AG49" i="31"/>
  <c r="S35" i="31"/>
  <c r="AI35" i="31" s="1"/>
  <c r="AG35" i="31"/>
  <c r="M35" i="31"/>
  <c r="M63" i="31"/>
  <c r="P63" i="31"/>
  <c r="P62" i="31" s="1"/>
  <c r="E10" i="40" s="1"/>
  <c r="M32" i="2"/>
  <c r="M30" i="2" s="1"/>
  <c r="R30" i="2" s="1"/>
  <c r="G11" i="5"/>
  <c r="G18" i="5" s="1"/>
  <c r="G9" i="5"/>
  <c r="G16" i="5" s="1"/>
  <c r="Q72" i="7"/>
  <c r="V32" i="2"/>
  <c r="AA32" i="2"/>
  <c r="AA30" i="2" s="1"/>
  <c r="I81" i="5"/>
  <c r="J81" i="5"/>
  <c r="K81" i="5"/>
  <c r="L81" i="5"/>
  <c r="I85" i="5"/>
  <c r="J85" i="5"/>
  <c r="L85" i="5"/>
  <c r="K85" i="5"/>
  <c r="I43" i="5"/>
  <c r="L43" i="5"/>
  <c r="K43" i="5"/>
  <c r="J43" i="5"/>
  <c r="I74" i="5"/>
  <c r="L74" i="5"/>
  <c r="J74" i="5"/>
  <c r="K74" i="5"/>
  <c r="K65" i="5"/>
  <c r="L65" i="5"/>
  <c r="I65" i="5"/>
  <c r="J65" i="5"/>
  <c r="K88" i="5"/>
  <c r="I88" i="5"/>
  <c r="L88" i="5"/>
  <c r="J88" i="5"/>
  <c r="I76" i="5"/>
  <c r="L76" i="5"/>
  <c r="J76" i="5"/>
  <c r="K76" i="5"/>
  <c r="K5" i="5"/>
  <c r="L5" i="5"/>
  <c r="I5" i="5"/>
  <c r="J5" i="5"/>
  <c r="L28" i="5"/>
  <c r="I28" i="5"/>
  <c r="J28" i="5"/>
  <c r="K28" i="5"/>
  <c r="J12" i="5"/>
  <c r="I12" i="5"/>
  <c r="L12" i="5"/>
  <c r="K12" i="5"/>
  <c r="I70" i="5"/>
  <c r="J70" i="5"/>
  <c r="K70" i="5"/>
  <c r="L70" i="5"/>
  <c r="K84" i="5"/>
  <c r="I84" i="5"/>
  <c r="L84" i="5"/>
  <c r="J84" i="5"/>
  <c r="L3" i="5"/>
  <c r="K3" i="5"/>
  <c r="I3" i="5"/>
  <c r="J3" i="5"/>
  <c r="K61" i="5"/>
  <c r="L61" i="5"/>
  <c r="I61" i="5"/>
  <c r="J61" i="5"/>
  <c r="I38" i="5"/>
  <c r="L38" i="5"/>
  <c r="K38" i="5"/>
  <c r="J38" i="5"/>
  <c r="K5" i="7"/>
  <c r="J5" i="7"/>
  <c r="I5" i="7"/>
  <c r="L5" i="7"/>
  <c r="R18" i="7"/>
  <c r="R23" i="7" s="1"/>
  <c r="W27" i="2" s="1"/>
  <c r="AA27" i="2" s="1"/>
  <c r="L23" i="7"/>
  <c r="J27" i="2" s="1"/>
  <c r="O27" i="2" s="1"/>
  <c r="O18" i="7"/>
  <c r="O23" i="7" s="1"/>
  <c r="I23" i="7"/>
  <c r="P18" i="7"/>
  <c r="P23" i="7" s="1"/>
  <c r="J23" i="7"/>
  <c r="Q18" i="7"/>
  <c r="Q23" i="7" s="1"/>
  <c r="V27" i="2" s="1"/>
  <c r="Z27" i="2" s="1"/>
  <c r="K23" i="7"/>
  <c r="H27" i="2" s="1"/>
  <c r="M27" i="2" s="1"/>
  <c r="K16" i="7"/>
  <c r="H26" i="2" s="1"/>
  <c r="Q11" i="7"/>
  <c r="Q16" i="7" s="1"/>
  <c r="V26" i="2" s="1"/>
  <c r="L29" i="7"/>
  <c r="R29" i="7" s="1"/>
  <c r="L34" i="7"/>
  <c r="R34" i="7" s="1"/>
  <c r="G26" i="5"/>
  <c r="G33" i="5" s="1"/>
  <c r="AP35" i="31" l="1"/>
  <c r="AQ35" i="31"/>
  <c r="D10" i="40"/>
  <c r="AN35" i="31"/>
  <c r="AZ49" i="31"/>
  <c r="AZ249" i="31" s="1"/>
  <c r="E6" i="45" s="1"/>
  <c r="BA49" i="31"/>
  <c r="BA249" i="31" s="1"/>
  <c r="F6" i="45" s="1"/>
  <c r="W49" i="31"/>
  <c r="N46" i="31"/>
  <c r="AE46" i="31" s="1"/>
  <c r="AX49" i="31"/>
  <c r="AX249" i="31" s="1"/>
  <c r="AL49" i="31"/>
  <c r="D48" i="41"/>
  <c r="K35" i="41" s="1"/>
  <c r="M62" i="31"/>
  <c r="BQ35" i="31"/>
  <c r="A31" i="44" a="1"/>
  <c r="A31" i="44" s="1"/>
  <c r="C31" i="44" a="1"/>
  <c r="C31" i="44" s="1"/>
  <c r="B32" i="44" a="1"/>
  <c r="B32" i="44" s="1"/>
  <c r="C35" i="42" a="1"/>
  <c r="C35" i="42" s="1"/>
  <c r="B36" i="42" a="1"/>
  <c r="B36" i="42" s="1"/>
  <c r="A35" i="42" a="1"/>
  <c r="A35" i="42" s="1"/>
  <c r="Q46" i="31"/>
  <c r="AG46" i="31" s="1"/>
  <c r="BQ49" i="31"/>
  <c r="AG74" i="40"/>
  <c r="AH73" i="40"/>
  <c r="S46" i="31"/>
  <c r="AI46" i="31" s="1"/>
  <c r="T49" i="31"/>
  <c r="AA75" i="40"/>
  <c r="AB74" i="40"/>
  <c r="AF78" i="40"/>
  <c r="Z78" i="40"/>
  <c r="M39" i="31"/>
  <c r="S39" i="31"/>
  <c r="AI39" i="31" s="1"/>
  <c r="AG39" i="31"/>
  <c r="S40" i="31"/>
  <c r="AI40" i="31" s="1"/>
  <c r="AG40" i="31"/>
  <c r="M40" i="31"/>
  <c r="S38" i="31"/>
  <c r="AI38" i="31" s="1"/>
  <c r="AG38" i="31"/>
  <c r="M38" i="31"/>
  <c r="M36" i="31"/>
  <c r="S36" i="31"/>
  <c r="AI36" i="31" s="1"/>
  <c r="AG36" i="31"/>
  <c r="S37" i="31"/>
  <c r="AI37" i="31" s="1"/>
  <c r="AG37" i="31"/>
  <c r="M37" i="31"/>
  <c r="BR16" i="31"/>
  <c r="BR35" i="31"/>
  <c r="BR42" i="31"/>
  <c r="BR44" i="31"/>
  <c r="P49" i="31"/>
  <c r="BR49" i="31"/>
  <c r="P35" i="31"/>
  <c r="AO35" i="31" s="1"/>
  <c r="G10" i="5"/>
  <c r="G17" i="5" s="1"/>
  <c r="Z32" i="2"/>
  <c r="Z30" i="2" s="1"/>
  <c r="AD30" i="2" s="1"/>
  <c r="J26" i="5"/>
  <c r="J31" i="5" s="1"/>
  <c r="J33" i="5" s="1"/>
  <c r="I26" i="5"/>
  <c r="I31" i="5" s="1"/>
  <c r="I33" i="5" s="1"/>
  <c r="L26" i="5"/>
  <c r="L31" i="5" s="1"/>
  <c r="K26" i="5"/>
  <c r="K31" i="5" s="1"/>
  <c r="I4" i="5"/>
  <c r="I6" i="5" s="1"/>
  <c r="J4" i="5"/>
  <c r="J6" i="5" s="1"/>
  <c r="J16" i="5" s="1"/>
  <c r="J20" i="5" s="1"/>
  <c r="L4" i="5"/>
  <c r="L6" i="5" s="1"/>
  <c r="K4" i="5"/>
  <c r="K6" i="5" s="1"/>
  <c r="K16" i="5" s="1"/>
  <c r="K20" i="5" s="1"/>
  <c r="G27" i="2"/>
  <c r="R36" i="7"/>
  <c r="W29" i="2" s="1"/>
  <c r="L16" i="7"/>
  <c r="J26" i="2" s="1"/>
  <c r="R11" i="7"/>
  <c r="R16" i="7" s="1"/>
  <c r="W26" i="2" s="1"/>
  <c r="J16" i="7"/>
  <c r="P11" i="7"/>
  <c r="P16" i="7" s="1"/>
  <c r="I16" i="7"/>
  <c r="O11" i="7"/>
  <c r="O16" i="7" s="1"/>
  <c r="I29" i="7"/>
  <c r="O29" i="7" s="1"/>
  <c r="L89" i="5"/>
  <c r="Q89" i="5" s="1"/>
  <c r="K29" i="7"/>
  <c r="Q29" i="7" s="1"/>
  <c r="L36" i="7"/>
  <c r="J29" i="2" s="1"/>
  <c r="I34" i="7"/>
  <c r="O34" i="7" s="1"/>
  <c r="J34" i="7"/>
  <c r="P34" i="7" s="1"/>
  <c r="K34" i="7"/>
  <c r="Q34" i="7" s="1"/>
  <c r="J29" i="7"/>
  <c r="P29" i="7" s="1"/>
  <c r="J89" i="5"/>
  <c r="O89" i="5" s="1"/>
  <c r="K89" i="5"/>
  <c r="P89" i="5" s="1"/>
  <c r="J77" i="5"/>
  <c r="O77" i="5" s="1"/>
  <c r="I89" i="5"/>
  <c r="N89" i="5" s="1"/>
  <c r="L77" i="5"/>
  <c r="Q77" i="5" s="1"/>
  <c r="K9" i="7"/>
  <c r="H25" i="2" s="1"/>
  <c r="M25" i="2" s="1"/>
  <c r="M24" i="2" s="1"/>
  <c r="J9" i="7"/>
  <c r="L9" i="7"/>
  <c r="J25" i="2" s="1"/>
  <c r="O25" i="2" s="1"/>
  <c r="O24" i="2" s="1"/>
  <c r="I9" i="7"/>
  <c r="I77" i="5"/>
  <c r="N77" i="5" s="1"/>
  <c r="K77" i="5"/>
  <c r="P77" i="5" s="1"/>
  <c r="V22" i="2" s="1"/>
  <c r="Z22" i="2" s="1"/>
  <c r="K66" i="5"/>
  <c r="L66" i="5"/>
  <c r="I66" i="5"/>
  <c r="N66" i="5" s="1"/>
  <c r="J66" i="5"/>
  <c r="O66" i="5" s="1"/>
  <c r="S45" i="31" l="1"/>
  <c r="AI45" i="31" s="1"/>
  <c r="AN38" i="31"/>
  <c r="Q45" i="31"/>
  <c r="AG45" i="31" s="1"/>
  <c r="AN40" i="31"/>
  <c r="AQ37" i="31"/>
  <c r="AQ39" i="31"/>
  <c r="AN39" i="31"/>
  <c r="AN37" i="31"/>
  <c r="AN36" i="31"/>
  <c r="T46" i="31"/>
  <c r="V49" i="31"/>
  <c r="AQ38" i="31"/>
  <c r="AQ40" i="31"/>
  <c r="N45" i="31"/>
  <c r="AE45" i="31" s="1"/>
  <c r="AK49" i="31"/>
  <c r="AK249" i="31" s="1"/>
  <c r="BB49" i="31"/>
  <c r="BB249" i="31" s="1"/>
  <c r="C6" i="45"/>
  <c r="P46" i="31"/>
  <c r="AY49" i="31"/>
  <c r="AY249" i="31" s="1"/>
  <c r="AX251" i="31" s="1"/>
  <c r="BQ39" i="31"/>
  <c r="AP39" i="31"/>
  <c r="BQ37" i="31"/>
  <c r="AP37" i="31"/>
  <c r="BQ38" i="31"/>
  <c r="AP38" i="31"/>
  <c r="BQ36" i="31"/>
  <c r="AP36" i="31"/>
  <c r="BQ40" i="31"/>
  <c r="AP40" i="31"/>
  <c r="S34" i="31"/>
  <c r="AI34" i="31" s="1"/>
  <c r="AQ36" i="31"/>
  <c r="N34" i="31"/>
  <c r="AE34" i="31" s="1"/>
  <c r="M34" i="31"/>
  <c r="D17" i="32"/>
  <c r="C10" i="40"/>
  <c r="X10" i="40" s="1"/>
  <c r="Q34" i="31"/>
  <c r="AG34" i="31" s="1"/>
  <c r="A32" i="44" a="1"/>
  <c r="A32" i="44" s="1"/>
  <c r="C32" i="44" a="1"/>
  <c r="C32" i="44" s="1"/>
  <c r="B33" i="44" a="1"/>
  <c r="B33" i="44" s="1"/>
  <c r="C36" i="42" a="1"/>
  <c r="C36" i="42" s="1"/>
  <c r="B37" i="42" a="1"/>
  <c r="B37" i="42" s="1"/>
  <c r="A36" i="42" a="1"/>
  <c r="A36" i="42" s="1"/>
  <c r="BQ46" i="31"/>
  <c r="AG75" i="40"/>
  <c r="AH74" i="40"/>
  <c r="Z79" i="40"/>
  <c r="AF79" i="40"/>
  <c r="AA76" i="40"/>
  <c r="AB75" i="40"/>
  <c r="BR41" i="31"/>
  <c r="BR37" i="31"/>
  <c r="BR39" i="31"/>
  <c r="BR36" i="31"/>
  <c r="BR38" i="31"/>
  <c r="BR40" i="31"/>
  <c r="M49" i="31"/>
  <c r="C48" i="41" s="1"/>
  <c r="J35" i="41" s="1"/>
  <c r="P37" i="31"/>
  <c r="AO37" i="31" s="1"/>
  <c r="P38" i="31"/>
  <c r="AO38" i="31" s="1"/>
  <c r="P40" i="31"/>
  <c r="AO40" i="31" s="1"/>
  <c r="P39" i="31"/>
  <c r="AO39" i="31" s="1"/>
  <c r="P36" i="31"/>
  <c r="AO36" i="31" s="1"/>
  <c r="J14" i="2"/>
  <c r="O14" i="2" s="1"/>
  <c r="L16" i="5"/>
  <c r="L20" i="5" s="1"/>
  <c r="Q20" i="5" s="1"/>
  <c r="W22" i="2"/>
  <c r="AA22" i="2" s="1"/>
  <c r="I9" i="5"/>
  <c r="I13" i="5" s="1"/>
  <c r="I16" i="5"/>
  <c r="I20" i="5" s="1"/>
  <c r="N20" i="5" s="1"/>
  <c r="H14" i="2"/>
  <c r="M14" i="2" s="1"/>
  <c r="P6" i="5"/>
  <c r="V14" i="2" s="1"/>
  <c r="Z14" i="2" s="1"/>
  <c r="K9" i="5"/>
  <c r="K13" i="5" s="1"/>
  <c r="P13" i="5" s="1"/>
  <c r="P20" i="5"/>
  <c r="Q66" i="5"/>
  <c r="W21" i="2" s="1"/>
  <c r="AA21" i="2" s="1"/>
  <c r="J21" i="2"/>
  <c r="O21" i="2" s="1"/>
  <c r="P66" i="5"/>
  <c r="V21" i="2" s="1"/>
  <c r="Z21" i="2" s="1"/>
  <c r="Z19" i="2" s="1"/>
  <c r="H21" i="2"/>
  <c r="M21" i="2" s="1"/>
  <c r="K33" i="5"/>
  <c r="K40" i="5" s="1"/>
  <c r="H17" i="2"/>
  <c r="M17" i="2" s="1"/>
  <c r="L33" i="5"/>
  <c r="L40" i="5" s="1"/>
  <c r="J17" i="2"/>
  <c r="O17" i="2" s="1"/>
  <c r="T24" i="2"/>
  <c r="R24" i="2"/>
  <c r="P91" i="5"/>
  <c r="O91" i="5"/>
  <c r="G21" i="2"/>
  <c r="N91" i="5"/>
  <c r="G28" i="2"/>
  <c r="O36" i="7"/>
  <c r="Q36" i="7"/>
  <c r="V29" i="2" s="1"/>
  <c r="P36" i="7"/>
  <c r="Q6" i="5"/>
  <c r="W14" i="2" s="1"/>
  <c r="AA14" i="2" s="1"/>
  <c r="L42" i="5"/>
  <c r="L45" i="5" s="1"/>
  <c r="Q45" i="5" s="1"/>
  <c r="Q31" i="5"/>
  <c r="W17" i="2" s="1"/>
  <c r="AA17" i="2" s="1"/>
  <c r="Q91" i="5"/>
  <c r="I42" i="5"/>
  <c r="I45" i="5" s="1"/>
  <c r="N45" i="5" s="1"/>
  <c r="N31" i="5"/>
  <c r="K42" i="5"/>
  <c r="K45" i="5" s="1"/>
  <c r="P45" i="5" s="1"/>
  <c r="P31" i="5"/>
  <c r="V17" i="2" s="1"/>
  <c r="Z17" i="2" s="1"/>
  <c r="N6" i="5"/>
  <c r="J42" i="5"/>
  <c r="J45" i="5" s="1"/>
  <c r="O45" i="5" s="1"/>
  <c r="O31" i="5"/>
  <c r="O20" i="5"/>
  <c r="O6" i="5"/>
  <c r="G26" i="2"/>
  <c r="O3" i="7"/>
  <c r="O9" i="7" s="1"/>
  <c r="R3" i="7"/>
  <c r="R9" i="7" s="1"/>
  <c r="W25" i="2" s="1"/>
  <c r="AA25" i="2" s="1"/>
  <c r="AA24" i="2" s="1"/>
  <c r="P3" i="7"/>
  <c r="P9" i="7" s="1"/>
  <c r="Q3" i="7"/>
  <c r="Q9" i="7" s="1"/>
  <c r="V25" i="2" s="1"/>
  <c r="Z25" i="2" s="1"/>
  <c r="Z24" i="2" s="1"/>
  <c r="I36" i="7"/>
  <c r="I91" i="5"/>
  <c r="K91" i="5"/>
  <c r="H22" i="2" s="1"/>
  <c r="M22" i="2" s="1"/>
  <c r="K36" i="7"/>
  <c r="H29" i="2" s="1"/>
  <c r="J91" i="5"/>
  <c r="J36" i="7"/>
  <c r="L91" i="5"/>
  <c r="J22" i="2" s="1"/>
  <c r="O22" i="2" s="1"/>
  <c r="J9" i="5"/>
  <c r="J13" i="5" s="1"/>
  <c r="L9" i="5"/>
  <c r="L13" i="5" s="1"/>
  <c r="Q13" i="5" s="1"/>
  <c r="J40" i="5"/>
  <c r="I40" i="5"/>
  <c r="AN249" i="31" l="1"/>
  <c r="C4" i="45" s="1"/>
  <c r="D9" i="40"/>
  <c r="AQ249" i="31"/>
  <c r="F4" i="45" s="1"/>
  <c r="H4" i="45" s="1"/>
  <c r="I5" i="45" s="1"/>
  <c r="T45" i="31"/>
  <c r="V46" i="31"/>
  <c r="S33" i="31"/>
  <c r="AI33" i="31" s="1"/>
  <c r="W34" i="31"/>
  <c r="Q33" i="31"/>
  <c r="AG33" i="31" s="1"/>
  <c r="N33" i="31"/>
  <c r="AE33" i="31" s="1"/>
  <c r="P45" i="31"/>
  <c r="E9" i="40" s="1"/>
  <c r="AP249" i="31"/>
  <c r="M33" i="31"/>
  <c r="C8" i="40" s="1"/>
  <c r="X8" i="40" s="1"/>
  <c r="AG10" i="40"/>
  <c r="AJ10" i="40"/>
  <c r="G6" i="45"/>
  <c r="D6" i="45"/>
  <c r="G9" i="40"/>
  <c r="AA9" i="40" s="1"/>
  <c r="BQ45" i="31"/>
  <c r="F9" i="40"/>
  <c r="P34" i="31"/>
  <c r="P33" i="31" s="1"/>
  <c r="E8" i="40" s="1"/>
  <c r="A33" i="44" a="1"/>
  <c r="A33" i="44" s="1"/>
  <c r="C33" i="44" a="1"/>
  <c r="C33" i="44" s="1"/>
  <c r="B34" i="44" a="1"/>
  <c r="B34" i="44" s="1"/>
  <c r="C37" i="42" a="1"/>
  <c r="C37" i="42" s="1"/>
  <c r="B38" i="42" a="1"/>
  <c r="B38" i="42" s="1"/>
  <c r="A37" i="42" a="1"/>
  <c r="A37" i="42" s="1"/>
  <c r="BQ34" i="31"/>
  <c r="M46" i="31"/>
  <c r="M45" i="31" s="1"/>
  <c r="AG76" i="40"/>
  <c r="AH75" i="40"/>
  <c r="AA77" i="40"/>
  <c r="AB76" i="40"/>
  <c r="AF80" i="40"/>
  <c r="Z80" i="40"/>
  <c r="P13" i="31"/>
  <c r="AO13" i="31" s="1"/>
  <c r="V15" i="2"/>
  <c r="Z15" i="2" s="1"/>
  <c r="Z13" i="2" s="1"/>
  <c r="K22" i="5"/>
  <c r="H15" i="2" s="1"/>
  <c r="M15" i="2" s="1"/>
  <c r="M13" i="2" s="1"/>
  <c r="R13" i="2" s="1"/>
  <c r="BR14" i="31"/>
  <c r="BR13" i="31"/>
  <c r="BR15" i="31"/>
  <c r="P15" i="31"/>
  <c r="AO15" i="31" s="1"/>
  <c r="P14" i="31"/>
  <c r="AO14" i="31" s="1"/>
  <c r="W15" i="2"/>
  <c r="AA15" i="2" s="1"/>
  <c r="AA13" i="2" s="1"/>
  <c r="AA19" i="2"/>
  <c r="AD19" i="2" s="1"/>
  <c r="O19" i="2"/>
  <c r="T19" i="2" s="1"/>
  <c r="P22" i="5"/>
  <c r="M19" i="2"/>
  <c r="R19" i="2" s="1"/>
  <c r="AD24" i="2"/>
  <c r="R23" i="2"/>
  <c r="T23" i="2"/>
  <c r="AA23" i="2"/>
  <c r="Z23" i="2"/>
  <c r="G22" i="2"/>
  <c r="Q22" i="5"/>
  <c r="G29" i="2"/>
  <c r="I22" i="5"/>
  <c r="N13" i="5"/>
  <c r="N22" i="5" s="1"/>
  <c r="L47" i="5"/>
  <c r="J18" i="2" s="1"/>
  <c r="O18" i="2" s="1"/>
  <c r="O16" i="2" s="1"/>
  <c r="T16" i="2" s="1"/>
  <c r="Q40" i="5"/>
  <c r="G14" i="2"/>
  <c r="J22" i="5"/>
  <c r="O13" i="5"/>
  <c r="O22" i="5" s="1"/>
  <c r="I47" i="5"/>
  <c r="N40" i="5"/>
  <c r="N47" i="5" s="1"/>
  <c r="J47" i="5"/>
  <c r="O40" i="5"/>
  <c r="O47" i="5" s="1"/>
  <c r="K47" i="5"/>
  <c r="H18" i="2" s="1"/>
  <c r="M18" i="2" s="1"/>
  <c r="M16" i="2" s="1"/>
  <c r="P40" i="5"/>
  <c r="G17" i="2"/>
  <c r="G25" i="2"/>
  <c r="L22" i="5"/>
  <c r="J15" i="2" s="1"/>
  <c r="O15" i="2" s="1"/>
  <c r="O13" i="2" s="1"/>
  <c r="T13" i="2" s="1"/>
  <c r="BQ33" i="31" l="1"/>
  <c r="G8" i="40"/>
  <c r="AA8" i="40" s="1"/>
  <c r="AJ8" i="40" s="1"/>
  <c r="W33" i="31"/>
  <c r="W249" i="31" s="1"/>
  <c r="D8" i="40"/>
  <c r="F8" i="40"/>
  <c r="D15" i="32"/>
  <c r="V45" i="31"/>
  <c r="V249" i="31" s="1"/>
  <c r="H9" i="40"/>
  <c r="AD9" i="40" s="1"/>
  <c r="T249" i="31"/>
  <c r="AO249" i="31"/>
  <c r="AN251" i="31" s="1"/>
  <c r="AG8" i="40"/>
  <c r="E4" i="45"/>
  <c r="J5" i="45"/>
  <c r="K6" i="45" s="1"/>
  <c r="L6" i="45" s="1"/>
  <c r="C9" i="40"/>
  <c r="X9" i="40" s="1"/>
  <c r="P12" i="31"/>
  <c r="P11" i="31" s="1"/>
  <c r="E6" i="40" s="1"/>
  <c r="A34" i="44" a="1"/>
  <c r="A34" i="44" s="1"/>
  <c r="C34" i="44" a="1"/>
  <c r="C34" i="44" s="1"/>
  <c r="B35" i="44" a="1"/>
  <c r="B35" i="44" s="1"/>
  <c r="C38" i="42" a="1"/>
  <c r="C38" i="42" s="1"/>
  <c r="B39" i="42" a="1"/>
  <c r="B39" i="42" s="1"/>
  <c r="A38" i="42" a="1"/>
  <c r="A38" i="42" s="1"/>
  <c r="BQ11" i="31"/>
  <c r="BQ12" i="31"/>
  <c r="AG77" i="40"/>
  <c r="AH76" i="40"/>
  <c r="Z81" i="40"/>
  <c r="AF81" i="40"/>
  <c r="AA78" i="40"/>
  <c r="AB77" i="40"/>
  <c r="D16" i="32"/>
  <c r="D13" i="32"/>
  <c r="C6" i="40"/>
  <c r="X6" i="40" s="1"/>
  <c r="AD13" i="2"/>
  <c r="R16" i="2"/>
  <c r="M104" i="2"/>
  <c r="T104" i="2"/>
  <c r="O104" i="2"/>
  <c r="T12" i="2"/>
  <c r="P47" i="5"/>
  <c r="V18" i="2"/>
  <c r="Z18" i="2" s="1"/>
  <c r="Z16" i="2" s="1"/>
  <c r="Q47" i="5"/>
  <c r="W18" i="2"/>
  <c r="AA18" i="2" s="1"/>
  <c r="AA16" i="2" s="1"/>
  <c r="U23" i="2"/>
  <c r="AC23" i="2"/>
  <c r="G15" i="2"/>
  <c r="G18" i="2"/>
  <c r="T252" i="31" l="1"/>
  <c r="C30" i="40"/>
  <c r="C21" i="40"/>
  <c r="X21" i="40" s="1"/>
  <c r="AG6" i="40"/>
  <c r="AJ6" i="40"/>
  <c r="AG9" i="40"/>
  <c r="AJ9" i="40"/>
  <c r="D4" i="45"/>
  <c r="A35" i="44" a="1"/>
  <c r="A35" i="44" s="1"/>
  <c r="C35" i="44" a="1"/>
  <c r="C35" i="44" s="1"/>
  <c r="B36" i="44" a="1"/>
  <c r="B36" i="44" s="1"/>
  <c r="C39" i="42" a="1"/>
  <c r="C39" i="42" s="1"/>
  <c r="D7" i="43" s="1"/>
  <c r="B40" i="42" a="1"/>
  <c r="B40" i="42" s="1"/>
  <c r="A39" i="42" a="1"/>
  <c r="A39" i="42" s="1"/>
  <c r="AG78" i="40"/>
  <c r="AH77" i="40"/>
  <c r="AA79" i="40"/>
  <c r="AB78" i="40"/>
  <c r="AF82" i="40"/>
  <c r="Z82" i="40"/>
  <c r="H13" i="32"/>
  <c r="R12" i="2"/>
  <c r="U12" i="2" s="1"/>
  <c r="R104" i="2"/>
  <c r="AD16" i="2"/>
  <c r="Z12" i="2"/>
  <c r="Z104" i="2"/>
  <c r="AA12" i="2"/>
  <c r="AA104" i="2"/>
  <c r="C36" i="44" l="1" a="1"/>
  <c r="C36" i="44" s="1"/>
  <c r="A36" i="44" a="1"/>
  <c r="A36" i="44" s="1"/>
  <c r="B37" i="44" a="1"/>
  <c r="B37" i="44" s="1"/>
  <c r="C40" i="42" a="1"/>
  <c r="C40" i="42" s="1"/>
  <c r="B41" i="42" a="1"/>
  <c r="B41" i="42" s="1"/>
  <c r="A40" i="42" a="1"/>
  <c r="A40" i="42" s="1"/>
  <c r="AG79" i="40"/>
  <c r="AH78" i="40"/>
  <c r="Z83" i="40"/>
  <c r="AF83" i="40"/>
  <c r="AA80" i="40"/>
  <c r="AB79" i="40"/>
  <c r="E13" i="32"/>
  <c r="AC12" i="2"/>
  <c r="AC103" i="2" s="1"/>
  <c r="Z107" i="2"/>
  <c r="Z108" i="2" s="1"/>
  <c r="B3" i="37" a="1"/>
  <c r="B3" i="37" s="1"/>
  <c r="A37" i="44" l="1" a="1"/>
  <c r="A37" i="44" s="1"/>
  <c r="C37" i="44" a="1"/>
  <c r="C37" i="44" s="1"/>
  <c r="B38" i="44" a="1"/>
  <c r="B38" i="44" s="1"/>
  <c r="C41" i="42" a="1"/>
  <c r="C41" i="42" s="1"/>
  <c r="B42" i="42" a="1"/>
  <c r="B42" i="42" s="1"/>
  <c r="A41" i="42" a="1"/>
  <c r="A41" i="42" s="1"/>
  <c r="B4" i="37" a="1"/>
  <c r="B4" i="37" s="1"/>
  <c r="D4" i="37" s="1"/>
  <c r="AG80" i="40"/>
  <c r="AH79" i="40"/>
  <c r="AA81" i="40"/>
  <c r="AB80" i="40"/>
  <c r="AF84" i="40"/>
  <c r="Z84" i="40"/>
  <c r="R13" i="32"/>
  <c r="A38" i="44" l="1" a="1"/>
  <c r="A38" i="44" s="1"/>
  <c r="C38" i="44" a="1"/>
  <c r="C38" i="44" s="1"/>
  <c r="B39" i="44" a="1"/>
  <c r="B39" i="44" s="1"/>
  <c r="C42" i="42" a="1"/>
  <c r="C42" i="42" s="1"/>
  <c r="B43" i="42" a="1"/>
  <c r="B43" i="42" s="1"/>
  <c r="A42" i="42" a="1"/>
  <c r="A42" i="42" s="1"/>
  <c r="AH80" i="40"/>
  <c r="AG81" i="40"/>
  <c r="AF85" i="40"/>
  <c r="Z85" i="40"/>
  <c r="AA82" i="40"/>
  <c r="AB81" i="40"/>
  <c r="B5" i="37" a="1"/>
  <c r="B5" i="37" s="1"/>
  <c r="D5" i="37" s="1"/>
  <c r="A39" i="44" l="1" a="1"/>
  <c r="A39" i="44" s="1"/>
  <c r="C39" i="44" a="1"/>
  <c r="C39" i="44" s="1"/>
  <c r="E7" i="43" s="1"/>
  <c r="B40" i="44" a="1"/>
  <c r="B40" i="44" s="1"/>
  <c r="C43" i="42" a="1"/>
  <c r="C43" i="42" s="1"/>
  <c r="B44" i="42" a="1"/>
  <c r="B44" i="42" s="1"/>
  <c r="A43" i="42" a="1"/>
  <c r="A43" i="42" s="1"/>
  <c r="AH81" i="40"/>
  <c r="AG82" i="40"/>
  <c r="AF86" i="40"/>
  <c r="AA83" i="40"/>
  <c r="AB82" i="40"/>
  <c r="Z86" i="40"/>
  <c r="B6" i="37" a="1"/>
  <c r="B6" i="37" s="1"/>
  <c r="D6" i="37" s="1"/>
  <c r="A40" i="44" l="1" a="1"/>
  <c r="A40" i="44" s="1"/>
  <c r="C40" i="44" a="1"/>
  <c r="C40" i="44" s="1"/>
  <c r="B41" i="44" a="1"/>
  <c r="B41" i="44" s="1"/>
  <c r="C44" i="42" a="1"/>
  <c r="C44" i="42" s="1"/>
  <c r="B45" i="42" a="1"/>
  <c r="B45" i="42" s="1"/>
  <c r="A44" i="42" a="1"/>
  <c r="A44" i="42" s="1"/>
  <c r="AG83" i="40"/>
  <c r="AH82" i="40"/>
  <c r="Z87" i="40"/>
  <c r="AA84" i="40"/>
  <c r="AB83" i="40"/>
  <c r="AF87" i="40"/>
  <c r="B7" i="37" a="1"/>
  <c r="B7" i="37" s="1"/>
  <c r="D7" i="37" s="1"/>
  <c r="A41" i="44" l="1" a="1"/>
  <c r="A41" i="44" s="1"/>
  <c r="C41" i="44" a="1"/>
  <c r="C41" i="44" s="1"/>
  <c r="B42" i="44" a="1"/>
  <c r="B42" i="44" s="1"/>
  <c r="C45" i="42" a="1"/>
  <c r="C45" i="42" s="1"/>
  <c r="B46" i="42" a="1"/>
  <c r="B46" i="42" s="1"/>
  <c r="A45" i="42" a="1"/>
  <c r="A45" i="42" s="1"/>
  <c r="AG84" i="40"/>
  <c r="AH83" i="40"/>
  <c r="AF88" i="40"/>
  <c r="AA85" i="40"/>
  <c r="AB84" i="40"/>
  <c r="Z88" i="40"/>
  <c r="B8" i="37" a="1"/>
  <c r="B8" i="37" s="1"/>
  <c r="D8" i="37" s="1"/>
  <c r="A42" i="44" l="1" a="1"/>
  <c r="A42" i="44" s="1"/>
  <c r="C42" i="44" a="1"/>
  <c r="C42" i="44" s="1"/>
  <c r="B43" i="44" a="1"/>
  <c r="B43" i="44" s="1"/>
  <c r="C46" i="42" a="1"/>
  <c r="C46" i="42" s="1"/>
  <c r="B47" i="42" a="1"/>
  <c r="B47" i="42" s="1"/>
  <c r="A46" i="42" a="1"/>
  <c r="A46" i="42" s="1"/>
  <c r="B9" i="37" a="1"/>
  <c r="B9" i="37" s="1"/>
  <c r="D9" i="37" s="1"/>
  <c r="AH84" i="40"/>
  <c r="AG85" i="40"/>
  <c r="AF89" i="40"/>
  <c r="AA86" i="40"/>
  <c r="AB85" i="40"/>
  <c r="Z89" i="40"/>
  <c r="A43" i="44" l="1" a="1"/>
  <c r="A43" i="44" s="1"/>
  <c r="C43" i="44" a="1"/>
  <c r="C43" i="44" s="1"/>
  <c r="B44" i="44" a="1"/>
  <c r="B44" i="44" s="1"/>
  <c r="C47" i="42" a="1"/>
  <c r="C47" i="42" s="1"/>
  <c r="B48" i="42" a="1"/>
  <c r="B48" i="42" s="1"/>
  <c r="A47" i="42" a="1"/>
  <c r="A47" i="42" s="1"/>
  <c r="B10" i="37" a="1"/>
  <c r="B10" i="37" s="1"/>
  <c r="D10" i="37" s="1"/>
  <c r="AH85" i="40"/>
  <c r="AG86" i="40"/>
  <c r="AF90" i="40"/>
  <c r="AA87" i="40"/>
  <c r="AB86" i="40"/>
  <c r="Z90" i="40"/>
  <c r="A44" i="44" l="1" a="1"/>
  <c r="A44" i="44" s="1"/>
  <c r="C44" i="44" a="1"/>
  <c r="C44" i="44" s="1"/>
  <c r="B45" i="44" a="1"/>
  <c r="B45" i="44" s="1"/>
  <c r="C48" i="42" a="1"/>
  <c r="C48" i="42" s="1"/>
  <c r="B49" i="42" a="1"/>
  <c r="B49" i="42" s="1"/>
  <c r="A48" i="42" a="1"/>
  <c r="A48" i="42" s="1"/>
  <c r="B11" i="37" a="1"/>
  <c r="B11" i="37" s="1"/>
  <c r="D11" i="37" s="1"/>
  <c r="AH86" i="40"/>
  <c r="AG87" i="40"/>
  <c r="AA88" i="40"/>
  <c r="AB87" i="40"/>
  <c r="Z91" i="40"/>
  <c r="AF91" i="40"/>
  <c r="A45" i="44" l="1" a="1"/>
  <c r="A45" i="44" s="1"/>
  <c r="C45" i="44" a="1"/>
  <c r="C45" i="44" s="1"/>
  <c r="B46" i="44" a="1"/>
  <c r="B46" i="44" s="1"/>
  <c r="C49" i="42" a="1"/>
  <c r="C49" i="42" s="1"/>
  <c r="B50" i="42" a="1"/>
  <c r="B50" i="42" s="1"/>
  <c r="A49" i="42" a="1"/>
  <c r="A49" i="42" s="1"/>
  <c r="B12" i="37" a="1"/>
  <c r="B12" i="37" s="1"/>
  <c r="D12" i="37" s="1"/>
  <c r="AG88" i="40"/>
  <c r="AH87" i="40"/>
  <c r="AF92" i="40"/>
  <c r="Z92" i="40"/>
  <c r="AA89" i="40"/>
  <c r="AB88" i="40"/>
  <c r="A46" i="44" l="1" a="1"/>
  <c r="A46" i="44" s="1"/>
  <c r="C46" i="44" a="1"/>
  <c r="C46" i="44" s="1"/>
  <c r="B47" i="44" a="1"/>
  <c r="B47" i="44" s="1"/>
  <c r="C50" i="42" a="1"/>
  <c r="C50" i="42" s="1"/>
  <c r="B51" i="42" a="1"/>
  <c r="B51" i="42" s="1"/>
  <c r="A50" i="42" a="1"/>
  <c r="A50" i="42" s="1"/>
  <c r="B13" i="37" a="1"/>
  <c r="B13" i="37" s="1"/>
  <c r="D13" i="37" s="1"/>
  <c r="AH88" i="40"/>
  <c r="AG89" i="40"/>
  <c r="Z93" i="40"/>
  <c r="AF93" i="40"/>
  <c r="AA90" i="40"/>
  <c r="AB89" i="40"/>
  <c r="C47" i="44" l="1" a="1"/>
  <c r="C47" i="44" s="1"/>
  <c r="A47" i="44" a="1"/>
  <c r="A47" i="44" s="1"/>
  <c r="B48" i="44" a="1"/>
  <c r="B48" i="44" s="1"/>
  <c r="C51" i="42" a="1"/>
  <c r="C51" i="42" s="1"/>
  <c r="B52" i="42" a="1"/>
  <c r="B52" i="42" s="1"/>
  <c r="A51" i="42" a="1"/>
  <c r="A51" i="42" s="1"/>
  <c r="B14" i="37" a="1"/>
  <c r="B14" i="37" s="1"/>
  <c r="D14" i="37" s="1"/>
  <c r="AH89" i="40"/>
  <c r="AG90" i="40"/>
  <c r="AF94" i="40"/>
  <c r="AA91" i="40"/>
  <c r="AB90" i="40"/>
  <c r="Z94" i="40"/>
  <c r="A48" i="44" l="1" a="1"/>
  <c r="A48" i="44" s="1"/>
  <c r="C48" i="44" a="1"/>
  <c r="C48" i="44" s="1"/>
  <c r="B49" i="44" a="1"/>
  <c r="B49" i="44" s="1"/>
  <c r="C52" i="42" a="1"/>
  <c r="C52" i="42" s="1"/>
  <c r="B53" i="42" a="1"/>
  <c r="B53" i="42" s="1"/>
  <c r="A52" i="42" a="1"/>
  <c r="A52" i="42" s="1"/>
  <c r="B15" i="37" a="1"/>
  <c r="B15" i="37" s="1"/>
  <c r="D15" i="37" s="1"/>
  <c r="AG91" i="40"/>
  <c r="AH90" i="40"/>
  <c r="AA92" i="40"/>
  <c r="AB91" i="40"/>
  <c r="Z95" i="40"/>
  <c r="AF95" i="40"/>
  <c r="A49" i="44" l="1" a="1"/>
  <c r="A49" i="44" s="1"/>
  <c r="C49" i="44" a="1"/>
  <c r="C49" i="44" s="1"/>
  <c r="B50" i="44" a="1"/>
  <c r="B50" i="44" s="1"/>
  <c r="C53" i="42" a="1"/>
  <c r="C53" i="42" s="1"/>
  <c r="B54" i="42" a="1"/>
  <c r="B54" i="42" s="1"/>
  <c r="A54" i="42" s="1" a="1"/>
  <c r="A54" i="42" s="1"/>
  <c r="A53" i="42" a="1"/>
  <c r="A53" i="42" s="1"/>
  <c r="B16" i="37" a="1"/>
  <c r="B16" i="37" s="1"/>
  <c r="D16" i="37" s="1"/>
  <c r="AH91" i="40"/>
  <c r="AG92" i="40"/>
  <c r="Z96" i="40"/>
  <c r="AA93" i="40"/>
  <c r="AB92" i="40"/>
  <c r="AF96" i="40"/>
  <c r="C50" i="44" l="1" a="1"/>
  <c r="C50" i="44" s="1"/>
  <c r="A50" i="44" a="1"/>
  <c r="A50" i="44" s="1"/>
  <c r="B51" i="44" a="1"/>
  <c r="B51" i="44" s="1"/>
  <c r="B17" i="37" a="1"/>
  <c r="B17" i="37" s="1"/>
  <c r="D17" i="37" s="1"/>
  <c r="AG93" i="40"/>
  <c r="AH92" i="40"/>
  <c r="AF97" i="40"/>
  <c r="AA94" i="40"/>
  <c r="AB93" i="40"/>
  <c r="Z97" i="40"/>
  <c r="A51" i="44" l="1" a="1"/>
  <c r="A51" i="44" s="1"/>
  <c r="C51" i="44" a="1"/>
  <c r="C51" i="44" s="1"/>
  <c r="B52" i="44" a="1"/>
  <c r="B52" i="44" s="1"/>
  <c r="B18" i="37" a="1"/>
  <c r="B18" i="37" s="1"/>
  <c r="D18" i="37" s="1"/>
  <c r="AG94" i="40"/>
  <c r="AH93" i="40"/>
  <c r="AA95" i="40"/>
  <c r="AB94" i="40"/>
  <c r="Z98" i="40"/>
  <c r="AF98" i="40"/>
  <c r="A52" i="44" l="1" a="1"/>
  <c r="A52" i="44" s="1"/>
  <c r="C52" i="44" a="1"/>
  <c r="C52" i="44" s="1"/>
  <c r="B53" i="44" a="1"/>
  <c r="B53" i="44" s="1"/>
  <c r="B19" i="37" a="1"/>
  <c r="B19" i="37" s="1"/>
  <c r="D19" i="37" s="1"/>
  <c r="AH94" i="40"/>
  <c r="AG95" i="40"/>
  <c r="AF99" i="40"/>
  <c r="Z99" i="40"/>
  <c r="AA96" i="40"/>
  <c r="AB95" i="40"/>
  <c r="A53" i="44" l="1" a="1"/>
  <c r="A53" i="44" s="1"/>
  <c r="C53" i="44" a="1"/>
  <c r="C53" i="44" s="1"/>
  <c r="B54" i="44" a="1"/>
  <c r="B54" i="44" s="1"/>
  <c r="B20" i="37" a="1"/>
  <c r="B20" i="37" s="1"/>
  <c r="D20" i="37" s="1"/>
  <c r="AH95" i="40"/>
  <c r="AG96" i="40"/>
  <c r="AA97" i="40"/>
  <c r="AB96" i="40"/>
  <c r="Z100" i="40"/>
  <c r="AF100" i="40"/>
  <c r="A54" i="44" l="1" a="1"/>
  <c r="A54" i="44" s="1"/>
  <c r="C54" i="44" a="1"/>
  <c r="C54" i="44" s="1"/>
  <c r="B21" i="37" a="1"/>
  <c r="B21" i="37" s="1"/>
  <c r="D21" i="37" s="1"/>
  <c r="AH96" i="40"/>
  <c r="AG97" i="40"/>
  <c r="AF101" i="40"/>
  <c r="Z101" i="40"/>
  <c r="AA98" i="40"/>
  <c r="AB97" i="40"/>
  <c r="B22" i="37" l="1" a="1"/>
  <c r="B22" i="37" s="1"/>
  <c r="D22" i="37" s="1"/>
  <c r="AH97" i="40"/>
  <c r="AG98" i="40"/>
  <c r="AA99" i="40"/>
  <c r="AB98" i="40"/>
  <c r="Z102" i="40"/>
  <c r="AF102" i="40"/>
  <c r="B23" i="37" l="1" a="1"/>
  <c r="B23" i="37" s="1"/>
  <c r="D23" i="37" s="1"/>
  <c r="AH98" i="40"/>
  <c r="AG99" i="40"/>
  <c r="Z103" i="40"/>
  <c r="AF103" i="40"/>
  <c r="AA100" i="40"/>
  <c r="AB99" i="40"/>
  <c r="B24" i="37" l="1" a="1"/>
  <c r="B24" i="37" s="1"/>
  <c r="D24" i="37" s="1"/>
  <c r="AG100" i="40"/>
  <c r="AH99" i="40"/>
  <c r="AA101" i="40"/>
  <c r="AB100" i="40"/>
  <c r="AF104" i="40"/>
  <c r="Z104" i="40"/>
  <c r="B25" i="37" l="1" a="1"/>
  <c r="B25" i="37" s="1"/>
  <c r="D25" i="37" s="1"/>
  <c r="AG101" i="40"/>
  <c r="AH100" i="40"/>
  <c r="Z105" i="40"/>
  <c r="AF105" i="40"/>
  <c r="AA102" i="40"/>
  <c r="AB101" i="40"/>
  <c r="B26" i="37" l="1" a="1"/>
  <c r="B26" i="37" s="1"/>
  <c r="D26" i="37" s="1"/>
  <c r="AH101" i="40"/>
  <c r="AG102" i="40"/>
  <c r="AA103" i="40"/>
  <c r="AB102" i="40"/>
  <c r="AF106" i="40"/>
  <c r="Z106" i="40"/>
  <c r="B27" i="37" l="1" a="1"/>
  <c r="B27" i="37" s="1"/>
  <c r="D27" i="37" s="1"/>
  <c r="AG103" i="40"/>
  <c r="AH102" i="40"/>
  <c r="Z107" i="40"/>
  <c r="AF107" i="40"/>
  <c r="AA104" i="40"/>
  <c r="AB103" i="40"/>
  <c r="B28" i="37" l="1" a="1"/>
  <c r="B28" i="37" s="1"/>
  <c r="D28" i="37" s="1"/>
  <c r="AG104" i="40"/>
  <c r="AH103" i="40"/>
  <c r="AA105" i="40"/>
  <c r="AB104" i="40"/>
  <c r="AF108" i="40"/>
  <c r="Z108" i="40"/>
  <c r="B29" i="37" l="1" a="1"/>
  <c r="B29" i="37" s="1"/>
  <c r="D29" i="37" s="1"/>
  <c r="AH104" i="40"/>
  <c r="AG105" i="40"/>
  <c r="AA106" i="40"/>
  <c r="AB105" i="40"/>
  <c r="Z109" i="40"/>
  <c r="AF109" i="40"/>
  <c r="B30" i="37" l="1" a="1"/>
  <c r="B30" i="37" s="1"/>
  <c r="D30" i="37" s="1"/>
  <c r="AH105" i="40"/>
  <c r="AG106" i="40"/>
  <c r="AF110" i="40"/>
  <c r="Z110" i="40"/>
  <c r="AA107" i="40"/>
  <c r="AB106" i="40"/>
  <c r="B31" i="37" l="1" a="1"/>
  <c r="B31" i="37" s="1"/>
  <c r="D31" i="37" s="1"/>
  <c r="AH106" i="40"/>
  <c r="AG107" i="40"/>
  <c r="AA108" i="40"/>
  <c r="AB107" i="40"/>
  <c r="AF111" i="40"/>
  <c r="Z111" i="40"/>
  <c r="B32" i="37" l="1" a="1"/>
  <c r="B32" i="37" s="1"/>
  <c r="D32" i="37" s="1"/>
  <c r="AG108" i="40"/>
  <c r="AH107" i="40"/>
  <c r="Z112" i="40"/>
  <c r="AF112" i="40"/>
  <c r="AA109" i="40"/>
  <c r="AB108" i="40"/>
  <c r="D18" i="40"/>
  <c r="Q234" i="31"/>
  <c r="AG234" i="31" s="1"/>
  <c r="BQ219" i="31" l="1"/>
  <c r="F18" i="40"/>
  <c r="B33" i="37" a="1"/>
  <c r="B33" i="37" s="1"/>
  <c r="D33" i="37" s="1"/>
  <c r="AG109" i="40"/>
  <c r="AH108" i="40"/>
  <c r="AA110" i="40"/>
  <c r="AB109" i="40"/>
  <c r="AF113" i="40"/>
  <c r="Z113" i="40"/>
  <c r="B34" i="37" l="1" a="1"/>
  <c r="B34" i="37" s="1"/>
  <c r="D34" i="37" s="1"/>
  <c r="AH109" i="40"/>
  <c r="AG110" i="40"/>
  <c r="AA111" i="40"/>
  <c r="AB110" i="40"/>
  <c r="B35" i="37" l="1" a="1"/>
  <c r="B35" i="37" s="1"/>
  <c r="D35" i="37" s="1"/>
  <c r="AG111" i="40"/>
  <c r="AH110" i="40"/>
  <c r="AA112" i="40"/>
  <c r="AB111" i="40"/>
  <c r="E18" i="40"/>
  <c r="Q237" i="31"/>
  <c r="AG237" i="31" s="1"/>
  <c r="G239" i="31"/>
  <c r="BC239" i="31" l="1"/>
  <c r="B36" i="37" a="1"/>
  <c r="B36" i="37" s="1"/>
  <c r="D36" i="37" s="1"/>
  <c r="N237" i="31"/>
  <c r="AE237" i="31" s="1"/>
  <c r="BN239" i="31"/>
  <c r="AG112" i="40"/>
  <c r="AH111" i="40"/>
  <c r="P239" i="31"/>
  <c r="AA113" i="40"/>
  <c r="AB113" i="40" s="1"/>
  <c r="AB112" i="40"/>
  <c r="BR239" i="31"/>
  <c r="M239" i="31" l="1"/>
  <c r="M237" i="31" s="1"/>
  <c r="D26" i="32" s="1"/>
  <c r="BD239" i="31"/>
  <c r="BO239" i="31"/>
  <c r="B37" i="37" a="1"/>
  <c r="B37" i="37" s="1"/>
  <c r="D37" i="37" s="1"/>
  <c r="P237" i="31"/>
  <c r="AG113" i="40"/>
  <c r="AH113" i="40" s="1"/>
  <c r="AH112" i="40"/>
  <c r="B38" i="37" l="1" a="1"/>
  <c r="B38" i="37" s="1"/>
  <c r="D38" i="37" s="1"/>
  <c r="Q243" i="31"/>
  <c r="AG243" i="31" s="1"/>
  <c r="G245" i="31"/>
  <c r="F19" i="40" l="1"/>
  <c r="C37" i="37" a="1"/>
  <c r="C37" i="37" s="1"/>
  <c r="BN245" i="31"/>
  <c r="BO245" i="31" s="1"/>
  <c r="BC245" i="31"/>
  <c r="C5" i="37" a="1"/>
  <c r="C5" i="37" s="1"/>
  <c r="C13" i="37" a="1"/>
  <c r="C13" i="37" s="1"/>
  <c r="C21" i="37" a="1"/>
  <c r="C21" i="37" s="1"/>
  <c r="C29" i="37" a="1"/>
  <c r="C29" i="37" s="1"/>
  <c r="C6" i="37" a="1"/>
  <c r="C6" i="37" s="1"/>
  <c r="C14" i="37" a="1"/>
  <c r="C14" i="37" s="1"/>
  <c r="C22" i="37" a="1"/>
  <c r="C22" i="37" s="1"/>
  <c r="C30" i="37" a="1"/>
  <c r="C30" i="37" s="1"/>
  <c r="C7" i="37" a="1"/>
  <c r="C7" i="37" s="1"/>
  <c r="C15" i="37" a="1"/>
  <c r="C15" i="37" s="1"/>
  <c r="C23" i="37" a="1"/>
  <c r="C23" i="37" s="1"/>
  <c r="C31" i="37" a="1"/>
  <c r="C31" i="37" s="1"/>
  <c r="C8" i="37" a="1"/>
  <c r="C8" i="37" s="1"/>
  <c r="C16" i="37" a="1"/>
  <c r="C16" i="37" s="1"/>
  <c r="C24" i="37" a="1"/>
  <c r="C24" i="37" s="1"/>
  <c r="C32" i="37" a="1"/>
  <c r="C32" i="37" s="1"/>
  <c r="C9" i="37" a="1"/>
  <c r="C9" i="37" s="1"/>
  <c r="C17" i="37" a="1"/>
  <c r="C17" i="37" s="1"/>
  <c r="C25" i="37" a="1"/>
  <c r="C25" i="37" s="1"/>
  <c r="C33" i="37" a="1"/>
  <c r="C33" i="37" s="1"/>
  <c r="C10" i="37" a="1"/>
  <c r="C10" i="37" s="1"/>
  <c r="C18" i="37" a="1"/>
  <c r="C18" i="37" s="1"/>
  <c r="C26" i="37" a="1"/>
  <c r="C26" i="37" s="1"/>
  <c r="C34" i="37" a="1"/>
  <c r="C34" i="37" s="1"/>
  <c r="C11" i="37" a="1"/>
  <c r="C11" i="37" s="1"/>
  <c r="C19" i="37" a="1"/>
  <c r="C19" i="37" s="1"/>
  <c r="C27" i="37" a="1"/>
  <c r="C27" i="37" s="1"/>
  <c r="C12" i="37" a="1"/>
  <c r="C12" i="37" s="1"/>
  <c r="C20" i="37" a="1"/>
  <c r="C20" i="37" s="1"/>
  <c r="C28" i="37" a="1"/>
  <c r="C28" i="37" s="1"/>
  <c r="C35" i="37" a="1"/>
  <c r="C35" i="37" s="1"/>
  <c r="C36" i="37" a="1"/>
  <c r="C36" i="37" s="1"/>
  <c r="B39" i="37" a="1"/>
  <c r="B39" i="37" s="1"/>
  <c r="D39" i="37" s="1"/>
  <c r="C38" i="37" a="1"/>
  <c r="C38" i="37" s="1"/>
  <c r="P245" i="31"/>
  <c r="C4" i="37" a="1"/>
  <c r="C4" i="37" s="1"/>
  <c r="N243" i="31"/>
  <c r="AE243" i="31" s="1"/>
  <c r="BR245" i="31"/>
  <c r="C5" i="43" l="1"/>
  <c r="M245" i="31"/>
  <c r="M243" i="31" s="1"/>
  <c r="BD245" i="31"/>
  <c r="C4" i="43"/>
  <c r="B40" i="37" a="1"/>
  <c r="B40" i="37" s="1"/>
  <c r="D40" i="37" s="1"/>
  <c r="C39" i="37" a="1"/>
  <c r="C39" i="37" s="1"/>
  <c r="C6" i="43"/>
  <c r="C7" i="43"/>
  <c r="P243" i="31"/>
  <c r="D27" i="32" l="1"/>
  <c r="B41" i="37" a="1"/>
  <c r="B41" i="37" s="1"/>
  <c r="D41" i="37" s="1"/>
  <c r="C40" i="37" a="1"/>
  <c r="C40" i="37" s="1"/>
  <c r="B42" i="37" l="1" a="1"/>
  <c r="B42" i="37" s="1"/>
  <c r="D42" i="37" s="1"/>
  <c r="C41" i="37" a="1"/>
  <c r="C41" i="37" s="1"/>
  <c r="B43" i="37" l="1" a="1"/>
  <c r="B43" i="37" s="1"/>
  <c r="D43" i="37" s="1"/>
  <c r="C42" i="37" a="1"/>
  <c r="C42" i="37" s="1"/>
  <c r="B44" i="37" l="1" a="1"/>
  <c r="B44" i="37" s="1"/>
  <c r="D44" i="37" s="1"/>
  <c r="C43" i="37" a="1"/>
  <c r="C43" i="37" s="1"/>
  <c r="C44" i="37" l="1" a="1"/>
  <c r="C44" i="37" s="1"/>
  <c r="B45" i="37" a="1"/>
  <c r="B45" i="37" s="1"/>
  <c r="D45" i="37" s="1"/>
  <c r="B46" i="37" l="1" a="1"/>
  <c r="B46" i="37" s="1"/>
  <c r="C45" i="37" a="1"/>
  <c r="C45" i="37" s="1"/>
  <c r="M81" i="31"/>
  <c r="C11" i="40" s="1"/>
  <c r="G11" i="40"/>
  <c r="AA11" i="40" s="1"/>
  <c r="AL95" i="31"/>
  <c r="AL249" i="31" s="1"/>
  <c r="C35" i="40" s="1"/>
  <c r="C37" i="40" s="1"/>
  <c r="BQ95" i="31"/>
  <c r="C12" i="40"/>
  <c r="C46" i="37" l="1" a="1"/>
  <c r="C46" i="37" s="1"/>
  <c r="D46" i="37"/>
  <c r="B47" i="37" a="1"/>
  <c r="B47" i="37" s="1"/>
  <c r="H16" i="32"/>
  <c r="S249" i="31"/>
  <c r="S252" i="31" s="1"/>
  <c r="X12" i="40"/>
  <c r="Q249" i="31"/>
  <c r="C23" i="46" s="1"/>
  <c r="BQ90" i="31"/>
  <c r="D19" i="32"/>
  <c r="BR95" i="31"/>
  <c r="X11" i="40"/>
  <c r="D18" i="32"/>
  <c r="C31" i="46" l="1"/>
  <c r="C35" i="46"/>
  <c r="AG12" i="40"/>
  <c r="AJ12" i="40"/>
  <c r="AG11" i="40"/>
  <c r="AJ11" i="40"/>
  <c r="D47" i="37"/>
  <c r="B49" i="37" a="1"/>
  <c r="B49" i="37" s="1"/>
  <c r="X29" i="40"/>
  <c r="E16" i="32"/>
  <c r="C20" i="40"/>
  <c r="I113" i="40"/>
  <c r="C53" i="40"/>
  <c r="U53" i="40" s="1"/>
  <c r="U54" i="40" s="1"/>
  <c r="U55" i="40" s="1"/>
  <c r="U56" i="40" s="1"/>
  <c r="U57" i="40" s="1"/>
  <c r="U58" i="40" s="1"/>
  <c r="U59" i="40" s="1"/>
  <c r="U60" i="40" s="1"/>
  <c r="U61" i="40" s="1"/>
  <c r="U62" i="40" s="1"/>
  <c r="U63" i="40" s="1"/>
  <c r="U64" i="40" s="1"/>
  <c r="U65" i="40" s="1"/>
  <c r="U66" i="40" s="1"/>
  <c r="U67" i="40" s="1"/>
  <c r="U68" i="40" s="1"/>
  <c r="U69" i="40" s="1"/>
  <c r="U70" i="40" s="1"/>
  <c r="U71" i="40" s="1"/>
  <c r="U72" i="40" s="1"/>
  <c r="U73" i="40" s="1"/>
  <c r="U74" i="40" s="1"/>
  <c r="U75" i="40" s="1"/>
  <c r="U76" i="40" s="1"/>
  <c r="U77" i="40" s="1"/>
  <c r="U78" i="40" s="1"/>
  <c r="U79" i="40" s="1"/>
  <c r="U80" i="40" s="1"/>
  <c r="U81" i="40" s="1"/>
  <c r="U82" i="40" s="1"/>
  <c r="U83" i="40" s="1"/>
  <c r="U84" i="40" s="1"/>
  <c r="U85" i="40" s="1"/>
  <c r="U86" i="40" s="1"/>
  <c r="U87" i="40" s="1"/>
  <c r="U88" i="40" s="1"/>
  <c r="U89" i="40" s="1"/>
  <c r="U90" i="40" s="1"/>
  <c r="U91" i="40" s="1"/>
  <c r="U92" i="40" s="1"/>
  <c r="U93" i="40" s="1"/>
  <c r="U94" i="40" s="1"/>
  <c r="U95" i="40" s="1"/>
  <c r="U96" i="40" s="1"/>
  <c r="U97" i="40" s="1"/>
  <c r="U98" i="40" s="1"/>
  <c r="U99" i="40" s="1"/>
  <c r="U100" i="40" s="1"/>
  <c r="U101" i="40" s="1"/>
  <c r="U102" i="40" s="1"/>
  <c r="U103" i="40" s="1"/>
  <c r="U104" i="40" s="1"/>
  <c r="U105" i="40" s="1"/>
  <c r="U106" i="40" s="1"/>
  <c r="U107" i="40" s="1"/>
  <c r="U108" i="40" s="1"/>
  <c r="U109" i="40" s="1"/>
  <c r="U110" i="40" s="1"/>
  <c r="U111" i="40" s="1"/>
  <c r="U112" i="40" s="1"/>
  <c r="B113" i="40"/>
  <c r="C38" i="40"/>
  <c r="U113" i="40" l="1"/>
  <c r="B50" i="37" a="1"/>
  <c r="B50" i="37" s="1"/>
  <c r="C33" i="40"/>
  <c r="C39" i="40" s="1"/>
  <c r="Y30" i="40"/>
  <c r="Z30" i="40"/>
  <c r="C45" i="40"/>
  <c r="X45" i="40" s="1"/>
  <c r="C47" i="40"/>
  <c r="X47" i="40" s="1"/>
  <c r="X38" i="40"/>
  <c r="C46" i="40"/>
  <c r="X46" i="40" s="1"/>
  <c r="X20" i="40"/>
  <c r="X22" i="40" s="1"/>
  <c r="B51" i="37" l="1" a="1"/>
  <c r="B51" i="37" s="1"/>
  <c r="BR235" i="31"/>
  <c r="BR249" i="31" s="1"/>
  <c r="BC235" i="31"/>
  <c r="BC249" i="31"/>
  <c r="C7" i="45" s="1"/>
  <c r="P235" i="31"/>
  <c r="BD235" i="31" s="1"/>
  <c r="BD249" i="31" s="1"/>
  <c r="D7" i="45" s="1"/>
  <c r="P234" i="31"/>
  <c r="P249" i="31" s="1"/>
  <c r="B83" i="40" s="1"/>
  <c r="E19" i="40"/>
  <c r="BN235" i="31"/>
  <c r="BN249" i="31" s="1"/>
  <c r="N234" i="31"/>
  <c r="AE234" i="31" s="1"/>
  <c r="BO235" i="31" l="1"/>
  <c r="O252" i="31"/>
  <c r="C22" i="46"/>
  <c r="C34" i="46" s="1"/>
  <c r="C36" i="40"/>
  <c r="C44" i="40" s="1"/>
  <c r="X44" i="40" s="1"/>
  <c r="BC251" i="31"/>
  <c r="AN252" i="31" s="1"/>
  <c r="C30" i="46"/>
  <c r="N249" i="31"/>
  <c r="D19" i="40"/>
  <c r="M235" i="31"/>
  <c r="M234" i="31" s="1"/>
  <c r="C42" i="40" l="1"/>
  <c r="X42" i="40" s="1"/>
  <c r="C43" i="40"/>
  <c r="X43" i="40" s="1"/>
  <c r="X36" i="40"/>
  <c r="C21" i="46"/>
  <c r="C34" i="40"/>
  <c r="N252" i="31"/>
  <c r="B53" i="40"/>
  <c r="O53" i="40" s="1"/>
  <c r="A49" i="37" a="1"/>
  <c r="A49" i="37" s="1"/>
  <c r="A30" i="37" a="1"/>
  <c r="A30" i="37" s="1"/>
  <c r="A5" i="37" a="1"/>
  <c r="A5" i="37" s="1"/>
  <c r="C19" i="40"/>
  <c r="A27" i="37" a="1"/>
  <c r="A27" i="37" s="1"/>
  <c r="A42" i="37" a="1"/>
  <c r="A42" i="37" s="1"/>
  <c r="A15" i="37" a="1"/>
  <c r="A15" i="37" s="1"/>
  <c r="A34" i="37" a="1"/>
  <c r="A34" i="37" s="1"/>
  <c r="A18" i="37" a="1"/>
  <c r="A18" i="37" s="1"/>
  <c r="A28" i="37" a="1"/>
  <c r="A28" i="37" s="1"/>
  <c r="A22" i="37" a="1"/>
  <c r="A22" i="37" s="1"/>
  <c r="A21" i="37" a="1"/>
  <c r="A21" i="37" s="1"/>
  <c r="A16" i="37" a="1"/>
  <c r="A16" i="37" s="1"/>
  <c r="A12" i="37" a="1"/>
  <c r="A12" i="37" s="1"/>
  <c r="A14" i="37" a="1"/>
  <c r="A14" i="37" s="1"/>
  <c r="A26" i="37" a="1"/>
  <c r="A26" i="37" s="1"/>
  <c r="A35" i="37" a="1"/>
  <c r="A35" i="37" s="1"/>
  <c r="A17" i="37" a="1"/>
  <c r="A17" i="37" s="1"/>
  <c r="A6" i="37" a="1"/>
  <c r="A6" i="37" s="1"/>
  <c r="A31" i="37" a="1"/>
  <c r="A31" i="37" s="1"/>
  <c r="M249" i="31"/>
  <c r="A40" i="37" a="1"/>
  <c r="A40" i="37" s="1"/>
  <c r="A25" i="37" a="1"/>
  <c r="A25" i="37" s="1"/>
  <c r="A41" i="37" a="1"/>
  <c r="A41" i="37" s="1"/>
  <c r="A29" i="37" a="1"/>
  <c r="A29" i="37" s="1"/>
  <c r="A38" i="37" a="1"/>
  <c r="A38" i="37" s="1"/>
  <c r="A13" i="37" a="1"/>
  <c r="A13" i="37" s="1"/>
  <c r="A19" i="37" a="1"/>
  <c r="A19" i="37" s="1"/>
  <c r="A20" i="37" a="1"/>
  <c r="A20" i="37" s="1"/>
  <c r="A32" i="37" a="1"/>
  <c r="A32" i="37" s="1"/>
  <c r="A23" i="37" a="1"/>
  <c r="A23" i="37" s="1"/>
  <c r="A33" i="37" a="1"/>
  <c r="A33" i="37" s="1"/>
  <c r="A36" i="37" a="1"/>
  <c r="A36" i="37" s="1"/>
  <c r="A51" i="37" a="1"/>
  <c r="A51" i="37" s="1"/>
  <c r="A44" i="37" a="1"/>
  <c r="A44" i="37" s="1"/>
  <c r="D25" i="32"/>
  <c r="E25" i="32" s="1"/>
  <c r="A7" i="37" a="1"/>
  <c r="A7" i="37" s="1"/>
  <c r="A37" i="37" a="1"/>
  <c r="A37" i="37" s="1"/>
  <c r="A11" i="37" a="1"/>
  <c r="A11" i="37" s="1"/>
  <c r="A9" i="37" a="1"/>
  <c r="A9" i="37" s="1"/>
  <c r="A39" i="37" a="1"/>
  <c r="A39" i="37" s="1"/>
  <c r="A8" i="37" a="1"/>
  <c r="A8" i="37" s="1"/>
  <c r="A43" i="37" a="1"/>
  <c r="A43" i="37" s="1"/>
  <c r="A50" i="37" a="1"/>
  <c r="A50" i="37" s="1"/>
  <c r="A4" i="37" a="1"/>
  <c r="A4" i="37" s="1"/>
  <c r="A24" i="37" a="1"/>
  <c r="A24" i="37" s="1"/>
  <c r="A10" i="37" a="1"/>
  <c r="A10" i="37" s="1"/>
  <c r="V53" i="40" l="1"/>
  <c r="O54" i="40"/>
  <c r="H8" i="33"/>
  <c r="J8" i="33" s="1"/>
  <c r="X19" i="40"/>
  <c r="C23" i="40"/>
  <c r="AN253" i="31"/>
  <c r="G3" i="33"/>
  <c r="N253" i="31"/>
  <c r="O253" i="31"/>
  <c r="C48" i="40"/>
  <c r="X48" i="40" s="1"/>
  <c r="C41" i="40"/>
  <c r="X34" i="40"/>
  <c r="C33" i="46"/>
  <c r="C29" i="46"/>
  <c r="AJ19" i="40" l="1"/>
  <c r="X23" i="40"/>
  <c r="AG19" i="40"/>
  <c r="C40" i="40"/>
  <c r="C51" i="40"/>
  <c r="X51" i="40" s="1"/>
  <c r="X41" i="40"/>
  <c r="C50" i="40"/>
  <c r="X50" i="40" s="1"/>
  <c r="U16" i="40"/>
  <c r="U11" i="40"/>
  <c r="U17" i="40"/>
  <c r="U12" i="40"/>
  <c r="W23" i="40"/>
  <c r="U8" i="40"/>
  <c r="U9" i="40"/>
  <c r="U5" i="40"/>
  <c r="U6" i="40"/>
  <c r="U14" i="40"/>
  <c r="U18" i="40"/>
  <c r="C25" i="40"/>
  <c r="C31" i="40"/>
  <c r="C24" i="40"/>
  <c r="V23" i="40"/>
  <c r="U13" i="40"/>
  <c r="U10" i="40"/>
  <c r="U7" i="40"/>
  <c r="U15" i="40"/>
  <c r="U19" i="40"/>
  <c r="V54" i="40"/>
  <c r="O55" i="40"/>
  <c r="Z24" i="40" l="1"/>
  <c r="Y24" i="40"/>
  <c r="O56" i="40"/>
  <c r="V55" i="40"/>
  <c r="C49" i="40"/>
  <c r="X49" i="40" s="1"/>
  <c r="X40" i="40"/>
  <c r="V56" i="40" l="1"/>
  <c r="O57" i="40"/>
  <c r="O58" i="40" l="1"/>
  <c r="V57" i="40"/>
  <c r="O59" i="40" l="1"/>
  <c r="V58" i="40"/>
  <c r="O60" i="40" l="1"/>
  <c r="V59" i="40"/>
  <c r="O61" i="40" l="1"/>
  <c r="V60" i="40"/>
  <c r="V61" i="40" l="1"/>
  <c r="O62" i="40"/>
  <c r="O63" i="40" l="1"/>
  <c r="V62" i="40"/>
  <c r="V63" i="40" l="1"/>
  <c r="O64" i="40"/>
  <c r="V64" i="40" l="1"/>
  <c r="O65" i="40"/>
  <c r="O66" i="40" l="1"/>
  <c r="V65" i="40"/>
  <c r="O67" i="40" l="1"/>
  <c r="V66" i="40"/>
  <c r="O68" i="40" l="1"/>
  <c r="V67" i="40"/>
  <c r="O69" i="40" l="1"/>
  <c r="V68" i="40"/>
  <c r="O70" i="40" l="1"/>
  <c r="V69" i="40"/>
  <c r="O71" i="40" l="1"/>
  <c r="V70" i="40"/>
  <c r="V71" i="40" l="1"/>
  <c r="O72" i="40"/>
  <c r="O73" i="40" l="1"/>
  <c r="V72" i="40"/>
  <c r="V73" i="40" l="1"/>
  <c r="O74" i="40"/>
  <c r="V74" i="40" l="1"/>
  <c r="O75" i="40"/>
  <c r="O76" i="40" l="1"/>
  <c r="V75" i="40"/>
  <c r="V76" i="40" l="1"/>
  <c r="O77" i="40"/>
  <c r="O78" i="40" l="1"/>
  <c r="V77" i="40"/>
  <c r="O79" i="40" l="1"/>
  <c r="V78" i="40"/>
  <c r="O80" i="40" l="1"/>
  <c r="V79" i="40"/>
  <c r="O81" i="40" l="1"/>
  <c r="V80" i="40"/>
  <c r="V81" i="40" l="1"/>
  <c r="O82" i="40"/>
  <c r="O83" i="40" l="1"/>
  <c r="V82" i="40"/>
  <c r="V83" i="40" l="1"/>
  <c r="O84" i="40"/>
  <c r="V84" i="40" l="1"/>
  <c r="O85" i="40"/>
  <c r="V85" i="40" l="1"/>
  <c r="O86" i="40"/>
  <c r="V86" i="40" l="1"/>
  <c r="O87" i="40"/>
  <c r="O88" i="40" l="1"/>
  <c r="V87" i="40"/>
  <c r="O89" i="40" l="1"/>
  <c r="V88" i="40"/>
  <c r="O90" i="40" l="1"/>
  <c r="V89" i="40"/>
  <c r="O91" i="40" l="1"/>
  <c r="V90" i="40"/>
  <c r="V91" i="40" l="1"/>
  <c r="O92" i="40"/>
  <c r="O93" i="40" l="1"/>
  <c r="V92" i="40"/>
  <c r="V93" i="40" l="1"/>
  <c r="O94" i="40"/>
  <c r="V94" i="40" l="1"/>
  <c r="O95" i="40"/>
  <c r="V95" i="40" l="1"/>
  <c r="O96" i="40"/>
  <c r="O97" i="40" l="1"/>
  <c r="V96" i="40"/>
  <c r="O98" i="40" l="1"/>
  <c r="V97" i="40"/>
  <c r="O99" i="40" l="1"/>
  <c r="V98" i="40"/>
  <c r="V99" i="40" l="1"/>
  <c r="O100" i="40"/>
  <c r="O101" i="40" l="1"/>
  <c r="V100" i="40"/>
  <c r="V101" i="40" l="1"/>
  <c r="O102" i="40"/>
  <c r="O103" i="40" l="1"/>
  <c r="V102" i="40"/>
  <c r="V103" i="40" l="1"/>
  <c r="O104" i="40"/>
  <c r="V104" i="40" l="1"/>
  <c r="O105" i="40"/>
  <c r="V105" i="40" l="1"/>
  <c r="O106" i="40"/>
  <c r="O107" i="40" l="1"/>
  <c r="V106" i="40"/>
  <c r="O108" i="40" l="1"/>
  <c r="V107" i="40"/>
  <c r="O109" i="40" l="1"/>
  <c r="V108" i="40"/>
  <c r="O110" i="40" l="1"/>
  <c r="V109" i="40"/>
  <c r="O111" i="40" l="1"/>
  <c r="V110" i="40"/>
  <c r="V111" i="40" l="1"/>
  <c r="O112" i="40"/>
  <c r="O113" i="40" l="1"/>
  <c r="V113" i="40" s="1"/>
  <c r="V112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O4" authorId="0" shapeId="0" xr:uid="{FE98C415-ADF7-47FC-B214-AE90DD6A758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80% de la surface de toiture
</t>
        </r>
      </text>
    </comment>
    <comment ref="E5" authorId="0" shapeId="0" xr:uid="{70D75A97-22F0-47B8-A840-9D4960DB01D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Logements par étage</t>
        </r>
      </text>
    </comment>
    <comment ref="N5" authorId="0" shapeId="0" xr:uid="{FE2167C0-4B18-47E9-B674-2BDCAF76C91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0.5m par m2 de SRE</t>
        </r>
      </text>
    </comment>
    <comment ref="E6" authorId="0" shapeId="0" xr:uid="{F13D2B2D-7422-46C4-BB08-7837D5A4E3E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Nombre de logements 
OFS: surface moyenne logements époque 2016-2021 = 102,4
</t>
        </r>
      </text>
    </comment>
    <comment ref="E7" authorId="0" shapeId="0" xr:uid="{2FF31372-B0F9-4F87-A682-214AB843E52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Valeur la plus basse possible pour cette volumétrie</t>
        </r>
      </text>
    </comment>
    <comment ref="E9" authorId="0" shapeId="0" xr:uid="{5CB507DA-176F-447A-A170-8959B33ACE6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Emprise au sol du bâtiment
</t>
        </r>
      </text>
    </comment>
    <comment ref="E10" authorId="0" shapeId="0" xr:uid="{B2C32E95-F86C-493F-AFC5-FA8EDD36B12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Parking par logement
28m2 de parking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A3" authorId="0" shapeId="0" xr:uid="{F83051C7-15CB-48C5-AA76-DCCA06D3A96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A9" authorId="0" shapeId="0" xr:uid="{6F66E568-ADA0-4E38-B058-97B002C77CC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C11" authorId="0" shapeId="0" xr:uid="{B35A0457-DFDA-4AE7-B1AA-15987304D1B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16.7 Stk/m2
9 kg/Stk</t>
        </r>
      </text>
    </comment>
    <comment ref="C12" authorId="0" shapeId="0" xr:uid="{32ADD48C-6A96-4111-9C3E-015FB283048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Mörtelbedarf: 32L/m2
1.6kg/L</t>
        </r>
      </text>
    </comment>
    <comment ref="A31" authorId="0" shapeId="0" xr:uid="{468EADC9-0714-4E0A-8E8C-AF30B5B08C77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every 6m columns with bricks in the middle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  <author>Matthias Klingler</author>
  </authors>
  <commentList>
    <comment ref="B62" authorId="0" shapeId="0" xr:uid="{76192567-743A-4EF3-AB10-7D8504AD824F}">
      <text>
        <r>
          <rPr>
            <b/>
            <sz val="9"/>
            <color indexed="81"/>
            <rFont val="Tahoma"/>
            <family val="2"/>
          </rPr>
          <t>Priore Yasmine
Wood beams glued together</t>
        </r>
      </text>
    </comment>
    <comment ref="B104" authorId="1" shapeId="0" xr:uid="{9FD386FD-F031-4941-8CA9-266D0ACAAEE7}">
      <text>
        <r>
          <rPr>
            <b/>
            <sz val="10"/>
            <color rgb="FF000000"/>
            <rFont val="Tahoma"/>
            <family val="2"/>
          </rPr>
          <t>Matthias Klingler: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Ist bei Wärmeverteilung Bodenheizung Zusatzaufwand für Wärmedämmung und Zementunterlagsboden berücksichtigt? </t>
        </r>
        <r>
          <rPr>
            <b/>
            <sz val="10"/>
            <color rgb="FF000000"/>
            <rFont val="Tahoma"/>
            <family val="2"/>
          </rPr>
          <t>Nein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<sst xmlns="http://schemas.openxmlformats.org/spreadsheetml/2006/main" count="8819" uniqueCount="3486">
  <si>
    <t>L'outil se base sur l'outil SIA 2032 - Annexe D - mis à jour avec la nouvelle version du KBOB (2021) et modifié pour répondre aux exigences de projet</t>
  </si>
  <si>
    <t>L'outil simplifié de Minergie a servit d'inspiration pour la paramétrisation de différents paramètres de conception</t>
  </si>
  <si>
    <t>Sensitivité des paramètres dans l'outil:</t>
  </si>
  <si>
    <t>Facteur d'enveloppe</t>
  </si>
  <si>
    <t>WWR</t>
  </si>
  <si>
    <t>Sous-sols</t>
  </si>
  <si>
    <t>Hypothèses métré simplifié</t>
  </si>
  <si>
    <t>Détail impact construction</t>
  </si>
  <si>
    <t xml:space="preserve">Impact total: </t>
  </si>
  <si>
    <t>kgCO2éq/m2.an</t>
  </si>
  <si>
    <t>Hauteur des étages</t>
  </si>
  <si>
    <t>Facteur murs internes porteurs</t>
  </si>
  <si>
    <t>*SIA 2032</t>
  </si>
  <si>
    <t>L'élément constructif le plus intense en terme d'impact:</t>
  </si>
  <si>
    <t>Facteur murs internes non porteurs</t>
  </si>
  <si>
    <t>Facteur balcons</t>
  </si>
  <si>
    <t>Métré</t>
  </si>
  <si>
    <t>B06 / B07.02</t>
  </si>
  <si>
    <t>Règles de calcul:</t>
  </si>
  <si>
    <t>SIA 2032:
Pieux de fondation: 1,5m de pieu par m2 de dalle de fondation
Installations techniques: calcul simplifié en fonction de la surface de référence énergétique</t>
  </si>
  <si>
    <t>Construction</t>
  </si>
  <si>
    <t>Exploitation</t>
  </si>
  <si>
    <t>Caractéristiques et volumétrie</t>
  </si>
  <si>
    <t>Guide</t>
  </si>
  <si>
    <t>Choix constructifs</t>
  </si>
  <si>
    <t>Système énergétique</t>
  </si>
  <si>
    <t>Catégorie d'ouvrage</t>
  </si>
  <si>
    <t>Résidentiel</t>
  </si>
  <si>
    <t>Sous-sol</t>
  </si>
  <si>
    <t>surface PV</t>
  </si>
  <si>
    <t>ok</t>
  </si>
  <si>
    <t>Nombre d'étages</t>
  </si>
  <si>
    <t>Fouille</t>
  </si>
  <si>
    <t>Blindage (Paroi berlinoise)</t>
  </si>
  <si>
    <t>Sondes géothermiques</t>
  </si>
  <si>
    <t>Non</t>
  </si>
  <si>
    <t>longueur (m)</t>
  </si>
  <si>
    <t>(augmente COP de la PAC et impact émissions grises)</t>
  </si>
  <si>
    <t>Surface de référence énergétique</t>
  </si>
  <si>
    <t>m2</t>
  </si>
  <si>
    <t>Fondation</t>
  </si>
  <si>
    <t>Pieux en béton préfabriqué</t>
  </si>
  <si>
    <t>Capteurs solaires</t>
  </si>
  <si>
    <t>(réduit la consommation PAC pour l'eau chaude) Max 60% des besoins</t>
  </si>
  <si>
    <t>Facteur d'enveloppe (Ath/Ae)</t>
  </si>
  <si>
    <t>/</t>
  </si>
  <si>
    <t>non-isolés</t>
  </si>
  <si>
    <t>Indice Minergie/Mopec</t>
  </si>
  <si>
    <t>Minergie</t>
  </si>
  <si>
    <t>Niveaux de performance!</t>
  </si>
  <si>
    <t>(impact sur la consommation)</t>
  </si>
  <si>
    <t>%</t>
  </si>
  <si>
    <t>Production de chaleur moyenne - besoins en puissance 30 W/m2 et chauffage au sol</t>
  </si>
  <si>
    <t>Surface de plancher sous-sol</t>
  </si>
  <si>
    <t>Hors-terrain</t>
  </si>
  <si>
    <t>Installation photovolotaique moyenne (1m2 = 0.14kWp)</t>
  </si>
  <si>
    <t>Nombre d'étages sous-sol</t>
  </si>
  <si>
    <t xml:space="preserve">Type de structure </t>
  </si>
  <si>
    <t xml:space="preserve">Béton </t>
  </si>
  <si>
    <t>(uniquement 2 choix)</t>
  </si>
  <si>
    <t>Collecteurs solaires plan, eau chaude immeuble collectif</t>
  </si>
  <si>
    <t>Plancher</t>
  </si>
  <si>
    <t>facade</t>
  </si>
  <si>
    <t>Type de chaudière</t>
  </si>
  <si>
    <t xml:space="preserve">Eau chaude </t>
  </si>
  <si>
    <t>Isolant sous-sol?</t>
  </si>
  <si>
    <t>XPS</t>
  </si>
  <si>
    <t>Deux niveaux de détail: 1 super simplifié 2 les choix discutés</t>
  </si>
  <si>
    <t>isolant princ. Facade</t>
  </si>
  <si>
    <t>EPS</t>
  </si>
  <si>
    <t>Selon PAC directement sondes géo</t>
  </si>
  <si>
    <t>Minergie justificatif</t>
  </si>
  <si>
    <t>Portées de dalles</t>
  </si>
  <si>
    <t>Si différent plancher rez</t>
  </si>
  <si>
    <t>Si diff. Toiture</t>
  </si>
  <si>
    <t>Ventilation (simple ou double flux)</t>
  </si>
  <si>
    <t>conso et rendement 2024</t>
  </si>
  <si>
    <t>SRE</t>
  </si>
  <si>
    <t>voir KBOB pour unité de calcul</t>
  </si>
  <si>
    <t>Cet onglet présente une synthèse détaillée de l'impact des composants choisis - Ne pas modifier les valeurs sur cette page</t>
  </si>
  <si>
    <t>(Reprend les valeurs dans "BillQuantities")</t>
  </si>
  <si>
    <t>Future KBOB</t>
  </si>
  <si>
    <t>Partie de batiment</t>
  </si>
  <si>
    <t>eCCC-Bat</t>
  </si>
  <si>
    <t>Désignation</t>
  </si>
  <si>
    <t>Macro-composant sélectionné</t>
  </si>
  <si>
    <t>Détail des macro-composants</t>
  </si>
  <si>
    <t>Référence matériaux KBOB</t>
  </si>
  <si>
    <t>KBOB ID</t>
  </si>
  <si>
    <t>Unité</t>
  </si>
  <si>
    <t>Quantités</t>
  </si>
  <si>
    <t>Quantité par m2 d'élément</t>
  </si>
  <si>
    <t>Durée de vie</t>
  </si>
  <si>
    <t>Impact carbone total [kgCO2éq/m2.an]</t>
  </si>
  <si>
    <t>Net-GWP storage</t>
  </si>
  <si>
    <t>Travaux préparatoires</t>
  </si>
  <si>
    <t>Fouilles B06 / B07.02</t>
  </si>
  <si>
    <t>Excavations</t>
  </si>
  <si>
    <t>m3</t>
  </si>
  <si>
    <t xml:space="preserve">Enceintes de fouilles </t>
  </si>
  <si>
    <t>Pieux de fondation</t>
  </si>
  <si>
    <t>Enveloppe du bâtiment souterraine</t>
  </si>
  <si>
    <t>C01</t>
  </si>
  <si>
    <t>Fondations, radiers [C01]</t>
  </si>
  <si>
    <t>06.002</t>
  </si>
  <si>
    <t>Laine de roche</t>
  </si>
  <si>
    <t>10.008</t>
  </si>
  <si>
    <t>03.008</t>
  </si>
  <si>
    <t>C02.01 (A) / E01</t>
  </si>
  <si>
    <t>Parois extérieures souterraines</t>
  </si>
  <si>
    <t>10.005</t>
  </si>
  <si>
    <t>C04.04 / F01.01</t>
  </si>
  <si>
    <t>Toitures souterraines</t>
  </si>
  <si>
    <t>Enveloppe du bâtiment hors terrain</t>
  </si>
  <si>
    <t>C02.01 (B)</t>
  </si>
  <si>
    <t>Parois extérieures hors terrain</t>
  </si>
  <si>
    <t>E02</t>
  </si>
  <si>
    <t>Revetements de facades</t>
  </si>
  <si>
    <t>10.004</t>
  </si>
  <si>
    <t>04.014</t>
  </si>
  <si>
    <t>E03 / F02</t>
  </si>
  <si>
    <t>Fenetres</t>
  </si>
  <si>
    <t>PVC</t>
  </si>
  <si>
    <t>05.007</t>
  </si>
  <si>
    <t>C04.04 / C04.05</t>
  </si>
  <si>
    <t>Toitures (structure porteuse)</t>
  </si>
  <si>
    <t>F01.02 / F01.03</t>
  </si>
  <si>
    <t>Couvertures</t>
  </si>
  <si>
    <t>03.004</t>
  </si>
  <si>
    <t>07.011</t>
  </si>
  <si>
    <t>10.001</t>
  </si>
  <si>
    <t>Eléments de construction intérieurs et extérieurs</t>
  </si>
  <si>
    <t>C02.02 / G03</t>
  </si>
  <si>
    <t>Parois intérieures, revetements de parois</t>
  </si>
  <si>
    <t>Porteuse</t>
  </si>
  <si>
    <t>Non porteuse</t>
  </si>
  <si>
    <t>C04.01</t>
  </si>
  <si>
    <t>Planchers internes</t>
  </si>
  <si>
    <t>Rez</t>
  </si>
  <si>
    <t>G02 / G04</t>
  </si>
  <si>
    <t>Revetements de sols et de plafonds</t>
  </si>
  <si>
    <t>Isolant contre terre</t>
  </si>
  <si>
    <t>C04.08</t>
  </si>
  <si>
    <t>Balcons, avant-toits</t>
  </si>
  <si>
    <t>Balcons y c. dispositifs antichute</t>
  </si>
  <si>
    <t>Installations</t>
  </si>
  <si>
    <t>D01</t>
  </si>
  <si>
    <t>Installation électriques</t>
  </si>
  <si>
    <t>Installation</t>
  </si>
  <si>
    <t>Installation photovoltaique (1 m2 = 0.14 kWp)</t>
  </si>
  <si>
    <t>34.024</t>
  </si>
  <si>
    <t>kWp</t>
  </si>
  <si>
    <t>D05</t>
  </si>
  <si>
    <t>Installlations techniques de chauffage</t>
  </si>
  <si>
    <t>Production de chaleur</t>
  </si>
  <si>
    <t>31.002</t>
  </si>
  <si>
    <t>Distribution et émission de chaleur</t>
  </si>
  <si>
    <t>Distribution</t>
  </si>
  <si>
    <t>Emissions</t>
  </si>
  <si>
    <t>31.016</t>
  </si>
  <si>
    <t>m</t>
  </si>
  <si>
    <t>31.009</t>
  </si>
  <si>
    <t>D07</t>
  </si>
  <si>
    <t>Installations de ventilation et de conditionnement d'air</t>
  </si>
  <si>
    <t>Extraction mécanique cuisine et salle de bain</t>
  </si>
  <si>
    <t>32.003</t>
  </si>
  <si>
    <t>Installation de ventilation</t>
  </si>
  <si>
    <t>D08</t>
  </si>
  <si>
    <t>Installations techniques de distribution d'eau</t>
  </si>
  <si>
    <t>Installation sanitaire</t>
  </si>
  <si>
    <t>Calculs background</t>
  </si>
  <si>
    <t>Listes</t>
  </si>
  <si>
    <t>SRE/nb</t>
  </si>
  <si>
    <t>Type de structure</t>
  </si>
  <si>
    <t>Isolation sous-sol</t>
  </si>
  <si>
    <t>Indice de consommation</t>
  </si>
  <si>
    <t>Windows</t>
  </si>
  <si>
    <t>Superficielle</t>
  </si>
  <si>
    <t xml:space="preserve">Oui </t>
  </si>
  <si>
    <t>Unde F</t>
  </si>
  <si>
    <t>Bois</t>
  </si>
  <si>
    <t>isolés</t>
  </si>
  <si>
    <t>Talus</t>
  </si>
  <si>
    <t>Schaumglas</t>
  </si>
  <si>
    <t>Bureaux</t>
  </si>
  <si>
    <t>Minergie-P</t>
  </si>
  <si>
    <t>Surface of facades</t>
  </si>
  <si>
    <t>Isolation hors terrain</t>
  </si>
  <si>
    <t>Laine minéralle</t>
  </si>
  <si>
    <t>Par eCCC</t>
  </si>
  <si>
    <t>Production PV</t>
  </si>
  <si>
    <t>Carbone stocké</t>
  </si>
  <si>
    <t>Fouilles</t>
  </si>
  <si>
    <t>SIA 2040</t>
  </si>
  <si>
    <t>Fondations, radiers</t>
  </si>
  <si>
    <t>Bar chart par catégorie et matériaux dans chaque bat</t>
  </si>
  <si>
    <t>Auto-production</t>
  </si>
  <si>
    <t>Budgets Suisse 2030</t>
  </si>
  <si>
    <t>Auto-consommation PV</t>
  </si>
  <si>
    <t>PV réinjectée réseau</t>
  </si>
  <si>
    <t>kgCO2eq/m2.y</t>
  </si>
  <si>
    <t>Liste unique matériaux</t>
  </si>
  <si>
    <t>kg</t>
  </si>
  <si>
    <t>(Calcul automatique sur la base des données d'entrées dans "Input")</t>
  </si>
  <si>
    <t>Eléments ou groupe d'éléments eCCC-Bat</t>
  </si>
  <si>
    <t>(Background calculation)</t>
  </si>
  <si>
    <t>Calcul simplifié sur la base des inputs</t>
  </si>
  <si>
    <t>Choix constructifs à préciser</t>
  </si>
  <si>
    <t>Grandeur de référence</t>
  </si>
  <si>
    <t>Travaux préparatoires B06 / B07.02</t>
  </si>
  <si>
    <t>Volumen</t>
  </si>
  <si>
    <t>BTF</t>
  </si>
  <si>
    <t>Bodenplatte</t>
  </si>
  <si>
    <t>Enveloppe du bâtiment souterraine C01 / 02 / 04 - E01 - F01</t>
  </si>
  <si>
    <t>Enveloppe du bâtiment hors terrain C02 / 04 - E02 / 03 - F01 / 02</t>
  </si>
  <si>
    <t>Eléments de construction intérieurs et extérieurs C02 / 04 - G03 / 04</t>
  </si>
  <si>
    <t>Installations HLKS D01 / 05 / 07 / 08</t>
  </si>
  <si>
    <t>EBF</t>
  </si>
  <si>
    <t>Leistung</t>
  </si>
  <si>
    <t>Consommation d'energie [kWh]</t>
  </si>
  <si>
    <t>Sortie electrique [kWh]</t>
  </si>
  <si>
    <t>Energie auxiliere totale [kWh]</t>
  </si>
  <si>
    <t>Agent energetique</t>
  </si>
  <si>
    <t>Consommation globale d'energie ponderée</t>
  </si>
  <si>
    <t>Indices de dépense d'énergie [kgCO2éq/m2.an]</t>
  </si>
  <si>
    <t>Données spécifiques - enveloppe thermique</t>
  </si>
  <si>
    <t>Gaz [kWh]</t>
  </si>
  <si>
    <t>Electricité fournie [kWh]</t>
  </si>
  <si>
    <t>Electricité exportée [kWh]</t>
  </si>
  <si>
    <t>Capacité thermique</t>
  </si>
  <si>
    <t>Eléments opaques (contre ext.)</t>
  </si>
  <si>
    <t>Valeur-U fenêtres (verre, cadre et intercallaire)</t>
  </si>
  <si>
    <t>(3-IV-IR U0.6 / cadre Bois/Alu U 1.2)</t>
  </si>
  <si>
    <t>Valeur g vitrage</t>
  </si>
  <si>
    <t>Valeurs-U</t>
  </si>
  <si>
    <t>Chauffage PAC</t>
  </si>
  <si>
    <t>Parois</t>
  </si>
  <si>
    <t>Eau chaude sanitaire PAC</t>
  </si>
  <si>
    <t>Toiture</t>
  </si>
  <si>
    <t>Climatisation</t>
  </si>
  <si>
    <t>Eclairage</t>
  </si>
  <si>
    <t>Ventilation</t>
  </si>
  <si>
    <t>Appareils</t>
  </si>
  <si>
    <t>Installation techniques</t>
  </si>
  <si>
    <t>auto-consommée</t>
  </si>
  <si>
    <t>Réseau</t>
  </si>
  <si>
    <t>Installation photovoltaiques</t>
  </si>
  <si>
    <t>energie fournie et energie exporté</t>
  </si>
  <si>
    <t>Facteur de ponderation</t>
  </si>
  <si>
    <t>Besoin energie ponderée</t>
  </si>
  <si>
    <t>Surface de reference energetique [m^2]</t>
  </si>
  <si>
    <t>Indice de depense d'energie.</t>
  </si>
  <si>
    <t>MOPEC 2014/2018</t>
  </si>
  <si>
    <t>Valeurs limites besoins de chauffage</t>
  </si>
  <si>
    <t>Facteur de pondération national</t>
  </si>
  <si>
    <t>Annexe 3</t>
  </si>
  <si>
    <t>Qh,li0</t>
  </si>
  <si>
    <t>D Qh,li</t>
  </si>
  <si>
    <t>Ph,li</t>
  </si>
  <si>
    <t>Ehwlk</t>
  </si>
  <si>
    <t>Electricité</t>
  </si>
  <si>
    <t>Collectif</t>
  </si>
  <si>
    <t>mazout, gaz, charbon</t>
  </si>
  <si>
    <t>individuel</t>
  </si>
  <si>
    <t>Biomasse</t>
  </si>
  <si>
    <t>admin</t>
  </si>
  <si>
    <t>Chaleur à distance</t>
  </si>
  <si>
    <t>Soleil, chaleur ambiante, géothermie</t>
  </si>
  <si>
    <t>Minergie-A</t>
  </si>
  <si>
    <t>Pondération facteur national et comprend toute la consommation et auto-production</t>
  </si>
  <si>
    <t>Solaire thermique</t>
  </si>
  <si>
    <t xml:space="preserve">Indice Minergie </t>
  </si>
  <si>
    <t>rendement solaire spécifique</t>
  </si>
  <si>
    <t>kWh/m2 de capteur</t>
  </si>
  <si>
    <t>Calcul selon le choix</t>
  </si>
  <si>
    <t>kWh</t>
  </si>
  <si>
    <t>kWh/m2SRE</t>
  </si>
  <si>
    <t>Chauffage</t>
  </si>
  <si>
    <t>Eau chaude</t>
  </si>
  <si>
    <t>m/m2EBF</t>
  </si>
  <si>
    <t>Selon les pourcentage de la SIA 2024</t>
  </si>
  <si>
    <t>PV opti</t>
  </si>
  <si>
    <t>Appareil</t>
  </si>
  <si>
    <t>Technique</t>
  </si>
  <si>
    <t>PAC chauffage</t>
  </si>
  <si>
    <t>COP chauffage</t>
  </si>
  <si>
    <t>PAC eau</t>
  </si>
  <si>
    <t>COP eau chaude</t>
  </si>
  <si>
    <t>Pondération elec</t>
  </si>
  <si>
    <t>reste pondéré</t>
  </si>
  <si>
    <t>non pondéré</t>
  </si>
  <si>
    <t>SIA 2024</t>
  </si>
  <si>
    <t>Habitat collectif</t>
  </si>
  <si>
    <t>Standard</t>
  </si>
  <si>
    <t xml:space="preserve">Cible </t>
  </si>
  <si>
    <t>Existant</t>
  </si>
  <si>
    <t>Demande annuelle en électricité de l'éclairage</t>
  </si>
  <si>
    <t>kWh/m2.an</t>
  </si>
  <si>
    <t>Demande annuelle en électricité de la ventilation</t>
  </si>
  <si>
    <t>Besoins de froid pour le refroidissement par an</t>
  </si>
  <si>
    <t>Besoins de chaleur pour le chauffage par an</t>
  </si>
  <si>
    <t>Eau</t>
  </si>
  <si>
    <t>Besoins de chaleur pour l'eau chaude sanitaire par an</t>
  </si>
  <si>
    <t>Demande annuelle en électricité des appareils</t>
  </si>
  <si>
    <t>Installations techniques</t>
  </si>
  <si>
    <t>Densité énergétique</t>
  </si>
  <si>
    <t>kWp/m2</t>
  </si>
  <si>
    <t>Productivité</t>
  </si>
  <si>
    <t>kWh/kWp.an</t>
  </si>
  <si>
    <t>Admin</t>
  </si>
  <si>
    <t>SIA 380</t>
  </si>
  <si>
    <t>Besoins de chaleur pour l'eau chaude sanitaire</t>
  </si>
  <si>
    <t>collectif</t>
  </si>
  <si>
    <t>kWh/m2</t>
  </si>
  <si>
    <t>bureau</t>
  </si>
  <si>
    <t>Primärenergie nicht erneuerbar</t>
  </si>
  <si>
    <t>THGE / GES [par unité]</t>
  </si>
  <si>
    <t>THGE / GES [total]</t>
  </si>
  <si>
    <t>THGE / GES [total par m2 de SRE]</t>
  </si>
  <si>
    <t>THGE / GES [par unité et par an]</t>
  </si>
  <si>
    <t>THGE / GES [par an] et [m2 de SRE par an]</t>
  </si>
  <si>
    <t>Biogenic</t>
  </si>
  <si>
    <t>Gebäudeteil</t>
  </si>
  <si>
    <t>BKP-Elementgruppe</t>
  </si>
  <si>
    <t>Bezeichnung</t>
  </si>
  <si>
    <t>Konstruktion</t>
  </si>
  <si>
    <t>Bezugsgrösse</t>
  </si>
  <si>
    <t>Einheit</t>
  </si>
  <si>
    <t>Erstellung pro Jahr [kWh/a]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</si>
  <si>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</si>
  <si>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t>Remplacements</t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</si>
  <si>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</si>
  <si>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</si>
  <si>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</si>
  <si>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t>Carbone biogène [kgCO2éq]</t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</si>
  <si>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</si>
  <si>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Remplacements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</si>
  <si>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</si>
  <si>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</si>
  <si>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</si>
  <si>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t>Carbone biogène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</si>
  <si>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</si>
  <si>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- pro Jahr]</t>
    </r>
  </si>
  <si>
    <r>
      <t>Total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m2SRE-  pro Jahr]</t>
    </r>
  </si>
  <si>
    <t>Excavation</t>
  </si>
  <si>
    <t>Beton 30 cm und Sauberkeitsschicht</t>
  </si>
  <si>
    <t>Beton 30 cm und Sauberkeitsschicht, Dämmung Mittewert XPS/Schaumglas</t>
  </si>
  <si>
    <t>Betonwand 25 cm, Bitumenanstrich &amp; Noppenfolie</t>
  </si>
  <si>
    <t>Betonwand 25 cm, Dämmung Mittelwert XPS/Schaumglas, Befestigung und Noppenfolie</t>
  </si>
  <si>
    <t>Custom</t>
  </si>
  <si>
    <t>Betondecke 30 cm, 1 x Polymerbitumendichtungsbahn, Schutzmatte, Kies</t>
  </si>
  <si>
    <t>Betondecke 30 cm, Dämmung Mittelwert XPS/Schaumglas, 2 x Polymerbitumendichtungsbahn, Schutzmatte, Kies</t>
  </si>
  <si>
    <t>Paroi en béton (avec enduit intérieur)</t>
  </si>
  <si>
    <t>Betonwand 20 cm, Putzsystem und Anstrich</t>
  </si>
  <si>
    <t>Paroi en brique en terre cuite (avec enduit intérieur)</t>
  </si>
  <si>
    <t>Backsteinwand 17.5 cm, Putzsystem und Anstrich</t>
  </si>
  <si>
    <t>Paroi en bois (avec revêtement en plâtre intérieur)</t>
  </si>
  <si>
    <t>Brettstapelwand 10 cm, Gipsbekleidung inkl. Spachtel, Anstrich und Unterkonstruktion</t>
  </si>
  <si>
    <t>Maconnerie monolithique isolante (avec enduit intérieur)</t>
  </si>
  <si>
    <t>Einsteinmauerwerk/Porotherm 49 cm, Putzsystem und Anstrich</t>
  </si>
  <si>
    <t>Poteaux-traverses (pour facades légère)</t>
  </si>
  <si>
    <t>Betonstützen für 3 Geschosse, Mittelwert Ortbetonstütze und Stütze vorfabriziert pro m2 Fassadenfläche (alle 3 m eine Betonstütze)</t>
  </si>
  <si>
    <t>AW ü.T.</t>
  </si>
  <si>
    <t>Revêtements de facades</t>
  </si>
  <si>
    <t>Crépis extérieur</t>
  </si>
  <si>
    <t>Mineralisches Aussenputzsystem (Grundputz, Deckputz ) inkl. Farbanstrich</t>
  </si>
  <si>
    <t>Isolation thermique extérieure, enduit</t>
  </si>
  <si>
    <t>Aussenwärmedämmung Steinwolle/EPS, mineralischer Verputz, inkl. Befestigung und Farbanstrich</t>
  </si>
  <si>
    <t>Revêtement bois, ventilé</t>
  </si>
  <si>
    <t>Bekleidung Massivholz (Holzschalung Fichte/Lärche lasiert) inkl. Unterkonstruktion (Mittelwert Konsole/Dübel), Dämmung Mineralwolle</t>
  </si>
  <si>
    <t>Revêtement fibrociment / pierre naturelle, ventilé</t>
  </si>
  <si>
    <t>Mittelwert Faserzement / Naturstein grossformatig inkl. Unterkonstruktion und Mineralwolledämmung</t>
  </si>
  <si>
    <t>Revêtement métal / verre, ventilé</t>
  </si>
  <si>
    <t>Mittelwert Alu-Verbundplatte / Einscheibensicherheitsglas, Leichtmetall Unterkonstruktion, Mineralwolledämmung</t>
  </si>
  <si>
    <t>Mur double paroi, paroi extérieure</t>
  </si>
  <si>
    <t>Klinkervormauerung 11.5 cm inkl. Dämmung Mineralwolle</t>
  </si>
  <si>
    <t>Système de facade</t>
  </si>
  <si>
    <t>Alu/Glas und Sonnenschutz (Mittelwert Lamellenstoren/Knickarmmarkise inkl. Storenkasten, Führungsschienen und Antrieb)</t>
  </si>
  <si>
    <t>Fenêtres</t>
  </si>
  <si>
    <t>Valeur moyenne triple vitrage isolant, y c. protection solaire</t>
  </si>
  <si>
    <t>Holz-Metallfenster über Brüstung, Rahmenanteil 22 %, Lamellenstoren (Aluminiumlamellen inkl. Storenkasten, Antrieb, Führungsschienen)</t>
  </si>
  <si>
    <t>Dalle en béton 25cm (avec enduit intérieur)</t>
  </si>
  <si>
    <t>Betondecke 25 cm, Putzsystem und Anstrich</t>
  </si>
  <si>
    <t>Dalle en béton 40cm (avec enduit intérieur)</t>
  </si>
  <si>
    <t>Betondecke 40 cm, Putzsystem und Anstrich</t>
  </si>
  <si>
    <t>Tôle ondulée-béton</t>
  </si>
  <si>
    <t>Profilblech Verbunddecke, Spannweite 5 m inkl. IPE Träger, Überdeckung 11 cm, Gesamtdicke 27 cm</t>
  </si>
  <si>
    <t>Plancher en bois massif (avec revêtement en plâtre en sous-face)</t>
  </si>
  <si>
    <t>Brettstapeldecke 5-6 m Spannweite, 23 cm Massivholz verdübelt, Gipsbekleidung inkl. Spachtel, Anstrich und Unterkonstruktion</t>
  </si>
  <si>
    <t>Plancher à solivages en bois (avec revêtement en plâtre en sous-face)</t>
  </si>
  <si>
    <t>Holzbalkendecke, Gipsbekleidung inkl. Spachtel, Anstrich und Unterkonstruktion</t>
  </si>
  <si>
    <t>Toiture plate isolée</t>
  </si>
  <si>
    <t>Dachaufbau, Mittelwert EPS/PUR/Steinwolle. Bituminöse Dampfbremse, 2 x Polymerbitumendichtungsbahn, Schutz-/Trennschicht, Extensivbegrünung</t>
  </si>
  <si>
    <t>Toiture plate non isolée</t>
  </si>
  <si>
    <t>Dachaufbau ohne Dämmung, bituminös (2 x Polymerbitumendichtungsbahn, Trennschicht, Extensivbegrünung)</t>
  </si>
  <si>
    <t>Toiture inclinée isolée</t>
  </si>
  <si>
    <t>Mineralwolledämmung, Ziegeleindeckung inkl. Unterdach und Verankerung (Standardeindeckung, Konter- und Ziegellattung, diffusionsoffene Unterdachfolie)</t>
  </si>
  <si>
    <t>Toiture inclinée non isolée</t>
  </si>
  <si>
    <t>Ziegeleindeckung inkl. Unterdach und Verankerung (Standardeindeckung, Konter- und Ziegellattung, diffusionsoffene Unterdachfolie)</t>
  </si>
  <si>
    <t>Parois intérieures, revêtements de parois</t>
  </si>
  <si>
    <t>Porteuse (moyenne) (avec enduit intérieur)</t>
  </si>
  <si>
    <t>Mittelwert Beton 20 cm, Backstein/KS 15 cm</t>
  </si>
  <si>
    <t>Non porteuse (moyenne) (avec enduit intérieur)</t>
  </si>
  <si>
    <t xml:space="preserve"> </t>
  </si>
  <si>
    <t>Planchers (Rez)</t>
  </si>
  <si>
    <t>Betondecke 25 cm</t>
  </si>
  <si>
    <t>Plancher en éléments de bois (avec revêtement en plâtre en sous face)</t>
  </si>
  <si>
    <t>Hohlkörperdecke (6 m Spannweite), mit Schalldämung, Massivholz verleimt</t>
  </si>
  <si>
    <t>Système mixte bois-béton (avec revêtement en plâtre en sous face)</t>
  </si>
  <si>
    <t>Holzbetonverbund 22 cm, 9 cm Beton, 13 cm Brettstapel</t>
  </si>
  <si>
    <t>Planchers (Hors-terrain)</t>
  </si>
  <si>
    <t>Planchers (sous-sol)</t>
  </si>
  <si>
    <t>Revetements de sols et de plafonds Rez</t>
  </si>
  <si>
    <t>Revêtement de sol finis (sans supports)</t>
  </si>
  <si>
    <t>Mittwelwert Mehrschichtparkett/Linoleum inkl. Versiegelung</t>
  </si>
  <si>
    <t>Supports et revêtement de sol</t>
  </si>
  <si>
    <t>Mittwelwert Mehrschichtparkett/Keramikplatten, Zementunterlagsboden, Trennschicht, 2 cm Trittschall</t>
  </si>
  <si>
    <t>Isolation contre non chauffé</t>
  </si>
  <si>
    <t>Glaswolle 12 cm und Vlies</t>
  </si>
  <si>
    <t>Faux-plafonds techniques (moyenne)</t>
  </si>
  <si>
    <t>Revetements de sols et de plafonds HT</t>
  </si>
  <si>
    <t>Revetements de sols et de plafonds SS</t>
  </si>
  <si>
    <t>Habitation</t>
  </si>
  <si>
    <t>Elektroanlage Wohnen</t>
  </si>
  <si>
    <t>Bureau</t>
  </si>
  <si>
    <t>Elektroanlage Büro</t>
  </si>
  <si>
    <t>Solarstromanlage Flachdach</t>
  </si>
  <si>
    <t>Wärmeerzeuger 30 W/m2</t>
  </si>
  <si>
    <t>Distribution et émissions de chaleur habitation</t>
  </si>
  <si>
    <t xml:space="preserve">Verteilung Wohnen, Fussbodenheizung </t>
  </si>
  <si>
    <t>Distribution et émissions de chaleur bureau</t>
  </si>
  <si>
    <t>Verteilung Büro, Heizkörper</t>
  </si>
  <si>
    <t>Durchschnittliche Sondenlänge pro m2 EBF Wohnen und Büro</t>
  </si>
  <si>
    <t>Flachkollektor für Warmwasser MFH</t>
  </si>
  <si>
    <t>Abluftanlage Küche und Bad</t>
  </si>
  <si>
    <t>Installations de ventilation habitation</t>
  </si>
  <si>
    <t>Lüftungsanlage, spez. Luftmenge 1 m3/hm2 EBF</t>
  </si>
  <si>
    <t>Installations de ventilation bureau</t>
  </si>
  <si>
    <t>Lüftungsanlage, Mittelwert spez. Luftmenge 2 und 4 m3/hm2 EBF</t>
  </si>
  <si>
    <t>Installation sanitaire habitation</t>
  </si>
  <si>
    <t>Sanitäranlagen, Wohnen, inkl. Apparate und Leitungen</t>
  </si>
  <si>
    <t>Installation sanitaire bureau</t>
  </si>
  <si>
    <t>Sanitäranlagen, Büro, Mittelwert einfach/aufwendig, inkl. Apparate und Leitungen</t>
  </si>
  <si>
    <t>SIA 2032</t>
  </si>
  <si>
    <t>Beschreibung Bauteil</t>
  </si>
  <si>
    <t>Zusammensetzung Bauteil</t>
  </si>
  <si>
    <t>KBOB-ID</t>
  </si>
  <si>
    <t>Bezug</t>
  </si>
  <si>
    <t>PE n.e. Herstellung [kWh]</t>
  </si>
  <si>
    <t>PE n.e. Entsorgung [kWh]</t>
  </si>
  <si>
    <t>THG Herstellung [kg CO2-eq.]</t>
  </si>
  <si>
    <t>THG Entsorgung [kg CO2-eq.]</t>
  </si>
  <si>
    <t>Amortisation [a]</t>
  </si>
  <si>
    <t>PE n.e. Herstellung [kWh/a]</t>
  </si>
  <si>
    <t>PE n.e. Entsorgung [kWh/a]</t>
  </si>
  <si>
    <t>THG Herstellung [kg CO2-eq./a]</t>
  </si>
  <si>
    <t>THG Entsorgung [kg CO2-eq./a]</t>
  </si>
  <si>
    <t>Aushub / Excavation</t>
  </si>
  <si>
    <r>
      <t>pro m</t>
    </r>
    <r>
      <rPr>
        <b/>
        <vertAlign val="superscript"/>
        <sz val="11"/>
        <color theme="1"/>
        <rFont val="Arial"/>
        <family val="2"/>
      </rPr>
      <t>3</t>
    </r>
  </si>
  <si>
    <t>Aushub maschinell / Excavation mécanique</t>
  </si>
  <si>
    <t>62.001</t>
  </si>
  <si>
    <t>Baugrubenabschluss / Pfählung</t>
  </si>
  <si>
    <t>pro m2 Bodenplatte</t>
  </si>
  <si>
    <t>Baugrubenabschluss / Blindage de fouille</t>
  </si>
  <si>
    <t>00.005</t>
  </si>
  <si>
    <t>00.006</t>
  </si>
  <si>
    <t>00.007</t>
  </si>
  <si>
    <t>00.008</t>
  </si>
  <si>
    <t>00.009</t>
  </si>
  <si>
    <t>00.010</t>
  </si>
  <si>
    <t>00.011</t>
  </si>
  <si>
    <t>00.012</t>
  </si>
  <si>
    <t>Pfählung / Pieux</t>
  </si>
  <si>
    <t>Mikrobohrpfahl (Annahme 1.5 m Pfählung pro m2 Bodenplatte)</t>
  </si>
  <si>
    <t>00.013</t>
  </si>
  <si>
    <t>00.015</t>
  </si>
  <si>
    <t>Ortbetonverdrängungspfahl (Annahme 1.5 m Pfählung pro m2 Bodenplatte)</t>
  </si>
  <si>
    <t>00.018</t>
  </si>
  <si>
    <t>00.019</t>
  </si>
  <si>
    <t>Vorgefertigter Betonpfahl (Annahme 1.5 m Pfählung pro m2 Bodenplatte)</t>
  </si>
  <si>
    <t>00.020</t>
  </si>
  <si>
    <t>BfU_treeze_2016-Erneuerung_Erweiterung_Oekobilanzdaten_KBOB</t>
  </si>
  <si>
    <t>auskragendenen</t>
  </si>
  <si>
    <t>en porte-à-feux</t>
  </si>
  <si>
    <t>verankerten</t>
  </si>
  <si>
    <t>fixe</t>
  </si>
  <si>
    <t>verspriessten</t>
  </si>
  <si>
    <t>étayé</t>
  </si>
  <si>
    <t>Référence KBOB matériaux</t>
  </si>
  <si>
    <t>Référence KBOB</t>
  </si>
  <si>
    <t>Bodenplatte Fundament / Fondations, radiers</t>
  </si>
  <si>
    <r>
      <t>pro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 xml:space="preserve"> BTF</t>
    </r>
  </si>
  <si>
    <t>Choix Fondation radier</t>
  </si>
  <si>
    <t>Betonplatte als Flachfundation/Dalle en béton comme fondation plate, nicht wasserdicht/non étanche à l'eau, CEM II 300 kg/m3, Bewehrung/Armature 105 kg/m3, inkl. Sauberkeitsschicht/Couche de propreté</t>
  </si>
  <si>
    <r>
      <t>Magerbeton / Béton maigre 7 cm [kg], 2'150 [kg/m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]</t>
    </r>
  </si>
  <si>
    <t>Hochbaubeton / béton pour bâtiment, 30 cm [kg], 2'300 [kg/m3]</t>
  </si>
  <si>
    <t>Armierungsstahl / Acier d'armature [kg], 7'850 [kg/m3]</t>
  </si>
  <si>
    <t>06.003</t>
  </si>
  <si>
    <t>Manque film PE?</t>
  </si>
  <si>
    <t>Dämmung XPS, U=0.15 W/m2K (inkl. Bodenplatte)</t>
  </si>
  <si>
    <t>XPS, 33 kg/m3, lamdaD 0.033 W/mK, 20 cm [kg]</t>
  </si>
  <si>
    <t>Dämmung Schaumglas, U=0.15 W/m2K (inkl. Bodenplatte)</t>
  </si>
  <si>
    <t>Verre cellulaire / Foamglas T4+, 115 kg/m3, lambdaD 0.041 W/mK, 25 cm [kg]</t>
  </si>
  <si>
    <t>10.007</t>
  </si>
  <si>
    <t>Mittelwert Bodenplatte gedämmt / Moyenne radier isolé</t>
  </si>
  <si>
    <t>Aussenwand unter Terrain / Parois extérieures souterraines</t>
  </si>
  <si>
    <t>Choix parois outerraines</t>
  </si>
  <si>
    <t>Betonwand 25 cm, CEM II 300 kg/m3, Bewehrung 97.5 kg/m3 , Bitumenanstrich &amp; Noppenfolie</t>
  </si>
  <si>
    <t>Hochbaubeton / béton pour bâtiment, 25 cm [kg], 2'300 [kg/m3]</t>
  </si>
  <si>
    <t>3-SP Schalung/Coffrage 2.5cm (Annahme/Hyp. 5xverwendet/utilisé) [kg]</t>
  </si>
  <si>
    <t>07.001</t>
  </si>
  <si>
    <t>Bitumenanstrich / Emulsion de bitume [m2]</t>
  </si>
  <si>
    <t>14.003</t>
  </si>
  <si>
    <t>Noppenfolie / Feuille PE [kg]</t>
  </si>
  <si>
    <t>13.002</t>
  </si>
  <si>
    <t>Dämmung XPS U-Wert=0.15 W/m2K (inkl. Betonwand)</t>
  </si>
  <si>
    <t>Bitumenkleber / Colle bitumineuse [kg]</t>
  </si>
  <si>
    <t>08.002</t>
  </si>
  <si>
    <t>Betonwand 25 cm, CEM II 300 kg/m3, Bewehrung 90 kg/m3 , Bitumenanstrich &amp; Sickerplatte</t>
  </si>
  <si>
    <t>Dämmung Foamlgas U-Wert=0.15 W/m2K (inkl. Betonwand)</t>
  </si>
  <si>
    <t>Mittelwert gedämmt</t>
  </si>
  <si>
    <t>Dach unter Terrain / Toitures souterraines</t>
  </si>
  <si>
    <t>Choix toiture souterraine</t>
  </si>
  <si>
    <t>Ajouter dexcription</t>
  </si>
  <si>
    <t>Bitumenemulsion / Emulsion de bitume [m2]</t>
  </si>
  <si>
    <t>Polymerbitumenbahn EP5 [kg]</t>
  </si>
  <si>
    <t>09.003.07</t>
  </si>
  <si>
    <t>Trenn-/Schutzvlies [kg]</t>
  </si>
  <si>
    <t>09.008</t>
  </si>
  <si>
    <t>Kies 3 cm [kg]</t>
  </si>
  <si>
    <t>03.012</t>
  </si>
  <si>
    <t>Betondecke 30 cm, CEM II 300 kg/m3, Bewehrung 112.5 kg/m3, 1xPolymerbitumendichtungsbahn, Schutzmatte, Kies</t>
  </si>
  <si>
    <t>Betondecke 30 cm, CEM II 300 kg/m3, Bewehrung 112.5 kg/m3, Dämmung XPS 20 cm (U-Wert 0.15 W/m2K für gesamter Dachaufbau), 2xPolymerbitumendichtungsbahn, Schutzmatte, Kies</t>
  </si>
  <si>
    <t>Bitumenemulsion [m2]</t>
  </si>
  <si>
    <t>Polymerbitumenbahn EP4 [kg]</t>
  </si>
  <si>
    <t>09.003.01</t>
  </si>
  <si>
    <t>2xPolymerbitumenbahn EGV3 [kg]</t>
  </si>
  <si>
    <t>09.003.03</t>
  </si>
  <si>
    <t>Betondecke 30 cm, CEM II 300 kg/m3, Bewehrung 112.5 kg/m3, Dämmung Schaumglas 25 cm (U-Wert 0.15 W/m2K für gesamter Dachaufbau), 2xPolymerbitumendichtungsbahn, Schutzmatte, Kies</t>
  </si>
  <si>
    <t>Heissbitumen [kg]</t>
  </si>
  <si>
    <t>Thermohanf</t>
  </si>
  <si>
    <t>10.111</t>
  </si>
  <si>
    <t>10.009</t>
  </si>
  <si>
    <t>05.006</t>
  </si>
  <si>
    <t>Gramitherm</t>
  </si>
  <si>
    <t>10.112</t>
  </si>
  <si>
    <t>05.005</t>
  </si>
  <si>
    <t>07.023</t>
  </si>
  <si>
    <t>Réaliste</t>
  </si>
  <si>
    <t>Engagé</t>
  </si>
  <si>
    <t>Contenu carbone biogène</t>
  </si>
  <si>
    <t>Biogener Kohlenstoff
Carbone biogène
[kgCO2]</t>
  </si>
  <si>
    <t>Biogener Kohlenstoff
Carbone biogène
[kgCO2/a]</t>
  </si>
  <si>
    <t>Aussenwand über Terrain</t>
  </si>
  <si>
    <r>
      <t>pro m</t>
    </r>
    <r>
      <rPr>
        <b/>
        <vertAlign val="superscript"/>
        <sz val="11"/>
        <color theme="1"/>
        <rFont val="Arial"/>
        <family val="2"/>
      </rPr>
      <t>2</t>
    </r>
  </si>
  <si>
    <t>Choix Parois extérieures hors terrain</t>
  </si>
  <si>
    <t>Betonwand 20 cm, CEM II 300 kg/m3, Bewehrung 97.5 kg/m3</t>
  </si>
  <si>
    <t>Hochbaubeton, 20 cm [kg]</t>
  </si>
  <si>
    <t>SIA2032</t>
  </si>
  <si>
    <t>Armierungsstahl [kg]</t>
  </si>
  <si>
    <t>3-SP Schalung 2.5cm (Annahme 5xverwendet) [kg]</t>
  </si>
  <si>
    <t>Putzaufbau und Wanddispersion</t>
  </si>
  <si>
    <t>Kalk-Zementgrundputz [kg]</t>
  </si>
  <si>
    <t>04.013</t>
  </si>
  <si>
    <t>Deckputz (Weissputz) [kg]</t>
  </si>
  <si>
    <t>Wanddispersion [m2]</t>
  </si>
  <si>
    <t>14.001</t>
  </si>
  <si>
    <t>Backsteinwand 17.5 cm</t>
  </si>
  <si>
    <t>Backstein [kg]</t>
  </si>
  <si>
    <t>02.001</t>
  </si>
  <si>
    <t>Mörtel [kg]</t>
  </si>
  <si>
    <t>Brettstapelwand 10 cm</t>
  </si>
  <si>
    <t>Nadelschnittholz [kg]</t>
  </si>
  <si>
    <t>07.009</t>
  </si>
  <si>
    <t>Gipsbekleidung inkl. Spachtel, Anstrich und Unterkonstruktion</t>
  </si>
  <si>
    <t>Gipskartonplatte [kg]</t>
  </si>
  <si>
    <t>Spachtel [kg]</t>
  </si>
  <si>
    <t>04.017</t>
  </si>
  <si>
    <t>pro m2 Aussenwand</t>
  </si>
  <si>
    <t>Ortbetonstütze</t>
  </si>
  <si>
    <t>20x20 cm, K   48 (3G / 4 x 4 m), CEM II 300 kg/m3, Bewehrung 300 kg/m3 Vd = 600 kN, 1 Stütze alle 3 m Aussenwand</t>
  </si>
  <si>
    <t>Hochbaubeton  [kg]</t>
  </si>
  <si>
    <t>3-SP Schalung 2.5 cm (Annahme 5xverwendet) [kg]</t>
  </si>
  <si>
    <t>Stütze vorfabriziert</t>
  </si>
  <si>
    <t>20 x 20 cm, K   48 (3G / 4 x 4 m), CEM I 400 kg/m3, Bewehrung 250 kg/m3 Vd = 800 kN, 1 Stütze alle 3 m Aussenwand</t>
  </si>
  <si>
    <t>Betonfertigteil, Normalbeton, ab Werk [kg]</t>
  </si>
  <si>
    <t>01.042</t>
  </si>
  <si>
    <t>Mittelwert Stütze</t>
  </si>
  <si>
    <t>Porotherm T7 49 cm U-Wert ca. 0.14 W/m2K inkl. Dünnbettmörtel</t>
  </si>
  <si>
    <t>Blähperlit [kg]</t>
  </si>
  <si>
    <t>10.012</t>
  </si>
  <si>
    <t>Dünnbettmörtel [kg]</t>
  </si>
  <si>
    <t>04.008</t>
  </si>
  <si>
    <t>Äussere Wandbekleidung über Terrain</t>
  </si>
  <si>
    <t>Choix revetement de facade</t>
  </si>
  <si>
    <t>Zement Grundputz 1cm [kg]</t>
  </si>
  <si>
    <t>Mineralischer Deckputz (Kalk-Zementputz) 1.5 mm [kg]</t>
  </si>
  <si>
    <t>Anstrich [m2]</t>
  </si>
  <si>
    <t>Cellulose - 0.039 - 60kg/m3</t>
  </si>
  <si>
    <t>Aussenwärmedämmung Steinwolle, mineralischer Verputz, inkl. Befestigung und Farbanstrich, U-Wert=0.15 W/m2K (gesamter Aufbau inkl. Wand 25 cm Beton)</t>
  </si>
  <si>
    <t>Zementkleber [kg]</t>
  </si>
  <si>
    <t>EPS 20cm (16 kg/m3, 0.031 W/mK) [kg]</t>
  </si>
  <si>
    <t>Dämmstoffdübel (3 Stk. à 40g pro m2) [kg]</t>
  </si>
  <si>
    <t>15.002</t>
  </si>
  <si>
    <t>Einbettmörtel [kg]</t>
  </si>
  <si>
    <t>04.010</t>
  </si>
  <si>
    <t>Armierungsgewebe [kg]</t>
  </si>
  <si>
    <t>Mineralischer Deckputz (Kalk-Zementputz) 1.5mm [kg]</t>
  </si>
  <si>
    <t>Aussenwärmedämmung EPS, mineralischer Verputz, inkl. Befestigung und Farbanstrich, U-Wert=0.15 W/m2K (gesamter Aufbau inkl. Wand 25 cm Beton)</t>
  </si>
  <si>
    <t>Steinwolle 22cm (80 kg/m3, 0.034 W/mK) [kg]</t>
  </si>
  <si>
    <t>Mittelwert Verputzte Aussenwärmedämmung</t>
  </si>
  <si>
    <t>Holzschalung inkl. Unterkonstrukton (System Rogger für Dämmstärke 20 cm), 20 cm Glaswolle</t>
  </si>
  <si>
    <t>Holzschalung mit Nut und Kamm [kg]</t>
  </si>
  <si>
    <t>Vergrauungslasur [m2]</t>
  </si>
  <si>
    <t>Chromstahl 18/8 (Rogger Dübel), 3.5 Stk./m2 [kg]</t>
  </si>
  <si>
    <t>06.004</t>
  </si>
  <si>
    <t>Polyamid glasfaserverstärkt (Rogger Dübel) [kg]</t>
  </si>
  <si>
    <t>Stahlprofile verzinkt [kg]</t>
  </si>
  <si>
    <t>06.011</t>
  </si>
  <si>
    <t>Dämmstoffdübel (3 Stk. à 40 g pro m2) [kg]</t>
  </si>
  <si>
    <t>20 cm Glaswolle (38 kg/m3, 0.032 W/mK) [kg]</t>
  </si>
  <si>
    <t>10.010</t>
  </si>
  <si>
    <t>Winpapier (PE Spinnvlies) [kg]</t>
  </si>
  <si>
    <t>Bekleidung Faserzement</t>
  </si>
  <si>
    <t>Faserzement inkl. Unterkonstrukton (System Wagner UKS für Dämmstärke 20 cm), 20 cm Glaswolle</t>
  </si>
  <si>
    <t>Faserzement [kg]</t>
  </si>
  <si>
    <t>03.003</t>
  </si>
  <si>
    <t>Aluminiumprofile [kg]</t>
  </si>
  <si>
    <t>Chromstahl 18/8 [kg]</t>
  </si>
  <si>
    <t>PVC [kg]</t>
  </si>
  <si>
    <t>13.004</t>
  </si>
  <si>
    <t>Bekleidung Naturstein</t>
  </si>
  <si>
    <t>Naturstein, Leichtmetall Unterkonstruktion, 22 cm Steinwolle</t>
  </si>
  <si>
    <t>Naturstein</t>
  </si>
  <si>
    <t>03.009</t>
  </si>
  <si>
    <t>Aluminiumunterkonstruktion [kg]</t>
  </si>
  <si>
    <t>22 cm Steinwolle (48 kg/m3, 0.034 W/mK) [kg]</t>
  </si>
  <si>
    <t>Winpapier (PE Spinnvlies)</t>
  </si>
  <si>
    <t>Mittelwert Bekleidung Faserzement / Naturstein</t>
  </si>
  <si>
    <t>Bekleidung Metall</t>
  </si>
  <si>
    <t>Alu-Verbundplatte (Sandwich 4mm Alu beidseitig mit Kunststoffker, Leichtmetall Unterkonstruktion), 22 cm Steinwolle</t>
  </si>
  <si>
    <t>Fassadenplatte, Aluverbund, 4 mm</t>
  </si>
  <si>
    <t>05.022</t>
  </si>
  <si>
    <t>Dämmstoffdübel [kg]</t>
  </si>
  <si>
    <t>Bekleidung Glas</t>
  </si>
  <si>
    <t>ESG Bekleidung, Leichtmetall Unterkonstruktion, 20 cm Glaswolle</t>
  </si>
  <si>
    <t>10 mm Einscheibensicherheitsglas [kg]</t>
  </si>
  <si>
    <t>03.005</t>
  </si>
  <si>
    <t>Mittelwert Bekleidung Metalll / Glas</t>
  </si>
  <si>
    <t>Klinkervormauerung 11.5cm, 22 cm Steinwolle</t>
  </si>
  <si>
    <t>11.5 cm Sichtbackstein Klinker [kg]</t>
  </si>
  <si>
    <t>03.015</t>
  </si>
  <si>
    <t>Armierung Chromstahl [kg]</t>
  </si>
  <si>
    <t>Zweischalenwand, äussere Schale</t>
  </si>
  <si>
    <r>
      <t xml:space="preserve">Klinkervormauerung </t>
    </r>
    <r>
      <rPr>
        <sz val="11"/>
        <color rgb="FFFF0000"/>
        <rFont val="Arial"/>
        <family val="2"/>
      </rPr>
      <t>12.5cm</t>
    </r>
    <r>
      <rPr>
        <sz val="11"/>
        <color theme="1"/>
        <rFont val="Arial"/>
        <family val="2"/>
      </rPr>
      <t>, 22 cm Steinwolle</t>
    </r>
  </si>
  <si>
    <t>12.5 cm Sichtbackstein Klinker [kg]</t>
  </si>
  <si>
    <t>Fassadensystem</t>
  </si>
  <si>
    <t>Pfostenriegel Alu/Glas [m2]</t>
  </si>
  <si>
    <t>05.008</t>
  </si>
  <si>
    <t>Lamellenstoren [m2]</t>
  </si>
  <si>
    <t>05.017</t>
  </si>
  <si>
    <t>Ausstellstoren [m2]</t>
  </si>
  <si>
    <t>05.018</t>
  </si>
  <si>
    <t>Fenster</t>
  </si>
  <si>
    <t>Choix fenetre</t>
  </si>
  <si>
    <t>Holz-Metallfenster über Brüstung, Ug=0.6 W/m2K, Rahmenanteil 22% (entspricht Normalfenster), Lamellenstoren (Aluminiumlamellen inkl. Storenkasten, Antrieb, Führungsschienen)</t>
  </si>
  <si>
    <t>Holz-Metallfenster [m2 i.L.]</t>
  </si>
  <si>
    <t>Isolierverglasung 3-fach, Ug-Wert 0.6 W/m2K, Dicke 40 mm [m2]</t>
  </si>
  <si>
    <t>05.012</t>
  </si>
  <si>
    <t>Dachkonstruktion</t>
  </si>
  <si>
    <t>Choix  conostruction toiture</t>
  </si>
  <si>
    <t>Betondecke 25cm</t>
  </si>
  <si>
    <t>Hochbaubeton 25 cm [kg]</t>
  </si>
  <si>
    <t>Armierungsstahl (Bewehurngsgehalt 90 kg/m3) [kg]</t>
  </si>
  <si>
    <t>Betondecke 40 cm</t>
  </si>
  <si>
    <t>Hochbaubeton 40 cm [kg]</t>
  </si>
  <si>
    <t>Armierungsstahl (Bewehrungsgehalt 147.5 kg/m3) [kg]</t>
  </si>
  <si>
    <t>Profilblech Verbunddecke, Spannweite 5 m inkl. IPE Träger, Überdeckung 11 cm, Gesamtsträrke 27 cm</t>
  </si>
  <si>
    <t>Armierungsstahl (Bewehrungsgehalt 80 kg/m3) [kg]</t>
  </si>
  <si>
    <t>Stahlblech [kg]</t>
  </si>
  <si>
    <t>Stahlträger [kg]</t>
  </si>
  <si>
    <t>06.012</t>
  </si>
  <si>
    <t>Brettstapeldecke 5-6 m Spannweite, 23 cm Massivholz verdübelt</t>
  </si>
  <si>
    <t>3-SP [kg]</t>
  </si>
  <si>
    <t>Holzbalkendecke</t>
  </si>
  <si>
    <t>Sperrholz für Feuchtebreich [kg]</t>
  </si>
  <si>
    <t>07.018</t>
  </si>
  <si>
    <t>MF-Klebstoff</t>
  </si>
  <si>
    <t>08.001</t>
  </si>
  <si>
    <t>Dachaufbau</t>
  </si>
  <si>
    <t>Choix revetement toiture</t>
  </si>
  <si>
    <t>Dachaufbau: EPS, Bituminöse Dampfbremse, 2x Polymerbitumendichtungsbahn, Schutz-/Trennschicht, Extensivbegrünung.</t>
  </si>
  <si>
    <t>EPS 25 Standard, 22 cm, 25 kg/m3 [kg]</t>
  </si>
  <si>
    <t>2 x EGV3 Polymerbitumenbahn [kg]</t>
  </si>
  <si>
    <t>09.001</t>
  </si>
  <si>
    <t>1x EP4 Polymerbitumenbahn [kg]</t>
  </si>
  <si>
    <t>09.003</t>
  </si>
  <si>
    <t>PP-Vlies Trenn-/Schutzvlies [kg]</t>
  </si>
  <si>
    <t>Substrat 7 cm [kg]</t>
  </si>
  <si>
    <t>03.013</t>
  </si>
  <si>
    <t>Dachaufbau: PUR, Bituminöse Dampfbremse, 2x Polymerbitumendichtungsbahn, Schutz-/Trennschicht, Mittelwert Platten/Extensivbegrünung</t>
  </si>
  <si>
    <t>PUR, 16 cm, 30 kg/m3 [kg]</t>
  </si>
  <si>
    <t>10.006</t>
  </si>
  <si>
    <t>Dachaufbau: Steinwolle, Bituminöse Dampfbremse, 2x Polymerbitumendichtungsbahn, Schutz-/Trennschicht, Mittelwert Platten/Extensivbegrünung</t>
  </si>
  <si>
    <t>Steinwolle 28 cm, 160kg/m3 [kg]</t>
  </si>
  <si>
    <t>Substrat 7cm [kg]</t>
  </si>
  <si>
    <t>Mittelwert Dachaufbau EPS/PUR/Steinwolle</t>
  </si>
  <si>
    <t>Dachaufbau ohne Dämmung, bituminös (2x Polymerbitumendichtungsbahn, Trennschicht, Extensivbegrünung)</t>
  </si>
  <si>
    <t>2x EP4 Polymerbitumenbahn [kg]</t>
  </si>
  <si>
    <t>Geneigtes Dach, gedämmt mit 22 cm Steinwolle, Ziegeleindeckung inkl. Unterdach und Verankerung (Standardeindeckung, Konter- und Ziegellattung, diffusionsoffene Unterdachfolie)</t>
  </si>
  <si>
    <t>Konter- und Ziegellattung aus Nadelschnittholz [kg]</t>
  </si>
  <si>
    <t>Unterdachfolie: PP-Vlies [kg]</t>
  </si>
  <si>
    <t>Ziegeleindeckeung [kg]</t>
  </si>
  <si>
    <t>Befestigung mit verzinkten Stahlschrauben [kg]</t>
  </si>
  <si>
    <t>Steinwolle (90 kg/m3)</t>
  </si>
  <si>
    <t>PE Dampfbremse [kg]</t>
  </si>
  <si>
    <t>09.007</t>
  </si>
  <si>
    <t>Geneigtes Dach, gedämmt mit 22 cm Glaswolle, Ziegeleindeckung inkl. Unterdach und Verankerung (Standardeindeckung, Konter- und Ziegellattung, diffusionsoffene Unterdachfolie)</t>
  </si>
  <si>
    <t>Glaswolle (60 kg/m3)</t>
  </si>
  <si>
    <t>Mittelwert gedämmt mit Steinwolle/Glaswolle (geneigtes Dach)</t>
  </si>
  <si>
    <t>Innenwand</t>
  </si>
  <si>
    <t>Betonwand (mit Innenputz)</t>
  </si>
  <si>
    <t>Beidseitiger Putzaufbau und Wanddispersion</t>
  </si>
  <si>
    <t>Mauwerwerk Backstein (mit Innenputz)</t>
  </si>
  <si>
    <t>Backsteinwand 15 cm inkl. Mörtel</t>
  </si>
  <si>
    <t>15 cm Backstein [kg]</t>
  </si>
  <si>
    <t>Mauwerwerk Kalksandstein (mit Innenputz)</t>
  </si>
  <si>
    <t>Kalksandsteinwand 15cm inkl. Mörtel</t>
  </si>
  <si>
    <t>15 cm Kalksandstein [kg]</t>
  </si>
  <si>
    <t>02.002</t>
  </si>
  <si>
    <t>Mittelwert tragend</t>
  </si>
  <si>
    <t>Mittelwert Beton 20cm, Backstein/KS 15cm</t>
  </si>
  <si>
    <t>Leichtbauwand (mit Spachtel)</t>
  </si>
  <si>
    <t>Leichtbauwand, 60dB, Beplankung mit Gipskarton</t>
  </si>
  <si>
    <t>4 x 12.5 mm Gipskartonplatten [kg]</t>
  </si>
  <si>
    <t>Glaswolle [kg]</t>
  </si>
  <si>
    <t>Beidseitiger Spachtel und Wanddispersion</t>
  </si>
  <si>
    <t>Leichtbauwand, 60dB, Beplankung mit Gipsfaserplatten</t>
  </si>
  <si>
    <t>2 x 12.5 mm und 2 x 10mm Gipsfaserplatten [kg]</t>
  </si>
  <si>
    <t>03.007</t>
  </si>
  <si>
    <t>Steinwolle [kg]</t>
  </si>
  <si>
    <t>Leichtbauwand</t>
  </si>
  <si>
    <t>Mittelwert Leichtbauwand, 60dB, Beplankung mit Gipskarton/Gipsfaserplatten und Beschichtung</t>
  </si>
  <si>
    <t>Deckenkonstruktion</t>
  </si>
  <si>
    <t>Choix PLANCHER REZ</t>
  </si>
  <si>
    <t>Armierungsstahl (Bewehrungsgehalt 90 kg/m3) [kg]</t>
  </si>
  <si>
    <t>Hohlkörperdecke (6m Spannweite, Elementhöhe 24cm, Breite 100cm), mit Schalldämung (Schüttung), Massivholz verleimt</t>
  </si>
  <si>
    <t>Leim [kg]</t>
  </si>
  <si>
    <t>Choix INT</t>
  </si>
  <si>
    <t>Schüttung [kg]</t>
  </si>
  <si>
    <t>03.011</t>
  </si>
  <si>
    <t>Brettsperholzdecken</t>
  </si>
  <si>
    <t>Brettstapel</t>
  </si>
  <si>
    <t>Holzbetonverbund 22cm, 9cm Beton, 13cm Brettstapel</t>
  </si>
  <si>
    <t>Hochbaubeton 9cm [kg]</t>
  </si>
  <si>
    <t>Dämmung gegen unbeheizt</t>
  </si>
  <si>
    <t>Glaswolle (50 kg/m3) [kg]</t>
  </si>
  <si>
    <t>PE-Vlies [kg]</t>
  </si>
  <si>
    <t>Abgehängte Installationsdecke Gipswerkstoffe</t>
  </si>
  <si>
    <t>Gipswerkstoffe heruntergehängt, 15-20 cm als Installationszone, Unterkonstruktion aus Metall, gespachtelt und gestrichen</t>
  </si>
  <si>
    <t>Gipsfaserplatte [kg]</t>
  </si>
  <si>
    <t>Abgehängte Installationsdecke Metall</t>
  </si>
  <si>
    <t>Metalldecke heruntergehängt, 15-20 cm als Installationszone, Unterkonstruktion aus Metall</t>
  </si>
  <si>
    <t>Stahlblech verzinkt [kg]</t>
  </si>
  <si>
    <t>Pulverbeschichten Stahl [m2]</t>
  </si>
  <si>
    <t>14.006</t>
  </si>
  <si>
    <t>Akustikvlies [kg]</t>
  </si>
  <si>
    <t>Mittelwert abgehängte Installationsdecke (Gipswerkstoffe / Metall)</t>
  </si>
  <si>
    <t>Bodenbelag</t>
  </si>
  <si>
    <t>Linoleum inkl. Klebstoff</t>
  </si>
  <si>
    <t>Linoleum [m2]</t>
  </si>
  <si>
    <t>11.014</t>
  </si>
  <si>
    <t>Klebstoff [kg]</t>
  </si>
  <si>
    <r>
      <t xml:space="preserve">Fertiger Bodenbelag (ohne Unterkonstruktion) </t>
    </r>
    <r>
      <rPr>
        <sz val="11"/>
        <color rgb="FFFF0000"/>
        <rFont val="Arial"/>
        <family val="2"/>
      </rPr>
      <t>inkl. Befestigung</t>
    </r>
  </si>
  <si>
    <t>Parkett inkl. Klebstoff</t>
  </si>
  <si>
    <t>Parkett 2-Schicht werkversiegelt, 11 mm [m2]</t>
  </si>
  <si>
    <t>11.018</t>
  </si>
  <si>
    <t>Fertiger Bodenbelag (ohne Unterkonstruktion)</t>
  </si>
  <si>
    <t>Mehrschichtparkett, Zementunterlagsboden, Trennschicht, 2cm Trittschall</t>
  </si>
  <si>
    <t>Zementunterlagsboden 7cm [kg]</t>
  </si>
  <si>
    <t>04.006</t>
  </si>
  <si>
    <t>PE-Folie</t>
  </si>
  <si>
    <t>Trittschall 2cm EPS</t>
  </si>
  <si>
    <t>Unterkonstruktion und Bodenbelag</t>
  </si>
  <si>
    <t>Keramikplatten, Zementunterlagsboden, Trennschicht, 2cm Trittschall</t>
  </si>
  <si>
    <t>Keramikplatten 9mm [m2]</t>
  </si>
  <si>
    <t>11.008</t>
  </si>
  <si>
    <t>Klebemörtel [kg]</t>
  </si>
  <si>
    <t>Balkon</t>
  </si>
  <si>
    <t>Choix BALCON</t>
  </si>
  <si>
    <t>Betonkragplatte 1.6 m Auskragung inkl. Metallgeländer</t>
  </si>
  <si>
    <t>Balkonkragplatte Ortbeton [kg]</t>
  </si>
  <si>
    <t>Bewehrungsstahl [kg]</t>
  </si>
  <si>
    <t>Chromstahl (Kragplattenanschluss) [kg]</t>
  </si>
  <si>
    <t>XPS (Kragplattenanschluss)[kg]</t>
  </si>
  <si>
    <t>Harbetonüberzug [kg]</t>
  </si>
  <si>
    <t>11.005</t>
  </si>
  <si>
    <t>Metallstabgeländer [kg]</t>
  </si>
  <si>
    <t>Elektroanlagen</t>
  </si>
  <si>
    <t>Wohnen</t>
  </si>
  <si>
    <t>34.001</t>
  </si>
  <si>
    <t>Büro</t>
  </si>
  <si>
    <t>34.002</t>
  </si>
  <si>
    <t>Solarstromanlage</t>
  </si>
  <si>
    <t>34.026</t>
  </si>
  <si>
    <t>inkl.</t>
  </si>
  <si>
    <t>Plusieurs choix possibles</t>
  </si>
  <si>
    <t>Wärmeanlage</t>
  </si>
  <si>
    <t>Wärmeerzeugung</t>
  </si>
  <si>
    <t>Wärmeerzeuger, spez. Leistungsbedarf 30 W/m2 [m2]</t>
  </si>
  <si>
    <t>Wärmeverteilung und -Abgabe Wohen</t>
  </si>
  <si>
    <t>Verteilung Wohnen, Fussbodenheizung</t>
  </si>
  <si>
    <t>31.021</t>
  </si>
  <si>
    <t>31.024</t>
  </si>
  <si>
    <t>Wärmeverteilung und -Abgabe Büro</t>
  </si>
  <si>
    <t>31.022</t>
  </si>
  <si>
    <t>Wärmeabgabe über Heizkörper [m2]</t>
  </si>
  <si>
    <t>31.023</t>
  </si>
  <si>
    <t>Erdwärmesonden</t>
  </si>
  <si>
    <t>Durchschnittliche Sondenlänge pro m2 für Wohnen und Büro [m]</t>
  </si>
  <si>
    <t>Solarkollektoren</t>
  </si>
  <si>
    <t>Lufttechnische Anlage</t>
  </si>
  <si>
    <t>Lüftungsanlage Wohnen</t>
  </si>
  <si>
    <t>32.011</t>
  </si>
  <si>
    <t>Lüftungsanlage Büro 2m3/hm2</t>
  </si>
  <si>
    <t>Lüftungsanlage, spez. Luftmenge 2 m3/hm2 EBF</t>
  </si>
  <si>
    <t>32.005</t>
  </si>
  <si>
    <t>Lüftungsanlage Büro 4m3/hm2</t>
  </si>
  <si>
    <t>Lüftungsanlage, spez. Luftmenge 4 m3/hm2 EBF</t>
  </si>
  <si>
    <t>32.006</t>
  </si>
  <si>
    <t>Wasseranlage</t>
  </si>
  <si>
    <t>33.003</t>
  </si>
  <si>
    <t>Büro einfach</t>
  </si>
  <si>
    <t>Sanitäranlagen, Büro, einfach, inkl. Apparate und Leitungen</t>
  </si>
  <si>
    <t>33.001</t>
  </si>
  <si>
    <t>Büro aufwendig</t>
  </si>
  <si>
    <t>Sanitäranlagen, Büro, aufwändig, inkl. Apparate und Leitungen</t>
  </si>
  <si>
    <t>33.002</t>
  </si>
  <si>
    <t>Ökobilanzdaten im Baubereich</t>
  </si>
  <si>
    <t>KBOB / eco-bau / IPB  2009/1:2022</t>
  </si>
  <si>
    <t>Données écobilans dans la construction</t>
  </si>
  <si>
    <t>production future de matériaux de construction</t>
  </si>
  <si>
    <t xml:space="preserve">https://treeze.ch/projects/case-studies/building-and-construction/climat-1 </t>
  </si>
  <si>
    <t>Total</t>
  </si>
  <si>
    <t>Total, renewable</t>
  </si>
  <si>
    <t>Total, non-renewable</t>
  </si>
  <si>
    <t>IPCC GWP 100a</t>
  </si>
  <si>
    <t>ID-Nummer</t>
  </si>
  <si>
    <t xml:space="preserve">BAUMATERIALIEN
</t>
  </si>
  <si>
    <t>ID-Nummer
Entsorgung</t>
  </si>
  <si>
    <t>Entsorgung</t>
  </si>
  <si>
    <t>Rohdichte/
Flächen-masse</t>
  </si>
  <si>
    <r>
      <t xml:space="preserve">Bezug
</t>
    </r>
    <r>
      <rPr>
        <b/>
        <i/>
        <sz val="9"/>
        <rFont val="Arial"/>
        <family val="2"/>
      </rPr>
      <t>Référence</t>
    </r>
  </si>
  <si>
    <t>UBP'13</t>
  </si>
  <si>
    <r>
      <t xml:space="preserve">Primärenergie 
</t>
    </r>
    <r>
      <rPr>
        <b/>
        <i/>
        <sz val="9"/>
        <rFont val="Arial"/>
        <family val="2"/>
      </rPr>
      <t>Energie primaire</t>
    </r>
  </si>
  <si>
    <t>Treibhaus-
gasemissionen</t>
  </si>
  <si>
    <t>Biogener Kohlenstoff
Carbone biogène</t>
  </si>
  <si>
    <r>
      <rPr>
        <b/>
        <i/>
        <sz val="14"/>
        <rFont val="Arial"/>
        <family val="2"/>
      </rPr>
      <t>MATÉRIAUX</t>
    </r>
    <r>
      <rPr>
        <b/>
        <i/>
        <sz val="11"/>
        <rFont val="Arial"/>
        <family val="2"/>
      </rPr>
      <t xml:space="preserve">
</t>
    </r>
    <r>
      <rPr>
        <i/>
        <sz val="10"/>
        <rFont val="Arial"/>
        <family val="2"/>
      </rPr>
      <t>[Bibliographie treeze, version 2.2:2016]</t>
    </r>
  </si>
  <si>
    <t>No d'identi-fication</t>
  </si>
  <si>
    <t>No d'identification
Déchets</t>
  </si>
  <si>
    <t>UBP</t>
  </si>
  <si>
    <t>gesamt</t>
  </si>
  <si>
    <t>erneuerbar</t>
  </si>
  <si>
    <t>nicht erneuerbar (Graue Energie)</t>
  </si>
  <si>
    <t>Emissions de gaz</t>
  </si>
  <si>
    <t>Masse volumique/  surface</t>
  </si>
  <si>
    <t>globale</t>
  </si>
  <si>
    <t>renouvelable</t>
  </si>
  <si>
    <t>non renouvelable (énergie grise)</t>
  </si>
  <si>
    <t>à effet de serre</t>
  </si>
  <si>
    <r>
      <t xml:space="preserve">Hinweis: </t>
    </r>
    <r>
      <rPr>
        <sz val="12"/>
        <color theme="1"/>
        <rFont val="Calibri"/>
        <family val="2"/>
        <scheme val="minor"/>
      </rPr>
      <t>Anzeigen der</t>
    </r>
    <r>
      <rPr>
        <b/>
        <sz val="10"/>
        <rFont val="Arial"/>
        <family val="2"/>
      </rPr>
      <t xml:space="preserve"> </t>
    </r>
    <r>
      <rPr>
        <sz val="12"/>
        <color theme="1"/>
        <rFont val="Calibri"/>
        <family val="2"/>
        <scheme val="minor"/>
      </rPr>
      <t>herstellerspezifischen und herstellerregionenspezifischen Daten durch Anklicken der '+' am linken Rand.</t>
    </r>
  </si>
  <si>
    <t>Herstellung</t>
  </si>
  <si>
    <t>Herstellung energetisch genutzt</t>
  </si>
  <si>
    <t>Herstellung stofflich genutzt</t>
  </si>
  <si>
    <t xml:space="preserve">Herstellung energetisch genutzt
</t>
  </si>
  <si>
    <t>im Produkt enthalten</t>
  </si>
  <si>
    <r>
      <rPr>
        <b/>
        <sz val="10"/>
        <rFont val="Arial"/>
        <family val="2"/>
      </rPr>
      <t>Remarque:</t>
    </r>
    <r>
      <rPr>
        <sz val="12"/>
        <color theme="1"/>
        <rFont val="Calibri"/>
        <family val="2"/>
        <scheme val="minor"/>
      </rPr>
      <t xml:space="preserve"> Affichage des données spécifiques aux fabricants et aux régions de production en cliquant sur les '+' sur le bord gauche.</t>
    </r>
  </si>
  <si>
    <t>Fabrication</t>
  </si>
  <si>
    <t>Elimination</t>
  </si>
  <si>
    <t>Valorisé sous forme énergétique fabrication</t>
  </si>
  <si>
    <t>Valorisé sous forme de matière fabrication</t>
  </si>
  <si>
    <t>Contenu dans le produit</t>
  </si>
  <si>
    <t>kWh oil-eq</t>
  </si>
  <si>
    <r>
      <t>kg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-eq</t>
    </r>
  </si>
  <si>
    <t>kg C</t>
  </si>
  <si>
    <t>kg C02</t>
  </si>
  <si>
    <r>
      <t>kg CO</t>
    </r>
    <r>
      <rPr>
        <vertAlign val="subscript"/>
        <sz val="8"/>
        <color theme="1"/>
        <rFont val="Calibri"/>
        <family val="2"/>
        <scheme val="minor"/>
      </rPr>
      <t>2</t>
    </r>
    <r>
      <rPr>
        <sz val="8"/>
        <color theme="1"/>
        <rFont val="Calibri"/>
        <family val="2"/>
        <scheme val="minor"/>
      </rPr>
      <t>-eq</t>
    </r>
  </si>
  <si>
    <t>Vorbereitungsarbeiten</t>
  </si>
  <si>
    <t>Travails de préparation</t>
  </si>
  <si>
    <t>00.001</t>
  </si>
  <si>
    <t>Baugrubensicherung, Bohrpfahlwand, gespriesst</t>
  </si>
  <si>
    <t>91.074</t>
  </si>
  <si>
    <t>Entsorgung, Baugrubensicherung, Bohrpfahlwand, gespriesst</t>
  </si>
  <si>
    <t>-</t>
  </si>
  <si>
    <t>Blindage de fouille, paroi parisienne, étayé</t>
  </si>
  <si>
    <t>Élimination, blindage de fouille, paroi parisienne, étayé</t>
  </si>
  <si>
    <t>00.002</t>
  </si>
  <si>
    <t>Baugrubensicherung, Bohrpfahlwand, unverankert</t>
  </si>
  <si>
    <t>91.075</t>
  </si>
  <si>
    <t>Entsorgung, Baugrubensicherung, Bohrpfahlwand, unverankert</t>
  </si>
  <si>
    <t>Blindage de fouille, paroi parisienne, flottant</t>
  </si>
  <si>
    <t>Élimination, blindage de fouille, paroi parisienne, flottant</t>
  </si>
  <si>
    <t>00.003</t>
  </si>
  <si>
    <t>Baugrubensicherung, Bohrpfahlwand, verankert</t>
  </si>
  <si>
    <t>91.076</t>
  </si>
  <si>
    <t>Entsorgung, Baugrubensicherung, Bohrpfahlwand, verankert</t>
  </si>
  <si>
    <t>Blindage de fouille, paroi parisienne, fixe</t>
  </si>
  <si>
    <t>Élimination, blindage de fouille, paroi parisienne, fixe</t>
  </si>
  <si>
    <t>00.004</t>
  </si>
  <si>
    <t>Baugrubensicherung, Nagelwand</t>
  </si>
  <si>
    <t>91.077</t>
  </si>
  <si>
    <t>Entsorgung, Baugrubensicherung, Nagelwand</t>
  </si>
  <si>
    <t>Blindage de fouille, paroi clouée</t>
  </si>
  <si>
    <t>Élimination, blindage de fouille, paroi clouée</t>
  </si>
  <si>
    <t>Baugrubensicherung, Rühlwand, auskragend</t>
  </si>
  <si>
    <t>91.078</t>
  </si>
  <si>
    <t>Entsorgung, Baugrubensicherung, Rühlwand, auskragend</t>
  </si>
  <si>
    <t>Blindage de fouille, paroi berlinoise, en porte-à-faux</t>
  </si>
  <si>
    <t>Élimination, blindage de fouille, paroi berlinoise, en porte-à-faux</t>
  </si>
  <si>
    <t>Baugrubensicherung, Rühlwand, gespriesst</t>
  </si>
  <si>
    <t>91.079</t>
  </si>
  <si>
    <t>Entsorgung, Baugrubensicherung, Rühlwand, gespriesst</t>
  </si>
  <si>
    <t>Blindage de fouille, paroi berlinoise, étayé</t>
  </si>
  <si>
    <t>Élimination, blindage de fouille, paroi berlinoise, étayé</t>
  </si>
  <si>
    <t>Baugrubensicherung, Rühlwand, verankert</t>
  </si>
  <si>
    <t>91.080</t>
  </si>
  <si>
    <t>Entsorgung, Baugrubensicherung, Rühlwand, verankert</t>
  </si>
  <si>
    <t>Blindage de fouille, paroi berlinoise, fixe</t>
  </si>
  <si>
    <t>Élimination, blindage de fouille, paroi berlinoise, fixe</t>
  </si>
  <si>
    <t>Baugrubensicherung, Schlitzwand, 400 mm</t>
  </si>
  <si>
    <t>91.081</t>
  </si>
  <si>
    <t>Entsorgung, Baugrubensicherung, Schlitzwand, 400mm</t>
  </si>
  <si>
    <t>Blindage de fouille, paroi moulée, 400 mm</t>
  </si>
  <si>
    <t>Élimination, blindage de fouille, paroi moulée, 400 mm</t>
  </si>
  <si>
    <t>Baugrubensicherung, Schlitzwand, 800 mm</t>
  </si>
  <si>
    <t>91.082</t>
  </si>
  <si>
    <t>Entsorgung, Baugrubensicherung, Schlitzwand, 800mm</t>
  </si>
  <si>
    <t>Blindage de fouille, paroi moulée, 800 mm</t>
  </si>
  <si>
    <t>Élimination, blindage de fouille, paroi moulée, 800 mm</t>
  </si>
  <si>
    <t>Baugrubensicherung, Spundwand, auskragend</t>
  </si>
  <si>
    <t>91.083</t>
  </si>
  <si>
    <t>Entsorgung, Baugrubensicherung, Spundwand, auskragend</t>
  </si>
  <si>
    <t>Blindage de fouille, paroi de palplanche, en porte-à-faux</t>
  </si>
  <si>
    <t>Élimination, blindage de fouille, paroi de palplanche, en porte-à-faux</t>
  </si>
  <si>
    <t>Baugrubensicherung, Spundwand, gespriesst</t>
  </si>
  <si>
    <t>91.084</t>
  </si>
  <si>
    <t>Entsorgung, Baugrubensicherung, Spundwand, gespriesst</t>
  </si>
  <si>
    <t>Blindage de fouille, paroi de palplanche, étayé</t>
  </si>
  <si>
    <t>Élimination, blindage de fouille, paroi de palplanche, étayé</t>
  </si>
  <si>
    <t>Baugrubensicherung, Spundwand, verankert</t>
  </si>
  <si>
    <t>91.085</t>
  </si>
  <si>
    <t>Entsorgung, Baugrubensicherung, Spundwand, verankert</t>
  </si>
  <si>
    <t>Blindage de fouille, paroi de palplanche, fixe</t>
  </si>
  <si>
    <t>Élimination, blindage de fouille, paroi de palplanche, fixe</t>
  </si>
  <si>
    <t>Tiefgründung, Mikrobohrpfahl</t>
  </si>
  <si>
    <t>91.086</t>
  </si>
  <si>
    <t>Entsorgung, Tiefgründung, Mikrobohrpfahl</t>
  </si>
  <si>
    <t xml:space="preserve">Fondations profondes, micropieu </t>
  </si>
  <si>
    <t>Élimination, fondations profondes, micropieu</t>
  </si>
  <si>
    <t>00.014</t>
  </si>
  <si>
    <t>Tiefgründung, Ortbetonbohrpfahl, 700 mm</t>
  </si>
  <si>
    <t>91.087</t>
  </si>
  <si>
    <t>Entsorgung, Tiefgründung, Ortbetonbohrpfahl, 700mm</t>
  </si>
  <si>
    <t>Fondations profondes, pieu coulé sur site, 700 mm</t>
  </si>
  <si>
    <t>Élimination, fondations profondes, pieu coulé sur site, 700 mm</t>
  </si>
  <si>
    <t>Tiefgründung, Ortbetonbohrpfahl, 900 mm</t>
  </si>
  <si>
    <t>91.088</t>
  </si>
  <si>
    <t>Entsorgung, Tiefgründung, Ortbetonbohrpfahl, 900mm</t>
  </si>
  <si>
    <t>Fondations profondes, pieu coulé sur site, 900 mm</t>
  </si>
  <si>
    <t>Élimination, fondations profondes, pieu coulé sur site, 900 mm</t>
  </si>
  <si>
    <t>00.016</t>
  </si>
  <si>
    <t>Tiefgründung, Ortbetonbohrpfahl, 1200 mm</t>
  </si>
  <si>
    <t>91.089</t>
  </si>
  <si>
    <t>Entsorgung, Tiefgründung, Ortbetonbohrpfahl, 1200mm</t>
  </si>
  <si>
    <t>Fondations profondes, pieu coulé sur site, 1200 mm</t>
  </si>
  <si>
    <t>Élimination, fondations profondes, pieu coulé sur site, 1200 mm</t>
  </si>
  <si>
    <t>00.017</t>
  </si>
  <si>
    <t>Tiefgründung, Ortbetonverdrängungspfahl 560/480 mm</t>
  </si>
  <si>
    <t>91.090</t>
  </si>
  <si>
    <t>Entsorgung, Tiefgründung, Ortbetonverdrängungspfahl 560/480mm</t>
  </si>
  <si>
    <t>Fondations profondes, pieux forés vissés, 560/480 mm</t>
  </si>
  <si>
    <t>Élimination, fondations profondes, pieux forés vissés, 560/480 mm</t>
  </si>
  <si>
    <t>Tiefgründung, Ortbetonverdrängungspfahl 660/580 mm</t>
  </si>
  <si>
    <t>91.091</t>
  </si>
  <si>
    <t>Entsorgung, Tiefgründung, Ortbetonverdrängungspfahl 660/580mm</t>
  </si>
  <si>
    <t>Fondations profondes, pieux forés vissés, 660/580 mm</t>
  </si>
  <si>
    <t>Élimination, fondations profondes, pieux forés vissés, 660/580 mm</t>
  </si>
  <si>
    <t>Tiefgründung, Rüttelstopfsäule</t>
  </si>
  <si>
    <t>91.092</t>
  </si>
  <si>
    <t>Entsorgung, Tiefgründung, Rüttelstopfsäule</t>
  </si>
  <si>
    <t>Fondations profondes, colonnes ballastées</t>
  </si>
  <si>
    <t>Élimination, fondations profondes, colonnes ballastées</t>
  </si>
  <si>
    <t>Tiefgründung, Vorgefertigter Betonpfahl</t>
  </si>
  <si>
    <t>91.093</t>
  </si>
  <si>
    <t>Entsorgung, Tiefgründung, Vorgefertigter Betonpfahl</t>
  </si>
  <si>
    <t>Fondations profondes, pieu en béton préfabriqué</t>
  </si>
  <si>
    <t>Élimination, fondations profondes, pieu en béton préfabriqué</t>
  </si>
  <si>
    <t>00.021</t>
  </si>
  <si>
    <t>Wasserhaltung, Pumphöhe 2.5 m</t>
  </si>
  <si>
    <t>91.094</t>
  </si>
  <si>
    <t>Entsorgung, Wasserhaltung, Pumphöhe 2.5m</t>
  </si>
  <si>
    <t>Épuisement des eaux, hauteur de refoulement, 2,5 m</t>
  </si>
  <si>
    <t>Élimination, épuisement des eaux, hauteur de refoulement, 2,5 m</t>
  </si>
  <si>
    <t>00.022</t>
  </si>
  <si>
    <t>Wasserhaltung, Pumphöhe 5 m</t>
  </si>
  <si>
    <t>91.095</t>
  </si>
  <si>
    <t>Entsorgung, Wasserhaltung, Pumphöhe 5m</t>
  </si>
  <si>
    <t>Épuisement des eaux, hauteur de refoulement, 5 m</t>
  </si>
  <si>
    <t>Élimination, épuisement des eaux, hauteur de refoulement, 5 m</t>
  </si>
  <si>
    <t>00.023</t>
  </si>
  <si>
    <t>Wasserhaltung, Pumphöhe 7.5 m</t>
  </si>
  <si>
    <t>91.096</t>
  </si>
  <si>
    <t>Entsorgung, Wasserhaltung, Pumphöhe 7.5m</t>
  </si>
  <si>
    <t>Épuisement des eaux, hauteur de refoulement, 7,5 m</t>
  </si>
  <si>
    <t>Élimination, épuisement des eaux, hauteur de refoulement, 7,5 m</t>
  </si>
  <si>
    <t>00.024</t>
  </si>
  <si>
    <t>Wasserhaltung, Pumphöhe 10 m</t>
  </si>
  <si>
    <t>91.097</t>
  </si>
  <si>
    <t>Entsorgung, Wasserhaltung, Pumphöhe 10m</t>
  </si>
  <si>
    <t>Épuisement des eaux, hauteur de refoulement, 10 m</t>
  </si>
  <si>
    <t>Élimination, épuisement des eaux, hauteur de refoulement, 10 m</t>
  </si>
  <si>
    <t>01</t>
  </si>
  <si>
    <t>Beton</t>
  </si>
  <si>
    <r>
      <t>kg/m</t>
    </r>
    <r>
      <rPr>
        <b/>
        <vertAlign val="superscript"/>
        <sz val="10"/>
        <rFont val="Arial"/>
        <family val="2"/>
      </rPr>
      <t>3</t>
    </r>
  </si>
  <si>
    <t>Béton</t>
  </si>
  <si>
    <t>Magerbeton (ohne Bewehrung)</t>
  </si>
  <si>
    <t>91.061</t>
  </si>
  <si>
    <t>Entsorgung, Beton</t>
  </si>
  <si>
    <t>Béton maigre (sans armature)</t>
  </si>
  <si>
    <t>Élimination, béton</t>
  </si>
  <si>
    <t>Hochbaubeton (ohne Bewehrung)</t>
  </si>
  <si>
    <t>Béton pour bâtiment (sans armature)</t>
  </si>
  <si>
    <t>Tiefbaubeton (ohne Bewehrung)</t>
  </si>
  <si>
    <t>Béton pour travaux de génie civil (sans armature)</t>
  </si>
  <si>
    <t>Bohrpfahlbeton (ohne Bewehrung)</t>
  </si>
  <si>
    <t>Béton pour pieux (sans armature)</t>
  </si>
  <si>
    <t>01.041</t>
  </si>
  <si>
    <t>Betonfertigteil, hochfester Beton, ab Werk</t>
  </si>
  <si>
    <t>Élément préfabriqué en béton, béton à hautes performances, sortie d'usine</t>
  </si>
  <si>
    <t>Betonfertigteil, Normalbeton, ab Werk</t>
  </si>
  <si>
    <t>Élément préfabriqué en béton, béton normal, sortie d'usine</t>
  </si>
  <si>
    <t>01.043</t>
  </si>
  <si>
    <t>Hanfbeton</t>
  </si>
  <si>
    <t>91.073</t>
  </si>
  <si>
    <t>Entsorgungsmix, Hanfbeton</t>
  </si>
  <si>
    <t>Béton chaux-chanvre</t>
  </si>
  <si>
    <t>Élimination, béton chaux-chanvre</t>
  </si>
  <si>
    <t>01.043.01</t>
  </si>
  <si>
    <t>Hanfbeton, ARBIO</t>
  </si>
  <si>
    <t>Béton chaux-chanvre, ARBIO</t>
  </si>
  <si>
    <t>02</t>
  </si>
  <si>
    <t>Mauersteine</t>
  </si>
  <si>
    <t xml:space="preserve">Pierres de taille </t>
  </si>
  <si>
    <t>Backstein</t>
  </si>
  <si>
    <t>91.136</t>
  </si>
  <si>
    <t>Entsorgung, Baumaterialien, mineralisch, unspezifisch</t>
  </si>
  <si>
    <t>Brique en terre cuite</t>
  </si>
  <si>
    <t>Élimination, matériaux de construction, minéral, non spécifique</t>
  </si>
  <si>
    <t>02.001.01</t>
  </si>
  <si>
    <t>Backstein, perlitgefüllt, zzwancor</t>
  </si>
  <si>
    <t>Brique en terre cuite, remplie de perlite, zz wancor</t>
  </si>
  <si>
    <t>Kalksandstein</t>
  </si>
  <si>
    <t>Grès</t>
  </si>
  <si>
    <t>02.002.01</t>
  </si>
  <si>
    <t>Kalksandstein, FBB</t>
  </si>
  <si>
    <t>1200-2000</t>
  </si>
  <si>
    <t>Grès, FBB</t>
  </si>
  <si>
    <t>02.002.02</t>
  </si>
  <si>
    <t>Kalksandstein, Hunziker Kalksandstein AG</t>
  </si>
  <si>
    <t>Grès, Hunziker Kalksandstein AG</t>
  </si>
  <si>
    <t>02.003</t>
  </si>
  <si>
    <t>Leichtlehmstein</t>
  </si>
  <si>
    <t>Brique en argile légère</t>
  </si>
  <si>
    <t>02.004</t>
  </si>
  <si>
    <t>Leichtzementstein, Blähton</t>
  </si>
  <si>
    <t>Pierre en béton léger: argile expansée</t>
  </si>
  <si>
    <t>02.005</t>
  </si>
  <si>
    <t>Leichtzementstein, Naturbims</t>
  </si>
  <si>
    <t>Pierre en béton léger: pierre ponce naturelle</t>
  </si>
  <si>
    <t>02.006</t>
  </si>
  <si>
    <t>Porenbetonstein</t>
  </si>
  <si>
    <t>Béton cellulaire</t>
  </si>
  <si>
    <t>02.007</t>
  </si>
  <si>
    <t>Zementstein</t>
  </si>
  <si>
    <t>Plot de ciment</t>
  </si>
  <si>
    <t>02.007.01</t>
  </si>
  <si>
    <t>Erdstein, aus gepresster Erde, Terrabloc</t>
  </si>
  <si>
    <t>91.177.01</t>
  </si>
  <si>
    <t>Entsorgung, Erdstein, aus gepresster Erde, Terrabloc</t>
  </si>
  <si>
    <t>Bloc de terre compressé, terrabloc</t>
  </si>
  <si>
    <t>Élimination, pierre de terre, en terre comprimée, Terrabloc</t>
  </si>
  <si>
    <t>02.007.02</t>
  </si>
  <si>
    <t>Hanfsteine, Schönthaler AG</t>
  </si>
  <si>
    <t>91.176.01</t>
  </si>
  <si>
    <t>Entsorgung, Hanfsteine, Schönthaler AG</t>
  </si>
  <si>
    <t>Pierres de chanvre, Schönthaler AG</t>
  </si>
  <si>
    <t>Élimination, pierres de chanvre, Schönthaler AG</t>
  </si>
  <si>
    <t>03</t>
  </si>
  <si>
    <t>Andere Massivbaustoffe</t>
  </si>
  <si>
    <t>Autres matériaux massifs</t>
  </si>
  <si>
    <t>03.021</t>
  </si>
  <si>
    <t>Betongranulat</t>
  </si>
  <si>
    <t>91.062</t>
  </si>
  <si>
    <t>Entsorgung, Kies und Sand</t>
  </si>
  <si>
    <t>Granulés de béton</t>
  </si>
  <si>
    <t>Élimination, gravier et sable</t>
  </si>
  <si>
    <t>03.001</t>
  </si>
  <si>
    <t>Betonziegel</t>
  </si>
  <si>
    <t>Tuiles en béton</t>
  </si>
  <si>
    <t>03.002</t>
  </si>
  <si>
    <t>Faserzement-Dachschindel</t>
  </si>
  <si>
    <t>91.137</t>
  </si>
  <si>
    <t>Entsorgung, Faserzement</t>
  </si>
  <si>
    <t>Bardeau de fibrociment</t>
  </si>
  <si>
    <t>Élimination, ciment à fibres</t>
  </si>
  <si>
    <t>Faserzementplatte gross</t>
  </si>
  <si>
    <t>Dalle de fibrociment, grande</t>
  </si>
  <si>
    <t>Faserzement-Wellplatte</t>
  </si>
  <si>
    <t>Plaque ondulée en fibrociment</t>
  </si>
  <si>
    <t>Flachglas beschichtet</t>
  </si>
  <si>
    <t>91.032</t>
  </si>
  <si>
    <t>Entsorgung, Flachglas</t>
  </si>
  <si>
    <t>Verre plat, enduit</t>
  </si>
  <si>
    <t>Élimination, verre plat</t>
  </si>
  <si>
    <t>03.006</t>
  </si>
  <si>
    <t>Flachglas unbeschichtet</t>
  </si>
  <si>
    <t>Verre plat, non enduit</t>
  </si>
  <si>
    <t>Gipsfaserplatte</t>
  </si>
  <si>
    <t>91.063</t>
  </si>
  <si>
    <t>Entsorgung, Gipsfaserplatte</t>
  </si>
  <si>
    <t>Plaque de plâtre armé de fibres</t>
  </si>
  <si>
    <t>Élimination, plaque de plâtre armé de fibres</t>
  </si>
  <si>
    <t>Gipskartonplatte</t>
  </si>
  <si>
    <t>91.064</t>
  </si>
  <si>
    <t>Entsorgung, Gipskartonplatte</t>
  </si>
  <si>
    <t>Plaque de plâtre cartonnée</t>
  </si>
  <si>
    <t>Élimination, plaque de plâtre cartonné</t>
  </si>
  <si>
    <t>03.016</t>
  </si>
  <si>
    <t>Gips-Wandbauplatte / Vollgipsplatte</t>
  </si>
  <si>
    <t>91.069</t>
  </si>
  <si>
    <t>Entsorgung, Gips-Wandbauplatte / Vollgipsplatte</t>
  </si>
  <si>
    <t>Blocs de gypse / plâtre massif</t>
  </si>
  <si>
    <t>Élimination, plaque de plâtre murale / plaque de plâtre massif</t>
  </si>
  <si>
    <t>Hartsandsteinplatte</t>
  </si>
  <si>
    <t>Plaque de grès dur</t>
  </si>
  <si>
    <t>03.017</t>
  </si>
  <si>
    <t>Kalksteinplatte</t>
  </si>
  <si>
    <t>Plaque de calcaire dur</t>
  </si>
  <si>
    <t>03.010</t>
  </si>
  <si>
    <t>Keramik-/Steinzeugplatte</t>
  </si>
  <si>
    <t>Dalle de céramique/grès</t>
  </si>
  <si>
    <t>Kies gebrochen</t>
  </si>
  <si>
    <t>Gravier concassé</t>
  </si>
  <si>
    <t>03.022</t>
  </si>
  <si>
    <t>Mischgranulat</t>
  </si>
  <si>
    <t>Granulés pour mélange</t>
  </si>
  <si>
    <t>Rundkies</t>
  </si>
  <si>
    <t>Gravier rond</t>
  </si>
  <si>
    <t>Sand</t>
  </si>
  <si>
    <t>Sable</t>
  </si>
  <si>
    <t>03.014</t>
  </si>
  <si>
    <t>Sanitärkeramik</t>
  </si>
  <si>
    <t>Céramique sanitaire</t>
  </si>
  <si>
    <t>03.020</t>
  </si>
  <si>
    <t>Stampflehm</t>
  </si>
  <si>
    <t>Mur en pisé</t>
  </si>
  <si>
    <t>Tonziegel</t>
  </si>
  <si>
    <t>91.138</t>
  </si>
  <si>
    <t>Entsorgung, Ziegel</t>
  </si>
  <si>
    <t>Tuile en terre cuite</t>
  </si>
  <si>
    <t>Élimination des déchets, briques</t>
  </si>
  <si>
    <t>04</t>
  </si>
  <si>
    <t>Mörtel und Putze</t>
  </si>
  <si>
    <t>Mortiers et enduits</t>
  </si>
  <si>
    <t>Baukleber/Einbettmörtel mineralisch</t>
  </si>
  <si>
    <t>91.139</t>
  </si>
  <si>
    <t>Entsorgung, Mörtel, Putze</t>
  </si>
  <si>
    <t xml:space="preserve">Colle de construction/mortier d'enrobage minéral(e) </t>
  </si>
  <si>
    <t>Élimination, mortier, crépi</t>
  </si>
  <si>
    <t>Baukleber/Einbettmörtel mineralisch Leichtzuschlag</t>
  </si>
  <si>
    <t>Colle de construction/mortier d'enrobage minéral(e) avec agrégats légers</t>
  </si>
  <si>
    <t>04.002</t>
  </si>
  <si>
    <t>Baukleber/Einbettmörtel organisch</t>
  </si>
  <si>
    <t>Colle de construction/mortier d'enrobage biologique</t>
  </si>
  <si>
    <t>Gips-Kalk-Putz</t>
  </si>
  <si>
    <t>Enduit en plâtre et chaux</t>
  </si>
  <si>
    <t>Gips-/Weissputz</t>
  </si>
  <si>
    <t>Enduit minéral</t>
  </si>
  <si>
    <t>Kunststoffputz (Dispersionsputz)</t>
  </si>
  <si>
    <t>Crépi synthétique (enduit de dispersion)</t>
  </si>
  <si>
    <t>Kalk-Zement/Zement-Kalk-Putz</t>
  </si>
  <si>
    <t>Enduit en plâtre et en ciment</t>
  </si>
  <si>
    <t>04.004</t>
  </si>
  <si>
    <t>Lehmputz</t>
  </si>
  <si>
    <t>Enduit de glaise</t>
  </si>
  <si>
    <t>04.015</t>
  </si>
  <si>
    <t>Leichtputz mineralisch</t>
  </si>
  <si>
    <t>Enduit de glaise minérale</t>
  </si>
  <si>
    <t>04.011</t>
  </si>
  <si>
    <t>Silikatputz (Dispersionssilikatputz)</t>
  </si>
  <si>
    <t>Crépi silicate (silicate de dispersion)</t>
  </si>
  <si>
    <t>04.012</t>
  </si>
  <si>
    <t>Silikonharzputz</t>
  </si>
  <si>
    <t>Crépi à la résine de silicone</t>
  </si>
  <si>
    <t>04.016</t>
  </si>
  <si>
    <t>Sumpfkalkputz</t>
  </si>
  <si>
    <t>Enduit à la chaux grasse</t>
  </si>
  <si>
    <t>04.005</t>
  </si>
  <si>
    <t>Unterlagsboden Anhydrit, 60 mm</t>
  </si>
  <si>
    <t>Chape d'anhydrite, 60 mm</t>
  </si>
  <si>
    <t>Unterlagsboden Zement, 85 mm</t>
  </si>
  <si>
    <t>Chape de ciment, 85 mm</t>
  </si>
  <si>
    <t>04.007</t>
  </si>
  <si>
    <t>Wärmedämmputz EPS</t>
  </si>
  <si>
    <t>Enduit d'isolation thermique EPS</t>
  </si>
  <si>
    <t>Weisszementputz</t>
  </si>
  <si>
    <t>Crépi en ciment</t>
  </si>
  <si>
    <t>Zementputz</t>
  </si>
  <si>
    <t>Enduit de ciment</t>
  </si>
  <si>
    <t>05</t>
  </si>
  <si>
    <t>Fenster, Sonnenschutz, Fassadenverkleidungen</t>
  </si>
  <si>
    <r>
      <t>kg/m</t>
    </r>
    <r>
      <rPr>
        <b/>
        <vertAlign val="superscript"/>
        <sz val="10"/>
        <rFont val="Arial"/>
        <family val="2"/>
      </rPr>
      <t>2</t>
    </r>
  </si>
  <si>
    <t>Fenêtre et façades verre/métal</t>
  </si>
  <si>
    <t>Fassade, Pfosten-Riegel, Alu/Glas 1</t>
  </si>
  <si>
    <t>91.135</t>
  </si>
  <si>
    <t>Entsorgung, Fassade, Pfosten-Riegel, Alu/Glas</t>
  </si>
  <si>
    <t>Façade, à montants et traverses, Alu/Glas</t>
  </si>
  <si>
    <t>Élimination, façade, à montants et traverses, aluminium/verre</t>
  </si>
  <si>
    <t>91.103</t>
  </si>
  <si>
    <t>Entsorgung, Fassadenplatte, Aluverbund, 4 mm</t>
  </si>
  <si>
    <t>Panneau de façade, en aluminium, 4 mm</t>
  </si>
  <si>
    <t>Élimination, panneau de façade, en aluminium, 4 mm</t>
  </si>
  <si>
    <t>05.023</t>
  </si>
  <si>
    <t>Fassadenplatte, Hochdrucklaminatplatte (HPL), 8.1 mm</t>
  </si>
  <si>
    <t>91.106</t>
  </si>
  <si>
    <t>Entsorgung, HPL-Fassadenplatten</t>
  </si>
  <si>
    <t>Panneau de façade, stratifié (HPL), 8,1 mm</t>
  </si>
  <si>
    <t>Élimination, panneaux de façade stratifiés</t>
  </si>
  <si>
    <t>05.025</t>
  </si>
  <si>
    <t>Fassadenplatte, Kalkstein, 30 mm</t>
  </si>
  <si>
    <t>91.140</t>
  </si>
  <si>
    <t>Entsorgung, Fassade, mineralisch, Kalkstein</t>
  </si>
  <si>
    <t>Panneau de façade, calcaire, 30 mm</t>
  </si>
  <si>
    <t>Élimination, façade, minéral, calcaire</t>
  </si>
  <si>
    <t>05.024</t>
  </si>
  <si>
    <t>Fassadenplatte, Kunststoff glasfaserverstärkt (GFK), 1.6 mm</t>
  </si>
  <si>
    <t>91.071</t>
  </si>
  <si>
    <t>Entsorgung, GFK-Fassadenplatte</t>
  </si>
  <si>
    <t>Panneau de façade, plastique à renfort de verre (PRV), 1,6 mm</t>
  </si>
  <si>
    <t>Élimination, panneau de façade renforcé de fibre de verre (PRV)</t>
  </si>
  <si>
    <t>05.004</t>
  </si>
  <si>
    <t>Fensterrahmen Aluminium 2</t>
  </si>
  <si>
    <t>91.105</t>
  </si>
  <si>
    <t>Entsorgung, Gebäude, Fensterrahmen, Aluminium</t>
  </si>
  <si>
    <t>Cadre de fenêtre en aluminium</t>
  </si>
  <si>
    <t>Élimination, bâtiment, cadre de fenêtre en aluminium</t>
  </si>
  <si>
    <t>05.004.01</t>
  </si>
  <si>
    <t>Fensterrahmen Aluminium, WICLINE 75evo, hergestellt mit Hydro CIRCAL 75R 2</t>
  </si>
  <si>
    <t>91.105.01</t>
  </si>
  <si>
    <t>Entsorgung, Gebäude, Fensterrahmen Aluminium, WICLINE 75evo, hergestellt mit Hydro CIRCAL 75R</t>
  </si>
  <si>
    <t>Cadre de fenêtre en aluminium, WICLINE 75evo, fabriqué avec Hydro CIRCAL 75R 2</t>
  </si>
  <si>
    <t>Élimination, bâtiment, cadre de fenêtre en aluminium, WICLINE 75evo, fabriqué avec Hydro CIRCAL 75R</t>
  </si>
  <si>
    <t>Fensterrahmen Holz 2</t>
  </si>
  <si>
    <t>91.029</t>
  </si>
  <si>
    <t>Entsorgung, Gebäude, Fensterrahmen, Holz</t>
  </si>
  <si>
    <t>Cadre de fenêtre en bois</t>
  </si>
  <si>
    <t>Élimination, bâtiment, cadre de fenêtre bois</t>
  </si>
  <si>
    <t>05.005.01</t>
  </si>
  <si>
    <t>Fensterrahmen Holz, Saphir integral 67/55, G. Baumgartner AG 2</t>
  </si>
  <si>
    <t>91.029.01</t>
  </si>
  <si>
    <t>Entsorgung, Gebäude, Fensterrahmen, Holz, Saphir integral 67/55, G. Baumgartner AG</t>
  </si>
  <si>
    <t>Cadre de fenêtre en bois, Saphir intégral 67/55, G. Baumgartner AG 2</t>
  </si>
  <si>
    <t>Élimination, bâtiment, cadre de fenêtre bois, saphir intégral 67/55, G. Baumgartner SA</t>
  </si>
  <si>
    <t>Fensterrahmen Holz-Metall 2</t>
  </si>
  <si>
    <t>91.030</t>
  </si>
  <si>
    <t>Entsorgung, Gebäude, Fensterrahmen, Holz-Metall</t>
  </si>
  <si>
    <t>Cadre de fenêtre bois-métal</t>
  </si>
  <si>
    <t>Élimination, bâtiment, cadre de fenêtre bois-métal</t>
  </si>
  <si>
    <t>05.006.01</t>
  </si>
  <si>
    <t>Fensterrahmen Holz-Metall, Saphir integral 55/55, G. Baumgartner AG 2</t>
  </si>
  <si>
    <t>91.030.01</t>
  </si>
  <si>
    <t>Entsorgung, Gebäude, Fensterrahmen, Holz-Metall, Saphir integral 55/55, G. Baumgartner AG</t>
  </si>
  <si>
    <t>Cadre de fenêtre bois-métal, Saphir intégral 55/55, G. Baumgartner AG 2</t>
  </si>
  <si>
    <t>Élimination, bâtiment, cadre de fenêtre bois, saphir intégral 55/55, G. Baumgartner SA</t>
  </si>
  <si>
    <t>Fensterrahmen Kunststoff/PVC 2</t>
  </si>
  <si>
    <t>91.031</t>
  </si>
  <si>
    <t>Entsorgung, Gebäude, Fensterrahmen, Plastik</t>
  </si>
  <si>
    <t>Cadre en matière synthétique (PVC) 2</t>
  </si>
  <si>
    <t>Élimination, bâtiment, cadre de fenêtre plastique</t>
  </si>
  <si>
    <t>05.001</t>
  </si>
  <si>
    <t>Isolierverglasung 2-fach, Ug-Wert 1.1 W/m2K, Dicke 24 mm 3</t>
  </si>
  <si>
    <t>91.042</t>
  </si>
  <si>
    <t>Entsorgung, Isolierverglasung 2-fach, Float/ESG, Ug-Wert 1.1 W/m2K, Dicke 24 mm</t>
  </si>
  <si>
    <t>Double vitrage, U&lt;1.1 W/m2K, épaisseur 24 mm 3</t>
  </si>
  <si>
    <t>Élimination, vitrage isolant 2-IV, verre ESG, U&lt;1.1 W/m2K, 24 mm d'épaisseur</t>
  </si>
  <si>
    <t>05.009</t>
  </si>
  <si>
    <t>Isolierverglasung 2-fach, Ug-Wert 1.1 W/m2K, Dicke 18 mm 3</t>
  </si>
  <si>
    <t>91.107</t>
  </si>
  <si>
    <t>Entsorgung, Isolierverglasung 2-fach, Ug-Wert 1.1 W/m2K, Dicke 18 mm</t>
  </si>
  <si>
    <t>Double vitrage, U&lt;1.1 W/m2K, épaisseur 18 mm 3</t>
  </si>
  <si>
    <t>Élimination, double vitrage, U&lt;1.1 W/m2K, épaisseur 18 mm</t>
  </si>
  <si>
    <t>05.010</t>
  </si>
  <si>
    <t>Isolierverglasung 2-fach, ESG, Ug-Wert 1.1 W/m2K 3</t>
  </si>
  <si>
    <t>Double vitrage, verre ESG, U&lt;1.1 W/m2K 3</t>
  </si>
  <si>
    <t>05.002</t>
  </si>
  <si>
    <t>Isolierverglasung 2-fach, VSG, Ug-Wert 1.1 W/m2K 3</t>
  </si>
  <si>
    <t>91.043</t>
  </si>
  <si>
    <t>Entsorgung, Isolierverglasung 2-fach, Float/ESG/VSG, Ug-Wert 1.1 W/m2K</t>
  </si>
  <si>
    <t>Double vitrage, verre VSG, U&lt;1.1 W/m2K 3</t>
  </si>
  <si>
    <t>Élimination, vitrage isolant 2-IV, verre ESG/VSG, U&lt;1.1 W/m2K,</t>
  </si>
  <si>
    <t>05.011</t>
  </si>
  <si>
    <t>Isolierverglasung 2-fach, ESG/VSG, Ug-Wert 1.1 W/m2K 3</t>
  </si>
  <si>
    <t>Double vitrage, verre ESG/VSG, U&lt;1.1 W/m2K 3</t>
  </si>
  <si>
    <t>05.003</t>
  </si>
  <si>
    <t>Isolierverglasung 3-fach, Ug-Wert 0.5 W/m2K, Dicke 36 mm 3</t>
  </si>
  <si>
    <t>91.044</t>
  </si>
  <si>
    <t>Entsorgung, Isolierverglasung 3-fach, Ug-Wert 0.5 W/m2K, Dicke 36 mm</t>
  </si>
  <si>
    <t>Triple vitrage, U&lt;0.5 W/m2K, épaisseur 36 mm 3</t>
  </si>
  <si>
    <t>Élimination, vitrage isolant 3-IV, U&lt;0.5 W/m2K, 36 mm d'épaisseur</t>
  </si>
  <si>
    <t>Isolierverglasung 3-fach, Ug-Wert 0.6 W/m2K, Dicke 40 mm 3</t>
  </si>
  <si>
    <t>91.110</t>
  </si>
  <si>
    <t>Entsorgung, Isolierverglasung 3-fach, Ug-Wert 0.6 W/m2K, Dicke 40 mm</t>
  </si>
  <si>
    <t>Triple vitrage, U&lt;0.6 W/m2K, épaisseur 40 mm 3</t>
  </si>
  <si>
    <t>Élimination, triple vitrage, U&lt;0.6 W/m2K, épaisseur 40 mm</t>
  </si>
  <si>
    <t>05.013</t>
  </si>
  <si>
    <t>Isolierverglasung 3-fach, ESG/ESG, Ug-Wert 0.6 W/m2K 3</t>
  </si>
  <si>
    <t>Triple vitrage, verre ESG/ESG, U&lt;0.6 W/m2K 3</t>
  </si>
  <si>
    <t>05.014</t>
  </si>
  <si>
    <t>Isolierverglasung 3-fach, ESG/ESG/ESG, Ug-Wert 0.6 W/m2K 3</t>
  </si>
  <si>
    <t>Triple vitrage, verre ESG/ESG/ESG, U&lt;0.6 W/m2K 3</t>
  </si>
  <si>
    <t>05.015</t>
  </si>
  <si>
    <t>Isolierverglasung 3-fach, VSG, Ug-Wert 0.6 W/m2K 3</t>
  </si>
  <si>
    <t>91.113</t>
  </si>
  <si>
    <t>Entsorgung, Isolierverglasung 3-fach, Float/ESG/VSG, Ug-Wert 0.6 W/m2K</t>
  </si>
  <si>
    <t>Triple vitrage, verre VSG, U&lt;0.6 W/m2K 3</t>
  </si>
  <si>
    <t>Élimination, triple vitrage, verre ESG/VSG, U&lt;0.6 W/m2K</t>
  </si>
  <si>
    <t>05.016</t>
  </si>
  <si>
    <t>Isolierverglasung 3-fach, ESG/VSG, Ug-Wert 0.6 W/m2K 3</t>
  </si>
  <si>
    <t>Triple vitrage, verre ESG/VSG, U&lt;0.6 W/m2K 3</t>
  </si>
  <si>
    <t>05.020</t>
  </si>
  <si>
    <t>Putzträgerplatte kunstharzgebunden 13 mm</t>
  </si>
  <si>
    <t>91.116</t>
  </si>
  <si>
    <t>Entsorgung, Putzträgerplatte kunstharzgebunden</t>
  </si>
  <si>
    <t>Panneau de support de crépis, liant en résine synthétique, 13 mm</t>
  </si>
  <si>
    <t>Élimination, panneau de support de crépis, liant en résine synthétique</t>
  </si>
  <si>
    <t>05.021</t>
  </si>
  <si>
    <t>Putzträgerplatte mineralisch gebunden 12.5 mm</t>
  </si>
  <si>
    <t>91.117</t>
  </si>
  <si>
    <t>Entsorgung, Putzträgerplatte mineralisch gebunden</t>
  </si>
  <si>
    <t>Panneau de support de crépis, liant en matière minérale, 12,5 mm</t>
  </si>
  <si>
    <t>Élimination, panneau de support de crépis, liant en matière minérale</t>
  </si>
  <si>
    <t>05.026</t>
  </si>
  <si>
    <t>Rahmenverbreiterung, PVC</t>
  </si>
  <si>
    <t>91.170</t>
  </si>
  <si>
    <t>Entsorgung, Rahmenverbreiterung, PVC</t>
  </si>
  <si>
    <t>Élargissement du cadre, PVC</t>
  </si>
  <si>
    <t>Élimination, élargissement du cadre, PVC</t>
  </si>
  <si>
    <t>05.027</t>
  </si>
  <si>
    <t>Rahmenverbreiterung, Spanplatte</t>
  </si>
  <si>
    <t>91.171</t>
  </si>
  <si>
    <t>Entsorgung, Rahmenverbreiterung, Spanplatte</t>
  </si>
  <si>
    <t>Élargissement du cadre, panneau de particules</t>
  </si>
  <si>
    <t>Élimination, élargissement du cadre, plaque de serrage</t>
  </si>
  <si>
    <t>Sonnenschutz, Ausstellstoren motorisiert 4</t>
  </si>
  <si>
    <t>91.104</t>
  </si>
  <si>
    <t>Entsorgung, Sonnenschutz, Ausstellstoren motorisiert</t>
  </si>
  <si>
    <t>Protection solaire, stores à projection avec moteur 4</t>
  </si>
  <si>
    <t>Élimination, protection solaire, stores à projection avec moteur</t>
  </si>
  <si>
    <t>Sonnenschutz, Lamellenstoren motorisiert 4</t>
  </si>
  <si>
    <t>91.115</t>
  </si>
  <si>
    <t>Entsorgung, Sonnenschutz, Lamellenstoren motorisiert</t>
  </si>
  <si>
    <t>Protection solaire, stores vénitiens avec moteur 4</t>
  </si>
  <si>
    <t>Élimination, protection solaire, stores vénitiens avec moteur</t>
  </si>
  <si>
    <t>05.019</t>
  </si>
  <si>
    <t>Sonnenschutz, Rollladen motorisiert 4</t>
  </si>
  <si>
    <t>91.118</t>
  </si>
  <si>
    <t>Entsorgung, Sonnenschutz, Rollladen motorisiert</t>
  </si>
  <si>
    <t>Protection solaire, contrevent sur enrouleur avec moteur 4</t>
  </si>
  <si>
    <t>Élimination, protection solaire, contrevent sur enrouleur avec moteur</t>
  </si>
  <si>
    <t>06</t>
  </si>
  <si>
    <t xml:space="preserve">Metallbaustoffe </t>
  </si>
  <si>
    <t xml:space="preserve">Produits en métal </t>
  </si>
  <si>
    <t>06.001</t>
  </si>
  <si>
    <t>Aluminiumblech, blank</t>
  </si>
  <si>
    <t>91.141</t>
  </si>
  <si>
    <t>Entsorgung, Nichteisenmetalle</t>
  </si>
  <si>
    <t>Tôle d'aluminium, nue</t>
  </si>
  <si>
    <t>Élimination, métaux non ferreux</t>
  </si>
  <si>
    <t>Aluminiumprofil, blank</t>
  </si>
  <si>
    <t>Profil d'aluminium, nu</t>
  </si>
  <si>
    <t>06.002.01</t>
  </si>
  <si>
    <t>Aluminiumprofil blank, WICONA, hergestellt mit Hydro CIRCAL 75R</t>
  </si>
  <si>
    <t>Profil d'aluminium, nu, WICONA, fabriqué avec Hydro CIRCAL 75R</t>
  </si>
  <si>
    <t>Armierungsstahl</t>
  </si>
  <si>
    <t>91.142</t>
  </si>
  <si>
    <t>Entsorgung, Armierungsstahl</t>
  </si>
  <si>
    <t>Acier d'armature</t>
  </si>
  <si>
    <t>Élimination, acier d'armature</t>
  </si>
  <si>
    <t>06.014</t>
  </si>
  <si>
    <t>Blei</t>
  </si>
  <si>
    <t>Plomb</t>
  </si>
  <si>
    <t>Chromnickelstahlblech 18/8 blank</t>
  </si>
  <si>
    <t>91.143</t>
  </si>
  <si>
    <t>Entsorgung, Stahl</t>
  </si>
  <si>
    <t>Tôle d'acier nickel-chrome 18/8, nue</t>
  </si>
  <si>
    <t>Élimination, acier</t>
  </si>
  <si>
    <t>06.005</t>
  </si>
  <si>
    <t>Chromnickelstahlblech 18/8 verzinnt</t>
  </si>
  <si>
    <t>Tôle d'acier nickel-chrome étamée 18/8</t>
  </si>
  <si>
    <t>06.006</t>
  </si>
  <si>
    <t>Chromstahlblech blank</t>
  </si>
  <si>
    <t>Tôle d'acier chromé, nue</t>
  </si>
  <si>
    <t>06.007</t>
  </si>
  <si>
    <t>Chromstahlblech verzinnt</t>
  </si>
  <si>
    <t>Tôle d'acier chromé, étamée</t>
  </si>
  <si>
    <t>06.008</t>
  </si>
  <si>
    <t>Kupferblech, blank</t>
  </si>
  <si>
    <t>Tôle de cuivre, nue</t>
  </si>
  <si>
    <t>06.009</t>
  </si>
  <si>
    <t>Messing-/Baubronzeblech</t>
  </si>
  <si>
    <t>Tôle de laiton/bronze de construction</t>
  </si>
  <si>
    <t>06.010</t>
  </si>
  <si>
    <t>Stahlblech, blank</t>
  </si>
  <si>
    <t>Tôle d'acier nue</t>
  </si>
  <si>
    <t>Stahlblech, verzinkt</t>
  </si>
  <si>
    <t>Tôle d'acier, zinguée</t>
  </si>
  <si>
    <t>Stahlprofil, blank</t>
  </si>
  <si>
    <t>Profil en acier, nu</t>
  </si>
  <si>
    <t>06.013</t>
  </si>
  <si>
    <t>Titanzinkblech</t>
  </si>
  <si>
    <t>Tôle zinc-titane</t>
  </si>
  <si>
    <t>07</t>
  </si>
  <si>
    <t>Holz und Holzwerkstoffe</t>
  </si>
  <si>
    <t>Bois et produits en bois</t>
  </si>
  <si>
    <t>3- und 5-Schicht Massivholzplatte</t>
  </si>
  <si>
    <t>91.048</t>
  </si>
  <si>
    <t>Entsorgung, Dreischichtplatte</t>
  </si>
  <si>
    <t>Bois massif 3 et 5 plis</t>
  </si>
  <si>
    <t>Élimination, panneau tricouche</t>
  </si>
  <si>
    <t>07.021</t>
  </si>
  <si>
    <t>Balkenschichtholz</t>
  </si>
  <si>
    <t>91.047</t>
  </si>
  <si>
    <t>Entsorgung, Brettschichtholz verleimt</t>
  </si>
  <si>
    <t>Bois d'équarrissage</t>
  </si>
  <si>
    <t>Élimination, lamellé-collé</t>
  </si>
  <si>
    <t>07.003</t>
  </si>
  <si>
    <t>Brettschichtholz</t>
  </si>
  <si>
    <t>Bois lamellé-collé</t>
  </si>
  <si>
    <t>07.003.01</t>
  </si>
  <si>
    <t>Brettschichtholz, Produktion Schweiz</t>
  </si>
  <si>
    <t>Bois lamellé-collé, colle MF, zone humide, production Suisse</t>
  </si>
  <si>
    <t>07.002</t>
  </si>
  <si>
    <t>07.002.01</t>
  </si>
  <si>
    <t>Bois lamellé-collé, colle UF, zone sèche, production Suisse</t>
  </si>
  <si>
    <t>07.020</t>
  </si>
  <si>
    <t>Brettsperrholz</t>
  </si>
  <si>
    <t>91.145</t>
  </si>
  <si>
    <t>Entsorgung, Spanplatte, 10% Bindemittel</t>
  </si>
  <si>
    <t>Contreplaqué de planches</t>
  </si>
  <si>
    <t>Élimination, plaque de serrage, agent liant 10 %</t>
  </si>
  <si>
    <t>07.020.01</t>
  </si>
  <si>
    <t>Brettsperrholz, Produktion Schweiz</t>
  </si>
  <si>
    <t>Contreplaqué de placage, production Suisse</t>
  </si>
  <si>
    <t>07.022</t>
  </si>
  <si>
    <t>Furniersperrholz</t>
  </si>
  <si>
    <t>Contreplaqué de placage</t>
  </si>
  <si>
    <t>07.004</t>
  </si>
  <si>
    <t>Hartfaserplatte</t>
  </si>
  <si>
    <t>91.049</t>
  </si>
  <si>
    <t>Entsorgung, Holzfaserplatte hart</t>
  </si>
  <si>
    <t>Panneau de particules dur</t>
  </si>
  <si>
    <t>Élimination, panneau de fibres dur</t>
  </si>
  <si>
    <t>07.005</t>
  </si>
  <si>
    <t>Holzwolle-Leichtbauplatte, zementgebunden</t>
  </si>
  <si>
    <t>91.144</t>
  </si>
  <si>
    <t>Entsorgung, Verbundmaterialien, organisch-mineralisch</t>
  </si>
  <si>
    <t>Panneau de bois léger à paille de bois liée par du ciment</t>
  </si>
  <si>
    <t>Élimination, matériaux composites, organique-minéral</t>
  </si>
  <si>
    <t>Konstruktionsvollholz</t>
  </si>
  <si>
    <t>Bois massif de construction</t>
  </si>
  <si>
    <t>07.008</t>
  </si>
  <si>
    <t>Massivholz Buche / Eiche, kammergetrocknet, gehobelt</t>
  </si>
  <si>
    <t>91.052</t>
  </si>
  <si>
    <t>Entsorgung, Holz und Holzwerkstoffe, Massivholz</t>
  </si>
  <si>
    <t>Bois massif hêtre / chêne, séché en cellule, raboté</t>
  </si>
  <si>
    <t>Élimination, bois et matériaux dérivés, bois massif</t>
  </si>
  <si>
    <t>07.008.01</t>
  </si>
  <si>
    <t>Massivholz Buche / Eiche, kammergetrocknet, gehobelt, Produktion Schweiz</t>
  </si>
  <si>
    <t>Bois massif hêtre / chêne, séché en cellule, raboté, production Suisse</t>
  </si>
  <si>
    <t>07.007</t>
  </si>
  <si>
    <t>Massivholz Buche / Eiche, kammergetrocknet, rau</t>
  </si>
  <si>
    <t>Bois massif hêtre, chêne, séché en cellule, brut</t>
  </si>
  <si>
    <t>07.007.01</t>
  </si>
  <si>
    <t>Massivholz Buche / Eiche, kammergetrocknet, rau, Produktion Schweiz</t>
  </si>
  <si>
    <t>Bois massif hêtre, chêne, séché en cellule, brut, production Suisse</t>
  </si>
  <si>
    <t>07.006</t>
  </si>
  <si>
    <t>Massivholz Buche / Eiche, luftgetrocknet, rau</t>
  </si>
  <si>
    <t>Bois massif hêtre / chêne, séché à l'air, brut</t>
  </si>
  <si>
    <t>07.006.01</t>
  </si>
  <si>
    <t>Massivholz Buche / Eiche, luftgetrocknet, rau, Produktion Schweiz</t>
  </si>
  <si>
    <t>Bois massif hêtre / chêne, séché à l'air, brut, production Suisse</t>
  </si>
  <si>
    <t>Massivholz Fichte / Tanne / Lärche, kammergetr., gehobelt</t>
  </si>
  <si>
    <t>Bois massif épicéa / sapin / mélèze, séché en cellule, raboté</t>
  </si>
  <si>
    <t>07.011.01</t>
  </si>
  <si>
    <t>Massivholz Fichte / Tanne / Lärche, kammergetr., gehobelt, Produktion Schweiz</t>
  </si>
  <si>
    <t>Bois massif épicéa / sapin / mélèze, séché en cellule, raboté, production Suisse</t>
  </si>
  <si>
    <t>07.011.02</t>
  </si>
  <si>
    <t>Massivholz Fichte / Tanne, kammergetr., Vollholzhaus holzpur</t>
  </si>
  <si>
    <t>Bois massif épicéa / sapin, séché en cellule, holzpur</t>
  </si>
  <si>
    <t>07.010</t>
  </si>
  <si>
    <t>Massivholz Fichte / Tanne / Lärche, luftgetr., gehobelt</t>
  </si>
  <si>
    <t>Bois massif épicéa / sapin / mélèze, séché à l'air, raboté</t>
  </si>
  <si>
    <t>07.010.01</t>
  </si>
  <si>
    <t>Massivholz Fichte / Tanne / Lärche, luftgetr., gehobelt, Produktion Schweiz</t>
  </si>
  <si>
    <t>Bois massif épicéa / sapin / mélèze, séché à l'air, raboté, production Suisse</t>
  </si>
  <si>
    <t>Massivholz Fichte / Tanne / Lärche, luftgetrocknet, rau</t>
  </si>
  <si>
    <t>Bois massif épicéa / sapin / mélèze, séché à l'air, brut</t>
  </si>
  <si>
    <t>07.009.01</t>
  </si>
  <si>
    <t>Massivholz Fichte / Tanne / Lärche, luftgetrocknet, rau, Produktion Schweiz</t>
  </si>
  <si>
    <t>Bois massif épicéa / sapin / mélèze, séché à l'air, brut, production Suisse</t>
  </si>
  <si>
    <t>07.012</t>
  </si>
  <si>
    <t>Mitteldichte Faserplatte (MDF), UF-gebunden</t>
  </si>
  <si>
    <t>91.050</t>
  </si>
  <si>
    <t>Entsorgung, Faserplatte mittlerer Dichte (MDF)</t>
  </si>
  <si>
    <t>Panneau de fibres à densité moyenne (MDF), colle UF</t>
  </si>
  <si>
    <t>Élimination, panneau de fibres de compacité moyenne</t>
  </si>
  <si>
    <t>07.013</t>
  </si>
  <si>
    <t>OSB Platte, PF-gebunden, Feuchtbereich</t>
  </si>
  <si>
    <t>Panneau d'aggloméré type OSB, colle PF, zone humide</t>
  </si>
  <si>
    <t>07.024</t>
  </si>
  <si>
    <t>Röhrenspanplatte</t>
  </si>
  <si>
    <t>Panneau de particules tubulaire</t>
  </si>
  <si>
    <t>07.015</t>
  </si>
  <si>
    <t>Spanplatte, PF-gebunden, Feuchtbereich</t>
  </si>
  <si>
    <t>Panneau de particules, colle PF, zone humide</t>
  </si>
  <si>
    <t>07.016</t>
  </si>
  <si>
    <t>Spanplatte, UF-gebunden, beschichtet, Trockenbereich</t>
  </si>
  <si>
    <t>91.057</t>
  </si>
  <si>
    <t>Entsorgung, Spanplatte, 10% Bindemittel, 3.5% MF-gebunden</t>
  </si>
  <si>
    <t>Panneau de particules, colle UF, enduit, zone sèche</t>
  </si>
  <si>
    <t>Élimination, plaque de serrage, agent liant 10 %, 3,5 % résine MF</t>
  </si>
  <si>
    <t>07.014</t>
  </si>
  <si>
    <t>Spanplatte, UF-gebunden, Trockenbereich</t>
  </si>
  <si>
    <t>Panneau de particules, colle UF, zone sèche</t>
  </si>
  <si>
    <t>Sperrholz/Multiplex, PF-gebunden, Feuchtbereich</t>
  </si>
  <si>
    <t>Bois lamellé / multiplex, colle PF, zone humide</t>
  </si>
  <si>
    <t>07.017</t>
  </si>
  <si>
    <t>Sperrholz/Multiplex, UF-gebunden, Trockenbereich</t>
  </si>
  <si>
    <t>Bois lamellé / multiplex, colle UF, zone sèche</t>
  </si>
  <si>
    <t>07.019</t>
  </si>
  <si>
    <t>Stabschichtholz, Buche</t>
  </si>
  <si>
    <t>Bois lamellé-collé en hêtre</t>
  </si>
  <si>
    <t>07.019.01</t>
  </si>
  <si>
    <t>Stabschichtholz, Buche, fagus</t>
  </si>
  <si>
    <t>91.175.01</t>
  </si>
  <si>
    <t>Entsorgung, Stabschichtholz, Buche, fagus</t>
  </si>
  <si>
    <t>Bois lamellé-collé en hêtre, fagus</t>
  </si>
  <si>
    <t>Élimination, bois lamellé-collé, hêtre, fagus</t>
  </si>
  <si>
    <t>08</t>
  </si>
  <si>
    <t>Klebstoffe und Fugendichtungsmassen</t>
  </si>
  <si>
    <t>Colles et masses de jointoiement</t>
  </si>
  <si>
    <t>2-Komponenten Klebstoff</t>
  </si>
  <si>
    <t>91.146</t>
  </si>
  <si>
    <t>Entsorgung, Kleb-, Dichtstoffe, Anstriche</t>
  </si>
  <si>
    <t>Colle bicomposant</t>
  </si>
  <si>
    <t>Élimination, colles, produits d'étanchéité, peintures</t>
  </si>
  <si>
    <t>Heissbitumen</t>
  </si>
  <si>
    <t>Masse bitumeuse, chaude</t>
  </si>
  <si>
    <t>08.003</t>
  </si>
  <si>
    <t>Kautschukdichtungsmasse</t>
  </si>
  <si>
    <t>Masse de jointoiement en caoutchouc</t>
  </si>
  <si>
    <t>08.004</t>
  </si>
  <si>
    <t>Polysulfiddichtungsmasse</t>
  </si>
  <si>
    <t>Masse de jointoiement en polysulfide</t>
  </si>
  <si>
    <t>08.005</t>
  </si>
  <si>
    <t>Silicon-Fugenmasse</t>
  </si>
  <si>
    <t>Masse de jointoiement en silicone</t>
  </si>
  <si>
    <t>09</t>
  </si>
  <si>
    <t>Dichtungsbahnen und Schutzfolien</t>
  </si>
  <si>
    <t xml:space="preserve">Lés d'étanchéité et feuilles de protection </t>
  </si>
  <si>
    <t>Dampfbremse bituminös</t>
  </si>
  <si>
    <t>91.172</t>
  </si>
  <si>
    <t>Entsorgung, Dichtungsbahnen und Schutzfolien, Dampfbremse Bitumen</t>
  </si>
  <si>
    <t>Barrière de vapeur bitumineuse</t>
  </si>
  <si>
    <t>Élimination, feuilles d'étanchéité et de protection, frein de vapeur en bitume</t>
  </si>
  <si>
    <t>09.002</t>
  </si>
  <si>
    <t>Dampfbremse Polyethylen (PE)</t>
  </si>
  <si>
    <t>91.037</t>
  </si>
  <si>
    <t>Entsorgung, Dichtungsbahnen und Schutzfolien, Dampfbremse PE</t>
  </si>
  <si>
    <t>Barrière de vapeur PE</t>
  </si>
  <si>
    <t>Élimination, feuilles d'étanchéité et de protection, frein de vapeur en PE</t>
  </si>
  <si>
    <t>Dichtungsbahn bituminös</t>
  </si>
  <si>
    <t>Lé d'étanchéité bitumineux</t>
  </si>
  <si>
    <t>09.003.11</t>
  </si>
  <si>
    <t>Bituminöse Dichtungsbahn, swissporBIKUPLAN ECO</t>
  </si>
  <si>
    <t>Lé d'étanchéité bitumineux, swissporBIKUPLAN ECO</t>
  </si>
  <si>
    <t>Bituminöse Dichtungsbahn, swissporBIKUTOP</t>
  </si>
  <si>
    <t>Lé d'étanchéité bitumineux, swissporBIKUTOP</t>
  </si>
  <si>
    <t>09.003.02</t>
  </si>
  <si>
    <t>Bituminöse Dichtungsbahn, swissporBIKUTOP ECO</t>
  </si>
  <si>
    <t>Lé d'étanchéité bitumineux, swissporBIKUTOP ECO</t>
  </si>
  <si>
    <t>09.003.04</t>
  </si>
  <si>
    <t>09.003.05</t>
  </si>
  <si>
    <t>09.003.06</t>
  </si>
  <si>
    <t>09.003.08</t>
  </si>
  <si>
    <t>09.003.09</t>
  </si>
  <si>
    <t>09.003.10</t>
  </si>
  <si>
    <t>09.004</t>
  </si>
  <si>
    <t>Dichtungsbahn Gummi (EPDM)</t>
  </si>
  <si>
    <t>91.147</t>
  </si>
  <si>
    <t>Entsorgung, Dichtungsbahnen und Schutzfolien, EPDM</t>
  </si>
  <si>
    <t>Lé d'étanchéité caoutchouc (EPDM)</t>
  </si>
  <si>
    <t>Élimination, bandes d'étanchéité et de protection, EPDM</t>
  </si>
  <si>
    <t>09.005</t>
  </si>
  <si>
    <t>Dichtungsbahn Polyolefin (FPO)</t>
  </si>
  <si>
    <t>91.148</t>
  </si>
  <si>
    <t>Entsorgung, Dichtungsbahnen und Schutzfolien, Polyolefin</t>
  </si>
  <si>
    <t>Lé d'étanchéité polyoléfine (FPO)</t>
  </si>
  <si>
    <t>Élimination, bandes d'étanchéité et de protection, polyoléfine</t>
  </si>
  <si>
    <t>09.006</t>
  </si>
  <si>
    <t>Kraftpapier</t>
  </si>
  <si>
    <t>91.149</t>
  </si>
  <si>
    <t>Entsorgung, Kraft-Papier</t>
  </si>
  <si>
    <t>Papier Kraft</t>
  </si>
  <si>
    <t>Élimination, papier kraft</t>
  </si>
  <si>
    <t>Polyethylenfolie (PE)</t>
  </si>
  <si>
    <t>Feuille de polyéthylène (PE)</t>
  </si>
  <si>
    <t>Polyethylenvlies (PE)</t>
  </si>
  <si>
    <t>Voile de polyéthylène (PE)</t>
  </si>
  <si>
    <t>10</t>
  </si>
  <si>
    <t>Wärmedämmstoffe</t>
  </si>
  <si>
    <t>Produits d'isolation thermique</t>
  </si>
  <si>
    <t>10.014</t>
  </si>
  <si>
    <t>Aerogel-Vlies</t>
  </si>
  <si>
    <t>91.119</t>
  </si>
  <si>
    <t>Entsorgung, Aerogel-Vlies</t>
  </si>
  <si>
    <t>Fibres d'aérogel</t>
  </si>
  <si>
    <t>Élimination, fibres d'aérogel</t>
  </si>
  <si>
    <t>Blähperlit</t>
  </si>
  <si>
    <t>65-140</t>
  </si>
  <si>
    <t>Perlite expansée</t>
  </si>
  <si>
    <t>Élimination, bâtiment, brique en terre cuite, élimination</t>
  </si>
  <si>
    <t>10.011</t>
  </si>
  <si>
    <t>Blähvermiculit</t>
  </si>
  <si>
    <t>Vermiculite expansée</t>
  </si>
  <si>
    <t>10.016</t>
  </si>
  <si>
    <t>Flachsfasern</t>
  </si>
  <si>
    <t>91.121</t>
  </si>
  <si>
    <t>Entsorgung, Flachsfaser-Dämmung</t>
  </si>
  <si>
    <t>Isolation en lin</t>
  </si>
  <si>
    <t>Élimination, isolation lin</t>
  </si>
  <si>
    <t>10.016.01</t>
  </si>
  <si>
    <t>Flachsfasern, MAGRIPOL, Premium</t>
  </si>
  <si>
    <t>Isolation en lin, MAGRIPOL, Premium</t>
  </si>
  <si>
    <t>10.017</t>
  </si>
  <si>
    <t>Flachsfasern, feuerfest</t>
  </si>
  <si>
    <t>Isolation en lin, résistant au feu</t>
  </si>
  <si>
    <t>10.017.01</t>
  </si>
  <si>
    <t>Flachsfasern, feuerfest, MAGRIPOL, Premium+</t>
  </si>
  <si>
    <t>Isolation en lin, anti-feu, MAGRIPOL, Premium+</t>
  </si>
  <si>
    <t>Glaswolle</t>
  </si>
  <si>
    <t>91.173</t>
  </si>
  <si>
    <t>Entsorgung, Dämmstoff, mineralisch</t>
  </si>
  <si>
    <t>20-100</t>
  </si>
  <si>
    <t>Laine de verre</t>
  </si>
  <si>
    <t>Élimination, matériaux isolant, minéral</t>
  </si>
  <si>
    <t>10.001.01</t>
  </si>
  <si>
    <t>Glaswolle, Isover, phenolbasiertes Bindemittel</t>
  </si>
  <si>
    <t>Laine de verre, Isover, résine phénolique</t>
  </si>
  <si>
    <t>10.001.03</t>
  </si>
  <si>
    <t>Glaswolle, Isover, pflanzliches Bindemittel</t>
  </si>
  <si>
    <t>Laine de verre, Isover, liant végétal</t>
  </si>
  <si>
    <t>10.001.02</t>
  </si>
  <si>
    <t>Glaswolle, SUPAFIL</t>
  </si>
  <si>
    <t>Laine de verre, SUPAFIL</t>
  </si>
  <si>
    <t>10.002</t>
  </si>
  <si>
    <t>Korkplatte</t>
  </si>
  <si>
    <t>91.150</t>
  </si>
  <si>
    <t>Entsorgung, Korkplatte</t>
  </si>
  <si>
    <t>Panneau en liège</t>
  </si>
  <si>
    <t>Élimination, panneau de liège</t>
  </si>
  <si>
    <t>10.003</t>
  </si>
  <si>
    <t>Phenolharz (PF)</t>
  </si>
  <si>
    <t>91.151</t>
  </si>
  <si>
    <t>Entsorgung, Dämmstoff, organisch, Polystyrol</t>
  </si>
  <si>
    <t>Résine phénolique  (PF)</t>
  </si>
  <si>
    <t>Élimination, matériau isolant, organique, polystyrène</t>
  </si>
  <si>
    <t>Polystyrol expandiert (EPS)</t>
  </si>
  <si>
    <t>15-40</t>
  </si>
  <si>
    <t>Polystyrène expansé (EPS)</t>
  </si>
  <si>
    <t>10.004.01</t>
  </si>
  <si>
    <t>Polystyrol expandiert, SwissporEPS</t>
  </si>
  <si>
    <t>Polystyrène expansé, SwissporEPS</t>
  </si>
  <si>
    <t>10.004.02</t>
  </si>
  <si>
    <t>Polystyrol expandiert, 44% Recyclinganteil, SwissporEPS Roof Eco</t>
  </si>
  <si>
    <t>Polystyrène expansé, fraction recyclée 44%, SwissporEPS Roof Eco</t>
  </si>
  <si>
    <t>10.004.03</t>
  </si>
  <si>
    <t>Polystyrol expandiert, 100% Recyclinganteil, SwissporEPS R 100%</t>
  </si>
  <si>
    <t>Polystyrène expansé, fraction recyclée 100%, SwissporEPS R 100%</t>
  </si>
  <si>
    <t>Polystyrol extrudiert (XPS)</t>
  </si>
  <si>
    <t>30-35</t>
  </si>
  <si>
    <t>Polystyrène extrudé (XPS)</t>
  </si>
  <si>
    <t>10.005.01</t>
  </si>
  <si>
    <t>Polystyrol extrudiert, SwissporXPS</t>
  </si>
  <si>
    <t>Polystyrène extrudé, SwissporXPS</t>
  </si>
  <si>
    <t>Polyurethan (PUR/PIR)</t>
  </si>
  <si>
    <t>91.039</t>
  </si>
  <si>
    <t>Entsorgung, Wäremdämmstoffe Polyurethan</t>
  </si>
  <si>
    <t>Polyuréthane (PUR/PIR)</t>
  </si>
  <si>
    <t>Élimination, isolant thermique de polyuréthane</t>
  </si>
  <si>
    <t>10.006.01</t>
  </si>
  <si>
    <t>Polyurethan, SwissporPIR</t>
  </si>
  <si>
    <t>Polyuréthane, SwissporPIR</t>
  </si>
  <si>
    <t>100-165</t>
  </si>
  <si>
    <t>Verre cellulaire</t>
  </si>
  <si>
    <t>10.007.01</t>
  </si>
  <si>
    <t>Schaumglas, GLAPOR</t>
  </si>
  <si>
    <t>Verre cellulaire, GLAPOR</t>
  </si>
  <si>
    <t>10.013</t>
  </si>
  <si>
    <t>Schaumglasschotter</t>
  </si>
  <si>
    <t>125-150</t>
  </si>
  <si>
    <t>Gravier de verre cellulaire</t>
  </si>
  <si>
    <t>10.013.01</t>
  </si>
  <si>
    <t>Schaumglasschotter, Misapor</t>
  </si>
  <si>
    <t>Gravier de verre cellulaire, Misapor</t>
  </si>
  <si>
    <t>Steinwolle</t>
  </si>
  <si>
    <t>32-160</t>
  </si>
  <si>
    <t>10.008.01</t>
  </si>
  <si>
    <t>Steinwolle, Flumroc</t>
  </si>
  <si>
    <t>Laine de roche, Flumroc</t>
  </si>
  <si>
    <t>Strohballenwand</t>
  </si>
  <si>
    <t>91.122</t>
  </si>
  <si>
    <t>Entsorgungsmix, Strohballenwand</t>
  </si>
  <si>
    <t>Botte de paille pour la construction</t>
  </si>
  <si>
    <t>Élimination, mur en botte de paille</t>
  </si>
  <si>
    <t>Weichfaserplatte</t>
  </si>
  <si>
    <t>91.051</t>
  </si>
  <si>
    <t>Entsorgung, Weichfaserplatte</t>
  </si>
  <si>
    <t>Panneau de fibres mou</t>
  </si>
  <si>
    <t>Élimination, panneau de fibres souple</t>
  </si>
  <si>
    <t>Zellulosefasern</t>
  </si>
  <si>
    <t>91.046</t>
  </si>
  <si>
    <t>Entsorgung, Papier</t>
  </si>
  <si>
    <t>35-60</t>
  </si>
  <si>
    <t>Fibres de cellulose (soufflées)</t>
  </si>
  <si>
    <t>Élimination, papier</t>
  </si>
  <si>
    <t>10.010.01</t>
  </si>
  <si>
    <t>Zellulosefasern, Isofloc</t>
  </si>
  <si>
    <t>Fibres de cellulose (soufflées), Isofloc</t>
  </si>
  <si>
    <t>11</t>
  </si>
  <si>
    <t>Bodenbeläge</t>
  </si>
  <si>
    <t>Revêtements de sol</t>
  </si>
  <si>
    <t>11.001</t>
  </si>
  <si>
    <t>2K-Fliessbelag Industrie (Epoxidharz), 2.25 mm</t>
  </si>
  <si>
    <t>91.002</t>
  </si>
  <si>
    <t>Entsorgung, 2K-Fliessbelag Industrie</t>
  </si>
  <si>
    <t>Revêtement coulé à 2 comp., industrie (résine époxy), 2,25 mm</t>
  </si>
  <si>
    <t>Élimination, revêtement coulé à 2 comp. industrie</t>
  </si>
  <si>
    <t>11.002</t>
  </si>
  <si>
    <t>2K-Fliessbelag Wohnen/Verwaltung (Epoxidharz, PU), 2 mm</t>
  </si>
  <si>
    <t>91.003</t>
  </si>
  <si>
    <t>Entsorgung, 2K-Fliessbelag Wohnen</t>
  </si>
  <si>
    <t>Revêtement coulé à 2 comp., habitation/admin. (résine époxy PU), 2 mm</t>
  </si>
  <si>
    <t>Élimination, revêtement coulé à 2 comp. Habitation</t>
  </si>
  <si>
    <t>11.003</t>
  </si>
  <si>
    <t>Gummigranulat versiegelt, 7.5 mm</t>
  </si>
  <si>
    <t>91.004</t>
  </si>
  <si>
    <t>Entsorgung, Bodenbelag organisch, Gummigranulat</t>
  </si>
  <si>
    <t>Caoutchouc granulé, vitrifié, 7,5 mm</t>
  </si>
  <si>
    <t>Élimination, revêtement organique, granulés de caoutchouc</t>
  </si>
  <si>
    <t>11.004</t>
  </si>
  <si>
    <t>Gussasphalt, 27.5 mm</t>
  </si>
  <si>
    <t>91.001</t>
  </si>
  <si>
    <t>Entsorgung, Asphalt, 0.1% Wasser, in Reaktordeponie</t>
  </si>
  <si>
    <t>Asphalte coulé, 27,5 mm</t>
  </si>
  <si>
    <t>Élimination, asphalte, 0,1 % d'eau, dans une décharge bioactive</t>
  </si>
  <si>
    <t>Hartbeton einschichtig, 27.5 mm</t>
  </si>
  <si>
    <t>91.005</t>
  </si>
  <si>
    <t>Entsorgung, Bodenbelag, Hartbeton einschichtig</t>
  </si>
  <si>
    <t>Béton dur, 1 couche, 27,5 mm</t>
  </si>
  <si>
    <t>Élimination, revêtement, béton dur, 1 couche</t>
  </si>
  <si>
    <t>11.006</t>
  </si>
  <si>
    <t>Hartbeton zweischichtig, 35 mm</t>
  </si>
  <si>
    <t>91.006</t>
  </si>
  <si>
    <t>Entsorgung, Bodenbelag, Hartbeton zweischichtig</t>
  </si>
  <si>
    <t>Béton dur, 2 couches, 35 mm</t>
  </si>
  <si>
    <t>Élimination, revêtement, béton dur, 2 couches</t>
  </si>
  <si>
    <t>11.007</t>
  </si>
  <si>
    <t>Kautschuk, 2 mm</t>
  </si>
  <si>
    <t>91.007</t>
  </si>
  <si>
    <t>Entsorgung, Bodenbelag, Kautschuk</t>
  </si>
  <si>
    <t>Caoutchouc, 2 mm</t>
  </si>
  <si>
    <t>Élimination, revêtement, caoutchouc</t>
  </si>
  <si>
    <t>Keramik-/Steinzeugplatte, 9 mm</t>
  </si>
  <si>
    <t>91.152</t>
  </si>
  <si>
    <t>Entsorgung, Keramikziegel</t>
  </si>
  <si>
    <t>Dalle en céramique/grès, 9 mm</t>
  </si>
  <si>
    <t>Élimination, tuiles en céramique</t>
  </si>
  <si>
    <t>11.009</t>
  </si>
  <si>
    <t>Kork Fertigparkett, 10.5 mm</t>
  </si>
  <si>
    <t>91.008</t>
  </si>
  <si>
    <t>Entsorgung, Korkparkett</t>
  </si>
  <si>
    <t>Parquet préfabriqué en liège, 10,5 mm</t>
  </si>
  <si>
    <t>Élimination, parquet en liège</t>
  </si>
  <si>
    <t>11.010</t>
  </si>
  <si>
    <t>Kork PVC-beschichtet, 3.2 mm</t>
  </si>
  <si>
    <t>91.009</t>
  </si>
  <si>
    <t>Entsorgung, Bodenbelag, Kork PVC-beschichtet</t>
  </si>
  <si>
    <t xml:space="preserve">Parquet en liège, revêtement PVC, 3,2 mm </t>
  </si>
  <si>
    <t>Élimination, revêtement, liège, revêtement PVC</t>
  </si>
  <si>
    <t>11.011</t>
  </si>
  <si>
    <t>Korkparkett geölt/versiegelt, 5.3 mm</t>
  </si>
  <si>
    <t xml:space="preserve">Parquet en liège, huilé et vitrifié, 5,3 mm </t>
  </si>
  <si>
    <t>11.012</t>
  </si>
  <si>
    <t>Kunststeinplatte zementgebunden, 10 mm</t>
  </si>
  <si>
    <t>91.153</t>
  </si>
  <si>
    <t>Entsorgung, Kunststeinziegel</t>
  </si>
  <si>
    <t>Dalle en pierre artificielle, liée au ciment, 10 mm</t>
  </si>
  <si>
    <t>Élimination, tuiles en pierre artificielle</t>
  </si>
  <si>
    <t>11.013</t>
  </si>
  <si>
    <t>Laminat, 8.5 mm</t>
  </si>
  <si>
    <t>91.011</t>
  </si>
  <si>
    <t>Entsorgung, Laminat, 5% Bindemittel</t>
  </si>
  <si>
    <t>Stratifiés, 8,5 mm</t>
  </si>
  <si>
    <t>Élimination, revêtement, stratifiés, agent liant 5 %</t>
  </si>
  <si>
    <t>Linoleum, 2.5 mm</t>
  </si>
  <si>
    <t>91.012</t>
  </si>
  <si>
    <t>Entsorgung, Linoleum, 15% Bindemittel</t>
  </si>
  <si>
    <t>Linoléum, 2,5 mm</t>
  </si>
  <si>
    <t>Élimination, revêtement, linoléum, agent liant 15 %</t>
  </si>
  <si>
    <t>11.015</t>
  </si>
  <si>
    <t>Natursteinplatte geschliffen, 15 mm</t>
  </si>
  <si>
    <t>91.154</t>
  </si>
  <si>
    <t>Entsorgung, Natursteinziegel</t>
  </si>
  <si>
    <t>Dalle en pierre naturelle rectifiée, 15 mm</t>
  </si>
  <si>
    <t>Élimination, tuiles en pierre naturelle</t>
  </si>
  <si>
    <t>11.015.01</t>
  </si>
  <si>
    <t>Natursteinplatte geschliffen, Europa, 15 mm</t>
  </si>
  <si>
    <t>Dalle en pierre naturelle rectifiée, Europe, 15 mm</t>
  </si>
  <si>
    <t>11.015.02</t>
  </si>
  <si>
    <t>Natursteinplatte geschliffen, Schweiz, 15 mm</t>
  </si>
  <si>
    <t>Dalle en pierre naturelle rectifiée, Suisse, 15 mm</t>
  </si>
  <si>
    <t>11.015.03</t>
  </si>
  <si>
    <t>Natursteinplatte geschliffen, Übersee, 15 mm</t>
  </si>
  <si>
    <t>Dalle en pierre naturelle rectifiée, d'outre-mer, 15 mm</t>
  </si>
  <si>
    <t>11.016</t>
  </si>
  <si>
    <t>Natursteinplatte geschnitten, 15 mm</t>
  </si>
  <si>
    <t>Dalle en pierre naturelle coupée, 15 mm</t>
  </si>
  <si>
    <t>11.017</t>
  </si>
  <si>
    <t>Natursteinplatte poliert, 15 mm</t>
  </si>
  <si>
    <t>Dalle en pierre naturelle polie, 15 mm</t>
  </si>
  <si>
    <t>Parkett 2-Schicht werkversiegelt, 11 mm</t>
  </si>
  <si>
    <t>91.013</t>
  </si>
  <si>
    <t>Entsorgung, Holzparkett, 2-Schicht</t>
  </si>
  <si>
    <t>Parquet, 2 plis, vitrifié d'usine, 11 mm</t>
  </si>
  <si>
    <t>Élimination, revêtement, parquet 2 plis</t>
  </si>
  <si>
    <t>11.019</t>
  </si>
  <si>
    <t>Parkett 3-Schicht werkversiegelt, 15 mm</t>
  </si>
  <si>
    <t>91.014</t>
  </si>
  <si>
    <t>Entsorgung, Holzparkett, 3-Schicht</t>
  </si>
  <si>
    <t>Parquet, 3 plis, vitrifié d'usine, 15 mm</t>
  </si>
  <si>
    <t>Élimination, revêtement, parquet 3 plis</t>
  </si>
  <si>
    <t>11.020</t>
  </si>
  <si>
    <t>Parkett Mosaik werkversiegelt, 8 mm</t>
  </si>
  <si>
    <t>91.015</t>
  </si>
  <si>
    <t>Entsorgung, Holzparkett Mosaik</t>
  </si>
  <si>
    <t>Parquet type mosaïque, vitrifié d'usine, 8 mm</t>
  </si>
  <si>
    <t>Élimination, revêtement, parquet mosaïque</t>
  </si>
  <si>
    <t>11.021</t>
  </si>
  <si>
    <t>PVC homogen, 2 mm</t>
  </si>
  <si>
    <t>91.016</t>
  </si>
  <si>
    <t>Entsorgung, Kunststoffe, PVC</t>
  </si>
  <si>
    <t>PVC homogène, 2 mm</t>
  </si>
  <si>
    <t>Élimination, plastique, PVC</t>
  </si>
  <si>
    <t>11.022</t>
  </si>
  <si>
    <t>Steinholz versiegelt, 16.5 mm</t>
  </si>
  <si>
    <t>91.017</t>
  </si>
  <si>
    <t>Entsorgung, Steinholzboden</t>
  </si>
  <si>
    <t>Xylolithe, vitrifié, 16.5 mm</t>
  </si>
  <si>
    <t>Élimination, revêtement de sol de xylolithe</t>
  </si>
  <si>
    <t>11.023</t>
  </si>
  <si>
    <t>Synthetische thermoplastische Beläge (TPO), 2 mm</t>
  </si>
  <si>
    <t>91.018</t>
  </si>
  <si>
    <t>Entsorgung, synthetische thermoplastische Beläge (TPO)</t>
  </si>
  <si>
    <t>Revêtements synthétiques, thermoplastiques (POT), 2 mm</t>
  </si>
  <si>
    <t>Élimination, revêtements synthétiques, thermoplastiques (POT)</t>
  </si>
  <si>
    <t>11.024</t>
  </si>
  <si>
    <t>Teppich Kunstfaser getuftet</t>
  </si>
  <si>
    <t>91.019</t>
  </si>
  <si>
    <t>Entsorgung, Teppich Kunstfaser getuftet</t>
  </si>
  <si>
    <t>Moquette en fibres synthétiques, tuftée</t>
  </si>
  <si>
    <t>Élimination, moquette en fibres synthétiques, tuftée</t>
  </si>
  <si>
    <t>11.025</t>
  </si>
  <si>
    <t>Teppich Nadelfilz</t>
  </si>
  <si>
    <t>91.020</t>
  </si>
  <si>
    <t>Entsorgung, Teppich Nadelfilz</t>
  </si>
  <si>
    <t>Moquette en feutre aiguilleté</t>
  </si>
  <si>
    <t>Élimination, moquette en feutre aiguilleté</t>
  </si>
  <si>
    <t>11.026</t>
  </si>
  <si>
    <t>Teppich Naturfaser</t>
  </si>
  <si>
    <t>91.021</t>
  </si>
  <si>
    <t>Entsorgung, Teppich Naturfaser</t>
  </si>
  <si>
    <t>Moquette en fibres naturelles</t>
  </si>
  <si>
    <t>Élimination, moquette en fibres naturelles</t>
  </si>
  <si>
    <t>11.027</t>
  </si>
  <si>
    <t>Terrazzo versiegelt, 40 mm</t>
  </si>
  <si>
    <t>91.022</t>
  </si>
  <si>
    <t>Entsorgung, Terrazzo</t>
  </si>
  <si>
    <t>Terrazzo vitrifié, 40 mm</t>
  </si>
  <si>
    <t>Élimination, terrazzo</t>
  </si>
  <si>
    <t>12</t>
  </si>
  <si>
    <t>Türen</t>
  </si>
  <si>
    <t>Portes</t>
  </si>
  <si>
    <t>Aussentüre, Aluminium, Glaseinsatz</t>
  </si>
  <si>
    <t>91.162</t>
  </si>
  <si>
    <t>Entsorgung, Aussentüre, Aluminium, Glaseinsatz</t>
  </si>
  <si>
    <t>Portes extérieures aluminium, avec vitrage</t>
  </si>
  <si>
    <t>Élimination, porte extérieure, aluminium, plaque de verre</t>
  </si>
  <si>
    <t>Aussentüre, Aluminium, Paneelfüllung</t>
  </si>
  <si>
    <t>91.163</t>
  </si>
  <si>
    <t>Entsorgung, Aussentüre, Aluminium, Paneelfüllung</t>
  </si>
  <si>
    <t>Portes extérieures aluminium, avec panneau</t>
  </si>
  <si>
    <t>Élimination, porte extérieure, aluminium, remplissage des panneaux</t>
  </si>
  <si>
    <t>Aussentüre, Holz</t>
  </si>
  <si>
    <t>91.164</t>
  </si>
  <si>
    <t>Entsorgung, Gebäude, Aussentüre, Holz</t>
  </si>
  <si>
    <t>Portes extérieures bois</t>
  </si>
  <si>
    <t>Élimination, bâtiment, porte extérieure, bois</t>
  </si>
  <si>
    <t>12.001</t>
  </si>
  <si>
    <t>Aussentüre, Holz, aluminiumbeplankt</t>
  </si>
  <si>
    <t>91.024</t>
  </si>
  <si>
    <t>Entsorgung, Gebäude, Aussentüre, Holz-Aluminium</t>
  </si>
  <si>
    <t xml:space="preserve">Portes extérieures bois, doublées alu </t>
  </si>
  <si>
    <t>Élimination, bâtiment, portes extérieures bois-aluminium</t>
  </si>
  <si>
    <t>12.002</t>
  </si>
  <si>
    <t>Aussentüre, Holz, Glaseinsatz</t>
  </si>
  <si>
    <t>91.025</t>
  </si>
  <si>
    <t>Entsorgung, Gebäude, Aussentüre, Holz-Glas</t>
  </si>
  <si>
    <t>Portes extérieures bois, avec vitrage</t>
  </si>
  <si>
    <t>Élimination, bâtiment, portes extérieures bois-verre</t>
  </si>
  <si>
    <t>Innentüre, Aluminium, Glaseinsatz</t>
  </si>
  <si>
    <t>91.165</t>
  </si>
  <si>
    <t>Entsorgung, Innentüre, Aluminium, Glaseinsatz</t>
  </si>
  <si>
    <t>Portes intérieures aluminium, avec vitrage</t>
  </si>
  <si>
    <t>Élimination, porte intérieure, aluminium, vitrage</t>
  </si>
  <si>
    <t>Innentüre, Funktionstüre, Holz, Holzrahmen</t>
  </si>
  <si>
    <t>91.166</t>
  </si>
  <si>
    <t>Entsorgung, Gebäude, Funktionstüre, Holz, Holzrahmen</t>
  </si>
  <si>
    <t>Porte intérieure, porte fonctionnelle, bois, cadre en bois</t>
  </si>
  <si>
    <t>Élimination, bâtiment, porte fonctionnelle, bois, cadre en bois</t>
  </si>
  <si>
    <t>Innentüre, Funktionstüre, Holz, Stahlzarge</t>
  </si>
  <si>
    <t>91.167</t>
  </si>
  <si>
    <t>Entsorgung, Gebäude, Funktionstüre, Holz, Stahlzarge</t>
  </si>
  <si>
    <t>Porte intérieure, porte fonctionnelle, bois, huisserie en acier</t>
  </si>
  <si>
    <t>Élimination, bâtiment, porte fonctionnelle, bois, cadre en acier</t>
  </si>
  <si>
    <t>12.004</t>
  </si>
  <si>
    <t>Innentüre, Zimmertüre, Holz, Glaseinsatz, Holzrahmen</t>
  </si>
  <si>
    <t>91.034</t>
  </si>
  <si>
    <t>Entsorgung, Gebäude, Innentüre, Holz, Glaseinsatz, Holzrahmen</t>
  </si>
  <si>
    <t>Porte intérieure, porte de chambre, bois, vitrage, cadre en bois</t>
  </si>
  <si>
    <t>Élimination, bâtiment, portes intérieures bois-verre</t>
  </si>
  <si>
    <t>Innentüre, Zimmertüre, Holz, Glaseinsatz, Stahlzarge</t>
  </si>
  <si>
    <t>91.168</t>
  </si>
  <si>
    <t>Entsorgung, Gebäude, Innentüre, Holz, Glaseinsatz, Stahlzarge</t>
  </si>
  <si>
    <t>Porte intérieure, porte de chambre, bois, vitrage, huisserie en acier</t>
  </si>
  <si>
    <t>Élimination, bâtiment, porte intérieure, bois, vitrage, cadre en acier</t>
  </si>
  <si>
    <t>12.003</t>
  </si>
  <si>
    <t>Innentüre, Zimmertüre, Holz, Holzrahmen</t>
  </si>
  <si>
    <t>91.035</t>
  </si>
  <si>
    <t>Entsorgung, Gebäude, Innentüre, Holz, Holzrahmen</t>
  </si>
  <si>
    <t>Porte intérieure, porte de chambre, bois, cadre en bois</t>
  </si>
  <si>
    <t>Élimination, bâtiment, portes intérieures bois, cadre en bois</t>
  </si>
  <si>
    <t>12.010</t>
  </si>
  <si>
    <t>Innentüre, Zimmertüre, Holz, Stahlzarge</t>
  </si>
  <si>
    <t>91.169</t>
  </si>
  <si>
    <t>Entsorgung, Gebäude, Innentüre, Holz, Stahlzarge</t>
  </si>
  <si>
    <t>Porte intérieure, porte de chambre, bois, huisserie en acier</t>
  </si>
  <si>
    <t>Élimination, bâtiment, porte intérieure, bois, cadre en acier</t>
  </si>
  <si>
    <t>13</t>
  </si>
  <si>
    <t>Rohre</t>
  </si>
  <si>
    <t>Tuyaux</t>
  </si>
  <si>
    <t>13.001</t>
  </si>
  <si>
    <t>Acrylnitril-Butadien-Styrol (ABS)</t>
  </si>
  <si>
    <t>91.155</t>
  </si>
  <si>
    <t>Entsorgung, Kunststoff-Rohre, ABS</t>
  </si>
  <si>
    <t>Acrylonitril-butadiène-styrène (ABS)</t>
  </si>
  <si>
    <t>Élimination, tuyaux en plastique, ABS</t>
  </si>
  <si>
    <t>13.005</t>
  </si>
  <si>
    <t>Gusseisen</t>
  </si>
  <si>
    <t>Fer de fonte</t>
  </si>
  <si>
    <t>Polyethylen (PE)</t>
  </si>
  <si>
    <t>91.174</t>
  </si>
  <si>
    <t>Entsorgung, Kunststoffrohre, PE oder PP</t>
  </si>
  <si>
    <t>Polyéthylène (HDPE)</t>
  </si>
  <si>
    <t>Élimination, tuyau plastique en PE ou PP</t>
  </si>
  <si>
    <t>13.003</t>
  </si>
  <si>
    <t>Polypropylen (PP)</t>
  </si>
  <si>
    <t>Polypropylène (PP)</t>
  </si>
  <si>
    <t>Polyvinylchlorid (PVC)</t>
  </si>
  <si>
    <t>91.156</t>
  </si>
  <si>
    <t>Entsorgung, Kunststoff-Rohre, PVC</t>
  </si>
  <si>
    <t>Chlorure de polyvinyle (PVC)</t>
  </si>
  <si>
    <t>Élimination, tuyau plastique en PVC</t>
  </si>
  <si>
    <t>14</t>
  </si>
  <si>
    <t>Anstrichstoffe, Beschichtungen</t>
  </si>
  <si>
    <t>Enduits et revêtements</t>
  </si>
  <si>
    <t>14.002</t>
  </si>
  <si>
    <t>Anstrich, lösemittelverdünnbar, 2 Anstriche</t>
  </si>
  <si>
    <t>91.023</t>
  </si>
  <si>
    <t>Entsorgung, Farbe, 2 Schichten</t>
  </si>
  <si>
    <t>Enduit, diluable au solvant, 2 couches</t>
  </si>
  <si>
    <t>Élimination, peinture sur bois, 2 couches</t>
  </si>
  <si>
    <t>Anstrich, wasserverdünnbar, 2 Anstriche</t>
  </si>
  <si>
    <t>Enduit, diluable à l'eau, 2 couches</t>
  </si>
  <si>
    <t>Bitumenemulsion, 1 Anstrich</t>
  </si>
  <si>
    <t>91.157</t>
  </si>
  <si>
    <t>Entsorgung, Farbe, 1 Schicht</t>
  </si>
  <si>
    <t>Émulsion de bitume, 1 couche</t>
  </si>
  <si>
    <t>Élimination, peinture, 1 couche</t>
  </si>
  <si>
    <t>14.004</t>
  </si>
  <si>
    <t>Emaillieren, Metall</t>
  </si>
  <si>
    <t>keine</t>
  </si>
  <si>
    <t>Émaillage, métal</t>
  </si>
  <si>
    <t>Aucune</t>
  </si>
  <si>
    <t>14.005</t>
  </si>
  <si>
    <t>Pulverbeschichten, Aluminium</t>
  </si>
  <si>
    <t>Revêtement pulvérisé, aluminium</t>
  </si>
  <si>
    <t xml:space="preserve">Aucune </t>
  </si>
  <si>
    <t>Pulverbeschichten, Stahl</t>
  </si>
  <si>
    <t>Revêtement pulvérisé, acier</t>
  </si>
  <si>
    <t>14.007</t>
  </si>
  <si>
    <t>Verchromen, Stahl</t>
  </si>
  <si>
    <t>Chromage, acier</t>
  </si>
  <si>
    <t>14.008</t>
  </si>
  <si>
    <t>Verzinken, Stahl</t>
  </si>
  <si>
    <t>Zincage, acier</t>
  </si>
  <si>
    <t>15</t>
  </si>
  <si>
    <t>Kunststoffe</t>
  </si>
  <si>
    <t>Matières plastique</t>
  </si>
  <si>
    <t>15.001</t>
  </si>
  <si>
    <t>Plexiglas (PMMA, Acrylglas)</t>
  </si>
  <si>
    <t>91.158</t>
  </si>
  <si>
    <t>Entsorgung, Kunststoffe aus reinen Kohlenwasserstoffen</t>
  </si>
  <si>
    <t>Plexiglas (PMMA, verre acrylique)</t>
  </si>
  <si>
    <t>Élimination, matières plastiques d'hydrocarbures purs</t>
  </si>
  <si>
    <t>Polyamid (PA) glasfaserverstärkt</t>
  </si>
  <si>
    <t>91.159</t>
  </si>
  <si>
    <t>Entsorgung, Kunststoffe, stickstoffhaltig</t>
  </si>
  <si>
    <t xml:space="preserve">Polyamide (PA) renforcé par des fibres de verre </t>
  </si>
  <si>
    <t>Élimination, matières plastiques, contenant de l'azote</t>
  </si>
  <si>
    <t>15.003</t>
  </si>
  <si>
    <t>Polycarbonat (PC)</t>
  </si>
  <si>
    <t>Polycarbonate (PC)</t>
  </si>
  <si>
    <t>15.004</t>
  </si>
  <si>
    <t>Polyester (UP) glasfaserverstärkt</t>
  </si>
  <si>
    <t>Polyester (UP) renforcé par des fibres de verre</t>
  </si>
  <si>
    <t>15.005</t>
  </si>
  <si>
    <t>Polystyrol (PS)</t>
  </si>
  <si>
    <t>91.160</t>
  </si>
  <si>
    <t>Entsorgung, Polystyrol</t>
  </si>
  <si>
    <t>Polystyrène (PS)</t>
  </si>
  <si>
    <t>Élimination, polystyrène</t>
  </si>
  <si>
    <t>Kücheneinbauten und -möbel</t>
  </si>
  <si>
    <t>Installations et meubles de cuisine</t>
  </si>
  <si>
    <t>21.001</t>
  </si>
  <si>
    <t>Abfalltrennsystem</t>
  </si>
  <si>
    <t>91.123</t>
  </si>
  <si>
    <t>Entsorgung, Abfalltrennsystem</t>
  </si>
  <si>
    <t>Stk.</t>
  </si>
  <si>
    <t>Système de tri des déchets</t>
  </si>
  <si>
    <t>Élimination, système de tri des déchets</t>
  </si>
  <si>
    <t>21.002</t>
  </si>
  <si>
    <t>Arbeitsplatte Chromstahl, high-end</t>
  </si>
  <si>
    <t>91.161</t>
  </si>
  <si>
    <t>Entsorgung, Arbeitsplatte Chromstahl, High-End</t>
  </si>
  <si>
    <t>Plan de travail en acier chromé, haut de gamme</t>
  </si>
  <si>
    <t>Élimination, plan de travail acier chromé, haut de gamme</t>
  </si>
  <si>
    <t>21.003</t>
  </si>
  <si>
    <t>Arbeitsplatte Chromstahl, Standard</t>
  </si>
  <si>
    <t>91.124</t>
  </si>
  <si>
    <t>Entsorgung, Arbeitsplatte Chromstahl, Standard</t>
  </si>
  <si>
    <t>Plan de travail en acier chromé, standard</t>
  </si>
  <si>
    <t>Élimination, plan de travail en acier chromé, standard</t>
  </si>
  <si>
    <t>21.004</t>
  </si>
  <si>
    <t>Arbeitsplatte Kompositwerkstoff (auf Aluminiumhydroxidbasis)</t>
  </si>
  <si>
    <t>91.125</t>
  </si>
  <si>
    <t>Entsorgung, Arbeitsplatte Kompositwerkstoff (auf Aluminiumhydroxidbasis)</t>
  </si>
  <si>
    <t>Plan de travail en matériau composite (base: hydroxyde d'aluminium)</t>
  </si>
  <si>
    <t>Élimination, plan de travail en matériau composite (base: hydroxyde d'aluminium)</t>
  </si>
  <si>
    <t>21.005</t>
  </si>
  <si>
    <t>Arbeitsplatte kunstharzbeschichtet</t>
  </si>
  <si>
    <t>91.126</t>
  </si>
  <si>
    <t>Entsorgung, Arbeitsplatte kunstharzbeschichtet</t>
  </si>
  <si>
    <t>Plan de travail en résine synthétique</t>
  </si>
  <si>
    <t>Élimination, plan de travail en résine synthétique</t>
  </si>
  <si>
    <t>21.006</t>
  </si>
  <si>
    <t>Arbeitsplatte Massivholz</t>
  </si>
  <si>
    <t>91.127</t>
  </si>
  <si>
    <t>Entsorgung, Arbeitsplatte Massivholz</t>
  </si>
  <si>
    <t>Plan de travail en bois massif</t>
  </si>
  <si>
    <t>Élimination, plan de travail en bois massif</t>
  </si>
  <si>
    <t>21.007</t>
  </si>
  <si>
    <t>Arbeitsplatte Naturstein</t>
  </si>
  <si>
    <t>Plan de travail en pierre naturelle</t>
  </si>
  <si>
    <t>21.008</t>
  </si>
  <si>
    <t>Dampfabzug</t>
  </si>
  <si>
    <t>91.129</t>
  </si>
  <si>
    <t>Entsorgung, Dampfabzug</t>
  </si>
  <si>
    <t>Hotte de ventilation</t>
  </si>
  <si>
    <t>Élimination, hotte de ventilation</t>
  </si>
  <si>
    <t>21.009</t>
  </si>
  <si>
    <t>Küche, Massivholz, 16-teilig</t>
  </si>
  <si>
    <t>91.130</t>
  </si>
  <si>
    <t>Entsorgung, Küche, Massivholz, 16-teilig</t>
  </si>
  <si>
    <t>Cuisine, bois massif, 16 éléments</t>
  </si>
  <si>
    <t>Élimination, cuisine, bois massif, 16 éléments</t>
  </si>
  <si>
    <t>21.010</t>
  </si>
  <si>
    <t>Küche, Metall, 16-teilig</t>
  </si>
  <si>
    <t>91.131</t>
  </si>
  <si>
    <t>Entsorgung, Küche, Metall, 16-teilig</t>
  </si>
  <si>
    <t>Cuisine, métal, 16 éléments</t>
  </si>
  <si>
    <t>Élimination, cuisine, métal, 16 éléments</t>
  </si>
  <si>
    <t>21.011</t>
  </si>
  <si>
    <t>Küche, Spanplatte, 16-teilig</t>
  </si>
  <si>
    <t>91.132</t>
  </si>
  <si>
    <t>Entsorgung, Küche, Spanplatte, 16-teilig</t>
  </si>
  <si>
    <t>Cuisine, bois reconstitué, 16 éléments</t>
  </si>
  <si>
    <t>Élimination, cuisine, bois reconstitué, 16 éléments</t>
  </si>
  <si>
    <t>21.012</t>
  </si>
  <si>
    <t>Spüle Chromstahl</t>
  </si>
  <si>
    <t>91.133</t>
  </si>
  <si>
    <t>Entsorgung, Spüle Chromstahl</t>
  </si>
  <si>
    <t>Armoire-évier en acier chromé</t>
  </si>
  <si>
    <t>Élimination, armoire-évier en acier chromé</t>
  </si>
  <si>
    <t>21.013</t>
  </si>
  <si>
    <t>Spüle Kompositwerkstoff (auf Gesteinsmehlbasis)</t>
  </si>
  <si>
    <t>91.134</t>
  </si>
  <si>
    <t>Entsorgung, Spüle Kompositwerkstoff (auf Gesteinsmehlbasis)</t>
  </si>
  <si>
    <t>Armoire-évier en matières composites (base: poudre de roche)</t>
  </si>
  <si>
    <t>Élimination, armoire-évier en matières composites (base: poudre de roche)</t>
  </si>
  <si>
    <t>Données des écobilans dans la construction</t>
  </si>
  <si>
    <t>PEF-ges</t>
  </si>
  <si>
    <t>PEF-e</t>
  </si>
  <si>
    <t>PEF-ne</t>
  </si>
  <si>
    <t>THG</t>
  </si>
  <si>
    <t xml:space="preserve">GEBÄUDETECHNIK
</t>
  </si>
  <si>
    <t>Bezug
Référence</t>
  </si>
  <si>
    <t>Référence</t>
  </si>
  <si>
    <t>nicht erneuerbar</t>
  </si>
  <si>
    <t>Grösse</t>
  </si>
  <si>
    <t>non renouvelable</t>
  </si>
  <si>
    <t>Dimension</t>
  </si>
  <si>
    <t>Einheit / Unité</t>
  </si>
  <si>
    <t>31</t>
  </si>
  <si>
    <t>Heizungsanlagen</t>
  </si>
  <si>
    <t>Installations de chauffage</t>
  </si>
  <si>
    <t>31.001</t>
  </si>
  <si>
    <t>92.006</t>
  </si>
  <si>
    <t>92.007</t>
  </si>
  <si>
    <t>31.003</t>
  </si>
  <si>
    <t>92.008</t>
  </si>
  <si>
    <t>31.027</t>
  </si>
  <si>
    <t>Elektrospeicherofen 5kW</t>
  </si>
  <si>
    <t>92.032</t>
  </si>
  <si>
    <t>Entsorgung, Elektrospeicherofen 5kW</t>
  </si>
  <si>
    <t>Masse</t>
  </si>
  <si>
    <t>masse</t>
  </si>
  <si>
    <t>Poêle électrique à accumulation 5kW</t>
  </si>
  <si>
    <t>Wärmeverteilung Wohngebäude</t>
  </si>
  <si>
    <t>92.014</t>
  </si>
  <si>
    <t>Entsorgung, Verteilung Wohngebäude</t>
  </si>
  <si>
    <t>Distribution de chaleur, bâtiment d'habitation</t>
  </si>
  <si>
    <t>Wärmeverteilung Bürogebäude</t>
  </si>
  <si>
    <t>92.015</t>
  </si>
  <si>
    <t>Entsorgung, Verteilung Bürogebäude</t>
  </si>
  <si>
    <t>Distribution de chaleur, bâtiment administratif</t>
  </si>
  <si>
    <t>Wärmeabgabe über Heizkörper</t>
  </si>
  <si>
    <t>92.016</t>
  </si>
  <si>
    <t>Entsorgung, Abgabe über Heizkörper</t>
  </si>
  <si>
    <t>Diffusion de chaleur par le biais du corps de chauffe</t>
  </si>
  <si>
    <t>Wärmeabgabe über Fussbodenheizung</t>
  </si>
  <si>
    <t>92.017</t>
  </si>
  <si>
    <t>Entsorgung, Abgabe über Fussbodenheizung</t>
  </si>
  <si>
    <t>Diffusion de chaleur par le biais du chauffage au sol</t>
  </si>
  <si>
    <t>31.025</t>
  </si>
  <si>
    <t>Wärmeabgabe über Heizkühldecke (ohne Gips- oder Metalldecke)</t>
  </si>
  <si>
    <t>92.018</t>
  </si>
  <si>
    <t>Entsorgung, Abgabe über Heizkühldecke (ohne Gips- oder Metalldecke)</t>
  </si>
  <si>
    <t>Diffusion de chaleur par le biais du système de chauffage et de refroidissement au plafond</t>
  </si>
  <si>
    <t>31.015</t>
  </si>
  <si>
    <t>Wärmeverteilung und Abgabe, Luftheizung</t>
  </si>
  <si>
    <t>92.019</t>
  </si>
  <si>
    <t>Entsorgung, Wärmeverteilung und Abgabe, Luftheizung</t>
  </si>
  <si>
    <t>Distribution de chaleur, chauffage à air chaud</t>
  </si>
  <si>
    <t>Erdsonden, für Sole-Wasser-Wärmepumpe</t>
  </si>
  <si>
    <t>92.009</t>
  </si>
  <si>
    <t>Entsorgung, Erdsonden, für Sole-Wasser-Wärmepumpe</t>
  </si>
  <si>
    <t>Sondenlänge</t>
  </si>
  <si>
    <t>longueur</t>
  </si>
  <si>
    <t>Sondes géothermiques, pour la pompe à chaleur saumure-eau</t>
  </si>
  <si>
    <t>31.026</t>
  </si>
  <si>
    <t>Förder- und Schluckbrunnen für Grundwasser Wärmepumpe</t>
  </si>
  <si>
    <t>92.033</t>
  </si>
  <si>
    <t>Entsorgung, Förder- und Schluckbrunnen für Grundwasser Wärmepumpe</t>
  </si>
  <si>
    <t>Gerät</t>
  </si>
  <si>
    <t>appareil</t>
  </si>
  <si>
    <t>Puits de production et d'absorption pour pompe à chaleur sur nappe phréatique</t>
  </si>
  <si>
    <t>31.017</t>
  </si>
  <si>
    <t>Sole-Wasser Wärmepumpe 7 kW</t>
  </si>
  <si>
    <t>92.010</t>
  </si>
  <si>
    <t>Entsorgung, Sole-Wasser Wärmepumpe 7 kW</t>
  </si>
  <si>
    <t>Pompe à chaleur saumure-eau 7 kW</t>
  </si>
  <si>
    <t>31.018</t>
  </si>
  <si>
    <t>92.011</t>
  </si>
  <si>
    <t>31.019</t>
  </si>
  <si>
    <t>Luft-Wasser Wärmepumpe 7 kW</t>
  </si>
  <si>
    <t>92.012</t>
  </si>
  <si>
    <t>Entsorgung, Luft-Wasser Wärmepumpe 7 kW</t>
  </si>
  <si>
    <t>Pompe à chaleur air-eau 7 kW</t>
  </si>
  <si>
    <t>31.020</t>
  </si>
  <si>
    <t>92.013</t>
  </si>
  <si>
    <t>31.007</t>
  </si>
  <si>
    <t>Flachkollektor für Warmwasser EFH</t>
  </si>
  <si>
    <t>Herstellung inkl. Entsorgung</t>
  </si>
  <si>
    <t>Kollektorfläche</t>
  </si>
  <si>
    <t>Surf. collecteurs</t>
  </si>
  <si>
    <t>Collecteurs solaires plan, eau chaude maison individuelle</t>
  </si>
  <si>
    <t>31.008</t>
  </si>
  <si>
    <t>Flachkollektor für Raumheizung und Warmwasser EFH</t>
  </si>
  <si>
    <t>Collecteurs solaires plan, chaleur et eau chaude  maison individuelle</t>
  </si>
  <si>
    <t>Collecteurs solaires plan, eau chaude immeuble locatif</t>
  </si>
  <si>
    <t>31.010</t>
  </si>
  <si>
    <t>Röhrenkollektor für Raumheizung und Warmwasser EFH</t>
  </si>
  <si>
    <t>Collecteurs solaires à tubes, chaleur et eau chaude  maison individuelle</t>
  </si>
  <si>
    <t>31.028</t>
  </si>
  <si>
    <t>Hybridkollektor Schrägdach mit Erdsondenregeneration</t>
  </si>
  <si>
    <t>Collecteur hybride pour toit incliné avec régénération par sonde géothermique</t>
  </si>
  <si>
    <t>31.029</t>
  </si>
  <si>
    <t>Hybridkollektor Schrägdach mit Warmwasserspeicher</t>
  </si>
  <si>
    <t xml:space="preserve">Collecteur hybride pour toit incliné avec accumulateur d'eau chaude </t>
  </si>
  <si>
    <t>32</t>
  </si>
  <si>
    <t>Lüftungsanlagen</t>
  </si>
  <si>
    <t>92.027</t>
  </si>
  <si>
    <t>92.028</t>
  </si>
  <si>
    <t>92.029</t>
  </si>
  <si>
    <t>32.007</t>
  </si>
  <si>
    <t>92.030</t>
  </si>
  <si>
    <t>32.012</t>
  </si>
  <si>
    <t>92.031</t>
  </si>
  <si>
    <t>32.001</t>
  </si>
  <si>
    <t>Lüftungsanlage Wohnen, Blechkanäle, inkl. Küchenabluft</t>
  </si>
  <si>
    <t>92.021</t>
  </si>
  <si>
    <t>Entsorgung, Lüftungsanlage Wohnen, Blechkanäle, inkl. Küchenabluft</t>
  </si>
  <si>
    <t xml:space="preserve">Ventilation habitation, canaux en tôle, évacuation d'air (cuisine) </t>
  </si>
  <si>
    <t>32.002</t>
  </si>
  <si>
    <t>Lüftungsanlage Wohnen, PE-Kanäle, inkl. Küchenabluft</t>
  </si>
  <si>
    <t>92.022</t>
  </si>
  <si>
    <t>Entsorgung, Lüftungsanlage Wohnen, PE-Kanäle, inkl. Küchenabluft</t>
  </si>
  <si>
    <t xml:space="preserve">Ventilation habitation, canaux en HDPE, évacuation d'air (cuisine) </t>
  </si>
  <si>
    <t>92.023</t>
  </si>
  <si>
    <t>Entsorgung, Abluftanlage Küche und Bad</t>
  </si>
  <si>
    <t>Évacuation d'air cuisine et salle de bain</t>
  </si>
  <si>
    <t>32.004</t>
  </si>
  <si>
    <t>Erdregister zu Lüftungsanlage Wohnen</t>
  </si>
  <si>
    <t>92.024</t>
  </si>
  <si>
    <t>Entsorgung, Erdregister zu Lüftungsanlage Wohnen</t>
  </si>
  <si>
    <t>Registre de terre pour ventilation habitation</t>
  </si>
  <si>
    <t>32.008</t>
  </si>
  <si>
    <t>92.025</t>
  </si>
  <si>
    <t>32.009</t>
  </si>
  <si>
    <t>92.026</t>
  </si>
  <si>
    <t>32.010</t>
  </si>
  <si>
    <t>92.020</t>
  </si>
  <si>
    <t>33</t>
  </si>
  <si>
    <t>Sanitäranlagen</t>
  </si>
  <si>
    <t>Installations sanitaires</t>
  </si>
  <si>
    <t>92.001</t>
  </si>
  <si>
    <t>Entsorgung, Büro, einfache Installation, inkl. Apparate und Leitungen</t>
  </si>
  <si>
    <t>Bureau, degré de complexité faible, appareils et conduites compris</t>
  </si>
  <si>
    <t>92.002</t>
  </si>
  <si>
    <t>Entsorgung, Büro, aufwändige Installation, inkl. Apparate und Leitungen</t>
  </si>
  <si>
    <t>Bureau, degré de complexité élevé, appareils et conduites compris</t>
  </si>
  <si>
    <t>92.003</t>
  </si>
  <si>
    <t>Entsorgung, Wohnen, inkl. Apparate und Leitungen</t>
  </si>
  <si>
    <t>Habitation, appareils et conduites compris</t>
  </si>
  <si>
    <t>34</t>
  </si>
  <si>
    <t>Installations électriques</t>
  </si>
  <si>
    <t>Elektroanlagen Wohnen</t>
  </si>
  <si>
    <t>92.004</t>
  </si>
  <si>
    <t>Entsorgung, Elektroanlagen Wohnen</t>
  </si>
  <si>
    <t>Installations électriques, habitation</t>
  </si>
  <si>
    <t>Elektroanlagen Büro</t>
  </si>
  <si>
    <t>92.005</t>
  </si>
  <si>
    <t>Entsorgung, Elektroanlagen Büro</t>
  </si>
  <si>
    <t>Installations électriques, bureau</t>
  </si>
  <si>
    <t>Max. Leistung</t>
  </si>
  <si>
    <t>Puissance max.</t>
  </si>
  <si>
    <t>34.025</t>
  </si>
  <si>
    <t>34.027</t>
  </si>
  <si>
    <t>34.027.01</t>
  </si>
  <si>
    <t>Fassadenunterkonstruktion, integriert, Eternit</t>
  </si>
  <si>
    <t>92.039.01</t>
  </si>
  <si>
    <t>Entsorgung, Fassadenunterkonstruktion, integriert, Eternit</t>
  </si>
  <si>
    <t>Panelfläche</t>
  </si>
  <si>
    <t>Surf. Panneau</t>
  </si>
  <si>
    <t>Sous-construction de façade, intégrée, Eternit</t>
  </si>
  <si>
    <t>34.027.02</t>
  </si>
  <si>
    <t>Fassadenunterkonstruktion, integriert, StoVentec Artline inlay</t>
  </si>
  <si>
    <t>92.039.02</t>
  </si>
  <si>
    <t>Entsorgung, Fassadenunterkonstruktion, integriert, StoVentec Artline inlay</t>
  </si>
  <si>
    <t>Sous-construction de façade, intégrée, StoVentec Artline inlay</t>
  </si>
  <si>
    <t>34.027.03</t>
  </si>
  <si>
    <t>Fassadenunterkonstruktion, integriert, StoVentec Artline invisible</t>
  </si>
  <si>
    <t>92.039.03</t>
  </si>
  <si>
    <t>Entsorgung, Fassadenunterkonstruktion, integriert, StoVentec Artline invisible</t>
  </si>
  <si>
    <t>Sous-construction de façade, intégrée, StoVentec Artline invisible</t>
  </si>
  <si>
    <t>34.027.04</t>
  </si>
  <si>
    <t>Fassadenunterkonstruktion, integriert, mittelformatig, GFT</t>
  </si>
  <si>
    <t>92.039.04</t>
  </si>
  <si>
    <t>Entsorgung, Fassadenunterkonstruktion, integriert, mittelformatig, GFT</t>
  </si>
  <si>
    <t>Sous-construction de façade, intégrée, format moyen, GFT</t>
  </si>
  <si>
    <t>34.027.05</t>
  </si>
  <si>
    <t>Fassadenunterkonstruktion, integriert, Vogelsang</t>
  </si>
  <si>
    <t>92.039.05</t>
  </si>
  <si>
    <t>Entsorgung, Fassadenunterkonstruktion, integriert, Vogelsang</t>
  </si>
  <si>
    <t>Sous-construction de façade, intégrée, Vogelsang</t>
  </si>
  <si>
    <t>34.027.06</t>
  </si>
  <si>
    <t>Fassadenunterkonstruktion, integriert, Betonuntergrund, Ecolite</t>
  </si>
  <si>
    <t>92.039.06</t>
  </si>
  <si>
    <t>Entsorgung, Fassadenunterkonstruktion, integriert, Betonuntergrund, Ecolite</t>
  </si>
  <si>
    <t>Sous-construction de façade, intégrée, support en béton, Ecolite</t>
  </si>
  <si>
    <t>34.027.07</t>
  </si>
  <si>
    <t>Fassadenunterkonstruktion, integriert, Backsteinuntergrund, Ecolite</t>
  </si>
  <si>
    <t>92.039.07</t>
  </si>
  <si>
    <t>Entsorgung, Fassadenunterkonstruktion, integriert, Backsteinuntergrund, Ecolite</t>
  </si>
  <si>
    <t>Sous-construction de façade, intégrée, support en briques, Ecolite</t>
  </si>
  <si>
    <t>34.027.08</t>
  </si>
  <si>
    <t>Fassadenunterkonstruktion, integriert, Durchschnitt, Ecolite</t>
  </si>
  <si>
    <t>92.039.08</t>
  </si>
  <si>
    <t>Entsorgung, Fassadenunterkonstruktion, integriert, Durchschnitt, Ecolite</t>
  </si>
  <si>
    <t>Sous-construction de façade, intégrée, moyenne, Ecolite</t>
  </si>
  <si>
    <t>34.027.09</t>
  </si>
  <si>
    <t>Solarpanel, Mono-Si, Eternit Sunskin Facade, 18.0%</t>
  </si>
  <si>
    <t>92.037</t>
  </si>
  <si>
    <t>Rücknahme und Recycling, c-Si PV Modul</t>
  </si>
  <si>
    <t>Panneau solaire, Mono-Si, Eternit Sunskin Facade, 18,0</t>
  </si>
  <si>
    <t>34.027.10</t>
  </si>
  <si>
    <t>Solarpanel, Mono-Si, Kioto Solar PVP-GExxxM, 12.5%</t>
  </si>
  <si>
    <t>Panneau solaire, Mono-Si, Kioto Solar PVP-GExxxM, 12,5 %</t>
  </si>
  <si>
    <t>34.027.11</t>
  </si>
  <si>
    <t>Solarpanel, Mono-Si, Vogelsang-Kioto Solar, 9.1%</t>
  </si>
  <si>
    <t>Panneau solaire, Mono-Si, Vogelsang-Kioto Solar, 9,1 %</t>
  </si>
  <si>
    <t>34.027.12</t>
  </si>
  <si>
    <t>Solarpanel, CIS, StoVentec Artline inlay, 9.5%</t>
  </si>
  <si>
    <t>92.038</t>
  </si>
  <si>
    <t>Rücknahme und Recycling, CdTe PV Modul</t>
  </si>
  <si>
    <t>Panneau solaire, CIS, StoVentec Artline inlay, 9,5 %</t>
  </si>
  <si>
    <t>34.027.13</t>
  </si>
  <si>
    <t>Solarpanel, CIS, StoVentec Artline invisible, 9.5%</t>
  </si>
  <si>
    <t>Panneau solaire, CIS, StoVentec Artline invisible, 9,5 %</t>
  </si>
  <si>
    <t>34.028</t>
  </si>
  <si>
    <t>34.029</t>
  </si>
  <si>
    <t>34.030</t>
  </si>
  <si>
    <t>34.031</t>
  </si>
  <si>
    <t>34.032</t>
  </si>
  <si>
    <t>34.033</t>
  </si>
  <si>
    <t>34.034</t>
  </si>
  <si>
    <t>34.035</t>
  </si>
  <si>
    <t>34.036</t>
  </si>
  <si>
    <r>
      <t>KBOB / eco-bau</t>
    </r>
    <r>
      <rPr>
        <b/>
        <sz val="16"/>
        <color rgb="FFFFFFFF"/>
        <rFont val="Arial"/>
        <family val="2"/>
      </rPr>
      <t xml:space="preserve"> / IPB  2009/1:2016</t>
    </r>
  </si>
  <si>
    <t/>
  </si>
  <si>
    <r>
      <t xml:space="preserve">TRANSPORTE
</t>
    </r>
    <r>
      <rPr>
        <i/>
        <sz val="10"/>
        <rFont val="Arial"/>
        <family val="2"/>
      </rPr>
      <t>[Bibliographie treeze, v2.2:2016]</t>
    </r>
  </si>
  <si>
    <t>Treibhausgas-
emissionen</t>
  </si>
  <si>
    <r>
      <rPr>
        <b/>
        <i/>
        <sz val="14"/>
        <rFont val="Arial"/>
        <family val="2"/>
      </rPr>
      <t>TRANSPORTS</t>
    </r>
    <r>
      <rPr>
        <b/>
        <i/>
        <sz val="12"/>
        <rFont val="Arial"/>
        <family val="2"/>
      </rPr>
      <t xml:space="preserve"> 
</t>
    </r>
    <r>
      <rPr>
        <i/>
        <sz val="10"/>
        <rFont val="Arial"/>
        <family val="2"/>
      </rPr>
      <t>[Bibliographie treeze, v2.2:2016]</t>
    </r>
  </si>
  <si>
    <t>Betrieb</t>
  </si>
  <si>
    <t>Fahrzeug</t>
  </si>
  <si>
    <t>Infrastruktur</t>
  </si>
  <si>
    <t>Véhicule</t>
  </si>
  <si>
    <t>Infrastructure</t>
  </si>
  <si>
    <t>61</t>
  </si>
  <si>
    <t>Treibstoffe</t>
  </si>
  <si>
    <t>Carburants</t>
  </si>
  <si>
    <t>61.003</t>
  </si>
  <si>
    <t>Benzin in Personenwagen</t>
  </si>
  <si>
    <t>Endenergie</t>
  </si>
  <si>
    <t>Énergie finale</t>
  </si>
  <si>
    <t>Essence pour voitures</t>
  </si>
  <si>
    <t>61.009</t>
  </si>
  <si>
    <t>Benzin in Scooter</t>
  </si>
  <si>
    <t>Essence pour scooter</t>
  </si>
  <si>
    <t>61.005</t>
  </si>
  <si>
    <t>Biogas in Personenwagen</t>
  </si>
  <si>
    <t>Biogaz pour voitures</t>
  </si>
  <si>
    <t>61.001</t>
  </si>
  <si>
    <t>Diesel in Baumaschine</t>
  </si>
  <si>
    <t>Gasoil pour engin de chantier, sans FAP</t>
  </si>
  <si>
    <t>61.002</t>
  </si>
  <si>
    <t>Diesel in Lastwagen</t>
  </si>
  <si>
    <t>Gasoil pour camions</t>
  </si>
  <si>
    <t>61.004</t>
  </si>
  <si>
    <t>Diesel in Personenwagen</t>
  </si>
  <si>
    <t>Gasoil pour voitures</t>
  </si>
  <si>
    <t>61.006</t>
  </si>
  <si>
    <t>Erdgas in Personenwagen</t>
  </si>
  <si>
    <t>gaz naturel pour voitures</t>
  </si>
  <si>
    <t>61.007</t>
  </si>
  <si>
    <t>Kerosin in Flugzeug</t>
  </si>
  <si>
    <t>Kérosène pour avions</t>
  </si>
  <si>
    <t>61.008</t>
  </si>
  <si>
    <t>Strom CH-Verbrauchermix in Personenwagen</t>
  </si>
  <si>
    <t xml:space="preserve">Mix de consommation d'électricité CH dans les voitures </t>
  </si>
  <si>
    <t>61.010</t>
  </si>
  <si>
    <t>Mix Stromprodukte aus erneuerbaren Energien in Personenwagen</t>
  </si>
  <si>
    <t xml:space="preserve">Mix de produits électriques issus d'énergies renouvelables dans les voitures </t>
  </si>
  <si>
    <t>62</t>
  </si>
  <si>
    <t>Güter-Transporte</t>
  </si>
  <si>
    <t>Transports de marchandises</t>
  </si>
  <si>
    <t>Aushub maschinell, Durchschnitt</t>
  </si>
  <si>
    <t>Aushubvolumen</t>
  </si>
  <si>
    <t>Vol.excavation</t>
  </si>
  <si>
    <t>Excavations mécaniques, en moyenne</t>
  </si>
  <si>
    <t>62.014</t>
  </si>
  <si>
    <t>Aushub maschinell, mit PF</t>
  </si>
  <si>
    <t>Excavations mécaniques, avec FAP</t>
  </si>
  <si>
    <t>62.015</t>
  </si>
  <si>
    <t>Aushub maschinell, ohne PF</t>
  </si>
  <si>
    <t>Excavations mécaniques, sans FAP</t>
  </si>
  <si>
    <t>62.002</t>
  </si>
  <si>
    <t>Binnenschiff</t>
  </si>
  <si>
    <t>Transportleistung</t>
  </si>
  <si>
    <t>tkm</t>
  </si>
  <si>
    <t>Rend.du transp.</t>
  </si>
  <si>
    <t>Cargo de marchandise, navigation intérieure</t>
  </si>
  <si>
    <t>62.011</t>
  </si>
  <si>
    <t>Flugzeug, Durchschnitt</t>
  </si>
  <si>
    <t>Transport aérien, moyenne</t>
  </si>
  <si>
    <t>62.012</t>
  </si>
  <si>
    <t>Flugzeug, Kurzstrecke</t>
  </si>
  <si>
    <t>Transport aérien, courte distance</t>
  </si>
  <si>
    <t>Flugzeug, Mittelstrecke</t>
  </si>
  <si>
    <t>Transport aérien, moyenne distance</t>
  </si>
  <si>
    <t>62.013</t>
  </si>
  <si>
    <t>Flugzeug, Langstrecke</t>
  </si>
  <si>
    <t>Transport aérien, longue distance</t>
  </si>
  <si>
    <t>62.003</t>
  </si>
  <si>
    <t>Güterzug</t>
  </si>
  <si>
    <t>Train de marchandises</t>
  </si>
  <si>
    <t>62.004</t>
  </si>
  <si>
    <t>Helikopter</t>
  </si>
  <si>
    <t>Einsatzzeit</t>
  </si>
  <si>
    <t>h</t>
  </si>
  <si>
    <t>Heures de vol</t>
  </si>
  <si>
    <t>Hélicoptère</t>
  </si>
  <si>
    <t>62.005</t>
  </si>
  <si>
    <t>Hochseeschiff</t>
  </si>
  <si>
    <t>Navire de haute mer</t>
  </si>
  <si>
    <t>62.006</t>
  </si>
  <si>
    <t>Hochseetanker</t>
  </si>
  <si>
    <t>Pétrolier de haute mer</t>
  </si>
  <si>
    <t>62.007</t>
  </si>
  <si>
    <t>Kleintransporter (&lt;3.5 t)</t>
  </si>
  <si>
    <t xml:space="preserve">Véhicule de transport, jusqu'à 3.5 t </t>
  </si>
  <si>
    <t>62.016</t>
  </si>
  <si>
    <t>Lastwagen, Durchschnitt</t>
  </si>
  <si>
    <t>Camion</t>
  </si>
  <si>
    <t>62.017</t>
  </si>
  <si>
    <t>Lastwagen 3.5t-7.5 t</t>
  </si>
  <si>
    <t>Camion 3.5-7.5 t</t>
  </si>
  <si>
    <t>62.009</t>
  </si>
  <si>
    <t>Lastwagen 7.5-16 t</t>
  </si>
  <si>
    <t>Camion 7.5-16 t</t>
  </si>
  <si>
    <t>62.008</t>
  </si>
  <si>
    <t>Lastwagen 16-32 t</t>
  </si>
  <si>
    <t>Camion 16-32 t</t>
  </si>
  <si>
    <t>62.010</t>
  </si>
  <si>
    <t>Lastwagen 32-40 t</t>
  </si>
  <si>
    <t>Camion 32-40 t</t>
  </si>
  <si>
    <t>63</t>
  </si>
  <si>
    <t>Personen-Transporte</t>
  </si>
  <si>
    <t>Transports de personnes</t>
  </si>
  <si>
    <t>63.003</t>
  </si>
  <si>
    <t>Autobus</t>
  </si>
  <si>
    <t>pkm</t>
  </si>
  <si>
    <t>63.001</t>
  </si>
  <si>
    <t>Fernreisezug Schweiz</t>
  </si>
  <si>
    <t>Train de grand parcours Suisse</t>
  </si>
  <si>
    <t>63.002</t>
  </si>
  <si>
    <t>Fernreisezug Deutschland, ICE</t>
  </si>
  <si>
    <t>Train de grand parcours Allemagne, ICE</t>
  </si>
  <si>
    <t>63.004</t>
  </si>
  <si>
    <t>Avion passagers, moyenne</t>
  </si>
  <si>
    <t>63.005</t>
  </si>
  <si>
    <t>63.020</t>
  </si>
  <si>
    <t>63.006</t>
  </si>
  <si>
    <t>63.018</t>
  </si>
  <si>
    <t>Helikopter, einmotorig</t>
  </si>
  <si>
    <t>Hélicoptère, monomoteur</t>
  </si>
  <si>
    <t>63.019</t>
  </si>
  <si>
    <t>Helikopter, zweimotorig</t>
  </si>
  <si>
    <t>Hélicoptère, bimoteur</t>
  </si>
  <si>
    <t>63.007</t>
  </si>
  <si>
    <t>Personenwagen, Durchschnitt</t>
  </si>
  <si>
    <t>Voiture, moyenne</t>
  </si>
  <si>
    <t>63.008</t>
  </si>
  <si>
    <t>Personenwagen, Benzin</t>
  </si>
  <si>
    <t>Voiture, essence</t>
  </si>
  <si>
    <t>63.014</t>
  </si>
  <si>
    <t>Personenwagen, Biogas</t>
  </si>
  <si>
    <t>Voiture, biogaz</t>
  </si>
  <si>
    <t>63.009</t>
  </si>
  <si>
    <t>Personenwagen, Diesel</t>
  </si>
  <si>
    <t>Voiture, gasoil</t>
  </si>
  <si>
    <t>63.016</t>
  </si>
  <si>
    <t>Personenwagen, elektrisch, Strom CH-Verbrauchermix</t>
  </si>
  <si>
    <t>Voiture, électrique, électricité CH mix de consommation</t>
  </si>
  <si>
    <t>Personenwagen, elektrisch, Mix Stromprodukte aus erneuerbaren Energien</t>
  </si>
  <si>
    <t>Voiture, électrique, mix de produits électriques issus d'énergies renouvelables</t>
  </si>
  <si>
    <t>63.015</t>
  </si>
  <si>
    <t>Personenwagen, Erdgas</t>
  </si>
  <si>
    <t>Voiture, gaz naturel</t>
  </si>
  <si>
    <t>63.010</t>
  </si>
  <si>
    <t>Regionalzug</t>
  </si>
  <si>
    <t>Train régional</t>
  </si>
  <si>
    <t>63.011</t>
  </si>
  <si>
    <t>Reisebus</t>
  </si>
  <si>
    <t>Autocar</t>
  </si>
  <si>
    <t>63.017</t>
  </si>
  <si>
    <t>Scooter, Benzin</t>
  </si>
  <si>
    <t>Scooter, essence</t>
  </si>
  <si>
    <t>63.012</t>
  </si>
  <si>
    <t>Tram</t>
  </si>
  <si>
    <t>63.013</t>
  </si>
  <si>
    <t>Trolleybus</t>
  </si>
  <si>
    <t>64</t>
  </si>
  <si>
    <t>64.003</t>
  </si>
  <si>
    <t>Fahrleistung</t>
  </si>
  <si>
    <t>km</t>
  </si>
  <si>
    <t>km parcourus</t>
  </si>
  <si>
    <t>64.001</t>
  </si>
  <si>
    <t>64.002</t>
  </si>
  <si>
    <t>64.004</t>
  </si>
  <si>
    <t>64.005</t>
  </si>
  <si>
    <t>64.020</t>
  </si>
  <si>
    <t>64.006</t>
  </si>
  <si>
    <t>64.018</t>
  </si>
  <si>
    <t>64.019</t>
  </si>
  <si>
    <t>64.007</t>
  </si>
  <si>
    <t>64.008</t>
  </si>
  <si>
    <t>64.014</t>
  </si>
  <si>
    <t>64.009</t>
  </si>
  <si>
    <t>64.016</t>
  </si>
  <si>
    <t>64.015</t>
  </si>
  <si>
    <t>64.010</t>
  </si>
  <si>
    <t>64.011</t>
  </si>
  <si>
    <t>64.017</t>
  </si>
  <si>
    <t>64.012</t>
  </si>
  <si>
    <t>64.013</t>
  </si>
  <si>
    <t>KBOB / ecobau / IPB  2009/1:2022</t>
  </si>
  <si>
    <t>PEF-es</t>
  </si>
  <si>
    <t>UUID-Nummer</t>
  </si>
  <si>
    <t xml:space="preserve">ENERGIE
</t>
  </si>
  <si>
    <t>Bezug
Réference</t>
  </si>
  <si>
    <r>
      <t>UBP'</t>
    </r>
    <r>
      <rPr>
        <b/>
        <sz val="9"/>
        <color rgb="FFFF0000"/>
        <rFont val="Arial"/>
        <family val="2"/>
      </rPr>
      <t>21</t>
    </r>
    <r>
      <rPr>
        <b/>
        <sz val="9"/>
        <rFont val="Arial"/>
        <family val="2"/>
      </rPr>
      <t xml:space="preserve">
UBP</t>
    </r>
  </si>
  <si>
    <t>Primärenergie 
Energie primaire</t>
  </si>
  <si>
    <t>erneuerbar am Standort</t>
  </si>
  <si>
    <t>renouvelable du site</t>
  </si>
  <si>
    <t>Einheit
Unité</t>
  </si>
  <si>
    <t>41</t>
  </si>
  <si>
    <r>
      <t>Brennstoffe</t>
    </r>
    <r>
      <rPr>
        <b/>
        <vertAlign val="superscript"/>
        <sz val="10"/>
        <rFont val="Arial"/>
        <family val="2"/>
      </rPr>
      <t>1</t>
    </r>
  </si>
  <si>
    <r>
      <t>Combustibles</t>
    </r>
    <r>
      <rPr>
        <b/>
        <vertAlign val="superscript"/>
        <sz val="10"/>
        <rFont val="Arial"/>
        <family val="2"/>
      </rPr>
      <t>1</t>
    </r>
  </si>
  <si>
    <t>41.001</t>
  </si>
  <si>
    <t>48b15cda-179e-4f9a-81c3-7cd01653e920</t>
  </si>
  <si>
    <t>Heizöl EL</t>
  </si>
  <si>
    <t>Enérgie finale</t>
  </si>
  <si>
    <t>Mazout EL</t>
  </si>
  <si>
    <t>41.002</t>
  </si>
  <si>
    <t>76a19c53-8e44-4806-8bd2-f0d87507a1db</t>
  </si>
  <si>
    <t>Erdgas</t>
  </si>
  <si>
    <t>Gaz naturel</t>
  </si>
  <si>
    <t>41.003</t>
  </si>
  <si>
    <t>f12d6f0a-8ea3-450f-b9af-2e8f53758baa</t>
  </si>
  <si>
    <t>Propan/Butan</t>
  </si>
  <si>
    <t>Propane/butane</t>
  </si>
  <si>
    <t>41.004</t>
  </si>
  <si>
    <t>217f6f88-ba46-4c56-850c-80a57dc9daad</t>
  </si>
  <si>
    <t>Kohle Koks</t>
  </si>
  <si>
    <t>Coke de houille</t>
  </si>
  <si>
    <t>41.005</t>
  </si>
  <si>
    <t>0fd32da9-b0cb-424f-ae15-de65666785c4</t>
  </si>
  <si>
    <t>Kohle Brikett</t>
  </si>
  <si>
    <t>Briquette de houille</t>
  </si>
  <si>
    <t>41.006</t>
  </si>
  <si>
    <t>714c90ac-5805-462a-bcaa-d08d11977e3f</t>
  </si>
  <si>
    <t>Stückholz</t>
  </si>
  <si>
    <t>Bûches de bois</t>
  </si>
  <si>
    <t>41.010</t>
  </si>
  <si>
    <t>2db29ccb-52fe-4e84-a135-734d8b38c078</t>
  </si>
  <si>
    <t>Stückholz mit Partikelfilter</t>
  </si>
  <si>
    <t>Bûches de bois avec filtre à particules</t>
  </si>
  <si>
    <t>41.007</t>
  </si>
  <si>
    <t>37e0ceac-f8ff-44f1-a1df-6ac995426b5e</t>
  </si>
  <si>
    <t>Holzschnitzel</t>
  </si>
  <si>
    <t>Particules de bois</t>
  </si>
  <si>
    <t>41.011</t>
  </si>
  <si>
    <t>6e44744b-89c3-4e51-bbce-ad8fdfcc77b6</t>
  </si>
  <si>
    <t>Holzschnitzel mit Partikelfilter</t>
  </si>
  <si>
    <t>Particules de bois avec filtre à particules</t>
  </si>
  <si>
    <t>41.008</t>
  </si>
  <si>
    <t>e7b59798-478f-43ff-a576-379dbf6da60d</t>
  </si>
  <si>
    <t>Pellets</t>
  </si>
  <si>
    <t>Granules (pellets)</t>
  </si>
  <si>
    <t>41.012</t>
  </si>
  <si>
    <t>7ff25854-f861-4a40-9823-65d24b5e1d11</t>
  </si>
  <si>
    <t>Pellets mit Partikelfilter</t>
  </si>
  <si>
    <t>Granules (pellets) avec filtre à particules</t>
  </si>
  <si>
    <t>41.009</t>
  </si>
  <si>
    <t>273feaeb-5b51-4f6b-b42a-f27eb5e1973f</t>
  </si>
  <si>
    <t>Biogas</t>
  </si>
  <si>
    <t>Biogaz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</si>
  <si>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Oberer Heizwert</t>
    </r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</si>
  <si>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Pouvoir calorifique supérieur</t>
    </r>
  </si>
  <si>
    <t>42</t>
  </si>
  <si>
    <t>Fernwärme</t>
  </si>
  <si>
    <t>Chauffage urbain</t>
  </si>
  <si>
    <t>42.018</t>
  </si>
  <si>
    <t>d6bcf340-4df2-46b5-8fc3-4c602ae28ef9</t>
  </si>
  <si>
    <t>Atomkraftwerk</t>
  </si>
  <si>
    <t>42.001</t>
  </si>
  <si>
    <t>b5fed222-858b-4b0c-9b79-2004731edfd9</t>
  </si>
  <si>
    <t>Heizzentrale Oel</t>
  </si>
  <si>
    <t>Centrale de chauffage, pétrole</t>
  </si>
  <si>
    <t>42.002</t>
  </si>
  <si>
    <t>4c27aa48-dc77-421c-b747-3cd7bde6ee17</t>
  </si>
  <si>
    <t>Heizzentrale Gas</t>
  </si>
  <si>
    <t>Centrale de chauffage, gaz</t>
  </si>
  <si>
    <t>42.003</t>
  </si>
  <si>
    <t>ff03eee5-5157-4073-ae97-2cb453aadedd</t>
  </si>
  <si>
    <t>Heizzentrale Holz</t>
  </si>
  <si>
    <t>Centrale de chauffage, bois</t>
  </si>
  <si>
    <t>42.004</t>
  </si>
  <si>
    <t>2c1816ea-5584-46cc-970a-ad2510e4ef7b</t>
  </si>
  <si>
    <t>Heizkraftwerk Holz</t>
  </si>
  <si>
    <t>Centrale à cogénération, bois</t>
  </si>
  <si>
    <t>42.006</t>
  </si>
  <si>
    <t>c64180bd-c1b0-4063-9fb3-08cb3fc4c8ab</t>
  </si>
  <si>
    <t>Heizzentrale EWP Abwasser (JAZ 3.4)</t>
  </si>
  <si>
    <t>Centrale de chauffage PACE, eaux usées (COPA 3.4)</t>
  </si>
  <si>
    <t>42.007</t>
  </si>
  <si>
    <t>7e521934-5d8f-40ac-8e17-249fe17da805</t>
  </si>
  <si>
    <t>Heizzentrale EWP Grundwasser (JAZ 3.1)</t>
  </si>
  <si>
    <t>Centrale de chauffage PACE, eaux souterraines (COPA 3.4)</t>
  </si>
  <si>
    <t>42.008</t>
  </si>
  <si>
    <t>9ac34f42-df98-4f3a-b676-3c91f8cff5c1</t>
  </si>
  <si>
    <t>Heizzentrale EWP Erdsonde (JAZ 3.1)</t>
  </si>
  <si>
    <t>Centrale de chauffage PACE, sonde géothermique (COPA 3.9)</t>
  </si>
  <si>
    <t>42.009</t>
  </si>
  <si>
    <t>2601e6f0-975b-4d52-a7bc-d2e4b60f951b</t>
  </si>
  <si>
    <t>Heizzentrale Geothermie</t>
  </si>
  <si>
    <t>Centrale de chauffage, géothermie</t>
  </si>
  <si>
    <t>42.010</t>
  </si>
  <si>
    <t>2b651e64-f7fa-4bcd-a6d8-4f36ea6efe21</t>
  </si>
  <si>
    <t>Heizkraftwerk Geothermie</t>
  </si>
  <si>
    <t>Centrale à cogénération, géothermie</t>
  </si>
  <si>
    <t>42.011</t>
  </si>
  <si>
    <t>8c167af0-64e3-4846-9087-fb1d378e9ee6</t>
  </si>
  <si>
    <t>Kehrichtverbrennung</t>
  </si>
  <si>
    <t>Incinération des ordures ménagères</t>
  </si>
  <si>
    <t>42.012</t>
  </si>
  <si>
    <t>57f12294-3883-4d65-863e-f081764b635a</t>
  </si>
  <si>
    <t>Blockheizkraftwerk Diesel</t>
  </si>
  <si>
    <t>Centrale à cogénération, diesel</t>
  </si>
  <si>
    <t>42.013</t>
  </si>
  <si>
    <t>360395e5-0272-4bfd-913a-e924e088f66f</t>
  </si>
  <si>
    <t>Blockheizkraftwerk Gas</t>
  </si>
  <si>
    <t>Centrale à cogénération, gaz</t>
  </si>
  <si>
    <t>42.014</t>
  </si>
  <si>
    <t>4613ab3e-444a-4a2d-8d5a-b60948fb8dee</t>
  </si>
  <si>
    <t>Blockheizkraftwerk Biogas</t>
  </si>
  <si>
    <t>Centrale à cogénération, biogaz</t>
  </si>
  <si>
    <t>42.016</t>
  </si>
  <si>
    <t>130cb5ce-cd7e-4ed8-96d7-93cb56dd3853</t>
  </si>
  <si>
    <t>Fernwärme Durchschnitt Netze CH</t>
  </si>
  <si>
    <t>Chauffage à distance, moyenne réseaux CH</t>
  </si>
  <si>
    <t>42.017</t>
  </si>
  <si>
    <t>a8516884-b484-4e68-8e30-608d276fa1c0</t>
  </si>
  <si>
    <t>Fernwärme mit Nutzung Kehrichtwärme, Durchschnitt Netze CH</t>
  </si>
  <si>
    <t>Chauffage à distance de l'incinération des ordures, moyenne réseaux CH</t>
  </si>
  <si>
    <t>43</t>
  </si>
  <si>
    <t>Nutzwärme</t>
  </si>
  <si>
    <t>Chaleur utile</t>
  </si>
  <si>
    <t>43.013</t>
  </si>
  <si>
    <t>55460b07-ca34-4a67-8982-2e852bc37223</t>
  </si>
  <si>
    <t>Elektrospeicherofen (Strom CH)</t>
  </si>
  <si>
    <r>
      <t>Nutzwärme</t>
    </r>
    <r>
      <rPr>
        <vertAlign val="superscript"/>
        <sz val="10"/>
        <color rgb="FFFF0000"/>
        <rFont val="Arial"/>
        <family val="2"/>
      </rPr>
      <t>2</t>
    </r>
  </si>
  <si>
    <t>43.014</t>
  </si>
  <si>
    <t>65f87076-fa16-4403-8fae-232d7c9c2f36</t>
  </si>
  <si>
    <t>Elektrospeicherofen (Strom CH zertifiziert)</t>
  </si>
  <si>
    <t>43.001</t>
  </si>
  <si>
    <t>7d9b9d39-8e10-45ca-8ea8-622b3828030b</t>
  </si>
  <si>
    <t>Heizkessel Heizöl EL</t>
  </si>
  <si>
    <r>
      <t>Nutzwärme</t>
    </r>
    <r>
      <rPr>
        <vertAlign val="superscript"/>
        <sz val="10"/>
        <rFont val="Arial"/>
        <family val="2"/>
      </rPr>
      <t>2</t>
    </r>
  </si>
  <si>
    <r>
      <t>Chaleur utile</t>
    </r>
    <r>
      <rPr>
        <vertAlign val="superscript"/>
        <sz val="10"/>
        <rFont val="Arial"/>
        <family val="2"/>
      </rPr>
      <t>2</t>
    </r>
  </si>
  <si>
    <t>Chaudière, mazout EL</t>
  </si>
  <si>
    <t>43.002</t>
  </si>
  <si>
    <t>ba619be9-6606-4dbe-87ed-406ae039d885</t>
  </si>
  <si>
    <t>Heizkessel Erdgas</t>
  </si>
  <si>
    <t>Chaudière, gaz naturel</t>
  </si>
  <si>
    <t>43.003</t>
  </si>
  <si>
    <t>dc135147-dd7c-49a1-a456-3becae0fd4ed</t>
  </si>
  <si>
    <t>Heizkessel Propan / Butan</t>
  </si>
  <si>
    <t>Chaudière, propane/butane</t>
  </si>
  <si>
    <t>43.004</t>
  </si>
  <si>
    <t>8eff895b-6598-421d-8348-73fb966452dc</t>
  </si>
  <si>
    <t>Heizkessel Kohle Koks</t>
  </si>
  <si>
    <t>Chaudière, coke de houille</t>
  </si>
  <si>
    <t>43.005</t>
  </si>
  <si>
    <t>cfc59c80-f1cf-4936-a91e-730144481924</t>
  </si>
  <si>
    <t>Heizkessel Kohle Brikett</t>
  </si>
  <si>
    <t>Chaudière, briquette de houille</t>
  </si>
  <si>
    <t>43.006</t>
  </si>
  <si>
    <t>fc02eb84-74dd-4d52-a0e4-5c20232efbc4</t>
  </si>
  <si>
    <t>Heizkessel Stückholz</t>
  </si>
  <si>
    <t>Chaudière, bûches de bois</t>
  </si>
  <si>
    <t>43.010</t>
  </si>
  <si>
    <t>a3736425-d2ff-4dec-9c77-b28223681b44</t>
  </si>
  <si>
    <t>Heizkessel Stückholz mit Partikelfilter</t>
  </si>
  <si>
    <t>Chaudière, bûches de bois avec filtre à particules</t>
  </si>
  <si>
    <t>43.007</t>
  </si>
  <si>
    <t>5f1933a0-398d-481b-bb23-afcc4517728b</t>
  </si>
  <si>
    <t>Heizkessel Holzschnitzel</t>
  </si>
  <si>
    <t>Chaudière, particules de bois</t>
  </si>
  <si>
    <t>43.011</t>
  </si>
  <si>
    <t>1da5e9bd-101d-4979-b88f-ef3a5c8a60bd</t>
  </si>
  <si>
    <t>Heizkessel Holzschnitzel mit Partikelfilter</t>
  </si>
  <si>
    <t>Chaudière, particules de bois avec filtre à particules</t>
  </si>
  <si>
    <t>43.008</t>
  </si>
  <si>
    <t>c7a584e8-5547-4635-ab55-72ea8498a49d</t>
  </si>
  <si>
    <t>Heizkessel Pellets</t>
  </si>
  <si>
    <t>Chaudière, granules (pellets)</t>
  </si>
  <si>
    <t>43.012</t>
  </si>
  <si>
    <t>678aba03-e476-40da-b927-a3d3f6b3cfd0</t>
  </si>
  <si>
    <t>Heizkessel Pellets mit Partikelfilter</t>
  </si>
  <si>
    <t>Chaudière, granules (pellets) avec filtre à particules</t>
  </si>
  <si>
    <t>43.009</t>
  </si>
  <si>
    <t>e9c79b59-e4d3-49ff-a0d9-290bc7f01055</t>
  </si>
  <si>
    <t>Heizkessel Biogas</t>
  </si>
  <si>
    <t>Chaudière, biogaz</t>
  </si>
  <si>
    <t>44</t>
  </si>
  <si>
    <t>Nutzwärme am Standort erzeugt, inkl. erneuerbare Energien</t>
  </si>
  <si>
    <t>Chaleur utile produite sur place, y compris énergies renouvelables</t>
  </si>
  <si>
    <t>44.001</t>
  </si>
  <si>
    <t>0b18350f-d69a-436d-ae82-e34e89382b2c</t>
  </si>
  <si>
    <t>Elektrowärmepumpe Luft / Wasser (15kW, Altbau, JAZ 2.7, Strom CH)</t>
  </si>
  <si>
    <t>Nutzwärme2</t>
  </si>
  <si>
    <t>Pompe à chaleur électrique air-eau (15kW, XX, COPA XX, XX)</t>
  </si>
  <si>
    <t>44.012</t>
  </si>
  <si>
    <t>4ea61be0-177c-4f44-a0b6-baba4dde43b8</t>
  </si>
  <si>
    <t>Elektrowärmepumpe Luft / Wasser (15kW, Altbau, JAZ 2.7, Strom CH zertifiziert)</t>
  </si>
  <si>
    <r>
      <t>Chaleur utile</t>
    </r>
    <r>
      <rPr>
        <vertAlign val="superscript"/>
        <sz val="10"/>
        <color rgb="FFFF0000"/>
        <rFont val="Arial"/>
        <family val="2"/>
      </rPr>
      <t>2</t>
    </r>
  </si>
  <si>
    <t>44.009</t>
  </si>
  <si>
    <t>58b13ac9-512c-4397-8b96-7c8a77c5cace</t>
  </si>
  <si>
    <t>Elektrowärmepumpe Luft / Wasser (15kW, Neubau, JAZ 4.4, Strom CH)</t>
  </si>
  <si>
    <t>44.015</t>
  </si>
  <si>
    <t>554cbe26-389f-4e9c-9238-10d1258df06d</t>
  </si>
  <si>
    <t>Elektrowärmepumpe Luft / Wasser (15kW, Neubau, JAZ 4.4, Strom CH zertifiziert)</t>
  </si>
  <si>
    <t>44.002</t>
  </si>
  <si>
    <t>a673b8a9-910d-4ddd-85ab-a46bc496654f</t>
  </si>
  <si>
    <t>Elektrowärmepumpe Erdsonden (15kW, Altbau, JAZ 3.2, Strom CH)</t>
  </si>
  <si>
    <t>Pompe à chaleur électrique sondes géothermiques (XXXX)</t>
  </si>
  <si>
    <t>44.013</t>
  </si>
  <si>
    <t>af3e00a5-f765-4c28-b8f3-90f0ef380730</t>
  </si>
  <si>
    <t>Elektrowärmepumpe Erdsonden (15kW, Altbau, JAZ 3.2, Strom CH zertifiziert)</t>
  </si>
  <si>
    <t>44.010</t>
  </si>
  <si>
    <t>b9cb39f8-a5b1-46d5-9ffa-c1e1d5d08e24</t>
  </si>
  <si>
    <t>Elektrowärmepumpe Erdsonden (15kW, Neubau, JAZ 5.3, Strom CH)</t>
  </si>
  <si>
    <t>44.016</t>
  </si>
  <si>
    <t>c807fa71-cf7c-42b1-ac5e-50e329bcc2d9</t>
  </si>
  <si>
    <t>Elektrowärmepumpe Erdsonden (15kW, Neubau, JAZ 5.3, Strom CH zertifiziert)</t>
  </si>
  <si>
    <t>44.003</t>
  </si>
  <si>
    <t>ad4e5263-415c-4a35-b9c4-f9e6fe89d367</t>
  </si>
  <si>
    <t>Elektrowärmepumpe Grundwasser (15kW, Altbau, JAZ 3.2, Strom CH)</t>
  </si>
  <si>
    <t>Pompe à chaleur électrique eaux souterraines (XXXX</t>
  </si>
  <si>
    <t>44.014</t>
  </si>
  <si>
    <t>d3f29196-dca0-4212-b79b-21d85d4343e0</t>
  </si>
  <si>
    <t>Elektrowärmepumpe Grundwasser (15kW, Altbau, JAZ 3.2, Strom CH zertifiziert)</t>
  </si>
  <si>
    <t>44.011</t>
  </si>
  <si>
    <t>d41868f3-7ed1-4518-b290-d9823454d590</t>
  </si>
  <si>
    <t>Elektrowärmepumpe Grundwasser (15kW, Neubau, JAZ 5.3, Strom CH)</t>
  </si>
  <si>
    <t>44.017</t>
  </si>
  <si>
    <t>bdb8bd74-b9bc-4d08-b2a5-490d3b8b381e</t>
  </si>
  <si>
    <t>Elektrowärmepumpe Grundwasser (15kW, Neubau, JAZ 5.3, Strom CH zertifiziert)</t>
  </si>
  <si>
    <t>44.004</t>
  </si>
  <si>
    <t>5d43faac-ced7-442d-9c5b-fd3c98dbf322</t>
  </si>
  <si>
    <t>44.005</t>
  </si>
  <si>
    <t>5f5c1c64-5015-4b87-98a9-84e4e2552dbe</t>
  </si>
  <si>
    <t>Collecteurs solaires plan, chaleur et eau chaude maison individuelle</t>
  </si>
  <si>
    <t>44.006</t>
  </si>
  <si>
    <t>34b2141d-695b-4223-b7ef-74bfd62d5081</t>
  </si>
  <si>
    <t>44.007</t>
  </si>
  <si>
    <t>9867129a-d2ec-4740-a36e-a702062d8d70</t>
  </si>
  <si>
    <t>Collecteurs solaires à tubes, chaleur et eau chaude maison individuelle</t>
  </si>
  <si>
    <t>44.008</t>
  </si>
  <si>
    <t>18d9c1bd-bedd-474b-b652-f28cce940ce9</t>
  </si>
  <si>
    <t>Kleinblockheizkraftwerk, Erdgas</t>
  </si>
  <si>
    <t>Centrale à cogénération, petite, gaz</t>
  </si>
  <si>
    <t>44.018</t>
  </si>
  <si>
    <t>a53faab7-4b4b-49c1-b019-e8fb34f5e330</t>
  </si>
  <si>
    <t>Solarthermieanlage Schrägdach mit Erdsondenregeneration</t>
  </si>
  <si>
    <t>44.019</t>
  </si>
  <si>
    <t>5cc125f5-2014-4cae-a3c1-aa9035fce5d6</t>
  </si>
  <si>
    <t>Solarthermieanlage Schrägdach mit Warmwasserspeicher</t>
  </si>
  <si>
    <r>
      <t>2</t>
    </r>
    <r>
      <rPr>
        <sz val="9"/>
        <rFont val="Arial"/>
        <family val="2"/>
      </rPr>
      <t xml:space="preserve">inkl. Verteilverluste (Wärme am Ausgang Wärmeerzeuger)
</t>
    </r>
  </si>
  <si>
    <r>
      <t>2</t>
    </r>
    <r>
      <rPr>
        <sz val="9"/>
        <rFont val="Arial"/>
        <family val="2"/>
      </rPr>
      <t>y compris pertes de distribution (Chaleur à la sortie du producteur de chaleur)</t>
    </r>
    <r>
      <rPr>
        <vertAlign val="superscript"/>
        <sz val="9"/>
        <rFont val="Arial"/>
        <family val="2"/>
      </rPr>
      <t xml:space="preserve">
</t>
    </r>
  </si>
  <si>
    <t>45</t>
  </si>
  <si>
    <t>Elektrizität vom Netz</t>
  </si>
  <si>
    <t>Electricité du réseau</t>
  </si>
  <si>
    <t>45.001</t>
  </si>
  <si>
    <t>435c385f-89c8-4697-b56e-03e6ff69bbf0</t>
  </si>
  <si>
    <t>Centrale nucléaire</t>
  </si>
  <si>
    <t>45.002</t>
  </si>
  <si>
    <t>af5f1204-e32e-4854-a7d7-14358c31b884</t>
  </si>
  <si>
    <t>Erdgaskombikraftwerk GuD</t>
  </si>
  <si>
    <t>Centrale combinée gaz naturel G+V</t>
  </si>
  <si>
    <t>45.024</t>
  </si>
  <si>
    <t>f63eab72-1de0-420c-8980-2c07f13fe242</t>
  </si>
  <si>
    <t>Erdgaskraftwerk</t>
  </si>
  <si>
    <t>45.023</t>
  </si>
  <si>
    <t>72c73906-19ca-4ffa-bcb6-1d0bf591af7a</t>
  </si>
  <si>
    <t>Braunkohlekraftwerk</t>
  </si>
  <si>
    <t>Centrale au lignite</t>
  </si>
  <si>
    <t>45.003</t>
  </si>
  <si>
    <t>aa08451d-646b-465e-ba87-f402946e572b</t>
  </si>
  <si>
    <t>Steinkohlekraftwerk</t>
  </si>
  <si>
    <t>Centrale au charbon</t>
  </si>
  <si>
    <t>45.004</t>
  </si>
  <si>
    <t>824df77c-1694-439b-b3be-ed1751afb72f</t>
  </si>
  <si>
    <t>Kraftwerk Schweröl</t>
  </si>
  <si>
    <t>Centrale, pétrole</t>
  </si>
  <si>
    <t>45.005</t>
  </si>
  <si>
    <t>71f008b1-b010-49c8-b6f3-12c8b17a1768</t>
  </si>
  <si>
    <t>45.006</t>
  </si>
  <si>
    <t>7c4c72bf-4676-4084-bd34-45e41d445ff0</t>
  </si>
  <si>
    <t>45.007</t>
  </si>
  <si>
    <t>e5a3a6ce-588f-4182-ace1-77d8824dcefb</t>
  </si>
  <si>
    <t>45.008</t>
  </si>
  <si>
    <t>796f0ecd-6673-45de-a0ff-dd1518eb07aa</t>
  </si>
  <si>
    <t>45.009</t>
  </si>
  <si>
    <t>5f8e4f54-bff4-45ab-92c3-80542a3a821d</t>
  </si>
  <si>
    <t>45.011</t>
  </si>
  <si>
    <t>fb939bcf-3036-43c4-a53f-f0112ba5b94f</t>
  </si>
  <si>
    <t>Photovoltaik</t>
  </si>
  <si>
    <t>Photovoltaïque</t>
  </si>
  <si>
    <t>45.012</t>
  </si>
  <si>
    <t>b423276c-108a-4f5d-8956-b7d8d853610e</t>
  </si>
  <si>
    <t>Photovoltaik Schrägdach</t>
  </si>
  <si>
    <t>Photovoltaïque toiture inclinée</t>
  </si>
  <si>
    <t>45.013</t>
  </si>
  <si>
    <t>e55b3bc6-ae20-4bd4-a426-4e6d19274567</t>
  </si>
  <si>
    <t>Photovoltaik Flachdach</t>
  </si>
  <si>
    <t>Photovoltaïque toiture plate</t>
  </si>
  <si>
    <t>45.014</t>
  </si>
  <si>
    <t>788e955c-ee9b-40e1-ae75-a2324219a711</t>
  </si>
  <si>
    <t>Photovoltaik Fassade</t>
  </si>
  <si>
    <t>Photovoltaïque façade</t>
  </si>
  <si>
    <t>45.027</t>
  </si>
  <si>
    <t>1e8fb369-a0e8-478c-8ca1-dc78163d5a2e</t>
  </si>
  <si>
    <t>Photovoltaik Schrägdach Mono-Si</t>
  </si>
  <si>
    <t>45.028</t>
  </si>
  <si>
    <t>f480fec1-83bd-4ad0-a86a-ca7accd68ae3</t>
  </si>
  <si>
    <t>Photovoltaik Schrägdach Multi-Si</t>
  </si>
  <si>
    <t>45.029</t>
  </si>
  <si>
    <t>9c7a7e8d-2874-4b08-8700-bbc5459e2760</t>
  </si>
  <si>
    <t>Photovoltaik Schrägdach CdTe</t>
  </si>
  <si>
    <t>45.030</t>
  </si>
  <si>
    <t>7e70fc16-2414-407e-aacd-40ad589cef59</t>
  </si>
  <si>
    <t>Photovoltaik Schrägdach CIS</t>
  </si>
  <si>
    <t>45.015</t>
  </si>
  <si>
    <t>c32126d2-b7b7-4125-829b-8487add5f329</t>
  </si>
  <si>
    <t>Windkraft</t>
  </si>
  <si>
    <t>Energie éolienne</t>
  </si>
  <si>
    <t>45.016</t>
  </si>
  <si>
    <t>ab036a5d-8e74-4184-b240-982ab6af177e</t>
  </si>
  <si>
    <t>Wasserkraft</t>
  </si>
  <si>
    <t>Energie hydraulique</t>
  </si>
  <si>
    <t>45.017</t>
  </si>
  <si>
    <t>e1b166b6-6d08-4c94-9521-4ce41d63750f</t>
  </si>
  <si>
    <t>Pumpspeicherung</t>
  </si>
  <si>
    <t>Accumulation par pompage</t>
  </si>
  <si>
    <t>45.018</t>
  </si>
  <si>
    <t>365dfbc7-e5c3-4afa-aa69-8c3299d6df53</t>
  </si>
  <si>
    <t>45.020</t>
  </si>
  <si>
    <t>e4f13ff2-30e8-4233-88b8-d188890c9368</t>
  </si>
  <si>
    <t>CH-Verbrauchermix</t>
  </si>
  <si>
    <t>Mix consommateur CH</t>
  </si>
  <si>
    <t>45.019</t>
  </si>
  <si>
    <t>8a04a598-219a-46dd-8c73-7710995a9e8d</t>
  </si>
  <si>
    <t>CH-Produktionsmix</t>
  </si>
  <si>
    <t>Mix de production CH</t>
  </si>
  <si>
    <t>45.022</t>
  </si>
  <si>
    <t>10572f84-797c-4cd6-9b75-4b2e5c5dff0e</t>
  </si>
  <si>
    <t>Mix Stromprodukte aus erneuerbaren Energien</t>
  </si>
  <si>
    <t>Mix de produits des énergies renouvelables CH</t>
  </si>
  <si>
    <t>45.025</t>
  </si>
  <si>
    <t>11577786-f0fb-40b4-8429-10d1fed583f4</t>
  </si>
  <si>
    <t>CH-Lieferantenmix HKN</t>
  </si>
  <si>
    <t>45.021</t>
  </si>
  <si>
    <t>9c3a1bd6-d71a-4afe-890b-a0c56eb0b49c</t>
  </si>
  <si>
    <t>ENTSO-E-Mix (ehemals UCTE-Mix)</t>
  </si>
  <si>
    <t xml:space="preserve">Mix ENTSO-E (anc. mix UCTE) </t>
  </si>
  <si>
    <t>46</t>
  </si>
  <si>
    <t>Elektrizität am Standort erzeugt, inkl. erneuerbare Energien</t>
  </si>
  <si>
    <t>Electricité produite sur place, y compris énergies renouvelables</t>
  </si>
  <si>
    <t>46.001</t>
  </si>
  <si>
    <t>7be161d6-03fa-4db1-82bc-e6be259a060b</t>
  </si>
  <si>
    <t>46.002</t>
  </si>
  <si>
    <t>ae86904a-9745-4d24-b427-a8908a7f97bd</t>
  </si>
  <si>
    <t>46.003</t>
  </si>
  <si>
    <t>8c2b3e9f-804c-4d75-850b-c609496459af</t>
  </si>
  <si>
    <t>46.004</t>
  </si>
  <si>
    <t>b9c5acff-d08c-4f15-b034-855c6540dbfb</t>
  </si>
  <si>
    <t>46.009</t>
  </si>
  <si>
    <t>20415a4b-ce1c-4e19-ac75-1e77fe55c081</t>
  </si>
  <si>
    <t>46.010</t>
  </si>
  <si>
    <t>80b93f08-816d-481b-a09d-2ebd2702d33a</t>
  </si>
  <si>
    <t>46.011</t>
  </si>
  <si>
    <t>6213e7fb-e81c-4060-8acd-c794dd8ad545</t>
  </si>
  <si>
    <t>46.012</t>
  </si>
  <si>
    <t>b5b7b671-673c-4585-a656-e03ce245f997</t>
  </si>
  <si>
    <t>46.013</t>
  </si>
  <si>
    <t>6110720a-6002-4ac3-9719-08c40a415d32</t>
  </si>
  <si>
    <t>Photovoltaik Mono-Si in Hybridkollektor</t>
  </si>
  <si>
    <t>46.005</t>
  </si>
  <si>
    <t>3f6aa33a-372f-437b-a03e-d2ead135874f</t>
  </si>
  <si>
    <t>46.006</t>
  </si>
  <si>
    <t>d7868367-6236-4c47-8887-693007b13390</t>
  </si>
  <si>
    <t>46.007</t>
  </si>
  <si>
    <t>316f0045-51cf-4a99-a9cf-c1c2eac282bb</t>
  </si>
  <si>
    <t>Biogas, Landwirtschaft</t>
  </si>
  <si>
    <t>Biogaz agricole</t>
  </si>
  <si>
    <t>46.008</t>
  </si>
  <si>
    <t>7d5bd80b-2e77-4498-8c48-dfd001fb7b7f</t>
  </si>
  <si>
    <t>46.014</t>
  </si>
  <si>
    <t>31ad1ddc-f76c-4caf-b168-9c3e6e0772df</t>
  </si>
  <si>
    <t>Kleinblockheizkraftwerk, Biogas</t>
  </si>
  <si>
    <t xml:space="preserve">Strommixrechner: Mit dem Strommixrechner (https://treeze.ch/de/rechner) können Umweltkennwerte von spezifischen Strommixen berechnet werden. 
Fernwärmerechner: Mit dem Fernwärmerechner (https://treeze.ch/de/rechner) können Umweltkennwerte von spezifischen Fernwärmemixen berechnet werden. 
Wärmepumpenrechner: Mit dem Wärmepumpenrechner (https://treeze.ch/de/rechner) können Umweltkennwerte pro kWh gelieferte Wärme und pro kWh Strom, der von der Wärmepumpe verbraucht wird berechnet werden. </t>
  </si>
  <si>
    <t>Phase A [kgCO2eq/m2]</t>
  </si>
  <si>
    <t>Phase B  [kgCO2eq/m2]</t>
  </si>
  <si>
    <t>Phase C  [kgCO2eq/m2]</t>
  </si>
  <si>
    <t>Biogenic CO2 content [kgCO2/m2]</t>
  </si>
  <si>
    <t>Targets</t>
  </si>
  <si>
    <t>SIA390 limit</t>
  </si>
  <si>
    <t>SIA390 target</t>
  </si>
  <si>
    <t>Transformation</t>
  </si>
  <si>
    <t>Budget</t>
  </si>
  <si>
    <t>Limite</t>
  </si>
  <si>
    <t>Cible</t>
  </si>
  <si>
    <t>SIA390</t>
  </si>
  <si>
    <t>SIA 390 Neuf- Limite</t>
  </si>
  <si>
    <t>SIA 390 Transf- Limite</t>
  </si>
  <si>
    <t>SIA 390 Neuf- Cible</t>
  </si>
  <si>
    <t>SIA 390 Transf- Cible</t>
  </si>
  <si>
    <t>Minergie ECO</t>
  </si>
  <si>
    <t>PV</t>
  </si>
  <si>
    <t>Solaire</t>
  </si>
  <si>
    <t>Sondes</t>
  </si>
  <si>
    <t>Somme</t>
  </si>
  <si>
    <t>Minergie ECO Neuf - Limite</t>
  </si>
  <si>
    <t>Minergie ECO Neuf - Cible</t>
  </si>
  <si>
    <t>Murs ext.</t>
  </si>
  <si>
    <t>Dalle contre terre</t>
  </si>
  <si>
    <t>Constructions int.</t>
  </si>
  <si>
    <t>Référence à bâtiment moyen multi-logement:</t>
  </si>
  <si>
    <t>Minergie ECO Transf. - Limite</t>
  </si>
  <si>
    <t>Minergie ECO Transf. - Cible</t>
  </si>
  <si>
    <t>Sanitaires</t>
  </si>
  <si>
    <t>Electriques</t>
  </si>
  <si>
    <t>Distribution de chaleur</t>
  </si>
  <si>
    <t>Diffusion de chaleur</t>
  </si>
  <si>
    <t>Somme transformations</t>
  </si>
  <si>
    <t>Plancher sur sous-sol et extérieur</t>
  </si>
  <si>
    <t>Dalle béton 250mm</t>
  </si>
  <si>
    <t>Mur béton 200mm</t>
  </si>
  <si>
    <t>Plancher sur sous-sol et extérieur (sous-structure)</t>
  </si>
  <si>
    <t>Plancher intermédiaires (sous-structure)</t>
  </si>
  <si>
    <t>Planchers intermédiaires</t>
  </si>
  <si>
    <t>Plâtre 10mm</t>
  </si>
  <si>
    <t>Crépis 15mm</t>
  </si>
  <si>
    <t>C04.02/06</t>
  </si>
  <si>
    <t>Escaliers</t>
  </si>
  <si>
    <t>structure en acier</t>
  </si>
  <si>
    <t>Revêtements</t>
  </si>
  <si>
    <t>Carrelage</t>
  </si>
  <si>
    <t>Isolant sur sous-sol (Plafond</t>
  </si>
  <si>
    <t>Mur béton 250mm</t>
  </si>
  <si>
    <t>Etanchéité</t>
  </si>
  <si>
    <t>Fenetres et portes</t>
  </si>
  <si>
    <t>lattage 60mm</t>
  </si>
  <si>
    <t>10.009.01</t>
  </si>
  <si>
    <t>GUTEX Pyroresist</t>
  </si>
  <si>
    <t>SIA 390 limite</t>
  </si>
  <si>
    <t>SIA 390 cible</t>
  </si>
  <si>
    <t>GWPbio</t>
  </si>
  <si>
    <t>Net-GWPbio</t>
  </si>
  <si>
    <t>Radier</t>
  </si>
  <si>
    <t>Armature</t>
  </si>
  <si>
    <t>Béton maigre 50mm</t>
  </si>
  <si>
    <t>dalle béton 360mm</t>
  </si>
  <si>
    <t>dalle béton 240mm</t>
  </si>
  <si>
    <t>armature</t>
  </si>
  <si>
    <t>lissage plâtre 10mm</t>
  </si>
  <si>
    <t>(PV) + substrat</t>
  </si>
  <si>
    <t>Natte filtrante</t>
  </si>
  <si>
    <t>Natte drainante</t>
  </si>
  <si>
    <t>Natte protectrice absorbante</t>
  </si>
  <si>
    <t>lé anti-racine</t>
  </si>
  <si>
    <t>Isolation EPS Lambdaroof</t>
  </si>
  <si>
    <t>Etanchéité provisoire</t>
  </si>
  <si>
    <t>Plancher inférieur</t>
  </si>
  <si>
    <t>Chape ciment 80mm</t>
  </si>
  <si>
    <t>Isolation thermique EPS 150 Sol 20mm</t>
  </si>
  <si>
    <t>Isolation phonique Roll EPS-T 20mm</t>
  </si>
  <si>
    <t>Isolation thermique PIR ALU 180mm</t>
  </si>
  <si>
    <t>Chape ciment 80 mm</t>
  </si>
  <si>
    <t>Substrat 330mm</t>
  </si>
  <si>
    <t>nate drainante 60mm</t>
  </si>
  <si>
    <t>Forme de pente béton 80-160mm</t>
  </si>
  <si>
    <t>Dalle béton 360mm</t>
  </si>
  <si>
    <t>Toiture non isolée (terrasse sur parking)</t>
  </si>
  <si>
    <t>Dalle béton 240mm</t>
  </si>
  <si>
    <t>Dalle - nord parking</t>
  </si>
  <si>
    <t>Murs extérieurs facade</t>
  </si>
  <si>
    <t>Isolation EPS RF3 300mm</t>
  </si>
  <si>
    <t>Murs extérieurs cage étages</t>
  </si>
  <si>
    <t>Murs soubassement</t>
  </si>
  <si>
    <t>isolation XPS 300mm</t>
  </si>
  <si>
    <t>Murs extérieurs contre-terre</t>
  </si>
  <si>
    <t>Balcon + avant-toit entrée</t>
  </si>
  <si>
    <t>triple vitrage</t>
  </si>
  <si>
    <t>Stores lamelles 117.90m2</t>
  </si>
  <si>
    <t>Balcons</t>
  </si>
  <si>
    <t>Dalle béton 25cm</t>
  </si>
  <si>
    <t>résine</t>
  </si>
  <si>
    <t>Deck en bois 18mm</t>
  </si>
  <si>
    <t>Parois porteuses intérieures</t>
  </si>
  <si>
    <t>Cloisons intérieures légères</t>
  </si>
  <si>
    <t>plaque de plâtre 15mm</t>
  </si>
  <si>
    <t>structure métallique</t>
  </si>
  <si>
    <t>isolation minérale 120mm</t>
  </si>
  <si>
    <t>Fermeture de gaine</t>
  </si>
  <si>
    <t>Clairvoie caves</t>
  </si>
  <si>
    <t>cloisons en clairvoie bois</t>
  </si>
  <si>
    <t>Revêtement parois</t>
  </si>
  <si>
    <t>carrelage cuisine 12.21m2</t>
  </si>
  <si>
    <t>Carrelage SDB 267.17m2</t>
  </si>
  <si>
    <t xml:space="preserve">Parquet </t>
  </si>
  <si>
    <t>Commun moquette</t>
  </si>
  <si>
    <t>137m2</t>
  </si>
  <si>
    <t>Tout-venant 250mm</t>
  </si>
  <si>
    <t>Isolation XPS 160mm (69.63m2)</t>
  </si>
  <si>
    <t>Isolation EPS RF3 260mm</t>
  </si>
  <si>
    <t>Natte drainante (-81.21)</t>
  </si>
  <si>
    <t>Marches</t>
  </si>
  <si>
    <t>structure métallique 50mm</t>
  </si>
  <si>
    <t>2 plaques de plâtre 2x12.5mm</t>
  </si>
  <si>
    <t>Riaz</t>
  </si>
  <si>
    <t>Plancher inférieur isolation</t>
  </si>
  <si>
    <t>laine de verre 60mm</t>
  </si>
  <si>
    <t>Ferblanterie (58.50m2)</t>
  </si>
  <si>
    <t>Mursacrotères</t>
  </si>
  <si>
    <t>isolation laine de verre 60mm</t>
  </si>
  <si>
    <t>Murs extérieurs contre-terre isolés</t>
  </si>
  <si>
    <t>Murs béton ss</t>
  </si>
  <si>
    <t>Murs béton ss isolé</t>
  </si>
  <si>
    <t>Copeaux de bois</t>
  </si>
  <si>
    <t>EPS- 150mm</t>
  </si>
  <si>
    <t>Murs béton étages</t>
  </si>
  <si>
    <t>Mur béton 280mm</t>
  </si>
  <si>
    <t>Murs béton asc</t>
  </si>
  <si>
    <t>KBOB / ecobau / IPB  2009/1:2022, Version 4</t>
  </si>
  <si>
    <r>
      <t>UBP'</t>
    </r>
    <r>
      <rPr>
        <b/>
        <sz val="9"/>
        <color rgb="FFFF0000"/>
        <rFont val="Arial"/>
        <family val="2"/>
      </rPr>
      <t>21</t>
    </r>
  </si>
  <si>
    <t xml:space="preserve">TECHNIQUE DU BÂTIMENT
</t>
  </si>
  <si>
    <r>
      <rPr>
        <b/>
        <sz val="14"/>
        <rFont val="Arial"/>
        <family val="2"/>
      </rPr>
      <t>Élimination</t>
    </r>
  </si>
  <si>
    <r>
      <rPr>
        <sz val="11"/>
        <rFont val="Arial"/>
        <family val="2"/>
      </rPr>
      <t xml:space="preserve"> </t>
    </r>
  </si>
  <si>
    <t>Élimination</t>
  </si>
  <si>
    <t>645b97bd-1df3-4009-b1e2-cf2361027d28</t>
  </si>
  <si>
    <r>
      <t>Wärmeerzeuger, spez. Leistungsbedarf 10 W/m</t>
    </r>
    <r>
      <rPr>
        <vertAlign val="superscript"/>
        <sz val="10"/>
        <rFont val="Arial"/>
        <family val="2"/>
      </rPr>
      <t>2</t>
    </r>
  </si>
  <si>
    <r>
      <t>Entsorgung, Wärmeerzeuger, spez. Leistungsbedarf 10 W/m</t>
    </r>
    <r>
      <rPr>
        <vertAlign val="superscript"/>
        <sz val="10"/>
        <rFont val="Arial"/>
        <family val="2"/>
      </rPr>
      <t>2</t>
    </r>
  </si>
  <si>
    <r>
      <t>m</t>
    </r>
    <r>
      <rPr>
        <vertAlign val="superscript"/>
        <sz val="10"/>
        <rFont val="Arial"/>
        <family val="2"/>
      </rPr>
      <t>2</t>
    </r>
  </si>
  <si>
    <r>
      <t>Prod. de chaleur, besoins en puissance 10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</si>
  <si>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10 W/m</t>
    </r>
    <r>
      <rPr>
        <vertAlign val="superscript"/>
        <sz val="10"/>
        <rFont val="Arial"/>
        <family val="2"/>
      </rPr>
      <t>2</t>
    </r>
  </si>
  <si>
    <t>99bbe55d-26c7-43c1-9cb7-bb22acaba046</t>
  </si>
  <si>
    <r>
      <t>Wärmeerzeuger, spez. Leistungsbedarf 30 W/m</t>
    </r>
    <r>
      <rPr>
        <vertAlign val="superscript"/>
        <sz val="10"/>
        <rFont val="Arial"/>
        <family val="2"/>
      </rPr>
      <t>2</t>
    </r>
  </si>
  <si>
    <r>
      <t>Entsorgung, Wärmeerzeuger, spez. Leistungsbedarf 30 W/m</t>
    </r>
    <r>
      <rPr>
        <vertAlign val="superscript"/>
        <sz val="10"/>
        <rFont val="Arial"/>
        <family val="2"/>
      </rPr>
      <t>2</t>
    </r>
  </si>
  <si>
    <r>
      <t>Prod.de chaleur, besoins en puissance 30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</si>
  <si>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30 W/m</t>
    </r>
    <r>
      <rPr>
        <vertAlign val="superscript"/>
        <sz val="10"/>
        <rFont val="Arial"/>
        <family val="2"/>
      </rPr>
      <t>2</t>
    </r>
  </si>
  <si>
    <t>c9919efb-4f2c-4bd6-9cd0-60b9a23fa0d3</t>
  </si>
  <si>
    <r>
      <t>Wärmeerzeuger, spez. Leistungsbedarf 50 W/m</t>
    </r>
    <r>
      <rPr>
        <vertAlign val="superscript"/>
        <sz val="10"/>
        <rFont val="Arial"/>
        <family val="2"/>
      </rPr>
      <t>2</t>
    </r>
  </si>
  <si>
    <r>
      <t>Entsorgung, Wärmeerzeuger, spez. Leistungsbedarf 50 W/m</t>
    </r>
    <r>
      <rPr>
        <vertAlign val="superscript"/>
        <sz val="10"/>
        <rFont val="Arial"/>
        <family val="2"/>
      </rPr>
      <t>2</t>
    </r>
  </si>
  <si>
    <r>
      <t>Prod.de chaleur, besoins en puissance 50 W/m</t>
    </r>
    <r>
      <rPr>
        <vertAlign val="superscript"/>
        <sz val="10"/>
        <rFont val="Arial"/>
        <family val="2"/>
      </rPr>
      <t>2</t>
    </r>
  </si>
  <si>
    <r>
      <rPr>
        <sz val="10"/>
        <rFont val="Arial"/>
        <family val="2"/>
      </rPr>
      <t>Élimination, producteur de chaleur, besoin spéc. en puissance 50 W/m</t>
    </r>
    <r>
      <rPr>
        <vertAlign val="superscript"/>
        <sz val="10"/>
        <rFont val="Arial"/>
        <family val="2"/>
      </rPr>
      <t>2</t>
    </r>
  </si>
  <si>
    <t>f53af324-0889-4d90-b66c-f0a0ae9c3efc</t>
  </si>
  <si>
    <r>
      <rPr>
        <sz val="10"/>
        <color rgb="FFFF0000"/>
        <rFont val="Arial"/>
        <family val="2"/>
      </rPr>
      <t>Élimination, four électrique à accumulation 5 kW</t>
    </r>
  </si>
  <si>
    <t>a40edcbc-cd81-4bf2-963b-cb545d6e3b02</t>
  </si>
  <si>
    <r>
      <rPr>
        <sz val="10"/>
        <rFont val="Arial"/>
        <family val="2"/>
      </rPr>
      <t>Élimination, distribution bâtiment d</t>
    </r>
    <r>
      <rPr>
        <sz val="10"/>
        <rFont val="Arial"/>
        <family val="2"/>
      </rPr>
      <t>'habitation</t>
    </r>
  </si>
  <si>
    <t>6249860e-f4cf-40fb-8244-be22d92e78e5</t>
  </si>
  <si>
    <r>
      <rPr>
        <sz val="10"/>
        <rFont val="Arial"/>
        <family val="2"/>
      </rPr>
      <t>Élimination, distribution bâtiment administratif</t>
    </r>
  </si>
  <si>
    <t>068e9380-2088-4f04-8385-ce410ead6121</t>
  </si>
  <si>
    <r>
      <rPr>
        <sz val="10"/>
        <rFont val="Arial"/>
        <family val="2"/>
      </rPr>
      <t>Élimination, diffusion par le biais du corps de chauffe</t>
    </r>
  </si>
  <si>
    <t>a9814d97-ccf9-4349-934d-b70b67622da2</t>
  </si>
  <si>
    <r>
      <rPr>
        <sz val="10"/>
        <rFont val="Arial"/>
        <family val="2"/>
      </rPr>
      <t>Élimination, diffusion par le biais du chauffage au sol</t>
    </r>
  </si>
  <si>
    <t>de698b1d-fa42-456f-8f8e-a33cdf6ab46b</t>
  </si>
  <si>
    <r>
      <rPr>
        <sz val="10"/>
        <rFont val="Arial"/>
        <family val="2"/>
      </rPr>
      <t>Élimination, diffusion par le biais du système de chauffage et de refroidissement au plafond</t>
    </r>
  </si>
  <si>
    <t>1a8f4741-4ce9-4bbf-9f2e-c9c6796fbd61</t>
  </si>
  <si>
    <r>
      <rPr>
        <sz val="10"/>
        <rFont val="Arial"/>
        <family val="2"/>
      </rPr>
      <t>Élimination, distribution et diffusion de chaleur, chauffage à air</t>
    </r>
  </si>
  <si>
    <t>55af576a-3041-4ea1-9c78-bef7123063ef</t>
  </si>
  <si>
    <r>
      <rPr>
        <sz val="10"/>
        <rFont val="Arial"/>
        <family val="2"/>
      </rPr>
      <t>Élimination, sondes géothermiques, pour la pompe à chaleur saumure-eau</t>
    </r>
  </si>
  <si>
    <t>a5710d9b-04fc-40d5-9192-d885da64143b</t>
  </si>
  <si>
    <r>
      <rPr>
        <sz val="10"/>
        <color rgb="FFFF0000"/>
        <rFont val="Arial"/>
        <family val="2"/>
      </rPr>
      <t>Élimination, puits de production et d</t>
    </r>
    <r>
      <rPr>
        <sz val="10"/>
        <color rgb="FFFF0000"/>
        <rFont val="Arial"/>
        <family val="2"/>
      </rPr>
      <t>'absorption pour la nappe souterraine, pompe à chaleur</t>
    </r>
  </si>
  <si>
    <t>22e2235a-a83c-45f6-9427-f94b4f974e5e</t>
  </si>
  <si>
    <r>
      <rPr>
        <sz val="10"/>
        <rFont val="Arial"/>
        <family val="2"/>
      </rPr>
      <t>Élimination, pompe à chaleur saumure-eau 7 kW</t>
    </r>
  </si>
  <si>
    <t>e20c6a33-83fc-4eac-b584-c72158f02235</t>
  </si>
  <si>
    <t>3c2731f6-9027-4651-8c00-dda182d954dc</t>
  </si>
  <si>
    <r>
      <rPr>
        <sz val="10"/>
        <rFont val="Arial"/>
        <family val="2"/>
      </rPr>
      <t>Élimination, pompe à chaleur air-eau 7 kW</t>
    </r>
  </si>
  <si>
    <t>b19278f1-e280-43e7-b95e-387e5b300fa1</t>
  </si>
  <si>
    <t>a2577f20-910e-4ab9-b25c-28b17d727db4</t>
  </si>
  <si>
    <r>
      <rPr>
        <sz val="10"/>
        <rFont val="Arial"/>
        <family val="2"/>
      </rPr>
      <t>Fabrication, élimination comprise</t>
    </r>
  </si>
  <si>
    <t>91edaf83-571f-4b81-af85-c44fa3577859</t>
  </si>
  <si>
    <t>e9ef231c-e33b-455d-962d-5f1b4d598988</t>
  </si>
  <si>
    <t>514cd372-7b41-418d-962a-601f600e785a</t>
  </si>
  <si>
    <t>c76bc41b-0c38-4c87-9763-094c24492e42</t>
  </si>
  <si>
    <r>
      <t>m</t>
    </r>
    <r>
      <rPr>
        <vertAlign val="superscript"/>
        <sz val="10"/>
        <color rgb="FFFF0000"/>
        <rFont val="Arial"/>
        <family val="2"/>
      </rPr>
      <t>2</t>
    </r>
  </si>
  <si>
    <t>ae61f436-618d-45ed-b2a3-2b09b2e8c35d</t>
  </si>
  <si>
    <t>e4fe6828-ae2f-4171-8797-1c452a44e9cb</t>
  </si>
  <si>
    <r>
      <t>Lüftungsanlage, spez. Luftmenge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</si>
  <si>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</si>
  <si>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</si>
  <si>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rPr>
        <sz val="10"/>
        <rFont val="Arial"/>
        <family val="2"/>
      </rPr>
      <t>Élimination, ventilation, besoins en air 1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</si>
  <si>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395dfa3e-b1b6-4023-9bf2-89f71c34ba55</t>
  </si>
  <si>
    <r>
      <t>Lüftungsanlage, spez. Luftmenge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</si>
  <si>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</si>
  <si>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</si>
  <si>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2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</si>
  <si>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5ecd5719-455c-4f94-a425-6d53871c374e</t>
  </si>
  <si>
    <r>
      <t>Lüftungsanlage, spez. Luftmenge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</si>
  <si>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</si>
  <si>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</si>
  <si>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4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</si>
  <si>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03b18a1a-ea2f-4893-91d7-232d6c0dbe5e</t>
  </si>
  <si>
    <r>
      <t>Lüftungsanlage, spez. Luftmenge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</si>
  <si>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</si>
  <si>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</si>
  <si>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6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</si>
  <si>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42e1c28c-95a8-43ee-ae9a-0bf1175d7980</t>
  </si>
  <si>
    <r>
      <t>Lüftungsanlage, spez. Luftmenge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</si>
  <si>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Entsorgung, Lüftungsanlage, spez. Luftmenge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</t>
    </r>
  </si>
  <si>
    <r>
      <t>Ventilation bureau, canaux en tôle, besoins en air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</si>
  <si>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r>
      <rPr>
        <sz val="10"/>
        <rFont val="Arial"/>
        <family val="2"/>
      </rPr>
      <t>Élimination, ventilation, besoins en air 8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</t>
    </r>
  </si>
  <si>
    <t>3d01311f-bce0-4e29-bfab-e1971a21410d</t>
  </si>
  <si>
    <r>
      <rPr>
        <sz val="10"/>
        <rFont val="Arial"/>
        <family val="2"/>
      </rPr>
      <t>Élimination, ventilation habitation, canaux en tôle, y c. évacuation d</t>
    </r>
    <r>
      <rPr>
        <sz val="10"/>
        <rFont val="Arial"/>
        <family val="2"/>
      </rPr>
      <t>'air (cuisine)</t>
    </r>
  </si>
  <si>
    <t>7a17dc11-ba34-4e71-9b81-43b85add04f2</t>
  </si>
  <si>
    <r>
      <rPr>
        <sz val="10"/>
        <rFont val="Arial"/>
        <family val="2"/>
      </rPr>
      <t>Élimination, ventilation habitation, canaux en HDPE, y c. évacuation d</t>
    </r>
    <r>
      <rPr>
        <sz val="10"/>
        <rFont val="Arial"/>
        <family val="2"/>
      </rPr>
      <t>'air (cuisine)</t>
    </r>
  </si>
  <si>
    <t>645717a2-e9cc-44f3-be97-b3ae40ee9007</t>
  </si>
  <si>
    <r>
      <rPr>
        <sz val="10"/>
        <rFont val="Arial"/>
        <family val="2"/>
      </rPr>
      <t>Élimination, évacuation d</t>
    </r>
    <r>
      <rPr>
        <sz val="10"/>
        <rFont val="Arial"/>
        <family val="2"/>
      </rPr>
      <t>'air cuisine et salle de bains</t>
    </r>
  </si>
  <si>
    <t>4c70ecba-4236-456c-ad4f-a9c1af79f860</t>
  </si>
  <si>
    <r>
      <rPr>
        <sz val="10"/>
        <rFont val="Arial"/>
        <family val="2"/>
      </rPr>
      <t>Élimination, registre de terre pour ventilation habitation</t>
    </r>
  </si>
  <si>
    <t>52d5a2c2-5c73-4764-b968-ce9d2f11251f</t>
  </si>
  <si>
    <r>
      <t>Erdregister kurz zu Lüftungsanlage Büro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</si>
  <si>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Entsorgung, Erdregister kurz zu Lüftungsanlage Büro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</si>
  <si>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Registre de terre court pour ventilation bureau (0.27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</si>
  <si>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r>
      <rPr>
        <sz val="10"/>
        <rFont val="Arial"/>
        <family val="2"/>
      </rPr>
      <t>Élimination, registre de terre court pour ventilation bureau (0,27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</si>
  <si>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t>76d83bec-2ab8-4775-97c5-81fccaab766d</t>
  </si>
  <si>
    <r>
      <t>Erdregister lang zu Lüftungsanlage Büro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</si>
  <si>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Entsorgung, Erdregister lang zu Lüftungsanlage Büro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EBF)</t>
    </r>
  </si>
  <si>
    <r>
      <t>Registre de terre long pour ventilation bureau (0.67 m/m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</si>
  <si>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r>
      <rPr>
        <sz val="10"/>
        <rFont val="Arial"/>
        <family val="2"/>
      </rPr>
      <t>Élimination, registre de terre long pour ventilation bureau (0,67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SRE)</t>
    </r>
  </si>
  <si>
    <t>efafc2f6-8bd1-4d35-89b0-04deff6620b2</t>
  </si>
  <si>
    <r>
      <t>Einzelraumlüfer Fenstermodell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ohne Montage</t>
    </r>
  </si>
  <si>
    <r>
      <t>Entsorgung, Einzelraumlüfer Fenstermodell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ohne Montage</t>
    </r>
  </si>
  <si>
    <r>
      <t>Ventilation pièce individuelle, modèle de fenêtre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sans montage</t>
    </r>
  </si>
  <si>
    <r>
      <rPr>
        <sz val="10"/>
        <rFont val="Arial"/>
        <family val="2"/>
      </rPr>
      <t>Élimination, ventilation pièce individuelle, modèle de fenêtre 10-30 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/h, sans montage</t>
    </r>
  </si>
  <si>
    <t>b60b6657-8c44-4d7a-b939-8b4509f1de9b</t>
  </si>
  <si>
    <r>
      <rPr>
        <sz val="10"/>
        <rFont val="Arial"/>
        <family val="2"/>
      </rPr>
      <t>Élimination, bureau, installation simple, y c. appareils et conduites</t>
    </r>
  </si>
  <si>
    <t>61b56ba6-7617-4f37-8e69-449bdff80954</t>
  </si>
  <si>
    <r>
      <rPr>
        <sz val="10"/>
        <rFont val="Arial"/>
        <family val="2"/>
      </rPr>
      <t>Élimination, bureau, installation complexe, y c. appareils et conduites</t>
    </r>
  </si>
  <si>
    <t>2f3072ee-186f-41b6-8dd0-08ec47723547</t>
  </si>
  <si>
    <r>
      <rPr>
        <sz val="10"/>
        <rFont val="Arial"/>
        <family val="2"/>
      </rPr>
      <t>Élimination, habitation, y c. appareils et conduites</t>
    </r>
  </si>
  <si>
    <t>d3a16f42-8e69-483c-b05e-1bc8a0685795</t>
  </si>
  <si>
    <r>
      <rPr>
        <sz val="10"/>
        <rFont val="Arial"/>
        <family val="2"/>
      </rPr>
      <t>Élimination, installations électriques habitation</t>
    </r>
  </si>
  <si>
    <t>da74b332-8bbb-4fdd-a33e-dd1c569696e0</t>
  </si>
  <si>
    <r>
      <rPr>
        <sz val="10"/>
        <rFont val="Arial"/>
        <family val="2"/>
      </rPr>
      <t>Élimination, installations électriques bureau</t>
    </r>
  </si>
  <si>
    <t>529fcea4-b0c4-46e3-b9c0-9a70f9a91668</t>
  </si>
  <si>
    <r>
      <t>Solarstromanlage</t>
    </r>
    <r>
      <rPr>
        <vertAlign val="superscript"/>
        <sz val="10"/>
        <rFont val="Arial"/>
        <family val="2"/>
      </rPr>
      <t>1</t>
    </r>
  </si>
  <si>
    <r>
      <t xml:space="preserve">Installations photovoltaïques </t>
    </r>
    <r>
      <rPr>
        <vertAlign val="superscript"/>
        <sz val="10"/>
        <rFont val="Arial"/>
        <family val="2"/>
      </rPr>
      <t>1</t>
    </r>
  </si>
  <si>
    <t>7ce8ec83-ed7b-4e84-8359-546c96d7de8b</t>
  </si>
  <si>
    <r>
      <t>Solarstromanlage Schrägdach</t>
    </r>
    <r>
      <rPr>
        <vertAlign val="superscript"/>
        <sz val="10"/>
        <rFont val="Arial"/>
        <family val="2"/>
      </rPr>
      <t>1</t>
    </r>
  </si>
  <si>
    <r>
      <t xml:space="preserve">Installations photovoltaïque toiture inclinée </t>
    </r>
    <r>
      <rPr>
        <vertAlign val="superscript"/>
        <sz val="10"/>
        <rFont val="Arial"/>
        <family val="2"/>
      </rPr>
      <t>1</t>
    </r>
  </si>
  <si>
    <t>1862d29b-d6a4-45a8-9cd6-5539444be95b</t>
  </si>
  <si>
    <r>
      <t>Solarstromanlage Flachdach</t>
    </r>
    <r>
      <rPr>
        <vertAlign val="superscript"/>
        <sz val="10"/>
        <rFont val="Arial"/>
        <family val="2"/>
      </rPr>
      <t>1</t>
    </r>
  </si>
  <si>
    <r>
      <t xml:space="preserve">Installations photovoltaïque toiture plate </t>
    </r>
    <r>
      <rPr>
        <vertAlign val="superscript"/>
        <sz val="10"/>
        <rFont val="Arial"/>
        <family val="2"/>
      </rPr>
      <t>1</t>
    </r>
  </si>
  <si>
    <t>6dc4866a-596d-4eee-abce-a2b6df8ae356</t>
  </si>
  <si>
    <r>
      <t>Solarstromanlage Fassade</t>
    </r>
    <r>
      <rPr>
        <vertAlign val="superscript"/>
        <sz val="10"/>
        <rFont val="Arial"/>
        <family val="2"/>
      </rPr>
      <t>1</t>
    </r>
  </si>
  <si>
    <r>
      <t xml:space="preserve">Installations photovoltaïques façade </t>
    </r>
    <r>
      <rPr>
        <vertAlign val="superscript"/>
        <sz val="10"/>
        <rFont val="Arial"/>
        <family val="2"/>
      </rPr>
      <t>1</t>
    </r>
  </si>
  <si>
    <t>2dcad0f9-eb56-488f-b3f6-4caf54cd1690</t>
  </si>
  <si>
    <r>
      <rPr>
        <sz val="10"/>
        <color rgb="FFFF0000"/>
        <rFont val="Arial"/>
        <family val="2"/>
      </rPr>
      <t>Élimination, sous-construction de façade, intégrée, Eternit</t>
    </r>
  </si>
  <si>
    <t>212aabea-485c-4b9d-a6d8-fa1dcce62283</t>
  </si>
  <si>
    <r>
      <rPr>
        <sz val="10"/>
        <color rgb="FFFF0000"/>
        <rFont val="Arial"/>
        <family val="2"/>
      </rPr>
      <t>Élimination, sous-construction de façade, intégrée, StoVentec Artline inlay</t>
    </r>
  </si>
  <si>
    <t>cb5bf91e-0849-48bd-9f26-0b2ec1979a9d</t>
  </si>
  <si>
    <r>
      <rPr>
        <sz val="10"/>
        <color rgb="FFFF0000"/>
        <rFont val="Arial"/>
        <family val="2"/>
      </rPr>
      <t>Élimination, sous-construction de façade, intégrée, StoVentec Artline invisible</t>
    </r>
  </si>
  <si>
    <t>50a78e02-3974-4a45-9657-e971378f4341</t>
  </si>
  <si>
    <r>
      <rPr>
        <sz val="10"/>
        <color rgb="FFFF0000"/>
        <rFont val="Arial"/>
        <family val="2"/>
      </rPr>
      <t>Élimination, sous-construction de façade, intégrée, format moyen, GFT</t>
    </r>
  </si>
  <si>
    <t>1d794910-c5d8-4adb-ae45-1d2a9a0c406e</t>
  </si>
  <si>
    <r>
      <rPr>
        <sz val="10"/>
        <color rgb="FFFF0000"/>
        <rFont val="Arial"/>
        <family val="2"/>
      </rPr>
      <t>Élimination, sous-construction de façade, intégrée, Vogelsang</t>
    </r>
  </si>
  <si>
    <t>bdd63033-73b0-49e3-9696-8ab0483baa31</t>
  </si>
  <si>
    <r>
      <rPr>
        <sz val="10"/>
        <color rgb="FFFF0000"/>
        <rFont val="Arial"/>
        <family val="2"/>
      </rPr>
      <t>Élimination, sous-construction de façade, intégrée, support en béton, Ecolite</t>
    </r>
  </si>
  <si>
    <t>1d856ced-181d-4501-82b1-a311f820415b</t>
  </si>
  <si>
    <r>
      <rPr>
        <sz val="10"/>
        <color rgb="FFFF0000"/>
        <rFont val="Arial"/>
        <family val="2"/>
      </rPr>
      <t>Élimination, sous-construction de façade, intégrée, support en briques, Ecolite</t>
    </r>
  </si>
  <si>
    <t>3872a48b-1d54-483a-9514-1202ae6a0ce8</t>
  </si>
  <si>
    <r>
      <rPr>
        <sz val="10"/>
        <color rgb="FFFF0000"/>
        <rFont val="Arial"/>
        <family val="2"/>
      </rPr>
      <t>Élimination, sous-construction de façade, intégrée, moyenne, Ecolite</t>
    </r>
  </si>
  <si>
    <t>1bed54c2-bd25-4a8c-92b6-048efef0f144</t>
  </si>
  <si>
    <r>
      <rPr>
        <sz val="10"/>
        <color rgb="FFFF0000"/>
        <rFont val="Arial"/>
        <family val="2"/>
      </rPr>
      <t>Collecte et recyclage, module photovoltaïque c-Si</t>
    </r>
  </si>
  <si>
    <t>8442cb56-9009-4302-aa74-3af8caba21e0</t>
  </si>
  <si>
    <t>ad2734dc-12ca-4f65-ae79-89b2021d4698</t>
  </si>
  <si>
    <t>f29fef62-5f16-4bec-8ba2-45a0db80cbda</t>
  </si>
  <si>
    <r>
      <rPr>
        <sz val="10"/>
        <color rgb="FFFF0000"/>
        <rFont val="Arial"/>
        <family val="2"/>
      </rPr>
      <t>Collecte et recyclage, module photovoltaïque CdTe</t>
    </r>
  </si>
  <si>
    <t>7d017958-0383-4f59-8277-5c33c96718f5</t>
  </si>
  <si>
    <t>11bfcb57-c662-45d7-a709-87edf595669e</t>
  </si>
  <si>
    <r>
      <t>Solarstromanlage Schrägdach Mono-Si</t>
    </r>
    <r>
      <rPr>
        <vertAlign val="superscript"/>
        <sz val="10"/>
        <color rgb="FFFF0000"/>
        <rFont val="Arial"/>
        <family val="2"/>
      </rPr>
      <t>1</t>
    </r>
  </si>
  <si>
    <r>
      <t xml:space="preserve">Installation solaire sur toit incliné Mono-Si </t>
    </r>
    <r>
      <rPr>
        <vertAlign val="superscript"/>
        <sz val="10"/>
        <color rgb="FFFF0000"/>
        <rFont val="Arial"/>
        <family val="2"/>
      </rPr>
      <t>1</t>
    </r>
  </si>
  <si>
    <t>b833386b-d841-47fa-a201-773218827017</t>
  </si>
  <si>
    <r>
      <t>Solarstromanlage Schrägdach Multi-Si</t>
    </r>
    <r>
      <rPr>
        <vertAlign val="superscript"/>
        <sz val="10"/>
        <color rgb="FFFF0000"/>
        <rFont val="Arial"/>
        <family val="2"/>
      </rPr>
      <t>1</t>
    </r>
  </si>
  <si>
    <r>
      <t xml:space="preserve">Installation solaire sur toit incliné Multi-Si </t>
    </r>
    <r>
      <rPr>
        <vertAlign val="superscript"/>
        <sz val="10"/>
        <color rgb="FFFF0000"/>
        <rFont val="Arial"/>
        <family val="2"/>
      </rPr>
      <t>1</t>
    </r>
  </si>
  <si>
    <t>7d49c45f-4c6f-4cdc-8a8a-ff6d76bc1567</t>
  </si>
  <si>
    <r>
      <t>Solarstromanlage Schrägdach CdTe</t>
    </r>
    <r>
      <rPr>
        <vertAlign val="superscript"/>
        <sz val="10"/>
        <color rgb="FFFF0000"/>
        <rFont val="Arial"/>
        <family val="2"/>
      </rPr>
      <t>1</t>
    </r>
  </si>
  <si>
    <r>
      <t>Installation solaire sur toit incliné CdTe</t>
    </r>
    <r>
      <rPr>
        <vertAlign val="superscript"/>
        <sz val="10"/>
        <color rgb="FFFF0000"/>
        <rFont val="Arial"/>
        <family val="2"/>
      </rPr>
      <t xml:space="preserve"> 1 </t>
    </r>
  </si>
  <si>
    <t>0e201389-8d05-4794-8197-d6e8f9633e49</t>
  </si>
  <si>
    <r>
      <t>Solarstromanlage Schrägdach CIS</t>
    </r>
    <r>
      <rPr>
        <vertAlign val="superscript"/>
        <sz val="10"/>
        <color rgb="FFFF0000"/>
        <rFont val="Arial"/>
        <family val="2"/>
      </rPr>
      <t>1</t>
    </r>
  </si>
  <si>
    <r>
      <t>Installation solaire sur toit incliné CISe</t>
    </r>
    <r>
      <rPr>
        <vertAlign val="superscript"/>
        <sz val="10"/>
        <color rgb="FFFF0000"/>
        <rFont val="Arial"/>
        <family val="2"/>
      </rPr>
      <t xml:space="preserve"> 1 </t>
    </r>
  </si>
  <si>
    <t>5877239a-cf84-4ac2-8acb-829cb4252185</t>
  </si>
  <si>
    <r>
      <t>Wechselrichter 2.5 kW</t>
    </r>
    <r>
      <rPr>
        <vertAlign val="superscript"/>
        <sz val="10"/>
        <color rgb="FFFF0000"/>
        <rFont val="Arial"/>
        <family val="2"/>
      </rPr>
      <t>1</t>
    </r>
  </si>
  <si>
    <r>
      <t xml:space="preserve">Onduleur 2.5 kW </t>
    </r>
    <r>
      <rPr>
        <vertAlign val="superscript"/>
        <sz val="10"/>
        <color rgb="FFFF0000"/>
        <rFont val="Arial"/>
        <family val="2"/>
      </rPr>
      <t>1</t>
    </r>
  </si>
  <si>
    <t>3f0bf472-027a-4421-aa10-1d8bd28d3b66</t>
  </si>
  <si>
    <r>
      <t>Wechselrichter 5 kW</t>
    </r>
    <r>
      <rPr>
        <vertAlign val="superscript"/>
        <sz val="10"/>
        <color rgb="FFFF0000"/>
        <rFont val="Arial"/>
        <family val="2"/>
      </rPr>
      <t>1</t>
    </r>
  </si>
  <si>
    <r>
      <t>Onduleur 5 kW</t>
    </r>
    <r>
      <rPr>
        <vertAlign val="superscript"/>
        <sz val="10"/>
        <color rgb="FFFF0000"/>
        <rFont val="Arial"/>
        <family val="2"/>
      </rPr>
      <t xml:space="preserve"> 1</t>
    </r>
  </si>
  <si>
    <t>01e23196-7856-4acf-8926-c9ad60129694</t>
  </si>
  <si>
    <r>
      <t>Wechselrichter 10 kW</t>
    </r>
    <r>
      <rPr>
        <vertAlign val="superscript"/>
        <sz val="10"/>
        <color rgb="FFFF0000"/>
        <rFont val="Arial"/>
        <family val="2"/>
      </rPr>
      <t>1</t>
    </r>
  </si>
  <si>
    <r>
      <t>Onduleur 10 kW</t>
    </r>
    <r>
      <rPr>
        <vertAlign val="superscript"/>
        <sz val="10"/>
        <color rgb="FFFF0000"/>
        <rFont val="Arial"/>
        <family val="2"/>
      </rPr>
      <t xml:space="preserve"> 1</t>
    </r>
  </si>
  <si>
    <t>897456bd-6639-457a-b703-8a13b603b8b9</t>
  </si>
  <si>
    <r>
      <t>Wechselrichter 20 kW</t>
    </r>
    <r>
      <rPr>
        <vertAlign val="superscript"/>
        <sz val="10"/>
        <color rgb="FFFF0000"/>
        <rFont val="Arial"/>
        <family val="2"/>
      </rPr>
      <t>1</t>
    </r>
  </si>
  <si>
    <r>
      <t>Onduleur 20 kW</t>
    </r>
    <r>
      <rPr>
        <vertAlign val="superscript"/>
        <sz val="10"/>
        <color rgb="FFFF0000"/>
        <rFont val="Arial"/>
        <family val="2"/>
      </rPr>
      <t xml:space="preserve"> 1</t>
    </r>
  </si>
  <si>
    <t>3dd4be12-0cd1-49a0-8880-8ba30e1ea3c1</t>
  </si>
  <si>
    <r>
      <t>Elektroinstallation, Photovoltaikanlage</t>
    </r>
    <r>
      <rPr>
        <vertAlign val="superscript"/>
        <sz val="10"/>
        <color rgb="FFFF0000"/>
        <rFont val="Arial"/>
        <family val="2"/>
      </rPr>
      <t>1</t>
    </r>
  </si>
  <si>
    <r>
      <t>Installation électrique, installation photovoltaïque</t>
    </r>
    <r>
      <rPr>
        <vertAlign val="superscript"/>
        <sz val="10"/>
        <color rgb="FFFF0000"/>
        <rFont val="Arial"/>
        <family val="2"/>
      </rPr>
      <t xml:space="preserve"> 1</t>
    </r>
  </si>
  <si>
    <r>
      <rPr>
        <vertAlign val="superscript"/>
        <sz val="9"/>
        <color rgb="FFFF0000"/>
        <rFont val="Arial"/>
        <family val="2"/>
      </rPr>
      <t>1</t>
    </r>
    <r>
      <rPr>
        <sz val="9"/>
        <color rgb="FFFF0000"/>
        <rFont val="Arial"/>
        <family val="2"/>
      </rPr>
      <t xml:space="preserve"> Umweltkennwerte «Herstellung» inklusive Umweltbelastung durch Rücknahme und Recycling</t>
    </r>
  </si>
  <si>
    <t>1 Caractéristiques environnementales «fabrication», y compris l'impact environnemental de la reprise et du recyclage</t>
  </si>
  <si>
    <t>Béton maigre 55mm</t>
  </si>
  <si>
    <t>Tout-venant 145mm</t>
  </si>
  <si>
    <t>tavillonage 30mm</t>
  </si>
  <si>
    <t>isolation fibre de bois 60mm</t>
  </si>
  <si>
    <t>Ossature 160mm</t>
  </si>
  <si>
    <t>Gramitherm 160mm</t>
  </si>
  <si>
    <t>Panneau bois OSB</t>
  </si>
  <si>
    <t>Ossature 300mm</t>
  </si>
  <si>
    <t>Panneau bois OSB 15mm</t>
  </si>
  <si>
    <t>isolation fibre de bois 80mm</t>
  </si>
  <si>
    <t>Fermacell 15mm</t>
  </si>
  <si>
    <t>Gramitherm 300mm (dans ossature)</t>
  </si>
  <si>
    <t>isolation PIR ali 220mm</t>
  </si>
  <si>
    <t>Mur béton 160mm</t>
  </si>
  <si>
    <t>Ossature 140mm</t>
  </si>
  <si>
    <t>Gramitherm 140mm (dans ossature)</t>
  </si>
  <si>
    <t>Bois / métal</t>
  </si>
  <si>
    <t>Dalle BLC massive 180mm</t>
  </si>
  <si>
    <t>Dalle béton 180mm (27m2)</t>
  </si>
  <si>
    <t>Isolation PIR Premium 120-240mm</t>
  </si>
  <si>
    <t>OSB 15mm</t>
  </si>
  <si>
    <t>Ferblanterie (41.6m2)</t>
  </si>
  <si>
    <t>plaque de fermacell 2x15mm</t>
  </si>
  <si>
    <t>Structure bois 140x60</t>
  </si>
  <si>
    <t>Isolation minérale 140mm</t>
  </si>
  <si>
    <t>plaque de fermacell 15mm</t>
  </si>
  <si>
    <t>Isolation minérale 120mm</t>
  </si>
  <si>
    <t>Structure bois 80x60</t>
  </si>
  <si>
    <t>barrière vapeur</t>
  </si>
  <si>
    <t>isolation thermique GUTEX thermosafe 20mm</t>
  </si>
  <si>
    <t>Isolation phonique GUTEX Thermofloor 30mm</t>
  </si>
  <si>
    <t>béton 140mm</t>
  </si>
  <si>
    <t>BLC 100mm</t>
  </si>
  <si>
    <t>isolation thermique GUTEX thermosafe 40mm</t>
  </si>
  <si>
    <t>Gravier</t>
  </si>
  <si>
    <t>isolation fibre de verre</t>
  </si>
  <si>
    <t>Palier</t>
  </si>
  <si>
    <t xml:space="preserve">Natte drainante </t>
  </si>
  <si>
    <t>Botte de paille 2x350mm</t>
  </si>
  <si>
    <t>Enduit minéral extérieur 40mm</t>
  </si>
  <si>
    <t>PanneauCLT 80mm (comptabilisé dans bois ossature)</t>
  </si>
  <si>
    <t>Botte de paille 450mmmm</t>
  </si>
  <si>
    <t>Mur béton 210mm</t>
  </si>
  <si>
    <t>Botte de paille 350mmmm</t>
  </si>
  <si>
    <t xml:space="preserve">Bois </t>
  </si>
  <si>
    <t>Volets bois</t>
  </si>
  <si>
    <t>panneau tri-pli</t>
  </si>
  <si>
    <t>(PV) + substrat 100mm</t>
  </si>
  <si>
    <t>Botte de paille 700mm (257.58)</t>
  </si>
  <si>
    <t>panneau rainécreté en mélèze 27mm x2</t>
  </si>
  <si>
    <t>str bois 140x80</t>
  </si>
  <si>
    <t>str bois 80x60</t>
  </si>
  <si>
    <t>isolation gramitherm 120mm</t>
  </si>
  <si>
    <t>structure bois 70x55</t>
  </si>
  <si>
    <t>structure bois</t>
  </si>
  <si>
    <t>bois panneax porte</t>
  </si>
  <si>
    <t>Membrure CLT 420mm</t>
  </si>
  <si>
    <t>panneau tri-pli 30mm</t>
  </si>
  <si>
    <t>Chape chaux-chanvre 80mm</t>
  </si>
  <si>
    <t>isolation acoustique granulés type Köhnke 80mm</t>
  </si>
  <si>
    <t>Isolation gramitherm 360mm</t>
  </si>
  <si>
    <t>Panneau CLT</t>
  </si>
  <si>
    <t>Membrure CLT 120mm</t>
  </si>
  <si>
    <t>panneau tri-pli 60mm</t>
  </si>
  <si>
    <t>isolation acoustique granulés type Köhnke 120mm</t>
  </si>
  <si>
    <t>Etanchéité 22m2</t>
  </si>
  <si>
    <t>dalle béton 4m3? 200mm</t>
  </si>
  <si>
    <t>paille 460mm</t>
  </si>
  <si>
    <t>panneau CLT 80mm</t>
  </si>
  <si>
    <t>Bio-uptake</t>
  </si>
  <si>
    <t>Bio-release</t>
  </si>
  <si>
    <t>Standard-fossil GWP</t>
  </si>
  <si>
    <t>Standard biogenic-GWP</t>
  </si>
  <si>
    <t>Realistic</t>
  </si>
  <si>
    <t>Realistic-fossil GWP</t>
  </si>
  <si>
    <t>Realistic biogenic-GWP</t>
  </si>
  <si>
    <t>Advanced</t>
  </si>
  <si>
    <t>Advanced-fossil GWP</t>
  </si>
  <si>
    <t>Advanced biogenic-GWP</t>
  </si>
  <si>
    <t>NET</t>
  </si>
  <si>
    <t>GWP-bio Index</t>
  </si>
  <si>
    <t>Net-GWP (-1)</t>
  </si>
  <si>
    <t>Phase A</t>
  </si>
  <si>
    <t>Phase B</t>
  </si>
  <si>
    <t>Phase C</t>
  </si>
  <si>
    <t>Phase A GWPbio</t>
  </si>
  <si>
    <t>Phase A (-1)</t>
  </si>
  <si>
    <t>Phase B GWPbio</t>
  </si>
  <si>
    <t>Phase B (-1)</t>
  </si>
  <si>
    <t>Phase C GWPbio</t>
  </si>
  <si>
    <t>Plâtre</t>
  </si>
  <si>
    <t>Biogenic content</t>
  </si>
  <si>
    <t>Intermediate slab</t>
  </si>
  <si>
    <t>External walls</t>
  </si>
  <si>
    <t>Roof</t>
  </si>
  <si>
    <t>Ferblanterie (85.81m2)</t>
  </si>
  <si>
    <t>Equerre inox (3mm) - 21.96m2</t>
  </si>
  <si>
    <t>Equerre inox (3mm) - 22.55m2</t>
  </si>
  <si>
    <t>Equerre inox (3mm) - 60.28m2</t>
  </si>
  <si>
    <t>lattage bois 27mm</t>
  </si>
  <si>
    <t>profilé alu 40mm</t>
  </si>
  <si>
    <t>plot (hauteur variable)</t>
  </si>
  <si>
    <t>Bois CLT 40mm</t>
  </si>
  <si>
    <t>membrure</t>
  </si>
  <si>
    <t>Bois CLt 60mm</t>
  </si>
  <si>
    <t>lattage 60x40mm</t>
  </si>
  <si>
    <t>Deck en bois 27mm</t>
  </si>
  <si>
    <t>Sur épaisseur abris Pci béton 10cm (140.99m2)</t>
  </si>
  <si>
    <t>Sur épaisseur abris Pci béton 10cm (145.27m2)</t>
  </si>
  <si>
    <t>Parois porteuses intérieures 2</t>
  </si>
  <si>
    <t>Structure bois 120x60 X2</t>
  </si>
  <si>
    <t>Isolation minérale 120mm X2 +40mm</t>
  </si>
  <si>
    <t>str bois 120x80 X2</t>
  </si>
  <si>
    <t>Isolation minérale 120mm X2 + 40mm</t>
  </si>
  <si>
    <t>Phase B (-1/+1)</t>
  </si>
  <si>
    <t>Phase C (-1/+1)</t>
  </si>
  <si>
    <t>0/0</t>
  </si>
  <si>
    <t>-1/+1</t>
  </si>
  <si>
    <t>Sum</t>
  </si>
  <si>
    <t>Internal walls</t>
  </si>
  <si>
    <t>Phase C (-1/+0)</t>
  </si>
  <si>
    <t>-1/+0</t>
  </si>
  <si>
    <t>Cumulative 0/0</t>
  </si>
  <si>
    <t>Cumulative GWPbio</t>
  </si>
  <si>
    <t>Cumulative -1/+1</t>
  </si>
  <si>
    <t>Cumulative -1/0</t>
  </si>
  <si>
    <t>Phase B (-1/+0)</t>
  </si>
  <si>
    <t>2050 Fabrication</t>
  </si>
  <si>
    <t>2050 Elimination</t>
  </si>
  <si>
    <t>2050 Replacement</t>
  </si>
  <si>
    <t>Impact carbone total [kgCO2éq/m2]</t>
  </si>
  <si>
    <t>Concrete</t>
  </si>
  <si>
    <t>Rebars</t>
  </si>
  <si>
    <t>Wood</t>
  </si>
  <si>
    <t>Insulation</t>
  </si>
  <si>
    <t>Portes intérieures EI30</t>
  </si>
  <si>
    <t>Portes intérieures</t>
  </si>
  <si>
    <t>Pores de garages tôle perforée</t>
  </si>
  <si>
    <t>Renfort dalle béton - armature</t>
  </si>
  <si>
    <t>Renfort dalle béton (8.604m3)</t>
  </si>
  <si>
    <t>Renfort dalle béton (14.12m3)</t>
  </si>
  <si>
    <t>Détails bois</t>
  </si>
  <si>
    <t>Détails supplémentaires</t>
  </si>
  <si>
    <t>Descente EP</t>
  </si>
  <si>
    <t>27.60 m en acier</t>
  </si>
  <si>
    <t>Ossature CLT 450mm (comptabilisé ligne 52)</t>
  </si>
  <si>
    <t>Ossature CLT 140mm (comptabilisé ligne 52)</t>
  </si>
  <si>
    <t>Etanchéité (14.85m2)</t>
  </si>
  <si>
    <t>Béton 250mm (comptabilisé avec marches)</t>
  </si>
  <si>
    <t>Béton 340mm (total 9m3)</t>
  </si>
  <si>
    <t>panneau rainécreté en mélèze 30mm x2</t>
  </si>
  <si>
    <t>Commun - carrelage?</t>
  </si>
  <si>
    <t>Toiture (avec couvertuer balcon prolongée)</t>
  </si>
  <si>
    <t>Structure</t>
  </si>
  <si>
    <t>Finishing</t>
  </si>
  <si>
    <t>Structure_BIO</t>
  </si>
  <si>
    <t>Insulation_BIO</t>
  </si>
  <si>
    <t>Finishing_BIO</t>
  </si>
  <si>
    <t>Carbone bio</t>
  </si>
  <si>
    <t>Phase A content bio</t>
  </si>
  <si>
    <t>Phase B content bio</t>
  </si>
  <si>
    <t>Phase B release bio</t>
  </si>
  <si>
    <t>Phase C release bio</t>
  </si>
  <si>
    <t>Finishings</t>
  </si>
  <si>
    <t>(For figure)</t>
  </si>
  <si>
    <t>Insulation Bio Graph</t>
  </si>
  <si>
    <t>Upfront</t>
  </si>
  <si>
    <t>replacements</t>
  </si>
  <si>
    <t>eoL</t>
  </si>
  <si>
    <t>Masse volumique</t>
  </si>
  <si>
    <t>[kg/m3]</t>
  </si>
  <si>
    <t>Type of element</t>
  </si>
  <si>
    <t>From this column do the sum</t>
  </si>
  <si>
    <t>Check</t>
  </si>
  <si>
    <t>Bio_content</t>
  </si>
  <si>
    <t>GWP_bio</t>
  </si>
  <si>
    <t>Net_GWPbio</t>
  </si>
  <si>
    <t>Net_(-1/0)</t>
  </si>
  <si>
    <t>Ath</t>
  </si>
  <si>
    <t>Membrures</t>
  </si>
  <si>
    <t>Membrure</t>
  </si>
  <si>
    <t>Lattage</t>
  </si>
  <si>
    <t>Archetype</t>
  </si>
  <si>
    <t>excavations</t>
  </si>
  <si>
    <t>Volume of the removal of soil or rock</t>
  </si>
  <si>
    <t>under_wall</t>
  </si>
  <si>
    <t>Excavation enclosures</t>
  </si>
  <si>
    <t>foundation</t>
  </si>
  <si>
    <t>Foundation piles and rafts</t>
  </si>
  <si>
    <t>out_wall</t>
  </si>
  <si>
    <t>windows</t>
  </si>
  <si>
    <t>roof</t>
  </si>
  <si>
    <t>era</t>
  </si>
  <si>
    <t>Energetic reference area</t>
  </si>
  <si>
    <t>ground</t>
  </si>
  <si>
    <t>Ground level</t>
  </si>
  <si>
    <t>balcony</t>
  </si>
  <si>
    <t>Balcony</t>
  </si>
  <si>
    <t>groundroof</t>
  </si>
  <si>
    <t>underground roof</t>
  </si>
  <si>
    <t>in_wall_s</t>
  </si>
  <si>
    <t>Interior not load walls</t>
  </si>
  <si>
    <t>in_wall</t>
  </si>
  <si>
    <t>Interior load-bearing walls</t>
  </si>
  <si>
    <t>in_floor</t>
  </si>
  <si>
    <t>intermediate floor</t>
  </si>
  <si>
    <t>floor</t>
  </si>
  <si>
    <t>Total floor</t>
  </si>
  <si>
    <t>underfloor</t>
  </si>
  <si>
    <t>stairs</t>
  </si>
  <si>
    <t>Stairs</t>
  </si>
  <si>
    <t>construction</t>
  </si>
  <si>
    <t>Maintenance</t>
  </si>
  <si>
    <t>Démolition</t>
  </si>
  <si>
    <t>différence</t>
  </si>
  <si>
    <t>Surface</t>
  </si>
  <si>
    <t>Material</t>
  </si>
  <si>
    <t>kg/m2FU</t>
  </si>
  <si>
    <t>GWP construction</t>
  </si>
  <si>
    <t>GWP demolition</t>
  </si>
  <si>
    <t>biogenic</t>
  </si>
  <si>
    <t>kgCO2/m2FU</t>
  </si>
  <si>
    <t>soil</t>
  </si>
  <si>
    <t>underground</t>
  </si>
  <si>
    <t>kg/quantité</t>
  </si>
  <si>
    <t>Archetype_ratio</t>
  </si>
  <si>
    <t>Ratio SRE</t>
  </si>
  <si>
    <t>Phase A 2050 [kgCO2eq/m2]</t>
  </si>
  <si>
    <t>Phase C 2050  [kgCO2eq/m2]</t>
  </si>
  <si>
    <t>Phase C 2050 [kgCO2eq/m2]</t>
  </si>
  <si>
    <t>GWP construction 2050</t>
  </si>
  <si>
    <t>GWP demolition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</si>
</sst>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3" formatCode="_-* #,##0.00_-;\-* #,##0.00_-;_-* &quot;-&quot;??_-;_-@_-"/>
    <numFmt numFmtId="164" formatCode="_ * #,##0.00_ ;_ * \-#,##0.00_ ;_ * &quot;-&quot;??_ ;_ @_ "/>
    <numFmt numFmtId="165" formatCode="0.0"/>
    <numFmt numFmtId="166" formatCode="0.000"/>
    <numFmt numFmtId="167" formatCode="#,##0.0"/>
    <numFmt numFmtId="168" formatCode="00"/>
    <numFmt numFmtId="169" formatCode="00.000"/>
    <numFmt numFmtId="170" formatCode="0.0000"/>
    <numFmt numFmtId="171" formatCode="0.00000"/>
    <numFmt numFmtId="172" formatCode="_(* #,##0_);_(* \(#,##0\);_(* &quot;-&quot;_);_(@_)"/>
    <numFmt numFmtId="173" formatCode="_(* #,##0.00_);_(* \(#,##0.00\);_(* &quot;-&quot;??_);_(@_)"/>
    <numFmt numFmtId="174" formatCode="_(&quot;$&quot;* #,##0_);_(&quot;$&quot;* \(#,##0\);_(&quot;$&quot;* &quot;-&quot;_);_(@_)"/>
    <numFmt numFmtId="175" formatCode="_(&quot;$&quot;* #,##0.00_);_(&quot;$&quot;* \(#,##0.00\);_(&quot;$&quot;* &quot;-&quot;??_);_(@_)"/>
    <numFmt numFmtId="176" formatCode="#,##0.0&quot; dt&quot;;[Red]#,##0.0&quot; dt&quot;"/>
    <numFmt numFmtId="177" formatCode="0.00E+0;[=0]&quot;-&quot;;0.00E+0"/>
    <numFmt numFmtId="178" formatCode="_ [$€-2]\ * #,##0.00_ ;_ [$€-2]\ * \-#,##0.00_ ;_ [$€-2]\ * &quot;-&quot;??_ "/>
    <numFmt numFmtId="179" formatCode="&quot;$&quot;#,##0"/>
    <numFmt numFmtId="180" formatCode="#,##0&quot; kg&quot;;[Red]#,##0&quot; kg&quot;"/>
    <numFmt numFmtId="181" formatCode="#,##0&quot; Liter&quot;;[Red]#,##0&quot; Liter&quot;"/>
    <numFmt numFmtId="182" formatCode="#,##0&quot; m2&quot;;[Red]#,##0&quot; m2&quot;"/>
    <numFmt numFmtId="183" formatCode="#,##0&quot; m2a&quot;;[Red]#,##0&quot; m2a&quot;"/>
    <numFmt numFmtId="184" formatCode="#,##0.0&quot; m3&quot;;[Red]#,##0.0&quot; m3&quot;"/>
    <numFmt numFmtId="185" formatCode="0.00E+0;[=0]&quot;0&quot;;General"/>
    <numFmt numFmtId="186" formatCode="0.00%;[=0]&quot;0&quot;;General"/>
    <numFmt numFmtId="187" formatCode="0.0%;[=0]&quot;0%&quot;;0.0%"/>
    <numFmt numFmtId="188" formatCode="0.0%"/>
    <numFmt numFmtId="189" formatCode="[=0]&quot;&quot;;General"/>
    <numFmt numFmtId="190" formatCode="0.0E+0;[=0]&quot;-&quot;;0.0E+0"/>
    <numFmt numFmtId="191" formatCode="#,##0.0&quot; ZKh&quot;;[Red]#,##0.0&quot; ZKh&quot;"/>
    <numFmt numFmtId="192" formatCode="0.000000"/>
    <numFmt numFmtId="193" formatCode="#,##0.00\ _C_H_F"/>
    <numFmt numFmtId="194" formatCode="#,##0&quot;m²&quot;"/>
    <numFmt numFmtId="195" formatCode="#,##0&quot;m³&quot;"/>
    <numFmt numFmtId="196" formatCode="#,##0&quot;kWp&quot;"/>
    <numFmt numFmtId="197" formatCode="#,##0&quot;m&quot;"/>
    <numFmt numFmtId="198" formatCode="#,##0.0&quot;m²/SRE&quot;"/>
    <numFmt numFmtId="199" formatCode="0&quot;kWp&quot;"/>
    <numFmt numFmtId="200" formatCode="0&quot;m2&quot;"/>
    <numFmt numFmtId="201" formatCode="_-* #,##0_-;\-* #,##0_-;_-* &quot;-&quot;??_-;_-@_-"/>
  </numFmts>
  <fonts count="9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bscript"/>
      <sz val="11"/>
      <color theme="1"/>
      <name val="Arial"/>
      <family val="2"/>
    </font>
    <font>
      <sz val="10"/>
      <name val="Arial"/>
      <family val="2"/>
    </font>
    <font>
      <sz val="16"/>
      <color theme="0"/>
      <name val="Arial"/>
      <family val="2"/>
    </font>
    <font>
      <b/>
      <sz val="16"/>
      <color theme="0"/>
      <name val="Arial"/>
      <family val="2"/>
    </font>
    <font>
      <b/>
      <i/>
      <sz val="16"/>
      <color theme="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1"/>
      <name val="Arial"/>
      <family val="2"/>
    </font>
    <font>
      <b/>
      <i/>
      <sz val="14"/>
      <name val="Arial"/>
      <family val="2"/>
    </font>
    <font>
      <sz val="8"/>
      <name val="Arial"/>
      <family val="2"/>
    </font>
    <font>
      <b/>
      <sz val="9"/>
      <color rgb="FFFF0000"/>
      <name val="Arial"/>
      <family val="2"/>
    </font>
    <font>
      <b/>
      <i/>
      <sz val="9"/>
      <color rgb="FFFF000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sz val="8"/>
      <color rgb="FFFF0000"/>
      <name val="Arial"/>
      <family val="2"/>
    </font>
    <font>
      <vertAlign val="subscript"/>
      <sz val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vertAlign val="superscript"/>
      <sz val="10"/>
      <name val="Arial"/>
      <family val="2"/>
    </font>
    <font>
      <b/>
      <i/>
      <sz val="10"/>
      <name val="Arial"/>
      <family val="2"/>
    </font>
    <font>
      <sz val="9"/>
      <name val="Times New Roman"/>
      <family val="1"/>
    </font>
    <font>
      <sz val="9"/>
      <name val="Helvetica"/>
      <family val="2"/>
    </font>
    <font>
      <sz val="8"/>
      <name val="Verdana"/>
      <family val="2"/>
    </font>
    <font>
      <b/>
      <sz val="9"/>
      <name val="Times New Roman"/>
      <family val="1"/>
    </font>
    <font>
      <sz val="10"/>
      <color indexed="8"/>
      <name val="MS Sans Serif"/>
      <family val="2"/>
    </font>
    <font>
      <sz val="7"/>
      <name val="Helvetica"/>
      <family val="2"/>
    </font>
    <font>
      <sz val="9"/>
      <name val="Helv"/>
    </font>
    <font>
      <sz val="11"/>
      <color rgb="FF3F3F76"/>
      <name val="Arial"/>
      <family val="2"/>
    </font>
    <font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2"/>
      <name val="Times New Roman"/>
      <family val="1"/>
    </font>
    <font>
      <sz val="10"/>
      <name val="Helv"/>
    </font>
    <font>
      <sz val="10"/>
      <name val="Geneva"/>
      <family val="2"/>
    </font>
    <font>
      <sz val="10"/>
      <color indexed="8"/>
      <name val="Arial"/>
      <family val="2"/>
    </font>
    <font>
      <sz val="10"/>
      <name val="Trebuchet MS"/>
      <family val="2"/>
    </font>
    <font>
      <b/>
      <sz val="16"/>
      <color indexed="9"/>
      <name val="Tahoma"/>
      <family val="2"/>
    </font>
    <font>
      <sz val="8"/>
      <name val="Helvetica"/>
      <family val="2"/>
    </font>
    <font>
      <i/>
      <sz val="12"/>
      <color theme="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i/>
      <sz val="9"/>
      <name val="Arial"/>
      <family val="2"/>
    </font>
    <font>
      <b/>
      <vertAlign val="superscript"/>
      <sz val="11"/>
      <color theme="1"/>
      <name val="Arial"/>
      <family val="2"/>
    </font>
    <font>
      <b/>
      <sz val="16"/>
      <color rgb="FFFFFFFF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11"/>
      <color theme="0" tint="-0.249977111117893"/>
      <name val="Arial"/>
      <family val="2"/>
    </font>
    <font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1"/>
      <color rgb="FFFF000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vertAlign val="superscript"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vertAlign val="superscript"/>
      <sz val="10"/>
      <name val="Arial"/>
      <family val="2"/>
    </font>
    <font>
      <vertAlign val="superscript"/>
      <sz val="10"/>
      <color rgb="FFFF0000"/>
      <name val="Arial"/>
      <family val="2"/>
    </font>
    <font>
      <vertAlign val="superscript"/>
      <sz val="9"/>
      <name val="Arial"/>
      <family val="2"/>
    </font>
    <font>
      <sz val="9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8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9"/>
      <color rgb="FFFF0000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rgb="FFCC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indexed="55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55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theme="0" tint="-0.499984740745262"/>
      </left>
      <right/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/>
      <top style="thin">
        <color indexed="55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55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indexed="55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5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0"/>
    <xf numFmtId="0" fontId="9" fillId="0" borderId="0"/>
    <xf numFmtId="164" fontId="17" fillId="0" borderId="0" applyFont="0" applyFill="0" applyBorder="0" applyAlignment="0" applyProtection="0"/>
    <xf numFmtId="49" fontId="39" fillId="0" borderId="1" applyNumberFormat="0" applyFont="0" applyFill="0" applyBorder="0" applyProtection="0">
      <alignment horizontal="left" vertical="center" indent="2"/>
    </xf>
    <xf numFmtId="49" fontId="39" fillId="0" borderId="28" applyNumberFormat="0" applyFont="0" applyFill="0" applyBorder="0" applyProtection="0">
      <alignment horizontal="left" vertical="center" indent="5"/>
    </xf>
    <xf numFmtId="0" fontId="40" fillId="13" borderId="0">
      <alignment horizontal="left" vertical="center"/>
    </xf>
    <xf numFmtId="0" fontId="41" fillId="14" borderId="0" applyBorder="0">
      <alignment horizontal="left" vertical="center" indent="1"/>
    </xf>
    <xf numFmtId="4" fontId="42" fillId="0" borderId="29" applyFill="0" applyBorder="0" applyProtection="0">
      <alignment horizontal="right" vertical="center"/>
    </xf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44" fillId="0" borderId="0">
      <alignment vertical="center"/>
    </xf>
    <xf numFmtId="174" fontId="43" fillId="0" borderId="0" applyFont="0" applyFill="0" applyBorder="0" applyAlignment="0" applyProtection="0"/>
    <xf numFmtId="175" fontId="43" fillId="0" borderId="0" applyFont="0" applyFill="0" applyBorder="0" applyAlignment="0" applyProtection="0"/>
    <xf numFmtId="176" fontId="45" fillId="0" borderId="0"/>
    <xf numFmtId="0" fontId="40" fillId="15" borderId="0">
      <alignment horizontal="center" vertical="center" wrapText="1"/>
    </xf>
    <xf numFmtId="177" fontId="45" fillId="16" borderId="0">
      <alignment horizontal="center" vertical="center"/>
    </xf>
    <xf numFmtId="0" fontId="46" fillId="2" borderId="2" applyNumberFormat="0" applyAlignment="0" applyProtection="0"/>
    <xf numFmtId="178" fontId="47" fillId="0" borderId="0" applyFont="0" applyFill="0" applyBorder="0" applyAlignment="0" applyProtection="0">
      <alignment vertical="center"/>
    </xf>
    <xf numFmtId="179" fontId="48" fillId="17" borderId="30" applyBorder="0" applyAlignment="0">
      <alignment horizontal="left" vertical="center" indent="1"/>
    </xf>
    <xf numFmtId="179" fontId="49" fillId="18" borderId="31" applyBorder="0">
      <alignment horizontal="left" vertical="center" indent="1"/>
    </xf>
    <xf numFmtId="0" fontId="50" fillId="0" borderId="0" applyNumberFormat="0" applyFill="0" applyBorder="0" applyAlignment="0" applyProtection="0"/>
    <xf numFmtId="180" fontId="45" fillId="0" borderId="0"/>
    <xf numFmtId="164" fontId="9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81" fontId="51" fillId="0" borderId="0"/>
    <xf numFmtId="0" fontId="40" fillId="16" borderId="0">
      <alignment horizontal="left" vertical="center"/>
    </xf>
    <xf numFmtId="182" fontId="51" fillId="0" borderId="0"/>
    <xf numFmtId="183" fontId="45" fillId="0" borderId="0"/>
    <xf numFmtId="184" fontId="51" fillId="0" borderId="0"/>
    <xf numFmtId="185" fontId="45" fillId="0" borderId="0" applyAlignment="0">
      <alignment wrapText="1"/>
    </xf>
    <xf numFmtId="186" fontId="45" fillId="0" borderId="0"/>
    <xf numFmtId="185" fontId="45" fillId="0" borderId="0"/>
    <xf numFmtId="4" fontId="39" fillId="0" borderId="1" applyFill="0" applyBorder="0" applyProtection="0">
      <alignment horizontal="right" vertical="center"/>
    </xf>
    <xf numFmtId="49" fontId="42" fillId="0" borderId="1" applyNumberFormat="0" applyFill="0" applyBorder="0" applyProtection="0">
      <alignment horizontal="left" vertical="center"/>
    </xf>
    <xf numFmtId="0" fontId="39" fillId="0" borderId="1" applyNumberFormat="0" applyFill="0" applyAlignment="0" applyProtection="0"/>
    <xf numFmtId="0" fontId="52" fillId="0" borderId="32" applyFont="0" applyFill="0" applyBorder="0" applyProtection="0">
      <alignment horizontal="center"/>
    </xf>
    <xf numFmtId="9" fontId="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87" fontId="9" fillId="0" borderId="0"/>
    <xf numFmtId="188" fontId="9" fillId="6" borderId="0">
      <alignment horizontal="center" vertical="center"/>
    </xf>
    <xf numFmtId="11" fontId="52" fillId="0" borderId="0" applyFont="0" applyFill="0" applyBorder="0" applyAlignment="0" applyProtection="0"/>
    <xf numFmtId="0" fontId="9" fillId="0" borderId="0"/>
    <xf numFmtId="0" fontId="40" fillId="0" borderId="0">
      <alignment vertical="center"/>
    </xf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3" fillId="0" borderId="0"/>
    <xf numFmtId="189" fontId="45" fillId="0" borderId="0">
      <alignment horizontal="center" vertical="center"/>
    </xf>
    <xf numFmtId="0" fontId="54" fillId="19" borderId="0">
      <alignment vertical="center" wrapText="1"/>
    </xf>
    <xf numFmtId="0" fontId="55" fillId="3" borderId="0" applyBorder="0">
      <alignment horizontal="left" vertical="center" indent="1"/>
    </xf>
    <xf numFmtId="189" fontId="56" fillId="0" borderId="0">
      <alignment horizontal="center" vertical="center"/>
    </xf>
    <xf numFmtId="0" fontId="40" fillId="20" borderId="0">
      <alignment horizontal="left" vertical="center"/>
    </xf>
    <xf numFmtId="0" fontId="40" fillId="20" borderId="0">
      <alignment horizontal="left" vertical="center"/>
    </xf>
    <xf numFmtId="11" fontId="45" fillId="0" borderId="0"/>
    <xf numFmtId="11" fontId="47" fillId="0" borderId="0">
      <alignment horizontal="center" vertical="center" wrapText="1"/>
    </xf>
    <xf numFmtId="177" fontId="9" fillId="0" borderId="0">
      <alignment horizontal="center" vertical="center"/>
    </xf>
    <xf numFmtId="177" fontId="9" fillId="0" borderId="0">
      <alignment horizontal="center" vertical="center"/>
    </xf>
    <xf numFmtId="190" fontId="51" fillId="0" borderId="0">
      <alignment horizontal="center" vertical="center"/>
    </xf>
    <xf numFmtId="191" fontId="51" fillId="0" borderId="0"/>
    <xf numFmtId="164" fontId="9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71" fillId="0" borderId="0" applyFont="0" applyFill="0" applyBorder="0" applyAlignment="0" applyProtection="0"/>
    <xf numFmtId="164" fontId="3" fillId="0" borderId="0" applyFont="0" applyFill="0" applyBorder="0" applyAlignment="0" applyProtection="0"/>
    <xf numFmtId="49" fontId="39" fillId="0" borderId="36" applyNumberFormat="0" applyFont="0" applyFill="0" applyBorder="0" applyProtection="0">
      <alignment horizontal="left" vertical="center" indent="2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" fontId="39" fillId="0" borderId="36" applyFill="0" applyBorder="0" applyProtection="0">
      <alignment horizontal="right" vertical="center"/>
    </xf>
    <xf numFmtId="49" fontId="42" fillId="0" borderId="36" applyNumberFormat="0" applyFill="0" applyBorder="0" applyProtection="0">
      <alignment horizontal="left" vertical="center"/>
    </xf>
    <xf numFmtId="0" fontId="39" fillId="0" borderId="36" applyNumberFormat="0" applyFill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  <xf numFmtId="43" fontId="71" fillId="0" borderId="0" applyFont="0" applyFill="0" applyBorder="0" applyAlignment="0" applyProtection="0"/>
  </cellStyleXfs>
  <cellXfs count="1334">
    <xf numFmtId="0" fontId="0" fillId="0" borderId="0" xfId="0"/>
    <xf numFmtId="0" fontId="5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0" fontId="10" fillId="3" borderId="3" xfId="65" applyFont="1" applyFill="1" applyBorder="1" applyAlignment="1">
      <alignment horizontal="left" vertical="center"/>
    </xf>
    <xf numFmtId="0" fontId="11" fillId="3" borderId="4" xfId="65" applyFont="1" applyFill="1" applyBorder="1" applyAlignment="1">
      <alignment horizontal="left" vertical="center"/>
    </xf>
    <xf numFmtId="0" fontId="10" fillId="3" borderId="5" xfId="65" applyFont="1" applyFill="1" applyBorder="1" applyAlignment="1">
      <alignment horizontal="left" vertical="center"/>
    </xf>
    <xf numFmtId="0" fontId="11" fillId="3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center" vertical="center"/>
    </xf>
    <xf numFmtId="0" fontId="11" fillId="3" borderId="5" xfId="65" applyFont="1" applyFill="1" applyBorder="1" applyAlignment="1">
      <alignment horizontal="center" vertical="center"/>
    </xf>
    <xf numFmtId="0" fontId="12" fillId="3" borderId="6" xfId="65" applyFont="1" applyFill="1" applyBorder="1" applyAlignment="1">
      <alignment horizontal="right" vertical="center"/>
    </xf>
    <xf numFmtId="0" fontId="10" fillId="5" borderId="0" xfId="65" applyFont="1" applyFill="1" applyAlignment="1">
      <alignment vertical="center"/>
    </xf>
    <xf numFmtId="0" fontId="13" fillId="3" borderId="7" xfId="65" applyFont="1" applyFill="1" applyBorder="1" applyAlignment="1">
      <alignment vertical="center"/>
    </xf>
    <xf numFmtId="0" fontId="14" fillId="3" borderId="8" xfId="66" applyFont="1" applyFill="1" applyBorder="1" applyAlignment="1">
      <alignment horizontal="left" vertical="center"/>
    </xf>
    <xf numFmtId="0" fontId="13" fillId="3" borderId="9" xfId="65" applyFont="1" applyFill="1" applyBorder="1" applyAlignment="1">
      <alignment vertical="center"/>
    </xf>
    <xf numFmtId="0" fontId="14" fillId="3" borderId="9" xfId="66" applyFont="1" applyFill="1" applyBorder="1" applyAlignment="1">
      <alignment horizontal="left" vertical="center"/>
    </xf>
    <xf numFmtId="0" fontId="14" fillId="4" borderId="9" xfId="66" applyFont="1" applyFill="1" applyBorder="1" applyAlignment="1">
      <alignment horizontal="left" vertical="center"/>
    </xf>
    <xf numFmtId="0" fontId="14" fillId="3" borderId="9" xfId="65" applyFont="1" applyFill="1" applyBorder="1" applyAlignment="1">
      <alignment vertical="center"/>
    </xf>
    <xf numFmtId="0" fontId="15" fillId="3" borderId="10" xfId="65" applyFont="1" applyFill="1" applyBorder="1" applyAlignment="1">
      <alignment horizontal="right" vertical="center"/>
    </xf>
    <xf numFmtId="0" fontId="13" fillId="5" borderId="0" xfId="65" applyFont="1" applyFill="1" applyAlignment="1">
      <alignment vertical="center"/>
    </xf>
    <xf numFmtId="0" fontId="9" fillId="5" borderId="11" xfId="65" applyFill="1" applyBorder="1" applyAlignment="1">
      <alignment vertical="center"/>
    </xf>
    <xf numFmtId="0" fontId="16" fillId="5" borderId="12" xfId="65" applyFont="1" applyFill="1" applyBorder="1" applyAlignment="1">
      <alignment vertical="center"/>
    </xf>
    <xf numFmtId="0" fontId="9" fillId="5" borderId="13" xfId="65" applyFill="1" applyBorder="1" applyAlignment="1">
      <alignment vertical="center"/>
    </xf>
    <xf numFmtId="0" fontId="16" fillId="5" borderId="14" xfId="65" applyFont="1" applyFill="1" applyBorder="1" applyAlignment="1">
      <alignment vertical="center"/>
    </xf>
    <xf numFmtId="0" fontId="9" fillId="5" borderId="0" xfId="65" applyFill="1" applyAlignment="1">
      <alignment vertical="center"/>
    </xf>
    <xf numFmtId="164" fontId="9" fillId="5" borderId="0" xfId="67" applyFont="1" applyFill="1" applyBorder="1" applyAlignment="1">
      <alignment vertical="center"/>
    </xf>
    <xf numFmtId="166" fontId="9" fillId="5" borderId="0" xfId="65" applyNumberFormat="1" applyFill="1" applyAlignment="1">
      <alignment vertical="center"/>
    </xf>
    <xf numFmtId="0" fontId="18" fillId="5" borderId="12" xfId="65" applyFont="1" applyFill="1" applyBorder="1" applyAlignment="1">
      <alignment horizontal="left" vertical="center"/>
    </xf>
    <xf numFmtId="0" fontId="16" fillId="5" borderId="15" xfId="65" applyFont="1" applyFill="1" applyBorder="1" applyAlignment="1">
      <alignment vertical="center" wrapText="1"/>
    </xf>
    <xf numFmtId="0" fontId="16" fillId="5" borderId="13" xfId="65" applyFont="1" applyFill="1" applyBorder="1" applyAlignment="1">
      <alignment vertical="center" wrapText="1"/>
    </xf>
    <xf numFmtId="0" fontId="9" fillId="5" borderId="20" xfId="65" applyFill="1" applyBorder="1" applyAlignment="1">
      <alignment vertical="center"/>
    </xf>
    <xf numFmtId="0" fontId="27" fillId="5" borderId="16" xfId="65" applyFont="1" applyFill="1" applyBorder="1" applyAlignment="1">
      <alignment vertical="center" wrapText="1"/>
    </xf>
    <xf numFmtId="0" fontId="28" fillId="6" borderId="15" xfId="65" applyFont="1" applyFill="1" applyBorder="1" applyAlignment="1">
      <alignment horizontal="center" vertical="center" wrapText="1"/>
    </xf>
    <xf numFmtId="0" fontId="24" fillId="6" borderId="15" xfId="65" applyFont="1" applyFill="1" applyBorder="1" applyAlignment="1">
      <alignment horizontal="center" vertical="center" wrapText="1"/>
    </xf>
    <xf numFmtId="0" fontId="28" fillId="5" borderId="15" xfId="65" applyFont="1" applyFill="1" applyBorder="1" applyAlignment="1">
      <alignment horizontal="center" vertical="center" wrapText="1"/>
    </xf>
    <xf numFmtId="0" fontId="24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vertical="center"/>
    </xf>
    <xf numFmtId="0" fontId="29" fillId="6" borderId="20" xfId="65" applyFont="1" applyFill="1" applyBorder="1" applyAlignment="1">
      <alignment horizontal="center" vertical="center" wrapText="1"/>
    </xf>
    <xf numFmtId="0" fontId="24" fillId="6" borderId="20" xfId="65" applyFont="1" applyFill="1" applyBorder="1" applyAlignment="1">
      <alignment horizontal="center" vertical="center" wrapText="1"/>
    </xf>
    <xf numFmtId="0" fontId="29" fillId="5" borderId="20" xfId="65" applyFont="1" applyFill="1" applyBorder="1" applyAlignment="1">
      <alignment horizontal="center" vertical="center" wrapText="1"/>
    </xf>
    <xf numFmtId="0" fontId="30" fillId="5" borderId="20" xfId="65" applyFont="1" applyFill="1" applyBorder="1" applyAlignment="1">
      <alignment horizontal="center" vertical="center" wrapText="1"/>
    </xf>
    <xf numFmtId="0" fontId="24" fillId="5" borderId="0" xfId="65" applyFont="1" applyFill="1" applyAlignment="1">
      <alignment vertical="center"/>
    </xf>
    <xf numFmtId="0" fontId="24" fillId="5" borderId="23" xfId="65" applyFont="1" applyFill="1" applyBorder="1" applyAlignment="1">
      <alignment vertical="center"/>
    </xf>
    <xf numFmtId="0" fontId="27" fillId="5" borderId="23" xfId="65" applyFont="1" applyFill="1" applyBorder="1" applyAlignment="1">
      <alignment vertical="center" wrapText="1"/>
    </xf>
    <xf numFmtId="0" fontId="9" fillId="5" borderId="23" xfId="66" applyFill="1" applyBorder="1" applyAlignment="1">
      <alignment horizontal="center" vertical="center" wrapText="1"/>
    </xf>
    <xf numFmtId="0" fontId="24" fillId="6" borderId="23" xfId="65" applyFont="1" applyFill="1" applyBorder="1" applyAlignment="1">
      <alignment horizontal="center" vertical="center" wrapText="1"/>
    </xf>
    <xf numFmtId="3" fontId="31" fillId="5" borderId="23" xfId="66" applyNumberFormat="1" applyFont="1" applyFill="1" applyBorder="1" applyAlignment="1">
      <alignment horizontal="center" vertical="center" wrapText="1"/>
    </xf>
    <xf numFmtId="167" fontId="24" fillId="5" borderId="23" xfId="66" applyNumberFormat="1" applyFont="1" applyFill="1" applyBorder="1" applyAlignment="1">
      <alignment horizontal="center" vertical="center" wrapText="1"/>
    </xf>
    <xf numFmtId="0" fontId="23" fillId="5" borderId="23" xfId="65" applyFont="1" applyFill="1" applyBorder="1" applyAlignment="1">
      <alignment horizontal="left" vertical="center" wrapText="1"/>
    </xf>
    <xf numFmtId="168" fontId="33" fillId="7" borderId="27" xfId="65" quotePrefix="1" applyNumberFormat="1" applyFont="1" applyFill="1" applyBorder="1" applyAlignment="1">
      <alignment horizontal="left" vertical="center" wrapText="1"/>
    </xf>
    <xf numFmtId="0" fontId="33" fillId="7" borderId="27" xfId="65" applyFont="1" applyFill="1" applyBorder="1" applyAlignment="1">
      <alignment vertical="center" wrapText="1"/>
    </xf>
    <xf numFmtId="168" fontId="33" fillId="7" borderId="27" xfId="65" applyNumberFormat="1" applyFont="1" applyFill="1" applyBorder="1" applyAlignment="1">
      <alignment vertical="center" wrapText="1"/>
    </xf>
    <xf numFmtId="0" fontId="33" fillId="8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vertical="center" wrapText="1"/>
    </xf>
    <xf numFmtId="165" fontId="33" fillId="7" borderId="27" xfId="65" applyNumberFormat="1" applyFont="1" applyFill="1" applyBorder="1" applyAlignment="1">
      <alignment horizontal="center" vertical="center" wrapText="1"/>
    </xf>
    <xf numFmtId="0" fontId="35" fillId="7" borderId="27" xfId="65" applyFont="1" applyFill="1" applyBorder="1" applyAlignment="1">
      <alignment horizontal="center" vertical="center" wrapText="1"/>
    </xf>
    <xf numFmtId="166" fontId="35" fillId="7" borderId="27" xfId="65" applyNumberFormat="1" applyFont="1" applyFill="1" applyBorder="1" applyAlignment="1">
      <alignment horizontal="center" vertical="center" wrapText="1"/>
    </xf>
    <xf numFmtId="0" fontId="33" fillId="7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horizontal="left" vertical="center" wrapText="1"/>
    </xf>
    <xf numFmtId="0" fontId="35" fillId="5" borderId="27" xfId="65" quotePrefix="1" applyFont="1" applyFill="1" applyBorder="1" applyAlignment="1">
      <alignment horizontal="left" vertical="center" wrapText="1"/>
    </xf>
    <xf numFmtId="0" fontId="35" fillId="5" borderId="27" xfId="65" applyFont="1" applyFill="1" applyBorder="1" applyAlignment="1">
      <alignment vertical="center" wrapText="1"/>
    </xf>
    <xf numFmtId="166" fontId="35" fillId="5" borderId="27" xfId="65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center" vertical="center" wrapText="1"/>
    </xf>
    <xf numFmtId="3" fontId="33" fillId="9" borderId="27" xfId="65" applyNumberFormat="1" applyFont="1" applyFill="1" applyBorder="1" applyAlignment="1">
      <alignment horizontal="center" vertical="center" wrapText="1"/>
    </xf>
    <xf numFmtId="3" fontId="35" fillId="9" borderId="27" xfId="65" applyNumberFormat="1" applyFont="1" applyFill="1" applyBorder="1" applyAlignment="1">
      <alignment horizontal="center" vertical="center" wrapText="1"/>
    </xf>
    <xf numFmtId="1" fontId="33" fillId="0" borderId="27" xfId="65" applyNumberFormat="1" applyFont="1" applyBorder="1" applyAlignment="1">
      <alignment horizontal="center" vertical="center" wrapText="1"/>
    </xf>
    <xf numFmtId="1" fontId="35" fillId="0" borderId="27" xfId="65" applyNumberFormat="1" applyFont="1" applyBorder="1" applyAlignment="1">
      <alignment horizontal="center" vertical="center" wrapText="1"/>
    </xf>
    <xf numFmtId="0" fontId="36" fillId="0" borderId="27" xfId="65" applyFont="1" applyBorder="1" applyAlignment="1">
      <alignment horizontal="left" vertical="center" wrapText="1"/>
    </xf>
    <xf numFmtId="0" fontId="35" fillId="5" borderId="0" xfId="65" applyFont="1" applyFill="1" applyAlignment="1">
      <alignment vertical="center"/>
    </xf>
    <xf numFmtId="1" fontId="33" fillId="5" borderId="27" xfId="65" applyNumberFormat="1" applyFont="1" applyFill="1" applyBorder="1" applyAlignment="1">
      <alignment horizontal="center" vertical="center" wrapText="1"/>
    </xf>
    <xf numFmtId="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vertical="center" wrapText="1"/>
    </xf>
    <xf numFmtId="168" fontId="16" fillId="7" borderId="27" xfId="65" applyNumberFormat="1" applyFont="1" applyFill="1" applyBorder="1" applyAlignment="1">
      <alignment vertical="center" wrapText="1"/>
    </xf>
    <xf numFmtId="0" fontId="16" fillId="7" borderId="27" xfId="65" applyFont="1" applyFill="1" applyBorder="1" applyAlignment="1">
      <alignment vertical="center" wrapText="1"/>
    </xf>
    <xf numFmtId="0" fontId="16" fillId="8" borderId="27" xfId="65" applyFon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vertical="center" wrapText="1"/>
    </xf>
    <xf numFmtId="0" fontId="16" fillId="7" borderId="27" xfId="65" applyFont="1" applyFill="1" applyBorder="1" applyAlignment="1">
      <alignment horizontal="center" vertical="center" wrapText="1"/>
    </xf>
    <xf numFmtId="0" fontId="9" fillId="7" borderId="27" xfId="65" applyFill="1" applyBorder="1" applyAlignment="1">
      <alignment horizontal="center" vertical="center" wrapText="1"/>
    </xf>
    <xf numFmtId="169" fontId="9" fillId="5" borderId="27" xfId="65" quotePrefix="1" applyNumberFormat="1" applyFill="1" applyBorder="1" applyAlignment="1">
      <alignment horizontal="left" vertical="center"/>
    </xf>
    <xf numFmtId="169" fontId="9" fillId="5" borderId="27" xfId="65" applyNumberFormat="1" applyFill="1" applyBorder="1" applyAlignment="1">
      <alignment vertical="center"/>
    </xf>
    <xf numFmtId="0" fontId="9" fillId="5" borderId="27" xfId="65" applyFill="1" applyBorder="1" applyAlignment="1">
      <alignment vertical="center" wrapText="1"/>
    </xf>
    <xf numFmtId="3" fontId="35" fillId="5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center" vertical="center" wrapText="1"/>
    </xf>
    <xf numFmtId="165" fontId="33" fillId="9" borderId="27" xfId="65" applyNumberFormat="1" applyFont="1" applyFill="1" applyBorder="1" applyAlignment="1">
      <alignment horizontal="center" vertical="center" wrapText="1"/>
    </xf>
    <xf numFmtId="165" fontId="35" fillId="9" borderId="27" xfId="65" applyNumberFormat="1" applyFont="1" applyFill="1" applyBorder="1" applyAlignment="1">
      <alignment horizontal="center" vertical="center" wrapText="1"/>
    </xf>
    <xf numFmtId="166" fontId="33" fillId="5" borderId="27" xfId="65" applyNumberFormat="1" applyFont="1" applyFill="1" applyBorder="1" applyAlignment="1">
      <alignment horizontal="center" vertical="center" wrapText="1"/>
    </xf>
    <xf numFmtId="170" fontId="33" fillId="5" borderId="27" xfId="65" applyNumberFormat="1" applyFont="1" applyFill="1" applyBorder="1" applyAlignment="1">
      <alignment horizontal="center" vertical="center" wrapText="1"/>
    </xf>
    <xf numFmtId="170" fontId="35" fillId="5" borderId="27" xfId="65" applyNumberFormat="1" applyFont="1" applyFill="1" applyBorder="1" applyAlignment="1">
      <alignment horizontal="center" vertical="center" wrapText="1"/>
    </xf>
    <xf numFmtId="17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vertical="center" wrapText="1"/>
    </xf>
    <xf numFmtId="169" fontId="9" fillId="5" borderId="27" xfId="65" applyNumberFormat="1" applyFill="1" applyBorder="1" applyAlignment="1">
      <alignment horizontal="left" vertical="center"/>
    </xf>
    <xf numFmtId="1" fontId="33" fillId="9" borderId="27" xfId="65" applyNumberFormat="1" applyFont="1" applyFill="1" applyBorder="1" applyAlignment="1">
      <alignment horizontal="center" vertical="center" wrapText="1"/>
    </xf>
    <xf numFmtId="1" fontId="35" fillId="9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horizontal="left" vertical="center"/>
    </xf>
    <xf numFmtId="165" fontId="33" fillId="10" borderId="27" xfId="65" applyNumberFormat="1" applyFont="1" applyFill="1" applyBorder="1" applyAlignment="1">
      <alignment horizontal="center" vertical="center" wrapText="1"/>
    </xf>
    <xf numFmtId="165" fontId="35" fillId="10" borderId="27" xfId="65" applyNumberFormat="1" applyFont="1" applyFill="1" applyBorder="1" applyAlignment="1">
      <alignment horizontal="center" vertical="center" wrapText="1"/>
    </xf>
    <xf numFmtId="169" fontId="35" fillId="5" borderId="27" xfId="65" quotePrefix="1" applyNumberFormat="1" applyFont="1" applyFill="1" applyBorder="1" applyAlignment="1">
      <alignment horizontal="left" vertical="center"/>
    </xf>
    <xf numFmtId="169" fontId="35" fillId="5" borderId="27" xfId="65" quotePrefix="1" applyNumberFormat="1" applyFont="1" applyFill="1" applyBorder="1" applyAlignment="1">
      <alignment vertical="center"/>
    </xf>
    <xf numFmtId="169" fontId="35" fillId="11" borderId="27" xfId="65" quotePrefix="1" applyNumberFormat="1" applyFont="1" applyFill="1" applyBorder="1" applyAlignment="1">
      <alignment horizontal="left" vertical="center"/>
    </xf>
    <xf numFmtId="0" fontId="35" fillId="11" borderId="27" xfId="65" applyFont="1" applyFill="1" applyBorder="1" applyAlignment="1">
      <alignment vertical="center" wrapText="1"/>
    </xf>
    <xf numFmtId="169" fontId="35" fillId="11" borderId="27" xfId="65" applyNumberFormat="1" applyFont="1" applyFill="1" applyBorder="1" applyAlignment="1">
      <alignment vertical="center"/>
    </xf>
    <xf numFmtId="3" fontId="35" fillId="11" borderId="27" xfId="65" applyNumberFormat="1" applyFont="1" applyFill="1" applyBorder="1" applyAlignment="1">
      <alignment horizontal="center" vertical="center" wrapText="1"/>
    </xf>
    <xf numFmtId="0" fontId="35" fillId="11" borderId="27" xfId="65" applyFont="1" applyFill="1" applyBorder="1" applyAlignment="1">
      <alignment horizontal="center" vertical="center" wrapText="1"/>
    </xf>
    <xf numFmtId="3" fontId="33" fillId="12" borderId="27" xfId="65" applyNumberFormat="1" applyFont="1" applyFill="1" applyBorder="1" applyAlignment="1">
      <alignment horizontal="center" vertical="center" wrapText="1"/>
    </xf>
    <xf numFmtId="3" fontId="35" fillId="12" borderId="27" xfId="65" applyNumberFormat="1" applyFont="1" applyFill="1" applyBorder="1" applyAlignment="1">
      <alignment horizontal="center" vertical="center" wrapText="1"/>
    </xf>
    <xf numFmtId="165" fontId="33" fillId="11" borderId="27" xfId="65" applyNumberFormat="1" applyFont="1" applyFill="1" applyBorder="1" applyAlignment="1">
      <alignment horizontal="center" vertical="center" wrapText="1"/>
    </xf>
    <xf numFmtId="165" fontId="35" fillId="11" borderId="27" xfId="65" applyNumberFormat="1" applyFont="1" applyFill="1" applyBorder="1" applyAlignment="1">
      <alignment horizontal="center" vertical="center" wrapText="1"/>
    </xf>
    <xf numFmtId="166" fontId="35" fillId="11" borderId="27" xfId="65" applyNumberFormat="1" applyFont="1" applyFill="1" applyBorder="1" applyAlignment="1">
      <alignment horizontal="center" vertical="center" wrapText="1"/>
    </xf>
    <xf numFmtId="2" fontId="33" fillId="11" borderId="27" xfId="65" applyNumberFormat="1" applyFont="1" applyFill="1" applyBorder="1" applyAlignment="1">
      <alignment horizontal="center" vertical="center" wrapText="1"/>
    </xf>
    <xf numFmtId="2" fontId="35" fillId="11" borderId="27" xfId="65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horizontal="left" vertical="center" wrapText="1"/>
    </xf>
    <xf numFmtId="166" fontId="16" fillId="7" borderId="27" xfId="65" applyNumberFormat="1" applyFont="1" applyFill="1" applyBorder="1" applyAlignment="1">
      <alignment horizontal="center" vertical="center" wrapText="1"/>
    </xf>
    <xf numFmtId="166" fontId="9" fillId="7" borderId="27" xfId="65" applyNumberForma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 wrapText="1"/>
    </xf>
    <xf numFmtId="3" fontId="9" fillId="5" borderId="27" xfId="65" applyNumberFormat="1" applyFill="1" applyBorder="1" applyAlignment="1">
      <alignment horizontal="center" vertical="center" wrapText="1"/>
    </xf>
    <xf numFmtId="2" fontId="33" fillId="5" borderId="27" xfId="65" applyNumberFormat="1" applyFont="1" applyFill="1" applyBorder="1" applyAlignment="1">
      <alignment horizontal="center" vertical="center" wrapText="1"/>
    </xf>
    <xf numFmtId="2" fontId="35" fillId="5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horizontal="left" vertical="center" wrapText="1"/>
    </xf>
    <xf numFmtId="1" fontId="16" fillId="9" borderId="27" xfId="65" applyNumberFormat="1" applyFont="1" applyFill="1" applyBorder="1" applyAlignment="1">
      <alignment horizontal="center" vertical="center" wrapText="1"/>
    </xf>
    <xf numFmtId="1" fontId="9" fillId="9" borderId="27" xfId="65" applyNumberFormat="1" applyFill="1" applyBorder="1" applyAlignment="1">
      <alignment horizontal="center" vertical="center" wrapText="1"/>
    </xf>
    <xf numFmtId="165" fontId="9" fillId="9" borderId="27" xfId="65" applyNumberFormat="1" applyFill="1" applyBorder="1" applyAlignment="1">
      <alignment horizontal="center" vertical="center" wrapText="1"/>
    </xf>
    <xf numFmtId="2" fontId="16" fillId="5" borderId="27" xfId="65" applyNumberFormat="1" applyFont="1" applyFill="1" applyBorder="1" applyAlignment="1">
      <alignment horizontal="center" vertical="center" wrapText="1"/>
    </xf>
    <xf numFmtId="2" fontId="9" fillId="5" borderId="27" xfId="65" applyNumberFormat="1" applyFill="1" applyBorder="1" applyAlignment="1">
      <alignment horizontal="center" vertical="center" wrapText="1"/>
    </xf>
    <xf numFmtId="166" fontId="9" fillId="5" borderId="27" xfId="65" applyNumberFormat="1" applyFill="1" applyBorder="1" applyAlignment="1">
      <alignment horizontal="center" vertical="center" wrapText="1"/>
    </xf>
    <xf numFmtId="166" fontId="16" fillId="5" borderId="27" xfId="65" applyNumberFormat="1" applyFont="1" applyFill="1" applyBorder="1" applyAlignment="1">
      <alignment horizontal="center" vertical="center" wrapText="1"/>
    </xf>
    <xf numFmtId="171" fontId="9" fillId="5" borderId="27" xfId="65" applyNumberFormat="1" applyFill="1" applyBorder="1" applyAlignment="1">
      <alignment horizontal="center" vertical="center" wrapText="1"/>
    </xf>
    <xf numFmtId="165" fontId="16" fillId="5" borderId="27" xfId="65" applyNumberFormat="1" applyFont="1" applyFill="1" applyBorder="1" applyAlignment="1">
      <alignment horizontal="center" vertical="center" wrapText="1"/>
    </xf>
    <xf numFmtId="165" fontId="9" fillId="5" borderId="27" xfId="65" applyNumberFormat="1" applyFill="1" applyBorder="1" applyAlignment="1">
      <alignment horizontal="center" vertical="center" wrapText="1"/>
    </xf>
    <xf numFmtId="170" fontId="9" fillId="5" borderId="27" xfId="65" applyNumberFormat="1" applyFill="1" applyBorder="1" applyAlignment="1">
      <alignment horizontal="center" vertical="center" wrapText="1"/>
    </xf>
    <xf numFmtId="3" fontId="16" fillId="9" borderId="27" xfId="65" applyNumberFormat="1" applyFont="1" applyFill="1" applyBorder="1" applyAlignment="1">
      <alignment horizontal="center" vertical="center" wrapText="1"/>
    </xf>
    <xf numFmtId="3" fontId="9" fillId="9" borderId="27" xfId="65" applyNumberFormat="1" applyFill="1" applyBorder="1" applyAlignment="1">
      <alignment horizontal="center" vertical="center" wrapText="1"/>
    </xf>
    <xf numFmtId="165" fontId="33" fillId="5" borderId="27" xfId="65" applyNumberFormat="1" applyFont="1" applyFill="1" applyBorder="1" applyAlignment="1">
      <alignment horizontal="center" vertical="center" wrapText="1"/>
    </xf>
    <xf numFmtId="165" fontId="35" fillId="5" borderId="27" xfId="65" applyNumberFormat="1" applyFont="1" applyFill="1" applyBorder="1" applyAlignment="1">
      <alignment horizontal="center" vertical="center" wrapText="1"/>
    </xf>
    <xf numFmtId="165" fontId="16" fillId="9" borderId="27" xfId="65" applyNumberFormat="1" applyFont="1" applyFill="1" applyBorder="1" applyAlignment="1">
      <alignment horizontal="center" vertical="center" wrapText="1"/>
    </xf>
    <xf numFmtId="170" fontId="16" fillId="5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vertical="center"/>
    </xf>
    <xf numFmtId="2" fontId="9" fillId="7" borderId="27" xfId="65" applyNumberFormat="1" applyFill="1" applyBorder="1" applyAlignment="1">
      <alignment horizontal="center" vertical="center" wrapText="1"/>
    </xf>
    <xf numFmtId="3" fontId="16" fillId="5" borderId="27" xfId="65" applyNumberFormat="1" applyFont="1" applyFill="1" applyBorder="1" applyAlignment="1">
      <alignment horizontal="center" vertical="center" wrapText="1"/>
    </xf>
    <xf numFmtId="1" fontId="9" fillId="5" borderId="27" xfId="65" applyNumberFormat="1" applyFill="1" applyBorder="1" applyAlignment="1">
      <alignment horizontal="center" vertical="center" wrapText="1"/>
    </xf>
    <xf numFmtId="1" fontId="16" fillId="5" borderId="27" xfId="65" applyNumberFormat="1" applyFont="1" applyFill="1" applyBorder="1" applyAlignment="1">
      <alignment horizontal="center" vertical="center" wrapText="1"/>
    </xf>
    <xf numFmtId="3" fontId="33" fillId="5" borderId="27" xfId="65" applyNumberFormat="1" applyFont="1" applyFill="1" applyBorder="1" applyAlignment="1">
      <alignment horizontal="center" vertical="center" wrapText="1"/>
    </xf>
    <xf numFmtId="0" fontId="36" fillId="11" borderId="27" xfId="65" applyFont="1" applyFill="1" applyBorder="1" applyAlignment="1">
      <alignment horizontal="left" vertical="center" wrapText="1"/>
    </xf>
    <xf numFmtId="167" fontId="35" fillId="5" borderId="27" xfId="65" applyNumberFormat="1" applyFont="1" applyFill="1" applyBorder="1" applyAlignment="1">
      <alignment horizontal="center" vertical="center" wrapText="1"/>
    </xf>
    <xf numFmtId="166" fontId="38" fillId="7" borderId="27" xfId="65" applyNumberFormat="1" applyFont="1" applyFill="1" applyBorder="1" applyAlignment="1">
      <alignment vertical="center" wrapText="1"/>
    </xf>
    <xf numFmtId="2" fontId="38" fillId="7" borderId="27" xfId="65" applyNumberFormat="1" applyFont="1" applyFill="1" applyBorder="1" applyAlignment="1">
      <alignment vertical="center" wrapText="1"/>
    </xf>
    <xf numFmtId="0" fontId="35" fillId="9" borderId="27" xfId="65" applyFont="1" applyFill="1" applyBorder="1" applyAlignment="1">
      <alignment horizontal="center" vertical="center" wrapText="1"/>
    </xf>
    <xf numFmtId="0" fontId="9" fillId="9" borderId="27" xfId="65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/>
    </xf>
    <xf numFmtId="169" fontId="9" fillId="11" borderId="27" xfId="65" applyNumberFormat="1" applyFill="1" applyBorder="1" applyAlignment="1">
      <alignment horizontal="left" vertical="center"/>
    </xf>
    <xf numFmtId="0" fontId="9" fillId="11" borderId="27" xfId="65" applyFill="1" applyBorder="1" applyAlignment="1">
      <alignment vertical="center" wrapText="1"/>
    </xf>
    <xf numFmtId="169" fontId="9" fillId="11" borderId="27" xfId="65" applyNumberFormat="1" applyFill="1" applyBorder="1" applyAlignment="1">
      <alignment vertical="center"/>
    </xf>
    <xf numFmtId="3" fontId="9" fillId="11" borderId="27" xfId="65" applyNumberFormat="1" applyFill="1" applyBorder="1" applyAlignment="1">
      <alignment horizontal="center" vertical="center" wrapText="1"/>
    </xf>
    <xf numFmtId="0" fontId="9" fillId="11" borderId="27" xfId="65" applyFill="1" applyBorder="1" applyAlignment="1">
      <alignment horizontal="center" vertical="center" wrapText="1"/>
    </xf>
    <xf numFmtId="3" fontId="16" fillId="12" borderId="27" xfId="65" applyNumberFormat="1" applyFont="1" applyFill="1" applyBorder="1" applyAlignment="1">
      <alignment horizontal="center" vertical="center" wrapText="1"/>
    </xf>
    <xf numFmtId="3" fontId="9" fillId="12" borderId="27" xfId="65" applyNumberFormat="1" applyFill="1" applyBorder="1" applyAlignment="1">
      <alignment horizontal="center" vertical="center" wrapText="1"/>
    </xf>
    <xf numFmtId="165" fontId="16" fillId="11" borderId="27" xfId="65" applyNumberFormat="1" applyFont="1" applyFill="1" applyBorder="1" applyAlignment="1">
      <alignment horizontal="center" vertical="center" wrapText="1"/>
    </xf>
    <xf numFmtId="165" fontId="9" fillId="11" borderId="27" xfId="65" applyNumberFormat="1" applyFill="1" applyBorder="1" applyAlignment="1">
      <alignment horizontal="center" vertical="center" wrapText="1"/>
    </xf>
    <xf numFmtId="166" fontId="9" fillId="11" borderId="27" xfId="65" applyNumberFormat="1" applyFill="1" applyBorder="1" applyAlignment="1">
      <alignment horizontal="center" vertical="center" wrapText="1"/>
    </xf>
    <xf numFmtId="2" fontId="16" fillId="11" borderId="27" xfId="65" applyNumberFormat="1" applyFont="1" applyFill="1" applyBorder="1" applyAlignment="1">
      <alignment horizontal="center" vertical="center" wrapText="1"/>
    </xf>
    <xf numFmtId="2" fontId="9" fillId="11" borderId="27" xfId="65" applyNumberFormat="1" applyFill="1" applyBorder="1" applyAlignment="1">
      <alignment horizontal="center" vertical="center" wrapText="1"/>
    </xf>
    <xf numFmtId="0" fontId="18" fillId="11" borderId="27" xfId="65" applyFont="1" applyFill="1" applyBorder="1" applyAlignment="1">
      <alignment horizontal="left" vertical="center" wrapText="1"/>
    </xf>
    <xf numFmtId="167" fontId="9" fillId="9" borderId="27" xfId="65" applyNumberFormat="1" applyFill="1" applyBorder="1" applyAlignment="1">
      <alignment horizontal="center" vertical="center" wrapText="1"/>
    </xf>
    <xf numFmtId="165" fontId="35" fillId="12" borderId="27" xfId="65" applyNumberFormat="1" applyFont="1" applyFill="1" applyBorder="1" applyAlignment="1">
      <alignment horizontal="center" vertical="center" wrapText="1"/>
    </xf>
    <xf numFmtId="170" fontId="35" fillId="11" borderId="27" xfId="65" applyNumberFormat="1" applyFont="1" applyFill="1" applyBorder="1" applyAlignment="1">
      <alignment horizontal="center" vertical="center" wrapText="1"/>
    </xf>
    <xf numFmtId="165" fontId="9" fillId="12" borderId="27" xfId="65" applyNumberFormat="1" applyFill="1" applyBorder="1" applyAlignment="1">
      <alignment horizontal="center" vertical="center" wrapText="1"/>
    </xf>
    <xf numFmtId="170" fontId="9" fillId="11" borderId="27" xfId="65" applyNumberFormat="1" applyFill="1" applyBorder="1" applyAlignment="1">
      <alignment horizontal="center" vertical="center" wrapText="1"/>
    </xf>
    <xf numFmtId="1" fontId="35" fillId="11" borderId="27" xfId="65" applyNumberFormat="1" applyFont="1" applyFill="1" applyBorder="1" applyAlignment="1">
      <alignment horizontal="center" vertical="center" wrapText="1"/>
    </xf>
    <xf numFmtId="1" fontId="16" fillId="12" borderId="27" xfId="65" applyNumberFormat="1" applyFont="1" applyFill="1" applyBorder="1" applyAlignment="1">
      <alignment horizontal="center" vertical="center" wrapText="1"/>
    </xf>
    <xf numFmtId="1" fontId="9" fillId="12" borderId="27" xfId="65" applyNumberFormat="1" applyFill="1" applyBorder="1" applyAlignment="1">
      <alignment horizontal="center" vertical="center" wrapText="1"/>
    </xf>
    <xf numFmtId="166" fontId="16" fillId="11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left" vertical="center" wrapText="1"/>
    </xf>
    <xf numFmtId="169" fontId="35" fillId="11" borderId="27" xfId="65" applyNumberFormat="1" applyFont="1" applyFill="1" applyBorder="1" applyAlignment="1">
      <alignment horizontal="left" vertical="center"/>
    </xf>
    <xf numFmtId="1" fontId="33" fillId="12" borderId="27" xfId="65" applyNumberFormat="1" applyFont="1" applyFill="1" applyBorder="1" applyAlignment="1">
      <alignment horizontal="center" vertical="center" wrapText="1"/>
    </xf>
    <xf numFmtId="1" fontId="35" fillId="12" borderId="27" xfId="65" applyNumberFormat="1" applyFont="1" applyFill="1" applyBorder="1" applyAlignment="1">
      <alignment horizontal="center" vertical="center" wrapText="1"/>
    </xf>
    <xf numFmtId="166" fontId="33" fillId="11" borderId="27" xfId="65" applyNumberFormat="1" applyFont="1" applyFill="1" applyBorder="1" applyAlignment="1">
      <alignment horizontal="center" vertical="center" wrapText="1"/>
    </xf>
    <xf numFmtId="165" fontId="16" fillId="7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vertical="center" wrapText="1"/>
    </xf>
    <xf numFmtId="0" fontId="9" fillId="5" borderId="0" xfId="65" applyFill="1"/>
    <xf numFmtId="0" fontId="16" fillId="5" borderId="0" xfId="65" applyFont="1" applyFill="1"/>
    <xf numFmtId="0" fontId="16" fillId="5" borderId="0" xfId="65" applyFont="1" applyFill="1" applyAlignment="1">
      <alignment horizontal="center"/>
    </xf>
    <xf numFmtId="0" fontId="18" fillId="5" borderId="12" xfId="65" applyFont="1" applyFill="1" applyBorder="1" applyAlignment="1">
      <alignment horizontal="left"/>
    </xf>
    <xf numFmtId="0" fontId="10" fillId="5" borderId="0" xfId="66" applyFont="1" applyFill="1"/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0" fontId="15" fillId="3" borderId="10" xfId="66" applyFont="1" applyFill="1" applyBorder="1" applyAlignment="1">
      <alignment horizontal="right"/>
    </xf>
    <xf numFmtId="0" fontId="13" fillId="5" borderId="0" xfId="66" applyFont="1" applyFill="1"/>
    <xf numFmtId="0" fontId="16" fillId="5" borderId="15" xfId="65" applyFont="1" applyFill="1" applyBorder="1" applyAlignment="1">
      <alignment wrapText="1"/>
    </xf>
    <xf numFmtId="0" fontId="9" fillId="5" borderId="0" xfId="66" applyFill="1"/>
    <xf numFmtId="0" fontId="27" fillId="5" borderId="20" xfId="65" applyFont="1" applyFill="1" applyBorder="1" applyAlignment="1">
      <alignment vertical="center" wrapText="1"/>
    </xf>
    <xf numFmtId="0" fontId="9" fillId="5" borderId="0" xfId="66" applyFill="1" applyAlignment="1">
      <alignment vertical="center"/>
    </xf>
    <xf numFmtId="0" fontId="24" fillId="5" borderId="0" xfId="66" applyFont="1" applyFill="1" applyAlignment="1">
      <alignment vertical="center"/>
    </xf>
    <xf numFmtId="0" fontId="27" fillId="5" borderId="23" xfId="65" applyFont="1" applyFill="1" applyBorder="1" applyAlignment="1">
      <alignment vertical="top" wrapText="1"/>
    </xf>
    <xf numFmtId="168" fontId="16" fillId="7" borderId="27" xfId="111" quotePrefix="1" applyNumberFormat="1" applyFont="1" applyFill="1" applyBorder="1" applyAlignment="1">
      <alignment vertical="center" wrapText="1"/>
    </xf>
    <xf numFmtId="168" fontId="16" fillId="7" borderId="27" xfId="111" applyNumberFormat="1" applyFont="1" applyFill="1" applyBorder="1" applyAlignment="1">
      <alignment vertical="center" wrapText="1"/>
    </xf>
    <xf numFmtId="0" fontId="16" fillId="7" borderId="27" xfId="111" applyFont="1" applyFill="1" applyBorder="1" applyAlignment="1">
      <alignment vertical="center" wrapText="1"/>
    </xf>
    <xf numFmtId="169" fontId="9" fillId="5" borderId="27" xfId="111" applyNumberFormat="1" applyFill="1" applyBorder="1" applyAlignment="1">
      <alignment vertical="center"/>
    </xf>
    <xf numFmtId="0" fontId="9" fillId="5" borderId="27" xfId="111" applyFill="1" applyBorder="1" applyAlignment="1">
      <alignment vertical="center" wrapText="1"/>
    </xf>
    <xf numFmtId="0" fontId="9" fillId="5" borderId="27" xfId="111" applyFill="1" applyBorder="1" applyAlignment="1">
      <alignment horizontal="center" vertical="center" wrapText="1"/>
    </xf>
    <xf numFmtId="3" fontId="16" fillId="6" borderId="27" xfId="66" applyNumberFormat="1" applyFont="1" applyFill="1" applyBorder="1" applyAlignment="1">
      <alignment horizontal="center" vertical="center" wrapText="1"/>
    </xf>
    <xf numFmtId="169" fontId="9" fillId="5" borderId="27" xfId="111" quotePrefix="1" applyNumberFormat="1" applyFill="1" applyBorder="1" applyAlignment="1">
      <alignment vertical="center"/>
    </xf>
    <xf numFmtId="0" fontId="16" fillId="5" borderId="0" xfId="66" applyFont="1" applyFill="1"/>
    <xf numFmtId="0" fontId="16" fillId="5" borderId="0" xfId="66" applyFont="1" applyFill="1" applyAlignment="1">
      <alignment horizontal="center"/>
    </xf>
    <xf numFmtId="0" fontId="38" fillId="5" borderId="0" xfId="66" applyFont="1" applyFill="1" applyAlignment="1">
      <alignment horizontal="center"/>
    </xf>
    <xf numFmtId="0" fontId="18" fillId="5" borderId="0" xfId="66" applyFont="1" applyFill="1" applyAlignment="1">
      <alignment horizontal="left"/>
    </xf>
    <xf numFmtId="0" fontId="5" fillId="0" borderId="0" xfId="0" applyFont="1" applyAlignment="1">
      <alignment wrapText="1"/>
    </xf>
    <xf numFmtId="2" fontId="4" fillId="0" borderId="0" xfId="0" applyNumberFormat="1" applyFont="1"/>
    <xf numFmtId="0" fontId="10" fillId="3" borderId="3" xfId="65" applyFont="1" applyFill="1" applyBorder="1" applyAlignment="1">
      <alignment horizontal="left"/>
    </xf>
    <xf numFmtId="11" fontId="11" fillId="3" borderId="4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center"/>
    </xf>
    <xf numFmtId="11" fontId="10" fillId="3" borderId="5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left"/>
    </xf>
    <xf numFmtId="11" fontId="12" fillId="3" borderId="5" xfId="66" applyNumberFormat="1" applyFont="1" applyFill="1" applyBorder="1" applyAlignment="1">
      <alignment horizontal="center"/>
    </xf>
    <xf numFmtId="11" fontId="12" fillId="3" borderId="6" xfId="66" applyNumberFormat="1" applyFont="1" applyFill="1" applyBorder="1" applyAlignment="1">
      <alignment horizontal="right"/>
    </xf>
    <xf numFmtId="0" fontId="13" fillId="3" borderId="24" xfId="65" applyFont="1" applyFill="1" applyBorder="1"/>
    <xf numFmtId="0" fontId="14" fillId="3" borderId="25" xfId="66" applyFont="1" applyFill="1" applyBorder="1" applyAlignment="1">
      <alignment horizontal="left"/>
    </xf>
    <xf numFmtId="11" fontId="13" fillId="3" borderId="9" xfId="66" applyNumberFormat="1" applyFont="1" applyFill="1" applyBorder="1"/>
    <xf numFmtId="11" fontId="57" fillId="3" borderId="9" xfId="66" applyNumberFormat="1" applyFont="1" applyFill="1" applyBorder="1"/>
    <xf numFmtId="0" fontId="14" fillId="5" borderId="0" xfId="66" applyFont="1" applyFill="1" applyAlignment="1">
      <alignment horizontal="left"/>
    </xf>
    <xf numFmtId="0" fontId="9" fillId="5" borderId="14" xfId="66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left" vertical="center" wrapText="1"/>
    </xf>
    <xf numFmtId="0" fontId="9" fillId="5" borderId="0" xfId="66" applyFill="1" applyAlignment="1">
      <alignment wrapText="1"/>
    </xf>
    <xf numFmtId="11" fontId="9" fillId="5" borderId="0" xfId="66" applyNumberFormat="1" applyFill="1" applyAlignment="1">
      <alignment wrapText="1"/>
    </xf>
    <xf numFmtId="0" fontId="9" fillId="5" borderId="0" xfId="66" applyFill="1" applyAlignment="1">
      <alignment vertical="center" wrapText="1"/>
    </xf>
    <xf numFmtId="11" fontId="20" fillId="5" borderId="33" xfId="66" applyNumberFormat="1" applyFont="1" applyFill="1" applyBorder="1" applyAlignment="1">
      <alignment horizontal="centerContinuous" vertical="center" wrapText="1"/>
    </xf>
    <xf numFmtId="11" fontId="20" fillId="5" borderId="34" xfId="66" applyNumberFormat="1" applyFont="1" applyFill="1" applyBorder="1" applyAlignment="1">
      <alignment horizontal="centerContinuous" vertical="center" wrapText="1"/>
    </xf>
    <xf numFmtId="11" fontId="21" fillId="5" borderId="27" xfId="66" applyNumberFormat="1" applyFont="1" applyFill="1" applyBorder="1" applyAlignment="1">
      <alignment horizontal="center" vertical="center" wrapText="1"/>
    </xf>
    <xf numFmtId="11" fontId="21" fillId="5" borderId="15" xfId="66" applyNumberFormat="1" applyFont="1" applyFill="1" applyBorder="1" applyAlignment="1">
      <alignment horizontal="center" vertical="top" wrapText="1"/>
    </xf>
    <xf numFmtId="0" fontId="9" fillId="5" borderId="15" xfId="66" applyFill="1" applyBorder="1"/>
    <xf numFmtId="0" fontId="38" fillId="5" borderId="15" xfId="66" applyFont="1" applyFill="1" applyBorder="1" applyAlignment="1">
      <alignment horizontal="center"/>
    </xf>
    <xf numFmtId="11" fontId="21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/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0" xfId="65" applyFill="1" applyBorder="1"/>
    <xf numFmtId="11" fontId="27" fillId="5" borderId="21" xfId="66" applyNumberFormat="1" applyFont="1" applyFill="1" applyBorder="1" applyAlignment="1">
      <alignment vertical="top" wrapText="1"/>
    </xf>
    <xf numFmtId="11" fontId="27" fillId="5" borderId="20" xfId="66" applyNumberFormat="1" applyFont="1" applyFill="1" applyBorder="1" applyAlignment="1">
      <alignment horizontal="center" vertical="top" wrapText="1"/>
    </xf>
    <xf numFmtId="11" fontId="28" fillId="5" borderId="20" xfId="66" applyNumberFormat="1" applyFont="1" applyFill="1" applyBorder="1" applyAlignment="1">
      <alignment vertical="top" wrapText="1"/>
    </xf>
    <xf numFmtId="11" fontId="28" fillId="6" borderId="15" xfId="66" applyNumberFormat="1" applyFont="1" applyFill="1" applyBorder="1" applyAlignment="1">
      <alignment horizontal="center" vertical="center" wrapText="1"/>
    </xf>
    <xf numFmtId="11" fontId="24" fillId="6" borderId="15" xfId="66" applyNumberFormat="1" applyFont="1" applyFill="1" applyBorder="1" applyAlignment="1">
      <alignment horizontal="center" vertical="center" wrapText="1"/>
    </xf>
    <xf numFmtId="11" fontId="24" fillId="10" borderId="15" xfId="66" applyNumberFormat="1" applyFont="1" applyFill="1" applyBorder="1" applyAlignment="1">
      <alignment horizontal="center" vertical="center" wrapText="1"/>
    </xf>
    <xf numFmtId="11" fontId="28" fillId="5" borderId="6" xfId="66" applyNumberFormat="1" applyFont="1" applyFill="1" applyBorder="1" applyAlignment="1">
      <alignment horizontal="center" vertical="center" wrapText="1"/>
    </xf>
    <xf numFmtId="11" fontId="24" fillId="5" borderId="15" xfId="66" applyNumberFormat="1" applyFont="1" applyFill="1" applyBorder="1" applyAlignment="1">
      <alignment horizontal="center" vertical="center" wrapText="1"/>
    </xf>
    <xf numFmtId="11" fontId="28" fillId="5" borderId="15" xfId="66" applyNumberFormat="1" applyFont="1" applyFill="1" applyBorder="1" applyAlignment="1">
      <alignment horizontal="center" vertical="center" wrapText="1"/>
    </xf>
    <xf numFmtId="11" fontId="22" fillId="5" borderId="15" xfId="66" applyNumberFormat="1" applyFont="1" applyFill="1" applyBorder="1" applyAlignment="1">
      <alignment horizontal="center" vertical="top" wrapText="1"/>
    </xf>
    <xf numFmtId="11" fontId="23" fillId="5" borderId="20" xfId="66" applyNumberFormat="1" applyFont="1" applyFill="1" applyBorder="1" applyAlignment="1">
      <alignment horizontal="left" vertical="center" wrapText="1"/>
    </xf>
    <xf numFmtId="11" fontId="20" fillId="5" borderId="20" xfId="66" applyNumberFormat="1" applyFont="1" applyFill="1" applyBorder="1" applyAlignment="1">
      <alignment vertical="top" wrapText="1"/>
    </xf>
    <xf numFmtId="11" fontId="29" fillId="6" borderId="20" xfId="66" applyNumberFormat="1" applyFont="1" applyFill="1" applyBorder="1" applyAlignment="1">
      <alignment horizontal="center" vertical="center" wrapText="1"/>
    </xf>
    <xf numFmtId="11" fontId="30" fillId="6" borderId="20" xfId="66" applyNumberFormat="1" applyFont="1" applyFill="1" applyBorder="1" applyAlignment="1">
      <alignment horizontal="center" vertical="center" wrapText="1"/>
    </xf>
    <xf numFmtId="11" fontId="29" fillId="5" borderId="12" xfId="66" applyNumberFormat="1" applyFont="1" applyFill="1" applyBorder="1" applyAlignment="1">
      <alignment horizontal="center" vertical="center" wrapText="1"/>
    </xf>
    <xf numFmtId="11" fontId="30" fillId="5" borderId="20" xfId="66" applyNumberFormat="1" applyFont="1" applyFill="1" applyBorder="1" applyAlignment="1">
      <alignment horizontal="center" vertical="center" wrapText="1"/>
    </xf>
    <xf numFmtId="11" fontId="29" fillId="5" borderId="20" xfId="66" applyNumberFormat="1" applyFont="1" applyFill="1" applyBorder="1" applyAlignment="1">
      <alignment horizontal="center" vertical="center" wrapText="1"/>
    </xf>
    <xf numFmtId="11" fontId="22" fillId="5" borderId="20" xfId="66" applyNumberFormat="1" applyFont="1" applyFill="1" applyBorder="1" applyAlignment="1">
      <alignment horizontal="center" vertical="top" wrapText="1"/>
    </xf>
    <xf numFmtId="11" fontId="27" fillId="5" borderId="7" xfId="66" applyNumberFormat="1" applyFont="1" applyFill="1" applyBorder="1" applyAlignment="1">
      <alignment vertical="top" wrapText="1"/>
    </xf>
    <xf numFmtId="11" fontId="27" fillId="5" borderId="23" xfId="66" applyNumberFormat="1" applyFont="1" applyFill="1" applyBorder="1" applyAlignment="1">
      <alignment horizontal="center" vertical="top" wrapText="1"/>
    </xf>
    <xf numFmtId="11" fontId="21" fillId="5" borderId="23" xfId="66" applyNumberFormat="1" applyFont="1" applyFill="1" applyBorder="1" applyAlignment="1">
      <alignment vertical="top" wrapText="1"/>
    </xf>
    <xf numFmtId="11" fontId="24" fillId="6" borderId="23" xfId="66" applyNumberFormat="1" applyFont="1" applyFill="1" applyBorder="1" applyAlignment="1">
      <alignment horizontal="center" vertical="center" wrapText="1"/>
    </xf>
    <xf numFmtId="3" fontId="31" fillId="5" borderId="10" xfId="66" applyNumberFormat="1" applyFont="1" applyFill="1" applyBorder="1" applyAlignment="1">
      <alignment horizontal="center" vertical="center" wrapText="1"/>
    </xf>
    <xf numFmtId="11" fontId="22" fillId="5" borderId="23" xfId="66" applyNumberFormat="1" applyFont="1" applyFill="1" applyBorder="1" applyAlignment="1">
      <alignment horizontal="center" vertical="top" wrapText="1"/>
    </xf>
    <xf numFmtId="11" fontId="23" fillId="5" borderId="23" xfId="66" applyNumberFormat="1" applyFont="1" applyFill="1" applyBorder="1" applyAlignment="1">
      <alignment horizontal="left" vertical="center" wrapText="1"/>
    </xf>
    <xf numFmtId="0" fontId="9" fillId="5" borderId="21" xfId="66" applyFill="1" applyBorder="1"/>
    <xf numFmtId="0" fontId="16" fillId="7" borderId="27" xfId="111" quotePrefix="1" applyFont="1" applyFill="1" applyBorder="1" applyAlignment="1">
      <alignment vertical="center" wrapText="1"/>
    </xf>
    <xf numFmtId="11" fontId="16" fillId="18" borderId="27" xfId="66" applyNumberFormat="1" applyFont="1" applyFill="1" applyBorder="1" applyAlignment="1">
      <alignment vertical="center" wrapText="1"/>
    </xf>
    <xf numFmtId="11" fontId="16" fillId="18" borderId="23" xfId="66" applyNumberFormat="1" applyFont="1" applyFill="1" applyBorder="1" applyAlignment="1">
      <alignment horizontal="center" vertical="center" wrapText="1"/>
    </xf>
    <xf numFmtId="11" fontId="38" fillId="18" borderId="23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horizontal="center" vertical="center"/>
    </xf>
    <xf numFmtId="11" fontId="38" fillId="18" borderId="27" xfId="66" applyNumberFormat="1" applyFon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vertical="center" wrapText="1"/>
    </xf>
    <xf numFmtId="11" fontId="9" fillId="5" borderId="27" xfId="66" applyNumberFormat="1" applyFill="1" applyBorder="1" applyAlignment="1">
      <alignment horizontal="center" vertical="center" shrinkToFit="1"/>
    </xf>
    <xf numFmtId="11" fontId="35" fillId="5" borderId="27" xfId="66" applyNumberFormat="1" applyFont="1" applyFill="1" applyBorder="1" applyAlignment="1">
      <alignment horizontal="center" vertical="center" shrinkToFit="1"/>
    </xf>
    <xf numFmtId="166" fontId="33" fillId="6" borderId="27" xfId="66" applyNumberFormat="1" applyFont="1" applyFill="1" applyBorder="1" applyAlignment="1">
      <alignment horizontal="center" vertical="center"/>
    </xf>
    <xf numFmtId="165" fontId="35" fillId="6" borderId="27" xfId="66" applyNumberFormat="1" applyFont="1" applyFill="1" applyBorder="1" applyAlignment="1">
      <alignment horizontal="center" vertical="center" wrapText="1"/>
    </xf>
    <xf numFmtId="0" fontId="35" fillId="6" borderId="27" xfId="66" applyFont="1" applyFill="1" applyBorder="1" applyAlignment="1">
      <alignment horizontal="center" vertical="center" wrapText="1"/>
    </xf>
    <xf numFmtId="2" fontId="33" fillId="5" borderId="27" xfId="66" applyNumberFormat="1" applyFont="1" applyFill="1" applyBorder="1" applyAlignment="1">
      <alignment horizontal="center" vertical="center" wrapText="1"/>
    </xf>
    <xf numFmtId="2" fontId="35" fillId="5" borderId="27" xfId="66" applyNumberFormat="1" applyFont="1" applyFill="1" applyBorder="1" applyAlignment="1">
      <alignment horizontal="center" vertical="center" wrapText="1"/>
    </xf>
    <xf numFmtId="0" fontId="35" fillId="5" borderId="27" xfId="66" applyFont="1" applyFill="1" applyBorder="1" applyAlignment="1">
      <alignment horizontal="center" vertical="center" wrapText="1"/>
    </xf>
    <xf numFmtId="170" fontId="33" fillId="5" borderId="27" xfId="66" applyNumberFormat="1" applyFont="1" applyFill="1" applyBorder="1" applyAlignment="1">
      <alignment horizontal="center" vertical="center" wrapText="1"/>
    </xf>
    <xf numFmtId="170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center" vertical="center" shrinkToFit="1"/>
    </xf>
    <xf numFmtId="11" fontId="36" fillId="5" borderId="27" xfId="66" applyNumberFormat="1" applyFont="1" applyFill="1" applyBorder="1" applyAlignment="1">
      <alignment horizontal="left" vertical="center" wrapText="1"/>
    </xf>
    <xf numFmtId="11" fontId="9" fillId="5" borderId="27" xfId="66" applyNumberFormat="1" applyFill="1" applyBorder="1" applyAlignment="1">
      <alignment vertical="center" wrapText="1"/>
    </xf>
    <xf numFmtId="165" fontId="33" fillId="6" borderId="27" xfId="66" applyNumberFormat="1" applyFont="1" applyFill="1" applyBorder="1" applyAlignment="1">
      <alignment horizontal="center" vertical="center" wrapText="1"/>
    </xf>
    <xf numFmtId="1" fontId="35" fillId="6" borderId="27" xfId="66" applyNumberFormat="1" applyFont="1" applyFill="1" applyBorder="1" applyAlignment="1">
      <alignment horizontal="center" vertical="center" wrapText="1"/>
    </xf>
    <xf numFmtId="166" fontId="33" fillId="5" borderId="27" xfId="66" applyNumberFormat="1" applyFont="1" applyFill="1" applyBorder="1" applyAlignment="1">
      <alignment horizontal="center" vertical="center" wrapText="1"/>
    </xf>
    <xf numFmtId="166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left" vertical="center" wrapText="1"/>
    </xf>
    <xf numFmtId="165" fontId="16" fillId="6" borderId="27" xfId="66" applyNumberFormat="1" applyFont="1" applyFill="1" applyBorder="1" applyAlignment="1">
      <alignment horizontal="center" vertical="center" wrapText="1"/>
    </xf>
    <xf numFmtId="165" fontId="9" fillId="6" borderId="27" xfId="66" applyNumberFormat="1" applyFill="1" applyBorder="1" applyAlignment="1">
      <alignment horizontal="center" vertical="center" wrapText="1"/>
    </xf>
    <xf numFmtId="0" fontId="9" fillId="6" borderId="27" xfId="66" applyFill="1" applyBorder="1" applyAlignment="1">
      <alignment horizontal="center" vertical="center" wrapText="1"/>
    </xf>
    <xf numFmtId="166" fontId="16" fillId="5" borderId="27" xfId="66" applyNumberFormat="1" applyFont="1" applyFill="1" applyBorder="1" applyAlignment="1">
      <alignment horizontal="center" vertical="center" wrapText="1"/>
    </xf>
    <xf numFmtId="166" fontId="9" fillId="5" borderId="27" xfId="66" applyNumberFormat="1" applyFill="1" applyBorder="1" applyAlignment="1">
      <alignment horizontal="center" vertical="center" wrapText="1"/>
    </xf>
    <xf numFmtId="0" fontId="9" fillId="5" borderId="27" xfId="66" applyFill="1" applyBorder="1" applyAlignment="1">
      <alignment horizontal="center" vertical="center" wrapText="1"/>
    </xf>
    <xf numFmtId="170" fontId="16" fillId="5" borderId="27" xfId="66" applyNumberFormat="1" applyFont="1" applyFill="1" applyBorder="1" applyAlignment="1">
      <alignment horizontal="center" vertical="center" wrapText="1"/>
    </xf>
    <xf numFmtId="170" fontId="9" fillId="5" borderId="27" xfId="66" applyNumberFormat="1" applyFill="1" applyBorder="1" applyAlignment="1">
      <alignment horizontal="center" vertical="center" wrapText="1"/>
    </xf>
    <xf numFmtId="2" fontId="16" fillId="5" borderId="27" xfId="66" applyNumberFormat="1" applyFont="1" applyFill="1" applyBorder="1" applyAlignment="1">
      <alignment horizontal="center" vertical="center" wrapText="1"/>
    </xf>
    <xf numFmtId="2" fontId="9" fillId="5" borderId="27" xfId="66" applyNumberFormat="1" applyFill="1" applyBorder="1" applyAlignment="1">
      <alignment horizontal="center" vertical="center" wrapText="1"/>
    </xf>
    <xf numFmtId="1" fontId="9" fillId="6" borderId="27" xfId="66" applyNumberFormat="1" applyFill="1" applyBorder="1" applyAlignment="1">
      <alignment horizontal="center" vertical="center" wrapText="1"/>
    </xf>
    <xf numFmtId="11" fontId="16" fillId="18" borderId="27" xfId="66" applyNumberFormat="1" applyFont="1" applyFill="1" applyBorder="1" applyAlignment="1">
      <alignment horizontal="center" vertical="center" shrinkToFit="1"/>
    </xf>
    <xf numFmtId="11" fontId="9" fillId="18" borderId="27" xfId="66" applyNumberForma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center" vertical="center" shrinkToFit="1"/>
    </xf>
    <xf numFmtId="11" fontId="9" fillId="5" borderId="27" xfId="66" applyNumberFormat="1" applyFill="1" applyBorder="1" applyAlignment="1">
      <alignment horizontal="center" vertical="center" wrapText="1"/>
    </xf>
    <xf numFmtId="1" fontId="33" fillId="6" borderId="27" xfId="66" applyNumberFormat="1" applyFont="1" applyFill="1" applyBorder="1" applyAlignment="1">
      <alignment horizontal="center" vertical="center" wrapText="1"/>
    </xf>
    <xf numFmtId="2" fontId="33" fillId="5" borderId="27" xfId="131" applyNumberFormat="1" applyFont="1" applyFill="1" applyBorder="1" applyAlignment="1">
      <alignment horizontal="center" vertical="center" wrapText="1"/>
    </xf>
    <xf numFmtId="2" fontId="35" fillId="5" borderId="27" xfId="131" applyNumberFormat="1" applyFont="1" applyFill="1" applyBorder="1" applyAlignment="1">
      <alignment horizontal="center"/>
    </xf>
    <xf numFmtId="166" fontId="35" fillId="5" borderId="27" xfId="131" applyNumberFormat="1" applyFont="1" applyFill="1" applyBorder="1" applyAlignment="1">
      <alignment horizontal="center"/>
    </xf>
    <xf numFmtId="166" fontId="33" fillId="5" borderId="27" xfId="131" applyNumberFormat="1" applyFont="1" applyFill="1" applyBorder="1" applyAlignment="1">
      <alignment horizontal="center" vertical="center" wrapText="1"/>
    </xf>
    <xf numFmtId="170" fontId="35" fillId="5" borderId="27" xfId="131" applyNumberFormat="1" applyFont="1" applyFill="1" applyBorder="1" applyAlignment="1">
      <alignment horizontal="center"/>
    </xf>
    <xf numFmtId="171" fontId="35" fillId="5" borderId="27" xfId="131" applyNumberFormat="1" applyFont="1" applyFill="1" applyBorder="1" applyAlignment="1">
      <alignment horizontal="center"/>
    </xf>
    <xf numFmtId="11" fontId="9" fillId="5" borderId="0" xfId="66" applyNumberFormat="1" applyFill="1"/>
    <xf numFmtId="169" fontId="35" fillId="5" borderId="27" xfId="111" quotePrefix="1" applyNumberFormat="1" applyFont="1" applyFill="1" applyBorder="1" applyAlignment="1">
      <alignment vertical="center"/>
    </xf>
    <xf numFmtId="11" fontId="36" fillId="5" borderId="27" xfId="66" applyNumberFormat="1" applyFont="1" applyFill="1" applyBorder="1" applyAlignment="1">
      <alignment horizontal="center" vertical="center" shrinkToFit="1"/>
    </xf>
    <xf numFmtId="0" fontId="35" fillId="5" borderId="0" xfId="66" applyFont="1" applyFill="1"/>
    <xf numFmtId="11" fontId="35" fillId="5" borderId="0" xfId="66" applyNumberFormat="1" applyFont="1" applyFill="1"/>
    <xf numFmtId="0" fontId="35" fillId="5" borderId="0" xfId="66" applyFont="1" applyFill="1" applyAlignment="1">
      <alignment vertical="center"/>
    </xf>
    <xf numFmtId="1" fontId="16" fillId="6" borderId="27" xfId="66" applyNumberFormat="1" applyFont="1" applyFill="1" applyBorder="1" applyAlignment="1">
      <alignment horizontal="center" vertical="center" wrapText="1"/>
    </xf>
    <xf numFmtId="166" fontId="16" fillId="5" borderId="27" xfId="131" applyNumberFormat="1" applyFont="1" applyFill="1" applyBorder="1" applyAlignment="1">
      <alignment horizontal="center" vertical="center" wrapText="1"/>
    </xf>
    <xf numFmtId="166" fontId="9" fillId="5" borderId="27" xfId="131" applyNumberFormat="1" applyFont="1" applyFill="1" applyBorder="1" applyAlignment="1">
      <alignment horizontal="center"/>
    </xf>
    <xf numFmtId="170" fontId="9" fillId="5" borderId="27" xfId="131" applyNumberFormat="1" applyFont="1" applyFill="1" applyBorder="1" applyAlignment="1">
      <alignment horizontal="center"/>
    </xf>
    <xf numFmtId="170" fontId="16" fillId="5" borderId="27" xfId="131" applyNumberFormat="1" applyFont="1" applyFill="1" applyBorder="1" applyAlignment="1">
      <alignment horizontal="center" vertical="center" wrapText="1"/>
    </xf>
    <xf numFmtId="171" fontId="9" fillId="5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 vertical="center" wrapText="1"/>
    </xf>
    <xf numFmtId="165" fontId="9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 vertical="center" wrapText="1"/>
    </xf>
    <xf numFmtId="2" fontId="9" fillId="5" borderId="27" xfId="131" applyNumberFormat="1" applyFont="1" applyFill="1" applyBorder="1" applyAlignment="1">
      <alignment horizontal="center"/>
    </xf>
    <xf numFmtId="3" fontId="16" fillId="5" borderId="27" xfId="131" applyNumberFormat="1" applyFont="1" applyFill="1" applyBorder="1" applyAlignment="1">
      <alignment horizontal="center" vertical="center" wrapText="1"/>
    </xf>
    <xf numFmtId="1" fontId="9" fillId="5" borderId="27" xfId="131" applyNumberFormat="1" applyFont="1" applyFill="1" applyBorder="1" applyAlignment="1">
      <alignment horizontal="center"/>
    </xf>
    <xf numFmtId="192" fontId="9" fillId="5" borderId="27" xfId="131" applyNumberFormat="1" applyFont="1" applyFill="1" applyBorder="1" applyAlignment="1">
      <alignment horizontal="center"/>
    </xf>
    <xf numFmtId="171" fontId="16" fillId="5" borderId="27" xfId="131" applyNumberFormat="1" applyFont="1" applyFill="1" applyBorder="1" applyAlignment="1">
      <alignment horizontal="center" vertical="center" wrapText="1"/>
    </xf>
    <xf numFmtId="1" fontId="9" fillId="6" borderId="27" xfId="131" applyNumberFormat="1" applyFont="1" applyFill="1" applyBorder="1" applyAlignment="1">
      <alignment horizontal="center"/>
    </xf>
    <xf numFmtId="2" fontId="9" fillId="6" borderId="27" xfId="131" applyNumberFormat="1" applyFont="1" applyFill="1" applyBorder="1" applyAlignment="1">
      <alignment horizontal="center"/>
    </xf>
    <xf numFmtId="165" fontId="9" fillId="6" borderId="27" xfId="131" applyNumberFormat="1" applyFont="1" applyFill="1" applyBorder="1" applyAlignment="1">
      <alignment horizontal="center"/>
    </xf>
    <xf numFmtId="171" fontId="16" fillId="5" borderId="27" xfId="66" applyNumberFormat="1" applyFont="1" applyFill="1" applyBorder="1" applyAlignment="1">
      <alignment horizontal="center" vertical="center" wrapText="1"/>
    </xf>
    <xf numFmtId="166" fontId="9" fillId="6" borderId="27" xfId="131" applyNumberFormat="1" applyFont="1" applyFill="1" applyBorder="1" applyAlignment="1">
      <alignment horizontal="center"/>
    </xf>
    <xf numFmtId="3" fontId="9" fillId="6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/>
    </xf>
    <xf numFmtId="1" fontId="16" fillId="5" borderId="27" xfId="131" applyNumberFormat="1" applyFont="1" applyFill="1" applyBorder="1" applyAlignment="1">
      <alignment horizontal="center"/>
    </xf>
    <xf numFmtId="166" fontId="16" fillId="5" borderId="27" xfId="131" applyNumberFormat="1" applyFont="1" applyFill="1" applyBorder="1" applyAlignment="1">
      <alignment horizontal="center"/>
    </xf>
    <xf numFmtId="166" fontId="28" fillId="5" borderId="27" xfId="66" applyNumberFormat="1" applyFont="1" applyFill="1" applyBorder="1" applyAlignment="1">
      <alignment horizontal="center" vertical="center" wrapText="1"/>
    </xf>
    <xf numFmtId="11" fontId="47" fillId="5" borderId="0" xfId="66" applyNumberFormat="1" applyFont="1" applyFill="1" applyAlignment="1">
      <alignment vertical="center" wrapText="1"/>
    </xf>
    <xf numFmtId="11" fontId="47" fillId="5" borderId="0" xfId="66" applyNumberFormat="1" applyFont="1" applyFill="1" applyAlignment="1">
      <alignment horizontal="center" vertical="center" wrapText="1"/>
    </xf>
    <xf numFmtId="11" fontId="2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left" vertical="center" wrapText="1"/>
    </xf>
    <xf numFmtId="0" fontId="5" fillId="21" borderId="0" xfId="0" applyFont="1" applyFill="1"/>
    <xf numFmtId="0" fontId="5" fillId="21" borderId="0" xfId="0" applyFont="1" applyFill="1" applyAlignment="1">
      <alignment wrapText="1"/>
    </xf>
    <xf numFmtId="0" fontId="4" fillId="21" borderId="0" xfId="0" applyFont="1" applyFill="1"/>
    <xf numFmtId="2" fontId="5" fillId="0" borderId="0" xfId="0" applyNumberFormat="1" applyFont="1"/>
    <xf numFmtId="0" fontId="4" fillId="0" borderId="0" xfId="0" applyFont="1" applyAlignment="1">
      <alignment horizontal="left" wrapText="1"/>
    </xf>
    <xf numFmtId="169" fontId="66" fillId="5" borderId="27" xfId="65" applyNumberFormat="1" applyFont="1" applyFill="1" applyBorder="1" applyAlignment="1">
      <alignment horizontal="left" vertical="center"/>
    </xf>
    <xf numFmtId="0" fontId="66" fillId="5" borderId="27" xfId="65" applyFont="1" applyFill="1" applyBorder="1" applyAlignment="1">
      <alignment horizontal="left" vertical="center" wrapText="1"/>
    </xf>
    <xf numFmtId="0" fontId="66" fillId="5" borderId="0" xfId="65" applyFont="1" applyFill="1" applyAlignment="1">
      <alignment horizontal="left" vertical="center" wrapText="1"/>
    </xf>
    <xf numFmtId="169" fontId="66" fillId="5" borderId="27" xfId="65" quotePrefix="1" applyNumberFormat="1" applyFont="1" applyFill="1" applyBorder="1" applyAlignment="1">
      <alignment horizontal="left" vertical="center"/>
    </xf>
    <xf numFmtId="169" fontId="9" fillId="5" borderId="0" xfId="111" applyNumberFormat="1" applyFill="1" applyAlignment="1">
      <alignment vertical="center"/>
    </xf>
    <xf numFmtId="169" fontId="66" fillId="5" borderId="0" xfId="111" applyNumberFormat="1" applyFont="1" applyFill="1" applyAlignment="1">
      <alignment vertical="center"/>
    </xf>
    <xf numFmtId="0" fontId="4" fillId="0" borderId="38" xfId="0" applyFont="1" applyBorder="1"/>
    <xf numFmtId="169" fontId="66" fillId="5" borderId="39" xfId="65" applyNumberFormat="1" applyFont="1" applyFill="1" applyBorder="1" applyAlignment="1">
      <alignment horizontal="left" vertical="center"/>
    </xf>
    <xf numFmtId="169" fontId="9" fillId="5" borderId="39" xfId="65" applyNumberFormat="1" applyFill="1" applyBorder="1" applyAlignment="1">
      <alignment horizontal="left" vertical="center"/>
    </xf>
    <xf numFmtId="0" fontId="65" fillId="0" borderId="0" xfId="0" applyFont="1"/>
    <xf numFmtId="0" fontId="66" fillId="0" borderId="0" xfId="65" applyFont="1" applyAlignment="1">
      <alignment horizontal="left" vertical="center" wrapText="1"/>
    </xf>
    <xf numFmtId="0" fontId="66" fillId="0" borderId="0" xfId="0" applyFont="1"/>
    <xf numFmtId="0" fontId="66" fillId="5" borderId="38" xfId="65" applyFont="1" applyFill="1" applyBorder="1" applyAlignment="1">
      <alignment horizontal="left" vertical="center" wrapText="1"/>
    </xf>
    <xf numFmtId="0" fontId="66" fillId="0" borderId="0" xfId="65" applyFont="1" applyAlignment="1">
      <alignment vertical="center" wrapText="1"/>
    </xf>
    <xf numFmtId="0" fontId="4" fillId="0" borderId="38" xfId="0" applyFont="1" applyBorder="1" applyAlignment="1">
      <alignment wrapText="1"/>
    </xf>
    <xf numFmtId="3" fontId="33" fillId="9" borderId="27" xfId="111" applyNumberFormat="1" applyFont="1" applyFill="1" applyBorder="1" applyAlignment="1">
      <alignment horizontal="center" vertical="center" wrapText="1"/>
    </xf>
    <xf numFmtId="3" fontId="9" fillId="9" borderId="27" xfId="111" applyNumberFormat="1" applyFill="1" applyBorder="1" applyAlignment="1">
      <alignment horizontal="center" vertical="center" wrapText="1"/>
    </xf>
    <xf numFmtId="3" fontId="35" fillId="9" borderId="27" xfId="111" applyNumberFormat="1" applyFont="1" applyFill="1" applyBorder="1" applyAlignment="1">
      <alignment horizontal="center" vertical="center" wrapText="1"/>
    </xf>
    <xf numFmtId="3" fontId="16" fillId="9" borderId="27" xfId="111" applyNumberFormat="1" applyFont="1" applyFill="1" applyBorder="1" applyAlignment="1">
      <alignment horizontal="center" vertical="center" wrapText="1"/>
    </xf>
    <xf numFmtId="0" fontId="31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horizontal="center" vertical="center" wrapText="1"/>
    </xf>
    <xf numFmtId="3" fontId="31" fillId="5" borderId="23" xfId="0" applyNumberFormat="1" applyFont="1" applyFill="1" applyBorder="1" applyAlignment="1">
      <alignment horizontal="center" vertical="center" wrapText="1"/>
    </xf>
    <xf numFmtId="0" fontId="31" fillId="5" borderId="20" xfId="65" applyFont="1" applyFill="1" applyBorder="1" applyAlignment="1">
      <alignment horizontal="center" vertical="center" wrapText="1"/>
    </xf>
    <xf numFmtId="0" fontId="25" fillId="5" borderId="6" xfId="65" applyFont="1" applyFill="1" applyBorder="1" applyAlignment="1">
      <alignment horizontal="center" vertical="center" wrapText="1"/>
    </xf>
    <xf numFmtId="0" fontId="35" fillId="5" borderId="12" xfId="65" applyFont="1" applyFill="1" applyBorder="1" applyAlignment="1">
      <alignment horizontal="center" vertical="center" wrapText="1"/>
    </xf>
    <xf numFmtId="0" fontId="25" fillId="5" borderId="12" xfId="65" applyFont="1" applyFill="1" applyBorder="1" applyAlignment="1">
      <alignment horizontal="center" vertical="center" wrapText="1"/>
    </xf>
    <xf numFmtId="167" fontId="31" fillId="5" borderId="23" xfId="0" applyNumberFormat="1" applyFont="1" applyFill="1" applyBorder="1" applyAlignment="1">
      <alignment horizontal="center" vertical="center" wrapText="1"/>
    </xf>
    <xf numFmtId="0" fontId="68" fillId="0" borderId="0" xfId="0" applyFont="1"/>
    <xf numFmtId="0" fontId="4" fillId="22" borderId="0" xfId="0" applyFont="1" applyFill="1" applyAlignment="1">
      <alignment horizontal="center"/>
    </xf>
    <xf numFmtId="0" fontId="4" fillId="0" borderId="43" xfId="0" applyFont="1" applyBorder="1"/>
    <xf numFmtId="0" fontId="4" fillId="0" borderId="43" xfId="0" applyFont="1" applyBorder="1" applyAlignment="1">
      <alignment wrapText="1"/>
    </xf>
    <xf numFmtId="0" fontId="10" fillId="5" borderId="47" xfId="66" applyFont="1" applyFill="1" applyBorder="1"/>
    <xf numFmtId="4" fontId="5" fillId="0" borderId="0" xfId="0" applyNumberFormat="1" applyFont="1"/>
    <xf numFmtId="0" fontId="4" fillId="22" borderId="0" xfId="0" applyFont="1" applyFill="1" applyAlignment="1">
      <alignment horizontal="center" wrapText="1"/>
    </xf>
    <xf numFmtId="169" fontId="9" fillId="24" borderId="27" xfId="65" applyNumberFormat="1" applyFill="1" applyBorder="1" applyAlignment="1">
      <alignment horizontal="left" vertical="center"/>
    </xf>
    <xf numFmtId="0" fontId="9" fillId="24" borderId="27" xfId="65" applyFill="1" applyBorder="1" applyAlignment="1">
      <alignment vertical="center" wrapText="1"/>
    </xf>
    <xf numFmtId="169" fontId="9" fillId="24" borderId="27" xfId="65" applyNumberFormat="1" applyFill="1" applyBorder="1" applyAlignment="1">
      <alignment vertical="center"/>
    </xf>
    <xf numFmtId="0" fontId="9" fillId="24" borderId="27" xfId="65" applyFill="1" applyBorder="1" applyAlignment="1">
      <alignment horizontal="center" vertical="center" wrapText="1"/>
    </xf>
    <xf numFmtId="3" fontId="33" fillId="26" borderId="27" xfId="65" applyNumberFormat="1" applyFont="1" applyFill="1" applyBorder="1" applyAlignment="1">
      <alignment horizontal="center" vertical="center" wrapText="1"/>
    </xf>
    <xf numFmtId="3" fontId="35" fillId="26" borderId="27" xfId="65" applyNumberFormat="1" applyFont="1" applyFill="1" applyBorder="1" applyAlignment="1">
      <alignment horizontal="center" vertical="center" wrapText="1"/>
    </xf>
    <xf numFmtId="165" fontId="35" fillId="26" borderId="27" xfId="65" applyNumberFormat="1" applyFont="1" applyFill="1" applyBorder="1" applyAlignment="1">
      <alignment horizontal="center" vertical="center" wrapText="1"/>
    </xf>
    <xf numFmtId="165" fontId="33" fillId="24" borderId="27" xfId="65" applyNumberFormat="1" applyFont="1" applyFill="1" applyBorder="1" applyAlignment="1">
      <alignment horizontal="center" vertical="center" wrapText="1"/>
    </xf>
    <xf numFmtId="165" fontId="35" fillId="24" borderId="27" xfId="65" applyNumberFormat="1" applyFont="1" applyFill="1" applyBorder="1" applyAlignment="1">
      <alignment horizontal="center" vertical="center" wrapText="1"/>
    </xf>
    <xf numFmtId="166" fontId="35" fillId="24" borderId="27" xfId="65" applyNumberFormat="1" applyFont="1" applyFill="1" applyBorder="1" applyAlignment="1">
      <alignment horizontal="center" vertical="center" wrapText="1"/>
    </xf>
    <xf numFmtId="2" fontId="33" fillId="24" borderId="27" xfId="65" applyNumberFormat="1" applyFont="1" applyFill="1" applyBorder="1" applyAlignment="1">
      <alignment horizontal="center" vertical="center" wrapText="1"/>
    </xf>
    <xf numFmtId="2" fontId="35" fillId="24" borderId="27" xfId="65" applyNumberFormat="1" applyFont="1" applyFill="1" applyBorder="1" applyAlignment="1">
      <alignment horizontal="center" vertical="center" wrapText="1"/>
    </xf>
    <xf numFmtId="170" fontId="35" fillId="24" borderId="27" xfId="65" applyNumberFormat="1" applyFont="1" applyFill="1" applyBorder="1" applyAlignment="1">
      <alignment horizontal="center" vertical="center" wrapText="1"/>
    </xf>
    <xf numFmtId="1" fontId="35" fillId="24" borderId="27" xfId="65" applyNumberFormat="1" applyFont="1" applyFill="1" applyBorder="1" applyAlignment="1">
      <alignment horizontal="center" vertical="center" wrapText="1"/>
    </xf>
    <xf numFmtId="0" fontId="18" fillId="24" borderId="27" xfId="65" applyFont="1" applyFill="1" applyBorder="1" applyAlignment="1">
      <alignment horizontal="left" vertical="center" wrapText="1"/>
    </xf>
    <xf numFmtId="0" fontId="9" fillId="24" borderId="0" xfId="65" applyFill="1" applyAlignment="1">
      <alignment vertical="center"/>
    </xf>
    <xf numFmtId="1" fontId="33" fillId="26" borderId="27" xfId="65" applyNumberFormat="1" applyFont="1" applyFill="1" applyBorder="1" applyAlignment="1">
      <alignment horizontal="center" vertical="center" wrapText="1"/>
    </xf>
    <xf numFmtId="1" fontId="35" fillId="26" borderId="27" xfId="65" applyNumberFormat="1" applyFont="1" applyFill="1" applyBorder="1" applyAlignment="1">
      <alignment horizontal="center" vertical="center" wrapText="1"/>
    </xf>
    <xf numFmtId="166" fontId="33" fillId="24" borderId="27" xfId="65" applyNumberFormat="1" applyFont="1" applyFill="1" applyBorder="1" applyAlignment="1">
      <alignment horizontal="center" vertical="center" wrapText="1"/>
    </xf>
    <xf numFmtId="1" fontId="33" fillId="24" borderId="27" xfId="65" applyNumberFormat="1" applyFont="1" applyFill="1" applyBorder="1" applyAlignment="1">
      <alignment horizontal="center" vertical="center" wrapText="1"/>
    </xf>
    <xf numFmtId="165" fontId="4" fillId="0" borderId="0" xfId="0" applyNumberFormat="1" applyFont="1"/>
    <xf numFmtId="0" fontId="0" fillId="27" borderId="0" xfId="0" applyFill="1"/>
    <xf numFmtId="0" fontId="0" fillId="27" borderId="53" xfId="0" applyFill="1" applyBorder="1"/>
    <xf numFmtId="0" fontId="0" fillId="27" borderId="54" xfId="0" applyFill="1" applyBorder="1"/>
    <xf numFmtId="0" fontId="0" fillId="27" borderId="55" xfId="0" applyFill="1" applyBorder="1"/>
    <xf numFmtId="0" fontId="0" fillId="27" borderId="56" xfId="0" applyFill="1" applyBorder="1"/>
    <xf numFmtId="0" fontId="73" fillId="27" borderId="55" xfId="0" applyFont="1" applyFill="1" applyBorder="1"/>
    <xf numFmtId="0" fontId="0" fillId="27" borderId="57" xfId="0" applyFill="1" applyBorder="1"/>
    <xf numFmtId="0" fontId="0" fillId="27" borderId="59" xfId="0" applyFill="1" applyBorder="1"/>
    <xf numFmtId="165" fontId="0" fillId="27" borderId="0" xfId="0" applyNumberFormat="1" applyFill="1"/>
    <xf numFmtId="0" fontId="0" fillId="0" borderId="56" xfId="0" applyBorder="1"/>
    <xf numFmtId="0" fontId="75" fillId="27" borderId="52" xfId="0" applyFont="1" applyFill="1" applyBorder="1"/>
    <xf numFmtId="0" fontId="74" fillId="27" borderId="55" xfId="0" applyFont="1" applyFill="1" applyBorder="1"/>
    <xf numFmtId="1" fontId="0" fillId="0" borderId="0" xfId="0" applyNumberFormat="1"/>
    <xf numFmtId="1" fontId="0" fillId="27" borderId="0" xfId="0" applyNumberFormat="1" applyFill="1"/>
    <xf numFmtId="3" fontId="73" fillId="0" borderId="0" xfId="0" applyNumberFormat="1" applyFont="1"/>
    <xf numFmtId="165" fontId="4" fillId="27" borderId="53" xfId="0" applyNumberFormat="1" applyFont="1" applyFill="1" applyBorder="1" applyAlignment="1">
      <alignment wrapText="1"/>
    </xf>
    <xf numFmtId="0" fontId="5" fillId="25" borderId="0" xfId="0" applyFont="1" applyFill="1"/>
    <xf numFmtId="165" fontId="5" fillId="25" borderId="0" xfId="0" applyNumberFormat="1" applyFont="1" applyFill="1"/>
    <xf numFmtId="0" fontId="4" fillId="0" borderId="58" xfId="0" applyFont="1" applyBorder="1"/>
    <xf numFmtId="165" fontId="4" fillId="0" borderId="58" xfId="0" applyNumberFormat="1" applyFont="1" applyBorder="1"/>
    <xf numFmtId="0" fontId="5" fillId="27" borderId="66" xfId="0" applyFont="1" applyFill="1" applyBorder="1" applyAlignment="1">
      <alignment wrapText="1"/>
    </xf>
    <xf numFmtId="0" fontId="5" fillId="27" borderId="67" xfId="0" applyFont="1" applyFill="1" applyBorder="1"/>
    <xf numFmtId="0" fontId="5" fillId="27" borderId="67" xfId="0" applyFont="1" applyFill="1" applyBorder="1" applyAlignment="1">
      <alignment wrapText="1"/>
    </xf>
    <xf numFmtId="0" fontId="4" fillId="27" borderId="67" xfId="0" applyFont="1" applyFill="1" applyBorder="1" applyAlignment="1">
      <alignment wrapText="1"/>
    </xf>
    <xf numFmtId="0" fontId="4" fillId="27" borderId="53" xfId="0" applyFont="1" applyFill="1" applyBorder="1" applyAlignment="1">
      <alignment wrapText="1"/>
    </xf>
    <xf numFmtId="0" fontId="5" fillId="27" borderId="53" xfId="0" applyFont="1" applyFill="1" applyBorder="1"/>
    <xf numFmtId="0" fontId="5" fillId="27" borderId="66" xfId="0" applyFont="1" applyFill="1" applyBorder="1" applyAlignment="1">
      <alignment vertical="top" wrapText="1"/>
    </xf>
    <xf numFmtId="0" fontId="67" fillId="27" borderId="67" xfId="0" applyFont="1" applyFill="1" applyBorder="1"/>
    <xf numFmtId="0" fontId="67" fillId="27" borderId="67" xfId="0" applyFont="1" applyFill="1" applyBorder="1" applyAlignment="1">
      <alignment wrapText="1"/>
    </xf>
    <xf numFmtId="0" fontId="67" fillId="27" borderId="67" xfId="0" applyFont="1" applyFill="1" applyBorder="1" applyAlignment="1">
      <alignment horizontal="left" vertical="top" wrapText="1"/>
    </xf>
    <xf numFmtId="2" fontId="67" fillId="27" borderId="67" xfId="0" applyNumberFormat="1" applyFont="1" applyFill="1" applyBorder="1"/>
    <xf numFmtId="0" fontId="4" fillId="27" borderId="53" xfId="0" applyFont="1" applyFill="1" applyBorder="1"/>
    <xf numFmtId="165" fontId="4" fillId="27" borderId="53" xfId="0" applyNumberFormat="1" applyFont="1" applyFill="1" applyBorder="1"/>
    <xf numFmtId="0" fontId="4" fillId="0" borderId="71" xfId="0" applyFont="1" applyBorder="1"/>
    <xf numFmtId="0" fontId="4" fillId="0" borderId="71" xfId="0" applyFont="1" applyBorder="1" applyAlignment="1">
      <alignment wrapText="1"/>
    </xf>
    <xf numFmtId="2" fontId="4" fillId="0" borderId="71" xfId="0" applyNumberFormat="1" applyFont="1" applyBorder="1"/>
    <xf numFmtId="0" fontId="4" fillId="27" borderId="67" xfId="0" applyFont="1" applyFill="1" applyBorder="1"/>
    <xf numFmtId="2" fontId="4" fillId="27" borderId="67" xfId="0" applyNumberFormat="1" applyFont="1" applyFill="1" applyBorder="1"/>
    <xf numFmtId="0" fontId="4" fillId="0" borderId="42" xfId="0" applyFont="1" applyBorder="1" applyAlignment="1">
      <alignment wrapText="1"/>
    </xf>
    <xf numFmtId="0" fontId="4" fillId="0" borderId="60" xfId="0" applyFont="1" applyBorder="1" applyAlignment="1">
      <alignment wrapText="1"/>
    </xf>
    <xf numFmtId="165" fontId="5" fillId="27" borderId="60" xfId="0" applyNumberFormat="1" applyFont="1" applyFill="1" applyBorder="1"/>
    <xf numFmtId="0" fontId="5" fillId="0" borderId="61" xfId="0" applyFont="1" applyBorder="1"/>
    <xf numFmtId="0" fontId="4" fillId="0" borderId="61" xfId="0" applyFont="1" applyBorder="1"/>
    <xf numFmtId="0" fontId="4" fillId="0" borderId="62" xfId="0" applyFont="1" applyBorder="1"/>
    <xf numFmtId="0" fontId="4" fillId="5" borderId="0" xfId="0" applyFont="1" applyFill="1"/>
    <xf numFmtId="0" fontId="5" fillId="5" borderId="0" xfId="0" applyFont="1" applyFill="1"/>
    <xf numFmtId="0" fontId="4" fillId="5" borderId="58" xfId="0" applyFont="1" applyFill="1" applyBorder="1"/>
    <xf numFmtId="0" fontId="4" fillId="0" borderId="37" xfId="0" applyFont="1" applyBorder="1"/>
    <xf numFmtId="0" fontId="0" fillId="27" borderId="0" xfId="0" applyFill="1" applyAlignment="1">
      <alignment wrapText="1"/>
    </xf>
    <xf numFmtId="0" fontId="4" fillId="27" borderId="37" xfId="0" applyFont="1" applyFill="1" applyBorder="1"/>
    <xf numFmtId="0" fontId="66" fillId="27" borderId="37" xfId="0" applyFont="1" applyFill="1" applyBorder="1"/>
    <xf numFmtId="1" fontId="4" fillId="27" borderId="64" xfId="0" applyNumberFormat="1" applyFont="1" applyFill="1" applyBorder="1"/>
    <xf numFmtId="0" fontId="4" fillId="25" borderId="37" xfId="0" applyFont="1" applyFill="1" applyBorder="1" applyAlignment="1">
      <alignment wrapText="1"/>
    </xf>
    <xf numFmtId="0" fontId="4" fillId="25" borderId="37" xfId="0" applyFont="1" applyFill="1" applyBorder="1"/>
    <xf numFmtId="0" fontId="73" fillId="27" borderId="0" xfId="0" applyFont="1" applyFill="1"/>
    <xf numFmtId="165" fontId="4" fillId="0" borderId="59" xfId="0" applyNumberFormat="1" applyFont="1" applyBorder="1"/>
    <xf numFmtId="165" fontId="4" fillId="0" borderId="56" xfId="0" applyNumberFormat="1" applyFont="1" applyBorder="1"/>
    <xf numFmtId="165" fontId="5" fillId="25" borderId="56" xfId="0" applyNumberFormat="1" applyFont="1" applyFill="1" applyBorder="1"/>
    <xf numFmtId="0" fontId="4" fillId="25" borderId="72" xfId="0" applyFont="1" applyFill="1" applyBorder="1" applyAlignment="1">
      <alignment wrapText="1"/>
    </xf>
    <xf numFmtId="165" fontId="4" fillId="27" borderId="54" xfId="0" applyNumberFormat="1" applyFont="1" applyFill="1" applyBorder="1"/>
    <xf numFmtId="165" fontId="4" fillId="27" borderId="67" xfId="0" applyNumberFormat="1" applyFont="1" applyFill="1" applyBorder="1" applyAlignment="1">
      <alignment wrapText="1"/>
    </xf>
    <xf numFmtId="2" fontId="4" fillId="25" borderId="72" xfId="0" applyNumberFormat="1" applyFont="1" applyFill="1" applyBorder="1"/>
    <xf numFmtId="2" fontId="66" fillId="0" borderId="72" xfId="0" applyNumberFormat="1" applyFont="1" applyBorder="1"/>
    <xf numFmtId="0" fontId="4" fillId="25" borderId="72" xfId="0" applyFont="1" applyFill="1" applyBorder="1"/>
    <xf numFmtId="0" fontId="4" fillId="25" borderId="0" xfId="0" applyFont="1" applyFill="1" applyAlignment="1">
      <alignment wrapText="1"/>
    </xf>
    <xf numFmtId="165" fontId="4" fillId="25" borderId="72" xfId="0" applyNumberFormat="1" applyFont="1" applyFill="1" applyBorder="1"/>
    <xf numFmtId="166" fontId="4" fillId="27" borderId="53" xfId="0" applyNumberFormat="1" applyFont="1" applyFill="1" applyBorder="1" applyAlignment="1">
      <alignment wrapText="1"/>
    </xf>
    <xf numFmtId="1" fontId="4" fillId="27" borderId="75" xfId="0" applyNumberFormat="1" applyFont="1" applyFill="1" applyBorder="1"/>
    <xf numFmtId="0" fontId="4" fillId="5" borderId="72" xfId="0" applyFont="1" applyFill="1" applyBorder="1"/>
    <xf numFmtId="0" fontId="4" fillId="27" borderId="72" xfId="0" applyFont="1" applyFill="1" applyBorder="1"/>
    <xf numFmtId="0" fontId="0" fillId="27" borderId="58" xfId="0" applyFill="1" applyBorder="1"/>
    <xf numFmtId="2" fontId="4" fillId="24" borderId="71" xfId="0" applyNumberFormat="1" applyFont="1" applyFill="1" applyBorder="1"/>
    <xf numFmtId="0" fontId="4" fillId="0" borderId="72" xfId="0" applyFont="1" applyBorder="1" applyAlignment="1">
      <alignment wrapText="1"/>
    </xf>
    <xf numFmtId="0" fontId="4" fillId="0" borderId="72" xfId="0" applyFont="1" applyBorder="1"/>
    <xf numFmtId="2" fontId="4" fillId="0" borderId="72" xfId="0" applyNumberFormat="1" applyFont="1" applyBorder="1"/>
    <xf numFmtId="2" fontId="5" fillId="0" borderId="72" xfId="0" applyNumberFormat="1" applyFont="1" applyBorder="1"/>
    <xf numFmtId="169" fontId="66" fillId="5" borderId="72" xfId="65" applyNumberFormat="1" applyFont="1" applyFill="1" applyBorder="1" applyAlignment="1">
      <alignment horizontal="left" vertical="center"/>
    </xf>
    <xf numFmtId="169" fontId="4" fillId="5" borderId="72" xfId="65" quotePrefix="1" applyNumberFormat="1" applyFont="1" applyFill="1" applyBorder="1" applyAlignment="1">
      <alignment horizontal="left" vertical="center"/>
    </xf>
    <xf numFmtId="0" fontId="66" fillId="5" borderId="72" xfId="65" applyFont="1" applyFill="1" applyBorder="1" applyAlignment="1">
      <alignment horizontal="left" vertical="center" wrapText="1"/>
    </xf>
    <xf numFmtId="2" fontId="67" fillId="0" borderId="72" xfId="0" applyNumberFormat="1" applyFont="1" applyBorder="1"/>
    <xf numFmtId="0" fontId="4" fillId="0" borderId="74" xfId="0" applyFont="1" applyBorder="1" applyAlignment="1">
      <alignment wrapText="1"/>
    </xf>
    <xf numFmtId="0" fontId="24" fillId="5" borderId="20" xfId="65" applyFont="1" applyFill="1" applyBorder="1" applyAlignment="1">
      <alignment vertical="center" wrapText="1"/>
    </xf>
    <xf numFmtId="0" fontId="4" fillId="0" borderId="32" xfId="0" applyFont="1" applyBorder="1"/>
    <xf numFmtId="0" fontId="4" fillId="0" borderId="29" xfId="0" applyFont="1" applyBorder="1"/>
    <xf numFmtId="0" fontId="4" fillId="0" borderId="73" xfId="0" applyFont="1" applyBorder="1"/>
    <xf numFmtId="0" fontId="5" fillId="27" borderId="37" xfId="0" applyFont="1" applyFill="1" applyBorder="1" applyAlignment="1">
      <alignment wrapText="1"/>
    </xf>
    <xf numFmtId="0" fontId="5" fillId="27" borderId="63" xfId="0" applyFont="1" applyFill="1" applyBorder="1" applyAlignment="1">
      <alignment wrapText="1"/>
    </xf>
    <xf numFmtId="0" fontId="77" fillId="27" borderId="55" xfId="0" applyFont="1" applyFill="1" applyBorder="1"/>
    <xf numFmtId="0" fontId="74" fillId="27" borderId="57" xfId="0" applyFont="1" applyFill="1" applyBorder="1"/>
    <xf numFmtId="0" fontId="74" fillId="27" borderId="76" xfId="0" applyFont="1" applyFill="1" applyBorder="1"/>
    <xf numFmtId="3" fontId="0" fillId="0" borderId="43" xfId="0" applyNumberFormat="1" applyBorder="1"/>
    <xf numFmtId="165" fontId="0" fillId="0" borderId="43" xfId="0" applyNumberFormat="1" applyBorder="1"/>
    <xf numFmtId="0" fontId="74" fillId="27" borderId="78" xfId="0" applyFont="1" applyFill="1" applyBorder="1"/>
    <xf numFmtId="9" fontId="0" fillId="0" borderId="46" xfId="134" applyFont="1" applyFill="1" applyBorder="1"/>
    <xf numFmtId="1" fontId="0" fillId="0" borderId="43" xfId="0" applyNumberFormat="1" applyBorder="1"/>
    <xf numFmtId="3" fontId="0" fillId="0" borderId="46" xfId="0" applyNumberFormat="1" applyBorder="1"/>
    <xf numFmtId="0" fontId="0" fillId="0" borderId="58" xfId="0" applyBorder="1"/>
    <xf numFmtId="0" fontId="0" fillId="0" borderId="59" xfId="0" applyBorder="1"/>
    <xf numFmtId="0" fontId="75" fillId="0" borderId="0" xfId="0" applyFont="1"/>
    <xf numFmtId="0" fontId="0" fillId="0" borderId="53" xfId="0" applyBorder="1"/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6" xfId="0" applyBorder="1" applyAlignment="1">
      <alignment horizontal="left"/>
    </xf>
    <xf numFmtId="0" fontId="0" fillId="0" borderId="59" xfId="0" applyBorder="1" applyAlignment="1">
      <alignment horizontal="left"/>
    </xf>
    <xf numFmtId="3" fontId="2" fillId="0" borderId="0" xfId="0" applyNumberFormat="1" applyFont="1" applyAlignment="1">
      <alignment horizontal="left"/>
    </xf>
    <xf numFmtId="194" fontId="2" fillId="0" borderId="0" xfId="0" applyNumberFormat="1" applyFont="1" applyAlignment="1">
      <alignment horizontal="left"/>
    </xf>
    <xf numFmtId="195" fontId="2" fillId="0" borderId="0" xfId="0" applyNumberFormat="1" applyFont="1" applyAlignment="1">
      <alignment horizontal="left"/>
    </xf>
    <xf numFmtId="0" fontId="0" fillId="0" borderId="65" xfId="0" applyBorder="1" applyAlignment="1">
      <alignment horizontal="right"/>
    </xf>
    <xf numFmtId="0" fontId="78" fillId="0" borderId="68" xfId="0" applyFont="1" applyBorder="1" applyAlignment="1">
      <alignment horizontal="right"/>
    </xf>
    <xf numFmtId="0" fontId="0" fillId="0" borderId="68" xfId="0" applyBorder="1" applyAlignment="1">
      <alignment horizontal="right"/>
    </xf>
    <xf numFmtId="0" fontId="78" fillId="0" borderId="69" xfId="0" applyFont="1" applyBorder="1" applyAlignment="1">
      <alignment horizontal="right"/>
    </xf>
    <xf numFmtId="0" fontId="0" fillId="0" borderId="40" xfId="0" applyBorder="1" applyAlignment="1">
      <alignment horizontal="right"/>
    </xf>
    <xf numFmtId="0" fontId="78" fillId="0" borderId="40" xfId="0" applyFont="1" applyBorder="1" applyAlignment="1">
      <alignment horizontal="right"/>
    </xf>
    <xf numFmtId="194" fontId="2" fillId="0" borderId="56" xfId="0" applyNumberFormat="1" applyFont="1" applyBorder="1" applyAlignment="1">
      <alignment horizontal="left"/>
    </xf>
    <xf numFmtId="196" fontId="2" fillId="0" borderId="56" xfId="0" applyNumberFormat="1" applyFont="1" applyBorder="1" applyAlignment="1">
      <alignment horizontal="left"/>
    </xf>
    <xf numFmtId="194" fontId="2" fillId="0" borderId="58" xfId="0" applyNumberFormat="1" applyFont="1" applyBorder="1" applyAlignment="1">
      <alignment horizontal="left"/>
    </xf>
    <xf numFmtId="0" fontId="0" fillId="0" borderId="72" xfId="0" applyBorder="1"/>
    <xf numFmtId="165" fontId="0" fillId="0" borderId="72" xfId="0" applyNumberFormat="1" applyBorder="1"/>
    <xf numFmtId="9" fontId="0" fillId="0" borderId="72" xfId="0" applyNumberFormat="1" applyBorder="1"/>
    <xf numFmtId="2" fontId="0" fillId="0" borderId="72" xfId="0" applyNumberFormat="1" applyBorder="1"/>
    <xf numFmtId="0" fontId="10" fillId="3" borderId="19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3" fontId="11" fillId="3" borderId="5" xfId="0" applyNumberFormat="1" applyFont="1" applyFill="1" applyBorder="1" applyAlignment="1">
      <alignment horizontal="center" vertical="center"/>
    </xf>
    <xf numFmtId="0" fontId="11" fillId="3" borderId="80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right" vertical="center"/>
    </xf>
    <xf numFmtId="0" fontId="10" fillId="5" borderId="0" xfId="0" applyFont="1" applyFill="1" applyAlignment="1">
      <alignment vertical="center"/>
    </xf>
    <xf numFmtId="0" fontId="13" fillId="3" borderId="81" xfId="0" applyFont="1" applyFill="1" applyBorder="1" applyAlignment="1">
      <alignment vertical="center"/>
    </xf>
    <xf numFmtId="0" fontId="13" fillId="3" borderId="82" xfId="0" applyFont="1" applyFill="1" applyBorder="1" applyAlignment="1">
      <alignment vertical="center"/>
    </xf>
    <xf numFmtId="0" fontId="13" fillId="3" borderId="84" xfId="0" applyFont="1" applyFill="1" applyBorder="1" applyAlignment="1">
      <alignment vertical="center"/>
    </xf>
    <xf numFmtId="0" fontId="14" fillId="3" borderId="85" xfId="0" applyFont="1" applyFill="1" applyBorder="1" applyAlignment="1">
      <alignment horizontal="right" vertical="center"/>
    </xf>
    <xf numFmtId="0" fontId="13" fillId="5" borderId="0" xfId="0" applyFont="1" applyFill="1" applyAlignment="1">
      <alignment vertical="center"/>
    </xf>
    <xf numFmtId="0" fontId="9" fillId="5" borderId="16" xfId="0" applyFont="1" applyFill="1" applyBorder="1" applyAlignment="1">
      <alignment vertical="center"/>
    </xf>
    <xf numFmtId="0" fontId="9" fillId="5" borderId="0" xfId="0" applyFont="1" applyFill="1" applyAlignment="1">
      <alignment vertical="center"/>
    </xf>
    <xf numFmtId="0" fontId="47" fillId="5" borderId="0" xfId="0" applyFont="1" applyFill="1" applyAlignment="1">
      <alignment vertical="center" wrapText="1"/>
    </xf>
    <xf numFmtId="0" fontId="47" fillId="5" borderId="0" xfId="0" applyFont="1" applyFill="1" applyAlignment="1">
      <alignment horizontal="center" vertical="center" wrapText="1"/>
    </xf>
    <xf numFmtId="0" fontId="47" fillId="5" borderId="13" xfId="0" applyFont="1" applyFill="1" applyBorder="1" applyAlignment="1">
      <alignment horizontal="left" vertical="center" wrapText="1"/>
    </xf>
    <xf numFmtId="0" fontId="20" fillId="10" borderId="15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vertical="center"/>
    </xf>
    <xf numFmtId="0" fontId="20" fillId="10" borderId="20" xfId="0" applyFont="1" applyFill="1" applyBorder="1" applyAlignment="1">
      <alignment horizontal="center" vertical="center" wrapText="1"/>
    </xf>
    <xf numFmtId="0" fontId="20" fillId="5" borderId="20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  <xf numFmtId="0" fontId="20" fillId="5" borderId="20" xfId="0" applyFont="1" applyFill="1" applyBorder="1" applyAlignment="1">
      <alignment vertical="center" wrapText="1"/>
    </xf>
    <xf numFmtId="0" fontId="9" fillId="5" borderId="23" xfId="65" applyFill="1" applyBorder="1" applyAlignment="1">
      <alignment vertical="center"/>
    </xf>
    <xf numFmtId="0" fontId="27" fillId="5" borderId="23" xfId="0" applyFont="1" applyFill="1" applyBorder="1" applyAlignment="1">
      <alignment vertical="center" wrapText="1"/>
    </xf>
    <xf numFmtId="0" fontId="27" fillId="5" borderId="23" xfId="0" applyFont="1" applyFill="1" applyBorder="1" applyAlignment="1">
      <alignment horizontal="center" vertical="center" wrapText="1"/>
    </xf>
    <xf numFmtId="0" fontId="20" fillId="5" borderId="23" xfId="0" applyFont="1" applyFill="1" applyBorder="1" applyAlignment="1">
      <alignment horizontal="center" vertical="center" wrapText="1"/>
    </xf>
    <xf numFmtId="167" fontId="24" fillId="10" borderId="23" xfId="0" applyNumberFormat="1" applyFont="1" applyFill="1" applyBorder="1" applyAlignment="1">
      <alignment horizontal="center" vertical="center" wrapText="1"/>
    </xf>
    <xf numFmtId="3" fontId="24" fillId="5" borderId="23" xfId="0" applyNumberFormat="1" applyFont="1" applyFill="1" applyBorder="1" applyAlignment="1">
      <alignment horizontal="center" vertical="center" wrapText="1"/>
    </xf>
    <xf numFmtId="167" fontId="24" fillId="5" borderId="23" xfId="0" applyNumberFormat="1" applyFont="1" applyFill="1" applyBorder="1" applyAlignment="1">
      <alignment horizontal="center" vertical="center" wrapText="1"/>
    </xf>
    <xf numFmtId="0" fontId="24" fillId="5" borderId="23" xfId="0" applyFont="1" applyFill="1" applyBorder="1" applyAlignment="1">
      <alignment vertical="center"/>
    </xf>
    <xf numFmtId="0" fontId="19" fillId="5" borderId="23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vertical="center"/>
    </xf>
    <xf numFmtId="0" fontId="16" fillId="18" borderId="27" xfId="0" applyFont="1" applyFill="1" applyBorder="1" applyAlignment="1">
      <alignment vertical="center"/>
    </xf>
    <xf numFmtId="0" fontId="16" fillId="18" borderId="27" xfId="0" applyFont="1" applyFill="1" applyBorder="1" applyAlignment="1">
      <alignment horizontal="center" vertical="center"/>
    </xf>
    <xf numFmtId="0" fontId="38" fillId="18" borderId="27" xfId="0" applyFont="1" applyFill="1" applyBorder="1" applyAlignment="1">
      <alignment vertical="center"/>
    </xf>
    <xf numFmtId="0" fontId="38" fillId="18" borderId="27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right" vertical="center"/>
    </xf>
    <xf numFmtId="0" fontId="35" fillId="5" borderId="27" xfId="111" quotePrefix="1" applyFont="1" applyFill="1" applyBorder="1" applyAlignment="1">
      <alignment horizontal="left" vertical="center" wrapText="1"/>
    </xf>
    <xf numFmtId="0" fontId="9" fillId="5" borderId="27" xfId="0" applyFont="1" applyFill="1" applyBorder="1" applyAlignment="1">
      <alignment vertical="center"/>
    </xf>
    <xf numFmtId="0" fontId="9" fillId="5" borderId="27" xfId="0" applyFont="1" applyFill="1" applyBorder="1" applyAlignment="1">
      <alignment horizontal="center" vertical="center"/>
    </xf>
    <xf numFmtId="166" fontId="16" fillId="6" borderId="27" xfId="0" applyNumberFormat="1" applyFont="1" applyFill="1" applyBorder="1" applyAlignment="1">
      <alignment horizontal="center" vertical="center"/>
    </xf>
    <xf numFmtId="2" fontId="16" fillId="5" borderId="27" xfId="0" applyNumberFormat="1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 shrinkToFit="1"/>
    </xf>
    <xf numFmtId="0" fontId="9" fillId="5" borderId="27" xfId="0" applyFont="1" applyFill="1" applyBorder="1" applyAlignment="1">
      <alignment horizontal="left" vertical="center"/>
    </xf>
    <xf numFmtId="166" fontId="33" fillId="6" borderId="27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169" fontId="35" fillId="5" borderId="27" xfId="111" applyNumberFormat="1" applyFont="1" applyFill="1" applyBorder="1" applyAlignment="1">
      <alignment vertical="center"/>
    </xf>
    <xf numFmtId="0" fontId="33" fillId="7" borderId="27" xfId="111" quotePrefix="1" applyFont="1" applyFill="1" applyBorder="1" applyAlignment="1">
      <alignment vertical="center" wrapText="1"/>
    </xf>
    <xf numFmtId="0" fontId="9" fillId="18" borderId="27" xfId="0" applyFont="1" applyFill="1" applyBorder="1" applyAlignment="1">
      <alignment horizontal="center" vertical="center"/>
    </xf>
    <xf numFmtId="2" fontId="16" fillId="8" borderId="27" xfId="0" applyNumberFormat="1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/>
    </xf>
    <xf numFmtId="0" fontId="35" fillId="5" borderId="27" xfId="0" applyFont="1" applyFill="1" applyBorder="1" applyAlignment="1">
      <alignment horizontal="center" vertical="center"/>
    </xf>
    <xf numFmtId="0" fontId="35" fillId="5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horizontal="left" vertical="center"/>
    </xf>
    <xf numFmtId="0" fontId="31" fillId="5" borderId="0" xfId="0" applyFont="1" applyFill="1" applyAlignment="1">
      <alignment vertical="center"/>
    </xf>
    <xf numFmtId="0" fontId="35" fillId="5" borderId="0" xfId="0" applyFont="1" applyFill="1" applyAlignment="1">
      <alignment vertical="center"/>
    </xf>
    <xf numFmtId="0" fontId="9" fillId="0" borderId="27" xfId="0" applyFont="1" applyBorder="1" applyAlignment="1">
      <alignment vertical="center"/>
    </xf>
    <xf numFmtId="0" fontId="80" fillId="18" borderId="27" xfId="0" applyFont="1" applyFill="1" applyBorder="1" applyAlignment="1">
      <alignment horizontal="center" vertical="center"/>
    </xf>
    <xf numFmtId="0" fontId="80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 wrapText="1"/>
    </xf>
    <xf numFmtId="0" fontId="9" fillId="5" borderId="27" xfId="0" applyFont="1" applyFill="1" applyBorder="1" applyAlignment="1">
      <alignment horizontal="left" vertical="center" shrinkToFit="1"/>
    </xf>
    <xf numFmtId="0" fontId="82" fillId="5" borderId="27" xfId="0" applyFont="1" applyFill="1" applyBorder="1" applyAlignment="1">
      <alignment vertical="center" wrapText="1"/>
    </xf>
    <xf numFmtId="49" fontId="9" fillId="5" borderId="27" xfId="111" applyNumberFormat="1" applyFill="1" applyBorder="1" applyAlignment="1">
      <alignment vertical="center"/>
    </xf>
    <xf numFmtId="169" fontId="35" fillId="5" borderId="15" xfId="111" applyNumberFormat="1" applyFont="1" applyFill="1" applyBorder="1" applyAlignment="1">
      <alignment vertical="center"/>
    </xf>
    <xf numFmtId="0" fontId="35" fillId="5" borderId="15" xfId="111" quotePrefix="1" applyFont="1" applyFill="1" applyBorder="1" applyAlignment="1">
      <alignment horizontal="left" vertical="center" wrapText="1"/>
    </xf>
    <xf numFmtId="0" fontId="35" fillId="5" borderId="15" xfId="0" applyFont="1" applyFill="1" applyBorder="1" applyAlignment="1">
      <alignment vertical="center"/>
    </xf>
    <xf numFmtId="0" fontId="35" fillId="5" borderId="15" xfId="0" applyFont="1" applyFill="1" applyBorder="1" applyAlignment="1">
      <alignment horizontal="center" vertical="center"/>
    </xf>
    <xf numFmtId="0" fontId="35" fillId="5" borderId="15" xfId="0" applyFont="1" applyFill="1" applyBorder="1" applyAlignment="1">
      <alignment horizontal="left" vertical="center"/>
    </xf>
    <xf numFmtId="0" fontId="20" fillId="5" borderId="0" xfId="0" applyFont="1" applyFill="1" applyAlignment="1">
      <alignment horizontal="center" vertical="center" wrapText="1"/>
    </xf>
    <xf numFmtId="0" fontId="9" fillId="5" borderId="0" xfId="0" applyFont="1" applyFill="1"/>
    <xf numFmtId="0" fontId="16" fillId="5" borderId="0" xfId="0" applyFont="1" applyFill="1"/>
    <xf numFmtId="0" fontId="16" fillId="5" borderId="0" xfId="0" applyFont="1" applyFill="1" applyAlignment="1">
      <alignment horizontal="center"/>
    </xf>
    <xf numFmtId="0" fontId="9" fillId="5" borderId="13" xfId="0" applyFont="1" applyFill="1" applyBorder="1" applyAlignment="1">
      <alignment horizontal="left"/>
    </xf>
    <xf numFmtId="166" fontId="0" fillId="0" borderId="72" xfId="0" applyNumberFormat="1" applyBorder="1"/>
    <xf numFmtId="3" fontId="0" fillId="0" borderId="72" xfId="0" applyNumberFormat="1" applyBorder="1"/>
    <xf numFmtId="0" fontId="0" fillId="0" borderId="72" xfId="0" applyBorder="1" applyAlignment="1">
      <alignment vertical="center"/>
    </xf>
    <xf numFmtId="4" fontId="0" fillId="0" borderId="72" xfId="0" applyNumberFormat="1" applyBorder="1" applyAlignment="1">
      <alignment horizontal="right" vertical="center"/>
    </xf>
    <xf numFmtId="2" fontId="0" fillId="0" borderId="0" xfId="0" applyNumberFormat="1"/>
    <xf numFmtId="198" fontId="2" fillId="0" borderId="56" xfId="0" applyNumberFormat="1" applyFont="1" applyBorder="1" applyAlignment="1">
      <alignment horizontal="left"/>
    </xf>
    <xf numFmtId="0" fontId="0" fillId="0" borderId="52" xfId="0" applyBorder="1"/>
    <xf numFmtId="197" fontId="2" fillId="0" borderId="54" xfId="0" applyNumberFormat="1" applyFont="1" applyBorder="1" applyAlignment="1">
      <alignment horizontal="left"/>
    </xf>
    <xf numFmtId="0" fontId="0" fillId="0" borderId="55" xfId="0" applyBorder="1"/>
    <xf numFmtId="0" fontId="0" fillId="0" borderId="57" xfId="0" applyBorder="1"/>
    <xf numFmtId="198" fontId="2" fillId="0" borderId="59" xfId="0" applyNumberFormat="1" applyFont="1" applyBorder="1" applyAlignment="1">
      <alignment horizontal="left"/>
    </xf>
    <xf numFmtId="165" fontId="0" fillId="0" borderId="0" xfId="0" applyNumberFormat="1"/>
    <xf numFmtId="2" fontId="5" fillId="27" borderId="60" xfId="0" applyNumberFormat="1" applyFont="1" applyFill="1" applyBorder="1"/>
    <xf numFmtId="0" fontId="0" fillId="27" borderId="0" xfId="0" applyFill="1" applyAlignment="1">
      <alignment horizontal="left"/>
    </xf>
    <xf numFmtId="0" fontId="4" fillId="0" borderId="44" xfId="0" applyFont="1" applyBorder="1"/>
    <xf numFmtId="0" fontId="4" fillId="0" borderId="40" xfId="0" applyFont="1" applyBorder="1"/>
    <xf numFmtId="0" fontId="5" fillId="27" borderId="37" xfId="0" applyFont="1" applyFill="1" applyBorder="1"/>
    <xf numFmtId="0" fontId="5" fillId="27" borderId="38" xfId="0" applyFont="1" applyFill="1" applyBorder="1"/>
    <xf numFmtId="0" fontId="4" fillId="25" borderId="38" xfId="0" applyFont="1" applyFill="1" applyBorder="1"/>
    <xf numFmtId="0" fontId="4" fillId="27" borderId="38" xfId="0" applyFont="1" applyFill="1" applyBorder="1"/>
    <xf numFmtId="0" fontId="5" fillId="27" borderId="63" xfId="0" applyFont="1" applyFill="1" applyBorder="1"/>
    <xf numFmtId="0" fontId="4" fillId="25" borderId="75" xfId="0" applyFont="1" applyFill="1" applyBorder="1"/>
    <xf numFmtId="0" fontId="4" fillId="27" borderId="75" xfId="0" applyFont="1" applyFill="1" applyBorder="1"/>
    <xf numFmtId="0" fontId="4" fillId="27" borderId="64" xfId="0" applyFont="1" applyFill="1" applyBorder="1"/>
    <xf numFmtId="0" fontId="4" fillId="0" borderId="44" xfId="0" applyFont="1" applyBorder="1" applyAlignment="1">
      <alignment wrapText="1"/>
    </xf>
    <xf numFmtId="0" fontId="4" fillId="0" borderId="40" xfId="0" applyFont="1" applyBorder="1" applyAlignment="1">
      <alignment wrapText="1"/>
    </xf>
    <xf numFmtId="2" fontId="5" fillId="27" borderId="0" xfId="0" applyNumberFormat="1" applyFont="1" applyFill="1"/>
    <xf numFmtId="0" fontId="0" fillId="5" borderId="0" xfId="0" applyFill="1"/>
    <xf numFmtId="0" fontId="5" fillId="5" borderId="72" xfId="0" applyFont="1" applyFill="1" applyBorder="1"/>
    <xf numFmtId="0" fontId="5" fillId="5" borderId="37" xfId="0" applyFont="1" applyFill="1" applyBorder="1" applyAlignment="1">
      <alignment wrapText="1"/>
    </xf>
    <xf numFmtId="0" fontId="4" fillId="5" borderId="37" xfId="0" applyFont="1" applyFill="1" applyBorder="1"/>
    <xf numFmtId="0" fontId="4" fillId="5" borderId="0" xfId="0" applyFont="1" applyFill="1" applyAlignment="1">
      <alignment horizontal="center"/>
    </xf>
    <xf numFmtId="0" fontId="66" fillId="5" borderId="37" xfId="0" applyFont="1" applyFill="1" applyBorder="1"/>
    <xf numFmtId="0" fontId="5" fillId="5" borderId="72" xfId="0" applyFont="1" applyFill="1" applyBorder="1" applyAlignment="1">
      <alignment wrapText="1"/>
    </xf>
    <xf numFmtId="1" fontId="4" fillId="5" borderId="0" xfId="0" applyNumberFormat="1" applyFont="1" applyFill="1"/>
    <xf numFmtId="0" fontId="74" fillId="5" borderId="72" xfId="0" applyFont="1" applyFill="1" applyBorder="1" applyAlignment="1">
      <alignment wrapText="1"/>
    </xf>
    <xf numFmtId="0" fontId="0" fillId="5" borderId="72" xfId="0" applyFill="1" applyBorder="1"/>
    <xf numFmtId="2" fontId="0" fillId="5" borderId="72" xfId="0" applyNumberFormat="1" applyFill="1" applyBorder="1"/>
    <xf numFmtId="1" fontId="4" fillId="5" borderId="72" xfId="0" applyNumberFormat="1" applyFont="1" applyFill="1" applyBorder="1"/>
    <xf numFmtId="165" fontId="0" fillId="5" borderId="72" xfId="0" applyNumberFormat="1" applyFill="1" applyBorder="1"/>
    <xf numFmtId="0" fontId="4" fillId="5" borderId="74" xfId="0" applyFont="1" applyFill="1" applyBorder="1"/>
    <xf numFmtId="0" fontId="0" fillId="25" borderId="72" xfId="0" applyFill="1" applyBorder="1"/>
    <xf numFmtId="2" fontId="0" fillId="25" borderId="72" xfId="0" applyNumberFormat="1" applyFill="1" applyBorder="1"/>
    <xf numFmtId="1" fontId="4" fillId="25" borderId="72" xfId="0" applyNumberFormat="1" applyFont="1" applyFill="1" applyBorder="1"/>
    <xf numFmtId="0" fontId="0" fillId="25" borderId="0" xfId="0" applyFill="1"/>
    <xf numFmtId="0" fontId="73" fillId="5" borderId="0" xfId="0" applyFont="1" applyFill="1"/>
    <xf numFmtId="0" fontId="4" fillId="5" borderId="38" xfId="0" applyFont="1" applyFill="1" applyBorder="1"/>
    <xf numFmtId="0" fontId="4" fillId="25" borderId="74" xfId="0" applyFont="1" applyFill="1" applyBorder="1"/>
    <xf numFmtId="0" fontId="4" fillId="25" borderId="29" xfId="0" applyFont="1" applyFill="1" applyBorder="1"/>
    <xf numFmtId="0" fontId="4" fillId="5" borderId="32" xfId="0" applyFont="1" applyFill="1" applyBorder="1"/>
    <xf numFmtId="0" fontId="4" fillId="5" borderId="29" xfId="0" applyFont="1" applyFill="1" applyBorder="1"/>
    <xf numFmtId="1" fontId="4" fillId="27" borderId="72" xfId="0" applyNumberFormat="1" applyFont="1" applyFill="1" applyBorder="1"/>
    <xf numFmtId="0" fontId="0" fillId="27" borderId="72" xfId="0" applyFill="1" applyBorder="1"/>
    <xf numFmtId="2" fontId="0" fillId="27" borderId="72" xfId="0" applyNumberFormat="1" applyFill="1" applyBorder="1"/>
    <xf numFmtId="0" fontId="5" fillId="0" borderId="0" xfId="0" applyFont="1" applyAlignment="1">
      <alignment horizontal="center" vertical="center" wrapText="1"/>
    </xf>
    <xf numFmtId="2" fontId="0" fillId="25" borderId="0" xfId="0" applyNumberFormat="1" applyFill="1"/>
    <xf numFmtId="0" fontId="84" fillId="27" borderId="55" xfId="0" applyFont="1" applyFill="1" applyBorder="1"/>
    <xf numFmtId="9" fontId="0" fillId="0" borderId="0" xfId="0" applyNumberFormat="1"/>
    <xf numFmtId="0" fontId="73" fillId="0" borderId="0" xfId="0" applyFont="1"/>
    <xf numFmtId="9" fontId="0" fillId="0" borderId="0" xfId="134" applyFont="1"/>
    <xf numFmtId="9" fontId="0" fillId="24" borderId="0" xfId="134" applyFont="1" applyFill="1"/>
    <xf numFmtId="166" fontId="0" fillId="0" borderId="0" xfId="0" applyNumberFormat="1"/>
    <xf numFmtId="3" fontId="0" fillId="0" borderId="0" xfId="0" applyNumberFormat="1"/>
    <xf numFmtId="0" fontId="0" fillId="24" borderId="0" xfId="0" applyFill="1"/>
    <xf numFmtId="2" fontId="0" fillId="24" borderId="0" xfId="0" applyNumberFormat="1" applyFill="1"/>
    <xf numFmtId="165" fontId="0" fillId="0" borderId="56" xfId="0" applyNumberFormat="1" applyBorder="1"/>
    <xf numFmtId="2" fontId="0" fillId="0" borderId="58" xfId="0" applyNumberFormat="1" applyBorder="1"/>
    <xf numFmtId="2" fontId="0" fillId="0" borderId="59" xfId="0" applyNumberFormat="1" applyBorder="1"/>
    <xf numFmtId="2" fontId="0" fillId="0" borderId="56" xfId="0" applyNumberFormat="1" applyBorder="1"/>
    <xf numFmtId="9" fontId="0" fillId="0" borderId="0" xfId="134" applyFont="1" applyFill="1"/>
    <xf numFmtId="0" fontId="0" fillId="24" borderId="58" xfId="0" applyFill="1" applyBorder="1"/>
    <xf numFmtId="0" fontId="0" fillId="0" borderId="60" xfId="0" applyBorder="1"/>
    <xf numFmtId="0" fontId="0" fillId="0" borderId="61" xfId="0" applyBorder="1"/>
    <xf numFmtId="0" fontId="0" fillId="24" borderId="61" xfId="0" applyFill="1" applyBorder="1"/>
    <xf numFmtId="0" fontId="73" fillId="0" borderId="61" xfId="0" applyFont="1" applyBorder="1"/>
    <xf numFmtId="0" fontId="0" fillId="24" borderId="62" xfId="0" applyFill="1" applyBorder="1"/>
    <xf numFmtId="9" fontId="0" fillId="5" borderId="0" xfId="134" applyFont="1" applyFill="1"/>
    <xf numFmtId="165" fontId="0" fillId="24" borderId="53" xfId="0" applyNumberFormat="1" applyFill="1" applyBorder="1"/>
    <xf numFmtId="165" fontId="0" fillId="0" borderId="54" xfId="0" applyNumberFormat="1" applyBorder="1"/>
    <xf numFmtId="0" fontId="73" fillId="0" borderId="56" xfId="0" applyFont="1" applyBorder="1"/>
    <xf numFmtId="0" fontId="73" fillId="27" borderId="56" xfId="0" applyFont="1" applyFill="1" applyBorder="1"/>
    <xf numFmtId="0" fontId="73" fillId="0" borderId="59" xfId="0" applyFont="1" applyBorder="1"/>
    <xf numFmtId="0" fontId="73" fillId="27" borderId="59" xfId="0" applyFont="1" applyFill="1" applyBorder="1"/>
    <xf numFmtId="165" fontId="0" fillId="24" borderId="58" xfId="0" applyNumberFormat="1" applyFill="1" applyBorder="1"/>
    <xf numFmtId="0" fontId="0" fillId="27" borderId="52" xfId="0" applyFill="1" applyBorder="1"/>
    <xf numFmtId="0" fontId="4" fillId="0" borderId="88" xfId="0" applyFont="1" applyBorder="1"/>
    <xf numFmtId="0" fontId="4" fillId="0" borderId="67" xfId="0" applyFont="1" applyBorder="1"/>
    <xf numFmtId="49" fontId="4" fillId="0" borderId="67" xfId="0" applyNumberFormat="1" applyFont="1" applyBorder="1"/>
    <xf numFmtId="193" fontId="4" fillId="0" borderId="67" xfId="0" applyNumberFormat="1" applyFont="1" applyBorder="1" applyAlignment="1">
      <alignment horizontal="right"/>
    </xf>
    <xf numFmtId="193" fontId="4" fillId="0" borderId="67" xfId="0" applyNumberFormat="1" applyFont="1" applyBorder="1"/>
    <xf numFmtId="0" fontId="4" fillId="0" borderId="28" xfId="0" applyFont="1" applyBorder="1"/>
    <xf numFmtId="49" fontId="4" fillId="0" borderId="72" xfId="0" applyNumberFormat="1" applyFont="1" applyBorder="1"/>
    <xf numFmtId="193" fontId="4" fillId="0" borderId="72" xfId="0" applyNumberFormat="1" applyFont="1" applyBorder="1" applyAlignment="1">
      <alignment horizontal="right"/>
    </xf>
    <xf numFmtId="193" fontId="4" fillId="0" borderId="72" xfId="0" applyNumberFormat="1" applyFont="1" applyBorder="1"/>
    <xf numFmtId="0" fontId="4" fillId="0" borderId="57" xfId="0" applyFont="1" applyBorder="1"/>
    <xf numFmtId="193" fontId="4" fillId="0" borderId="58" xfId="0" applyNumberFormat="1" applyFont="1" applyBorder="1"/>
    <xf numFmtId="193" fontId="5" fillId="0" borderId="71" xfId="0" applyNumberFormat="1" applyFont="1" applyBorder="1" applyAlignment="1">
      <alignment horizontal="right"/>
    </xf>
    <xf numFmtId="0" fontId="5" fillId="0" borderId="71" xfId="0" applyFont="1" applyBorder="1"/>
    <xf numFmtId="2" fontId="5" fillId="0" borderId="71" xfId="0" applyNumberFormat="1" applyFont="1" applyBorder="1"/>
    <xf numFmtId="2" fontId="5" fillId="0" borderId="90" xfId="0" applyNumberFormat="1" applyFont="1" applyBorder="1"/>
    <xf numFmtId="0" fontId="4" fillId="22" borderId="30" xfId="0" applyFont="1" applyFill="1" applyBorder="1"/>
    <xf numFmtId="0" fontId="4" fillId="22" borderId="0" xfId="0" applyFont="1" applyFill="1"/>
    <xf numFmtId="0" fontId="4" fillId="22" borderId="89" xfId="0" applyFont="1" applyFill="1" applyBorder="1"/>
    <xf numFmtId="0" fontId="4" fillId="22" borderId="53" xfId="0" applyFont="1" applyFill="1" applyBorder="1"/>
    <xf numFmtId="0" fontId="4" fillId="22" borderId="54" xfId="0" applyFont="1" applyFill="1" applyBorder="1"/>
    <xf numFmtId="0" fontId="4" fillId="22" borderId="56" xfId="0" applyFont="1" applyFill="1" applyBorder="1"/>
    <xf numFmtId="0" fontId="4" fillId="22" borderId="45" xfId="0" applyFont="1" applyFill="1" applyBorder="1"/>
    <xf numFmtId="0" fontId="4" fillId="22" borderId="46" xfId="0" applyFont="1" applyFill="1" applyBorder="1"/>
    <xf numFmtId="0" fontId="4" fillId="22" borderId="79" xfId="0" applyFont="1" applyFill="1" applyBorder="1"/>
    <xf numFmtId="2" fontId="0" fillId="5" borderId="0" xfId="0" applyNumberFormat="1" applyFill="1"/>
    <xf numFmtId="0" fontId="4" fillId="22" borderId="42" xfId="0" applyFont="1" applyFill="1" applyBorder="1"/>
    <xf numFmtId="0" fontId="4" fillId="22" borderId="43" xfId="0" applyFont="1" applyFill="1" applyBorder="1"/>
    <xf numFmtId="0" fontId="4" fillId="22" borderId="44" xfId="0" applyFont="1" applyFill="1" applyBorder="1"/>
    <xf numFmtId="0" fontId="4" fillId="22" borderId="40" xfId="0" applyFont="1" applyFill="1" applyBorder="1"/>
    <xf numFmtId="0" fontId="4" fillId="22" borderId="41" xfId="0" applyFont="1" applyFill="1" applyBorder="1"/>
    <xf numFmtId="9" fontId="85" fillId="0" borderId="0" xfId="0" applyNumberFormat="1" applyFont="1"/>
    <xf numFmtId="0" fontId="74" fillId="27" borderId="0" xfId="0" applyFont="1" applyFill="1"/>
    <xf numFmtId="0" fontId="4" fillId="23" borderId="72" xfId="0" applyFont="1" applyFill="1" applyBorder="1"/>
    <xf numFmtId="169" fontId="66" fillId="23" borderId="39" xfId="65" applyNumberFormat="1" applyFont="1" applyFill="1" applyBorder="1" applyAlignment="1">
      <alignment horizontal="left" vertical="center"/>
    </xf>
    <xf numFmtId="169" fontId="66" fillId="23" borderId="27" xfId="65" applyNumberFormat="1" applyFont="1" applyFill="1" applyBorder="1" applyAlignment="1">
      <alignment horizontal="left" vertical="center"/>
    </xf>
    <xf numFmtId="169" fontId="9" fillId="23" borderId="39" xfId="65" applyNumberFormat="1" applyFill="1" applyBorder="1" applyAlignment="1">
      <alignment horizontal="left" vertical="center"/>
    </xf>
    <xf numFmtId="0" fontId="4" fillId="23" borderId="38" xfId="0" applyFont="1" applyFill="1" applyBorder="1"/>
    <xf numFmtId="0" fontId="4" fillId="24" borderId="72" xfId="0" applyFont="1" applyFill="1" applyBorder="1"/>
    <xf numFmtId="2" fontId="66" fillId="0" borderId="71" xfId="0" applyNumberFormat="1" applyFont="1" applyBorder="1"/>
    <xf numFmtId="0" fontId="66" fillId="0" borderId="71" xfId="0" applyFont="1" applyBorder="1" applyAlignment="1">
      <alignment wrapText="1"/>
    </xf>
    <xf numFmtId="0" fontId="66" fillId="0" borderId="71" xfId="0" applyFont="1" applyBorder="1" applyAlignment="1">
      <alignment horizontal="left" vertical="top" wrapText="1"/>
    </xf>
    <xf numFmtId="0" fontId="66" fillId="0" borderId="71" xfId="0" applyFont="1" applyBorder="1"/>
    <xf numFmtId="0" fontId="66" fillId="0" borderId="58" xfId="0" applyFont="1" applyBorder="1"/>
    <xf numFmtId="165" fontId="66" fillId="0" borderId="58" xfId="0" applyNumberFormat="1" applyFont="1" applyBorder="1"/>
    <xf numFmtId="0" fontId="66" fillId="5" borderId="58" xfId="0" applyFont="1" applyFill="1" applyBorder="1"/>
    <xf numFmtId="0" fontId="66" fillId="0" borderId="62" xfId="0" applyFont="1" applyBorder="1"/>
    <xf numFmtId="2" fontId="27" fillId="27" borderId="0" xfId="0" applyNumberFormat="1" applyFont="1" applyFill="1"/>
    <xf numFmtId="49" fontId="66" fillId="5" borderId="37" xfId="0" applyNumberFormat="1" applyFont="1" applyFill="1" applyBorder="1"/>
    <xf numFmtId="0" fontId="4" fillId="22" borderId="43" xfId="0" applyFont="1" applyFill="1" applyBorder="1" applyAlignment="1">
      <alignment wrapText="1"/>
    </xf>
    <xf numFmtId="0" fontId="4" fillId="22" borderId="44" xfId="0" applyFont="1" applyFill="1" applyBorder="1" applyAlignment="1">
      <alignment wrapText="1"/>
    </xf>
    <xf numFmtId="0" fontId="4" fillId="22" borderId="0" xfId="0" applyFont="1" applyFill="1" applyAlignment="1">
      <alignment wrapText="1"/>
    </xf>
    <xf numFmtId="0" fontId="4" fillId="22" borderId="40" xfId="0" applyFont="1" applyFill="1" applyBorder="1" applyAlignment="1">
      <alignment wrapText="1"/>
    </xf>
    <xf numFmtId="0" fontId="4" fillId="22" borderId="46" xfId="0" applyFont="1" applyFill="1" applyBorder="1" applyAlignment="1">
      <alignment wrapText="1"/>
    </xf>
    <xf numFmtId="0" fontId="4" fillId="22" borderId="41" xfId="0" applyFont="1" applyFill="1" applyBorder="1" applyAlignment="1">
      <alignment wrapText="1"/>
    </xf>
    <xf numFmtId="9" fontId="4" fillId="5" borderId="72" xfId="0" applyNumberFormat="1" applyFont="1" applyFill="1" applyBorder="1"/>
    <xf numFmtId="0" fontId="0" fillId="5" borderId="72" xfId="0" applyFill="1" applyBorder="1" applyAlignment="1">
      <alignment wrapText="1"/>
    </xf>
    <xf numFmtId="1" fontId="0" fillId="5" borderId="72" xfId="0" applyNumberFormat="1" applyFill="1" applyBorder="1"/>
    <xf numFmtId="0" fontId="4" fillId="27" borderId="72" xfId="0" quotePrefix="1" applyFont="1" applyFill="1" applyBorder="1"/>
    <xf numFmtId="167" fontId="88" fillId="0" borderId="23" xfId="0" applyNumberFormat="1" applyFont="1" applyBorder="1" applyAlignment="1">
      <alignment horizontal="center" vertical="center" wrapText="1"/>
    </xf>
    <xf numFmtId="0" fontId="90" fillId="0" borderId="15" xfId="65" applyFont="1" applyBorder="1" applyAlignment="1">
      <alignment horizontal="center" vertical="center" wrapText="1"/>
    </xf>
    <xf numFmtId="0" fontId="88" fillId="0" borderId="15" xfId="65" applyFont="1" applyBorder="1" applyAlignment="1">
      <alignment horizontal="center" vertical="center" wrapText="1"/>
    </xf>
    <xf numFmtId="0" fontId="90" fillId="0" borderId="20" xfId="65" applyFont="1" applyBorder="1" applyAlignment="1">
      <alignment horizontal="center" vertical="center" wrapText="1"/>
    </xf>
    <xf numFmtId="0" fontId="88" fillId="0" borderId="20" xfId="65" applyFont="1" applyBorder="1" applyAlignment="1">
      <alignment horizontal="center" vertical="center" wrapText="1"/>
    </xf>
    <xf numFmtId="1" fontId="91" fillId="0" borderId="27" xfId="111" applyNumberFormat="1" applyFont="1" applyBorder="1" applyAlignment="1">
      <alignment horizontal="center" vertical="center" wrapText="1"/>
    </xf>
    <xf numFmtId="1" fontId="78" fillId="0" borderId="27" xfId="111" applyNumberFormat="1" applyFont="1" applyBorder="1" applyAlignment="1">
      <alignment horizontal="center" vertical="center" wrapText="1"/>
    </xf>
    <xf numFmtId="170" fontId="91" fillId="29" borderId="27" xfId="65" applyNumberFormat="1" applyFont="1" applyFill="1" applyBorder="1" applyAlignment="1">
      <alignment horizontal="center" vertical="center" wrapText="1"/>
    </xf>
    <xf numFmtId="170" fontId="78" fillId="29" borderId="27" xfId="65" applyNumberFormat="1" applyFont="1" applyFill="1" applyBorder="1" applyAlignment="1">
      <alignment horizontal="center" vertical="center" wrapText="1"/>
    </xf>
    <xf numFmtId="171" fontId="78" fillId="29" borderId="27" xfId="65" applyNumberFormat="1" applyFont="1" applyFill="1" applyBorder="1" applyAlignment="1">
      <alignment horizontal="center" vertical="center" wrapText="1"/>
    </xf>
    <xf numFmtId="166" fontId="91" fillId="29" borderId="27" xfId="65" applyNumberFormat="1" applyFont="1" applyFill="1" applyBorder="1" applyAlignment="1">
      <alignment horizontal="center" vertical="center" wrapText="1"/>
    </xf>
    <xf numFmtId="166" fontId="78" fillId="29" borderId="27" xfId="65" applyNumberFormat="1" applyFont="1" applyFill="1" applyBorder="1" applyAlignment="1">
      <alignment horizontal="center" vertical="center" wrapText="1"/>
    </xf>
    <xf numFmtId="166" fontId="91" fillId="29" borderId="27" xfId="111" applyNumberFormat="1" applyFont="1" applyFill="1" applyBorder="1" applyAlignment="1">
      <alignment horizontal="center" vertical="center" wrapText="1"/>
    </xf>
    <xf numFmtId="170" fontId="78" fillId="29" borderId="27" xfId="111" applyNumberFormat="1" applyFont="1" applyFill="1" applyBorder="1" applyAlignment="1">
      <alignment horizontal="center" vertical="center" wrapText="1"/>
    </xf>
    <xf numFmtId="171" fontId="78" fillId="29" borderId="27" xfId="111" applyNumberFormat="1" applyFont="1" applyFill="1" applyBorder="1" applyAlignment="1">
      <alignment horizontal="center" vertical="center" wrapText="1"/>
    </xf>
    <xf numFmtId="166" fontId="91" fillId="0" borderId="27" xfId="111" applyNumberFormat="1" applyFont="1" applyBorder="1" applyAlignment="1">
      <alignment horizontal="center" vertical="center" wrapText="1"/>
    </xf>
    <xf numFmtId="170" fontId="78" fillId="0" borderId="27" xfId="111" applyNumberFormat="1" applyFont="1" applyBorder="1" applyAlignment="1">
      <alignment horizontal="center" vertical="center" wrapText="1"/>
    </xf>
    <xf numFmtId="171" fontId="78" fillId="0" borderId="27" xfId="111" applyNumberFormat="1" applyFont="1" applyBorder="1" applyAlignment="1">
      <alignment horizontal="center" vertical="center" wrapText="1"/>
    </xf>
    <xf numFmtId="166" fontId="78" fillId="29" borderId="27" xfId="111" applyNumberFormat="1" applyFont="1" applyFill="1" applyBorder="1" applyAlignment="1">
      <alignment horizontal="center" vertical="center" wrapText="1"/>
    </xf>
    <xf numFmtId="166" fontId="78" fillId="0" borderId="27" xfId="111" applyNumberFormat="1" applyFont="1" applyBorder="1" applyAlignment="1">
      <alignment horizontal="center" vertical="center" wrapText="1"/>
    </xf>
    <xf numFmtId="2" fontId="91" fillId="0" borderId="27" xfId="111" applyNumberFormat="1" applyFont="1" applyBorder="1" applyAlignment="1">
      <alignment horizontal="center" vertical="center" wrapText="1"/>
    </xf>
    <xf numFmtId="2" fontId="78" fillId="0" borderId="27" xfId="111" applyNumberFormat="1" applyFont="1" applyBorder="1" applyAlignment="1">
      <alignment horizontal="center" vertical="center" wrapText="1"/>
    </xf>
    <xf numFmtId="170" fontId="91" fillId="0" borderId="27" xfId="111" applyNumberFormat="1" applyFont="1" applyBorder="1" applyAlignment="1">
      <alignment horizontal="center" vertical="center" wrapText="1"/>
    </xf>
    <xf numFmtId="165" fontId="78" fillId="0" borderId="27" xfId="111" applyNumberFormat="1" applyFont="1" applyBorder="1" applyAlignment="1">
      <alignment horizontal="center" vertical="center" wrapText="1"/>
    </xf>
    <xf numFmtId="165" fontId="91" fillId="0" borderId="27" xfId="111" applyNumberFormat="1" applyFont="1" applyBorder="1" applyAlignment="1">
      <alignment horizontal="center" vertical="center" wrapText="1"/>
    </xf>
    <xf numFmtId="0" fontId="78" fillId="29" borderId="27" xfId="111" applyFont="1" applyFill="1" applyBorder="1" applyAlignment="1">
      <alignment horizontal="center" vertical="center" wrapText="1"/>
    </xf>
    <xf numFmtId="0" fontId="78" fillId="0" borderId="27" xfId="111" applyFont="1" applyBorder="1" applyAlignment="1">
      <alignment horizontal="center" vertical="center" wrapText="1"/>
    </xf>
    <xf numFmtId="2" fontId="91" fillId="29" borderId="27" xfId="111" applyNumberFormat="1" applyFont="1" applyFill="1" applyBorder="1" applyAlignment="1">
      <alignment horizontal="center" vertical="center" wrapText="1"/>
    </xf>
    <xf numFmtId="2" fontId="78" fillId="29" borderId="27" xfId="111" applyNumberFormat="1" applyFont="1" applyFill="1" applyBorder="1" applyAlignment="1">
      <alignment horizontal="center" vertical="center" wrapText="1"/>
    </xf>
    <xf numFmtId="165" fontId="91" fillId="29" borderId="27" xfId="111" applyNumberFormat="1" applyFont="1" applyFill="1" applyBorder="1" applyAlignment="1">
      <alignment horizontal="center" vertical="center" wrapText="1"/>
    </xf>
    <xf numFmtId="165" fontId="78" fillId="29" borderId="27" xfId="111" applyNumberFormat="1" applyFont="1" applyFill="1" applyBorder="1" applyAlignment="1">
      <alignment horizontal="center" vertical="center" wrapText="1"/>
    </xf>
    <xf numFmtId="0" fontId="6" fillId="5" borderId="0" xfId="151" applyFill="1" applyAlignment="1">
      <alignment vertical="center"/>
    </xf>
    <xf numFmtId="9" fontId="35" fillId="5" borderId="0" xfId="134" applyFont="1" applyFill="1" applyAlignment="1">
      <alignment vertical="center"/>
    </xf>
    <xf numFmtId="0" fontId="0" fillId="27" borderId="0" xfId="0" quotePrefix="1" applyFill="1"/>
    <xf numFmtId="0" fontId="0" fillId="27" borderId="43" xfId="0" applyFill="1" applyBorder="1"/>
    <xf numFmtId="0" fontId="0" fillId="27" borderId="46" xfId="0" applyFill="1" applyBorder="1"/>
    <xf numFmtId="0" fontId="0" fillId="27" borderId="61" xfId="0" applyFill="1" applyBorder="1"/>
    <xf numFmtId="165" fontId="0" fillId="27" borderId="61" xfId="0" applyNumberFormat="1" applyFill="1" applyBorder="1"/>
    <xf numFmtId="165" fontId="0" fillId="27" borderId="91" xfId="0" applyNumberFormat="1" applyFill="1" applyBorder="1"/>
    <xf numFmtId="0" fontId="73" fillId="27" borderId="61" xfId="0" applyFont="1" applyFill="1" applyBorder="1"/>
    <xf numFmtId="165" fontId="0" fillId="27" borderId="62" xfId="0" applyNumberFormat="1" applyFill="1" applyBorder="1"/>
    <xf numFmtId="0" fontId="74" fillId="27" borderId="60" xfId="0" applyFont="1" applyFill="1" applyBorder="1"/>
    <xf numFmtId="0" fontId="4" fillId="4" borderId="72" xfId="0" applyFont="1" applyFill="1" applyBorder="1"/>
    <xf numFmtId="0" fontId="4" fillId="4" borderId="32" xfId="0" applyFont="1" applyFill="1" applyBorder="1"/>
    <xf numFmtId="0" fontId="9" fillId="4" borderId="27" xfId="65" applyFill="1" applyBorder="1" applyAlignment="1">
      <alignment horizontal="left" vertical="center" wrapText="1"/>
    </xf>
    <xf numFmtId="0" fontId="4" fillId="4" borderId="29" xfId="0" applyFont="1" applyFill="1" applyBorder="1"/>
    <xf numFmtId="0" fontId="4" fillId="4" borderId="0" xfId="0" applyFont="1" applyFill="1"/>
    <xf numFmtId="165" fontId="0" fillId="0" borderId="58" xfId="0" applyNumberFormat="1" applyBorder="1"/>
    <xf numFmtId="199" fontId="0" fillId="27" borderId="0" xfId="0" applyNumberFormat="1" applyFill="1"/>
    <xf numFmtId="0" fontId="78" fillId="27" borderId="55" xfId="0" applyFont="1" applyFill="1" applyBorder="1"/>
    <xf numFmtId="0" fontId="93" fillId="27" borderId="57" xfId="0" applyFont="1" applyFill="1" applyBorder="1"/>
    <xf numFmtId="2" fontId="0" fillId="0" borderId="52" xfId="0" applyNumberFormat="1" applyBorder="1"/>
    <xf numFmtId="2" fontId="0" fillId="0" borderId="53" xfId="0" applyNumberFormat="1" applyBorder="1"/>
    <xf numFmtId="2" fontId="0" fillId="0" borderId="55" xfId="0" applyNumberFormat="1" applyBorder="1"/>
    <xf numFmtId="0" fontId="0" fillId="0" borderId="62" xfId="0" applyBorder="1"/>
    <xf numFmtId="0" fontId="92" fillId="27" borderId="0" xfId="0" applyFont="1" applyFill="1"/>
    <xf numFmtId="200" fontId="0" fillId="27" borderId="56" xfId="0" applyNumberFormat="1" applyFill="1" applyBorder="1" applyAlignment="1">
      <alignment horizontal="right"/>
    </xf>
    <xf numFmtId="200" fontId="0" fillId="27" borderId="56" xfId="0" applyNumberFormat="1" applyFill="1" applyBorder="1"/>
    <xf numFmtId="0" fontId="66" fillId="27" borderId="72" xfId="0" applyFont="1" applyFill="1" applyBorder="1"/>
    <xf numFmtId="0" fontId="5" fillId="27" borderId="74" xfId="0" applyFont="1" applyFill="1" applyBorder="1" applyAlignment="1">
      <alignment vertical="top" wrapText="1"/>
    </xf>
    <xf numFmtId="0" fontId="4" fillId="27" borderId="74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wrapText="1"/>
    </xf>
    <xf numFmtId="0" fontId="5" fillId="27" borderId="72" xfId="0" applyFont="1" applyFill="1" applyBorder="1"/>
    <xf numFmtId="0" fontId="4" fillId="25" borderId="75" xfId="0" applyFont="1" applyFill="1" applyBorder="1" applyAlignment="1">
      <alignment wrapText="1"/>
    </xf>
    <xf numFmtId="0" fontId="4" fillId="27" borderId="72" xfId="0" applyFont="1" applyFill="1" applyBorder="1" applyAlignment="1">
      <alignment wrapText="1"/>
    </xf>
    <xf numFmtId="1" fontId="4" fillId="25" borderId="75" xfId="0" applyNumberFormat="1" applyFont="1" applyFill="1" applyBorder="1"/>
    <xf numFmtId="0" fontId="66" fillId="27" borderId="72" xfId="0" applyFont="1" applyFill="1" applyBorder="1" applyAlignment="1">
      <alignment wrapText="1"/>
    </xf>
    <xf numFmtId="1" fontId="66" fillId="27" borderId="75" xfId="0" applyNumberFormat="1" applyFont="1" applyFill="1" applyBorder="1"/>
    <xf numFmtId="0" fontId="5" fillId="0" borderId="72" xfId="0" applyFont="1" applyBorder="1" applyAlignment="1">
      <alignment wrapText="1"/>
    </xf>
    <xf numFmtId="0" fontId="5" fillId="0" borderId="74" xfId="0" applyFont="1" applyBorder="1" applyAlignment="1">
      <alignment wrapText="1"/>
    </xf>
    <xf numFmtId="0" fontId="5" fillId="0" borderId="74" xfId="0" applyFont="1" applyBorder="1"/>
    <xf numFmtId="0" fontId="5" fillId="25" borderId="72" xfId="0" applyFont="1" applyFill="1" applyBorder="1" applyAlignment="1">
      <alignment wrapText="1"/>
    </xf>
    <xf numFmtId="11" fontId="4" fillId="0" borderId="72" xfId="0" applyNumberFormat="1" applyFont="1" applyBorder="1" applyAlignment="1">
      <alignment wrapText="1"/>
    </xf>
    <xf numFmtId="0" fontId="67" fillId="0" borderId="72" xfId="0" applyFont="1" applyBorder="1"/>
    <xf numFmtId="0" fontId="67" fillId="0" borderId="72" xfId="0" applyFont="1" applyBorder="1" applyAlignment="1">
      <alignment wrapText="1"/>
    </xf>
    <xf numFmtId="0" fontId="4" fillId="0" borderId="72" xfId="0" applyFont="1" applyBorder="1" applyAlignment="1">
      <alignment horizontal="left" vertical="top" wrapText="1"/>
    </xf>
    <xf numFmtId="0" fontId="67" fillId="0" borderId="72" xfId="0" applyFont="1" applyBorder="1" applyAlignment="1">
      <alignment horizontal="left" vertical="top" wrapText="1"/>
    </xf>
    <xf numFmtId="2" fontId="4" fillId="24" borderId="72" xfId="0" applyNumberFormat="1" applyFont="1" applyFill="1" applyBorder="1"/>
    <xf numFmtId="0" fontId="66" fillId="0" borderId="72" xfId="0" applyFont="1" applyBorder="1" applyAlignment="1">
      <alignment wrapText="1"/>
    </xf>
    <xf numFmtId="0" fontId="66" fillId="0" borderId="72" xfId="0" applyFont="1" applyBorder="1"/>
    <xf numFmtId="0" fontId="4" fillId="0" borderId="72" xfId="0" applyFont="1" applyBorder="1" applyAlignment="1">
      <alignment vertical="top" wrapText="1"/>
    </xf>
    <xf numFmtId="2" fontId="65" fillId="24" borderId="72" xfId="0" applyNumberFormat="1" applyFont="1" applyFill="1" applyBorder="1"/>
    <xf numFmtId="0" fontId="66" fillId="0" borderId="72" xfId="0" applyFont="1" applyBorder="1" applyAlignment="1">
      <alignment vertical="top" wrapText="1"/>
    </xf>
    <xf numFmtId="0" fontId="4" fillId="0" borderId="72" xfId="0" applyFont="1" applyBorder="1" applyAlignment="1">
      <alignment horizontal="left" wrapText="1"/>
    </xf>
    <xf numFmtId="1" fontId="4" fillId="0" borderId="72" xfId="0" applyNumberFormat="1" applyFont="1" applyBorder="1"/>
    <xf numFmtId="0" fontId="4" fillId="5" borderId="72" xfId="65" quotePrefix="1" applyFont="1" applyFill="1" applyBorder="1" applyAlignment="1">
      <alignment horizontal="left" vertical="center" wrapText="1"/>
    </xf>
    <xf numFmtId="0" fontId="5" fillId="0" borderId="72" xfId="0" applyFont="1" applyBorder="1"/>
    <xf numFmtId="0" fontId="4" fillId="0" borderId="74" xfId="0" applyFont="1" applyBorder="1"/>
    <xf numFmtId="0" fontId="4" fillId="0" borderId="72" xfId="0" applyFont="1" applyBorder="1" applyAlignment="1">
      <alignment horizontal="left"/>
    </xf>
    <xf numFmtId="0" fontId="4" fillId="4" borderId="74" xfId="0" applyFont="1" applyFill="1" applyBorder="1"/>
    <xf numFmtId="0" fontId="4" fillId="4" borderId="72" xfId="0" applyFont="1" applyFill="1" applyBorder="1" applyAlignment="1">
      <alignment horizontal="left"/>
    </xf>
    <xf numFmtId="2" fontId="4" fillId="4" borderId="72" xfId="0" applyNumberFormat="1" applyFont="1" applyFill="1" applyBorder="1"/>
    <xf numFmtId="193" fontId="4" fillId="4" borderId="72" xfId="0" applyNumberFormat="1" applyFont="1" applyFill="1" applyBorder="1" applyAlignment="1">
      <alignment horizontal="right"/>
    </xf>
    <xf numFmtId="0" fontId="4" fillId="4" borderId="72" xfId="0" quotePrefix="1" applyFont="1" applyFill="1" applyBorder="1" applyAlignment="1">
      <alignment horizontal="left"/>
    </xf>
    <xf numFmtId="2" fontId="5" fillId="4" borderId="72" xfId="0" applyNumberFormat="1" applyFont="1" applyFill="1" applyBorder="1"/>
    <xf numFmtId="0" fontId="5" fillId="4" borderId="72" xfId="0" applyFont="1" applyFill="1" applyBorder="1"/>
    <xf numFmtId="0" fontId="4" fillId="0" borderId="72" xfId="0" quotePrefix="1" applyFont="1" applyBorder="1" applyAlignment="1">
      <alignment horizontal="left"/>
    </xf>
    <xf numFmtId="4" fontId="4" fillId="0" borderId="72" xfId="0" applyNumberFormat="1" applyFont="1" applyBorder="1" applyAlignment="1">
      <alignment horizontal="right"/>
    </xf>
    <xf numFmtId="4" fontId="5" fillId="0" borderId="72" xfId="0" applyNumberFormat="1" applyFont="1" applyBorder="1"/>
    <xf numFmtId="0" fontId="4" fillId="22" borderId="72" xfId="0" applyFont="1" applyFill="1" applyBorder="1"/>
    <xf numFmtId="0" fontId="4" fillId="0" borderId="72" xfId="0" quotePrefix="1" applyFont="1" applyBorder="1"/>
    <xf numFmtId="0" fontId="65" fillId="23" borderId="72" xfId="0" applyFont="1" applyFill="1" applyBorder="1"/>
    <xf numFmtId="2" fontId="65" fillId="23" borderId="72" xfId="0" applyNumberFormat="1" applyFont="1" applyFill="1" applyBorder="1"/>
    <xf numFmtId="2" fontId="4" fillId="23" borderId="72" xfId="0" applyNumberFormat="1" applyFont="1" applyFill="1" applyBorder="1"/>
    <xf numFmtId="0" fontId="4" fillId="23" borderId="73" xfId="0" applyFont="1" applyFill="1" applyBorder="1"/>
    <xf numFmtId="169" fontId="66" fillId="5" borderId="72" xfId="65" quotePrefix="1" applyNumberFormat="1" applyFont="1" applyFill="1" applyBorder="1" applyAlignment="1">
      <alignment horizontal="left" vertical="center"/>
    </xf>
    <xf numFmtId="0" fontId="65" fillId="0" borderId="72" xfId="0" applyFont="1" applyBorder="1"/>
    <xf numFmtId="169" fontId="9" fillId="5" borderId="72" xfId="65" applyNumberFormat="1" applyFill="1" applyBorder="1" applyAlignment="1">
      <alignment horizontal="left" vertical="center"/>
    </xf>
    <xf numFmtId="0" fontId="65" fillId="24" borderId="72" xfId="0" applyFont="1" applyFill="1" applyBorder="1"/>
    <xf numFmtId="169" fontId="66" fillId="24" borderId="72" xfId="65" quotePrefix="1" applyNumberFormat="1" applyFont="1" applyFill="1" applyBorder="1" applyAlignment="1">
      <alignment horizontal="left" vertical="center"/>
    </xf>
    <xf numFmtId="0" fontId="66" fillId="0" borderId="72" xfId="65" applyFont="1" applyBorder="1" applyAlignment="1">
      <alignment horizontal="left" vertical="center" wrapText="1"/>
    </xf>
    <xf numFmtId="0" fontId="66" fillId="5" borderId="72" xfId="65" applyFont="1" applyFill="1" applyBorder="1" applyAlignment="1">
      <alignment vertical="center" wrapText="1"/>
    </xf>
    <xf numFmtId="169" fontId="4" fillId="5" borderId="72" xfId="65" applyNumberFormat="1" applyFont="1" applyFill="1" applyBorder="1" applyAlignment="1">
      <alignment horizontal="left" vertical="center"/>
    </xf>
    <xf numFmtId="0" fontId="4" fillId="5" borderId="72" xfId="65" applyFont="1" applyFill="1" applyBorder="1" applyAlignment="1">
      <alignment horizontal="left" vertical="center" wrapText="1"/>
    </xf>
    <xf numFmtId="169" fontId="66" fillId="5" borderId="72" xfId="111" applyNumberFormat="1" applyFont="1" applyFill="1" applyBorder="1" applyAlignment="1">
      <alignment vertical="center"/>
    </xf>
    <xf numFmtId="169" fontId="66" fillId="5" borderId="72" xfId="111" quotePrefix="1" applyNumberFormat="1" applyFont="1" applyFill="1" applyBorder="1" applyAlignment="1">
      <alignment vertical="center"/>
    </xf>
    <xf numFmtId="169" fontId="9" fillId="5" borderId="72" xfId="111" applyNumberFormat="1" applyFill="1" applyBorder="1" applyAlignment="1">
      <alignment vertical="center"/>
    </xf>
    <xf numFmtId="0" fontId="73" fillId="5" borderId="0" xfId="0" applyFont="1" applyFill="1" applyAlignment="1">
      <alignment wrapText="1"/>
    </xf>
    <xf numFmtId="0" fontId="4" fillId="5" borderId="72" xfId="0" quotePrefix="1" applyFont="1" applyFill="1" applyBorder="1"/>
    <xf numFmtId="1" fontId="4" fillId="24" borderId="72" xfId="0" applyNumberFormat="1" applyFont="1" applyFill="1" applyBorder="1"/>
    <xf numFmtId="0" fontId="0" fillId="5" borderId="0" xfId="0" applyFill="1" applyAlignment="1">
      <alignment wrapText="1"/>
    </xf>
    <xf numFmtId="2" fontId="0" fillId="27" borderId="0" xfId="0" applyNumberFormat="1" applyFill="1"/>
    <xf numFmtId="0" fontId="0" fillId="24" borderId="72" xfId="0" applyFill="1" applyBorder="1"/>
    <xf numFmtId="166" fontId="0" fillId="5" borderId="0" xfId="0" applyNumberFormat="1" applyFill="1"/>
    <xf numFmtId="169" fontId="9" fillId="11" borderId="27" xfId="65" quotePrefix="1" applyNumberFormat="1" applyFill="1" applyBorder="1" applyAlignment="1">
      <alignment horizontal="left" vertical="center"/>
    </xf>
    <xf numFmtId="165" fontId="0" fillId="0" borderId="59" xfId="0" applyNumberFormat="1" applyBorder="1"/>
    <xf numFmtId="0" fontId="4" fillId="5" borderId="0" xfId="0" quotePrefix="1" applyFont="1" applyFill="1" applyAlignment="1">
      <alignment horizontal="center"/>
    </xf>
    <xf numFmtId="0" fontId="66" fillId="24" borderId="37" xfId="0" applyFont="1" applyFill="1" applyBorder="1"/>
    <xf numFmtId="0" fontId="4" fillId="24" borderId="72" xfId="0" quotePrefix="1" applyFont="1" applyFill="1" applyBorder="1"/>
    <xf numFmtId="0" fontId="4" fillId="24" borderId="37" xfId="0" applyFont="1" applyFill="1" applyBorder="1"/>
    <xf numFmtId="165" fontId="0" fillId="24" borderId="72" xfId="0" applyNumberFormat="1" applyFill="1" applyBorder="1"/>
    <xf numFmtId="0" fontId="4" fillId="23" borderId="37" xfId="0" applyFont="1" applyFill="1" applyBorder="1"/>
    <xf numFmtId="1" fontId="0" fillId="23" borderId="72" xfId="0" applyNumberFormat="1" applyFill="1" applyBorder="1"/>
    <xf numFmtId="1" fontId="4" fillId="23" borderId="72" xfId="0" applyNumberFormat="1" applyFont="1" applyFill="1" applyBorder="1"/>
    <xf numFmtId="169" fontId="9" fillId="23" borderId="27" xfId="65" quotePrefix="1" applyNumberFormat="1" applyFill="1" applyBorder="1" applyAlignment="1">
      <alignment horizontal="left" vertical="center"/>
    </xf>
    <xf numFmtId="0" fontId="4" fillId="23" borderId="72" xfId="0" quotePrefix="1" applyFont="1" applyFill="1" applyBorder="1"/>
    <xf numFmtId="0" fontId="0" fillId="23" borderId="72" xfId="0" applyFill="1" applyBorder="1"/>
    <xf numFmtId="165" fontId="0" fillId="23" borderId="72" xfId="0" applyNumberFormat="1" applyFill="1" applyBorder="1"/>
    <xf numFmtId="0" fontId="4" fillId="23" borderId="0" xfId="0" quotePrefix="1" applyFont="1" applyFill="1" applyAlignment="1">
      <alignment horizontal="center"/>
    </xf>
    <xf numFmtId="0" fontId="4" fillId="23" borderId="72" xfId="0" applyFont="1" applyFill="1" applyBorder="1" applyAlignment="1">
      <alignment horizontal="left"/>
    </xf>
    <xf numFmtId="166" fontId="0" fillId="23" borderId="72" xfId="0" applyNumberFormat="1" applyFill="1" applyBorder="1"/>
    <xf numFmtId="2" fontId="0" fillId="23" borderId="72" xfId="0" applyNumberFormat="1" applyFill="1" applyBorder="1"/>
    <xf numFmtId="0" fontId="24" fillId="5" borderId="20" xfId="65" applyFont="1" applyFill="1" applyBorder="1" applyAlignment="1">
      <alignment wrapText="1"/>
    </xf>
    <xf numFmtId="0" fontId="83" fillId="5" borderId="72" xfId="0" applyFont="1" applyFill="1" applyBorder="1" applyAlignment="1">
      <alignment horizontal="left" vertical="center" wrapText="1"/>
    </xf>
    <xf numFmtId="0" fontId="9" fillId="5" borderId="20" xfId="0" applyFont="1" applyFill="1" applyBorder="1" applyAlignment="1">
      <alignment vertical="center" wrapText="1"/>
    </xf>
    <xf numFmtId="49" fontId="4" fillId="23" borderId="72" xfId="0" quotePrefix="1" applyNumberFormat="1" applyFont="1" applyFill="1" applyBorder="1"/>
    <xf numFmtId="0" fontId="10" fillId="3" borderId="19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left"/>
    </xf>
    <xf numFmtId="0" fontId="11" fillId="3" borderId="5" xfId="0" applyFont="1" applyFill="1" applyBorder="1" applyAlignment="1">
      <alignment horizontal="left"/>
    </xf>
    <xf numFmtId="0" fontId="11" fillId="3" borderId="5" xfId="0" applyFont="1" applyFill="1" applyBorder="1" applyAlignment="1">
      <alignment horizontal="center"/>
    </xf>
    <xf numFmtId="3" fontId="11" fillId="3" borderId="5" xfId="0" applyNumberFormat="1" applyFont="1" applyFill="1" applyBorder="1" applyAlignment="1">
      <alignment horizontal="center"/>
    </xf>
    <xf numFmtId="3" fontId="10" fillId="3" borderId="5" xfId="0" applyNumberFormat="1" applyFont="1" applyFill="1" applyBorder="1" applyAlignment="1">
      <alignment horizontal="center"/>
    </xf>
    <xf numFmtId="167" fontId="10" fillId="3" borderId="5" xfId="0" applyNumberFormat="1" applyFont="1" applyFill="1" applyBorder="1" applyAlignment="1">
      <alignment horizontal="center"/>
    </xf>
    <xf numFmtId="0" fontId="11" fillId="3" borderId="6" xfId="0" applyFont="1" applyFill="1" applyBorder="1" applyAlignment="1">
      <alignment horizontal="right"/>
    </xf>
    <xf numFmtId="0" fontId="10" fillId="5" borderId="0" xfId="0" applyFont="1" applyFill="1"/>
    <xf numFmtId="0" fontId="13" fillId="3" borderId="7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3" fontId="13" fillId="3" borderId="9" xfId="0" applyNumberFormat="1" applyFont="1" applyFill="1" applyBorder="1" applyAlignment="1">
      <alignment horizontal="center"/>
    </xf>
    <xf numFmtId="3" fontId="14" fillId="3" borderId="9" xfId="0" applyNumberFormat="1" applyFont="1" applyFill="1" applyBorder="1" applyAlignment="1">
      <alignment horizontal="center"/>
    </xf>
    <xf numFmtId="167" fontId="13" fillId="3" borderId="9" xfId="0" applyNumberFormat="1" applyFont="1" applyFill="1" applyBorder="1" applyAlignment="1">
      <alignment horizontal="center"/>
    </xf>
    <xf numFmtId="0" fontId="14" fillId="3" borderId="10" xfId="0" applyFont="1" applyFill="1" applyBorder="1" applyAlignment="1">
      <alignment horizontal="right"/>
    </xf>
    <xf numFmtId="0" fontId="13" fillId="5" borderId="0" xfId="0" applyFont="1" applyFill="1"/>
    <xf numFmtId="0" fontId="9" fillId="5" borderId="12" xfId="65" applyFill="1" applyBorder="1" applyAlignment="1">
      <alignment horizontal="left" vertical="center"/>
    </xf>
    <xf numFmtId="0" fontId="16" fillId="5" borderId="15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9" fillId="5" borderId="20" xfId="0" applyFont="1" applyFill="1" applyBorder="1"/>
    <xf numFmtId="0" fontId="16" fillId="5" borderId="20" xfId="0" applyFont="1" applyFill="1" applyBorder="1" applyAlignment="1">
      <alignment horizontal="center" vertical="center" wrapText="1"/>
    </xf>
    <xf numFmtId="0" fontId="27" fillId="5" borderId="20" xfId="0" applyFont="1" applyFill="1" applyBorder="1" applyAlignment="1">
      <alignment vertical="center" wrapText="1"/>
    </xf>
    <xf numFmtId="3" fontId="28" fillId="6" borderId="15" xfId="0" applyNumberFormat="1" applyFont="1" applyFill="1" applyBorder="1" applyAlignment="1">
      <alignment horizontal="center" vertical="center" wrapText="1"/>
    </xf>
    <xf numFmtId="3" fontId="24" fillId="6" borderId="15" xfId="0" applyNumberFormat="1" applyFont="1" applyFill="1" applyBorder="1" applyAlignment="1">
      <alignment horizontal="center" vertical="center" wrapText="1"/>
    </xf>
    <xf numFmtId="3" fontId="28" fillId="5" borderId="15" xfId="0" applyNumberFormat="1" applyFont="1" applyFill="1" applyBorder="1" applyAlignment="1">
      <alignment horizontal="center" vertical="center" wrapText="1"/>
    </xf>
    <xf numFmtId="3" fontId="24" fillId="5" borderId="15" xfId="0" applyNumberFormat="1" applyFont="1" applyFill="1" applyBorder="1" applyAlignment="1">
      <alignment horizontal="center" vertical="center" wrapText="1"/>
    </xf>
    <xf numFmtId="167" fontId="28" fillId="5" borderId="15" xfId="0" applyNumberFormat="1" applyFont="1" applyFill="1" applyBorder="1" applyAlignment="1">
      <alignment horizontal="center" vertical="center" wrapText="1"/>
    </xf>
    <xf numFmtId="167" fontId="24" fillId="5" borderId="15" xfId="0" applyNumberFormat="1" applyFont="1" applyFill="1" applyBorder="1" applyAlignment="1">
      <alignment horizontal="center" vertical="center" wrapText="1"/>
    </xf>
    <xf numFmtId="0" fontId="27" fillId="5" borderId="20" xfId="0" applyFont="1" applyFill="1" applyBorder="1" applyAlignment="1">
      <alignment horizontal="center" vertical="center" wrapText="1"/>
    </xf>
    <xf numFmtId="0" fontId="19" fillId="5" borderId="20" xfId="0" applyFont="1" applyFill="1" applyBorder="1" applyAlignment="1">
      <alignment horizontal="left" vertical="center" wrapText="1"/>
    </xf>
    <xf numFmtId="3" fontId="28" fillId="6" borderId="20" xfId="0" applyNumberFormat="1" applyFont="1" applyFill="1" applyBorder="1" applyAlignment="1">
      <alignment horizontal="center" vertical="center" wrapText="1"/>
    </xf>
    <xf numFmtId="3" fontId="24" fillId="6" borderId="20" xfId="0" applyNumberFormat="1" applyFont="1" applyFill="1" applyBorder="1" applyAlignment="1">
      <alignment horizontal="center" vertical="center" wrapText="1"/>
    </xf>
    <xf numFmtId="3" fontId="28" fillId="5" borderId="20" xfId="0" applyNumberFormat="1" applyFont="1" applyFill="1" applyBorder="1" applyAlignment="1">
      <alignment horizontal="center" vertical="center" wrapText="1"/>
    </xf>
    <xf numFmtId="3" fontId="24" fillId="5" borderId="20" xfId="0" applyNumberFormat="1" applyFont="1" applyFill="1" applyBorder="1" applyAlignment="1">
      <alignment horizontal="center" vertical="center" wrapText="1"/>
    </xf>
    <xf numFmtId="167" fontId="28" fillId="5" borderId="20" xfId="0" applyNumberFormat="1" applyFont="1" applyFill="1" applyBorder="1" applyAlignment="1">
      <alignment horizontal="center" vertical="center" wrapText="1"/>
    </xf>
    <xf numFmtId="167" fontId="24" fillId="5" borderId="20" xfId="0" applyNumberFormat="1" applyFont="1" applyFill="1" applyBorder="1" applyAlignment="1">
      <alignment horizontal="center" vertical="center" wrapText="1"/>
    </xf>
    <xf numFmtId="0" fontId="27" fillId="5" borderId="23" xfId="0" applyFont="1" applyFill="1" applyBorder="1" applyAlignment="1">
      <alignment vertical="top" wrapText="1"/>
    </xf>
    <xf numFmtId="0" fontId="20" fillId="5" borderId="23" xfId="0" applyFont="1" applyFill="1" applyBorder="1" applyAlignment="1">
      <alignment horizontal="center" vertical="top" wrapText="1"/>
    </xf>
    <xf numFmtId="0" fontId="20" fillId="5" borderId="23" xfId="0" applyFont="1" applyFill="1" applyBorder="1" applyAlignment="1">
      <alignment vertical="top" wrapText="1"/>
    </xf>
    <xf numFmtId="3" fontId="24" fillId="6" borderId="23" xfId="0" applyNumberFormat="1" applyFont="1" applyFill="1" applyBorder="1" applyAlignment="1">
      <alignment horizontal="center" vertical="center" wrapText="1"/>
    </xf>
    <xf numFmtId="0" fontId="27" fillId="5" borderId="23" xfId="0" applyFont="1" applyFill="1" applyBorder="1" applyAlignment="1">
      <alignment horizontal="center" vertical="top" wrapText="1"/>
    </xf>
    <xf numFmtId="0" fontId="16" fillId="18" borderId="27" xfId="0" applyFont="1" applyFill="1" applyBorder="1" applyAlignment="1">
      <alignment vertical="center" wrapText="1"/>
    </xf>
    <xf numFmtId="0" fontId="16" fillId="18" borderId="27" xfId="0" applyFont="1" applyFill="1" applyBorder="1" applyAlignment="1">
      <alignment horizontal="center" vertical="center" wrapText="1"/>
    </xf>
    <xf numFmtId="3" fontId="16" fillId="18" borderId="27" xfId="0" applyNumberFormat="1" applyFont="1" applyFill="1" applyBorder="1" applyAlignment="1">
      <alignment horizontal="center" vertical="center" wrapText="1"/>
    </xf>
    <xf numFmtId="3" fontId="38" fillId="18" borderId="27" xfId="0" applyNumberFormat="1" applyFont="1" applyFill="1" applyBorder="1" applyAlignment="1">
      <alignment horizontal="center" vertical="center" wrapText="1"/>
    </xf>
    <xf numFmtId="167" fontId="38" fillId="18" borderId="27" xfId="0" applyNumberFormat="1" applyFont="1" applyFill="1" applyBorder="1" applyAlignment="1">
      <alignment horizontal="center" vertical="center" wrapText="1"/>
    </xf>
    <xf numFmtId="0" fontId="9" fillId="5" borderId="27" xfId="0" applyFont="1" applyFill="1" applyBorder="1" applyAlignment="1">
      <alignment vertical="center" wrapText="1"/>
    </xf>
    <xf numFmtId="3" fontId="16" fillId="6" borderId="27" xfId="0" applyNumberFormat="1" applyFont="1" applyFill="1" applyBorder="1" applyAlignment="1">
      <alignment horizontal="center" vertical="center" wrapText="1"/>
    </xf>
    <xf numFmtId="3" fontId="9" fillId="6" borderId="27" xfId="0" applyNumberFormat="1" applyFont="1" applyFill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 wrapText="1"/>
    </xf>
    <xf numFmtId="4" fontId="9" fillId="0" borderId="27" xfId="0" applyNumberFormat="1" applyFont="1" applyBorder="1" applyAlignment="1">
      <alignment horizontal="center" vertical="center" wrapText="1"/>
    </xf>
    <xf numFmtId="0" fontId="9" fillId="5" borderId="27" xfId="0" applyFont="1" applyFill="1" applyBorder="1" applyAlignment="1">
      <alignment horizontal="center" vertical="center" wrapText="1"/>
    </xf>
    <xf numFmtId="0" fontId="35" fillId="5" borderId="27" xfId="0" applyFont="1" applyFill="1" applyBorder="1" applyAlignment="1">
      <alignment horizontal="left" vertical="center" shrinkToFit="1"/>
    </xf>
    <xf numFmtId="0" fontId="35" fillId="5" borderId="27" xfId="111" applyFont="1" applyFill="1" applyBorder="1" applyAlignment="1">
      <alignment vertical="center" wrapText="1"/>
    </xf>
    <xf numFmtId="0" fontId="35" fillId="5" borderId="27" xfId="111" applyFont="1" applyFill="1" applyBorder="1" applyAlignment="1">
      <alignment horizontal="center" vertical="center" wrapText="1"/>
    </xf>
    <xf numFmtId="3" fontId="33" fillId="6" borderId="27" xfId="0" applyNumberFormat="1" applyFont="1" applyFill="1" applyBorder="1" applyAlignment="1">
      <alignment horizontal="center" vertical="center" wrapText="1"/>
    </xf>
    <xf numFmtId="3" fontId="35" fillId="6" borderId="27" xfId="0" applyNumberFormat="1" applyFont="1" applyFill="1" applyBorder="1" applyAlignment="1">
      <alignment horizontal="center" vertical="center" wrapText="1"/>
    </xf>
    <xf numFmtId="4" fontId="33" fillId="0" borderId="27" xfId="0" applyNumberFormat="1" applyFont="1" applyBorder="1" applyAlignment="1">
      <alignment horizontal="center" vertical="center" wrapText="1"/>
    </xf>
    <xf numFmtId="4" fontId="35" fillId="0" borderId="27" xfId="0" applyNumberFormat="1" applyFont="1" applyBorder="1" applyAlignment="1">
      <alignment horizontal="center" vertical="center" wrapText="1"/>
    </xf>
    <xf numFmtId="0" fontId="35" fillId="5" borderId="0" xfId="0" applyFont="1" applyFill="1"/>
    <xf numFmtId="169" fontId="9" fillId="0" borderId="27" xfId="111" quotePrefix="1" applyNumberFormat="1" applyBorder="1" applyAlignment="1">
      <alignment vertical="center"/>
    </xf>
    <xf numFmtId="0" fontId="9" fillId="0" borderId="27" xfId="111" applyBorder="1" applyAlignment="1">
      <alignment vertical="center" wrapText="1"/>
    </xf>
    <xf numFmtId="3" fontId="9" fillId="6" borderId="27" xfId="0" applyNumberFormat="1" applyFont="1" applyFill="1" applyBorder="1" applyAlignment="1">
      <alignment horizontal="center" vertical="center" shrinkToFit="1"/>
    </xf>
    <xf numFmtId="0" fontId="9" fillId="0" borderId="27" xfId="65" applyBorder="1" applyAlignment="1">
      <alignment vertical="center" wrapText="1"/>
    </xf>
    <xf numFmtId="3" fontId="35" fillId="6" borderId="27" xfId="0" applyNumberFormat="1" applyFont="1" applyFill="1" applyBorder="1" applyAlignment="1">
      <alignment horizontal="center" vertical="center" shrinkToFit="1"/>
    </xf>
    <xf numFmtId="168" fontId="33" fillId="7" borderId="27" xfId="111" quotePrefix="1" applyNumberFormat="1" applyFont="1" applyFill="1" applyBorder="1" applyAlignment="1">
      <alignment vertical="center" wrapText="1"/>
    </xf>
    <xf numFmtId="0" fontId="16" fillId="18" borderId="27" xfId="0" applyFont="1" applyFill="1" applyBorder="1" applyAlignment="1">
      <alignment horizontal="left" vertical="center" shrinkToFit="1"/>
    </xf>
    <xf numFmtId="3" fontId="16" fillId="18" borderId="27" xfId="0" applyNumberFormat="1" applyFont="1" applyFill="1" applyBorder="1" applyAlignment="1">
      <alignment horizontal="center" vertical="center" shrinkToFit="1"/>
    </xf>
    <xf numFmtId="3" fontId="38" fillId="18" borderId="27" xfId="0" applyNumberFormat="1" applyFont="1" applyFill="1" applyBorder="1" applyAlignment="1">
      <alignment horizontal="center" vertical="center" shrinkToFit="1"/>
    </xf>
    <xf numFmtId="0" fontId="9" fillId="0" borderId="27" xfId="0" applyFont="1" applyBorder="1" applyAlignment="1">
      <alignment horizontal="left" vertical="center" shrinkToFit="1"/>
    </xf>
    <xf numFmtId="0" fontId="9" fillId="0" borderId="27" xfId="111" quotePrefix="1" applyBorder="1" applyAlignment="1">
      <alignment vertical="center" wrapText="1"/>
    </xf>
    <xf numFmtId="169" fontId="35" fillId="11" borderId="27" xfId="111" applyNumberFormat="1" applyFont="1" applyFill="1" applyBorder="1" applyAlignment="1">
      <alignment vertical="center"/>
    </xf>
    <xf numFmtId="0" fontId="35" fillId="11" borderId="27" xfId="111" quotePrefix="1" applyFont="1" applyFill="1" applyBorder="1" applyAlignment="1">
      <alignment horizontal="left" vertical="center" wrapText="1"/>
    </xf>
    <xf numFmtId="0" fontId="35" fillId="11" borderId="27" xfId="0" applyFont="1" applyFill="1" applyBorder="1" applyAlignment="1">
      <alignment horizontal="left" vertical="center" shrinkToFit="1"/>
    </xf>
    <xf numFmtId="0" fontId="35" fillId="11" borderId="27" xfId="111" applyFont="1" applyFill="1" applyBorder="1" applyAlignment="1">
      <alignment vertical="center" wrapText="1"/>
    </xf>
    <xf numFmtId="0" fontId="35" fillId="11" borderId="27" xfId="0" applyFont="1" applyFill="1" applyBorder="1" applyAlignment="1">
      <alignment horizontal="center" vertical="center" shrinkToFit="1"/>
    </xf>
    <xf numFmtId="0" fontId="35" fillId="11" borderId="27" xfId="111" applyFont="1" applyFill="1" applyBorder="1" applyAlignment="1">
      <alignment horizontal="center" vertical="center" wrapText="1"/>
    </xf>
    <xf numFmtId="3" fontId="33" fillId="11" borderId="27" xfId="0" applyNumberFormat="1" applyFont="1" applyFill="1" applyBorder="1" applyAlignment="1">
      <alignment horizontal="center" vertical="center" wrapText="1"/>
    </xf>
    <xf numFmtId="3" fontId="35" fillId="11" borderId="27" xfId="0" applyNumberFormat="1" applyFont="1" applyFill="1" applyBorder="1" applyAlignment="1">
      <alignment horizontal="center" vertical="center" wrapText="1"/>
    </xf>
    <xf numFmtId="4" fontId="33" fillId="11" borderId="27" xfId="0" applyNumberFormat="1" applyFont="1" applyFill="1" applyBorder="1" applyAlignment="1">
      <alignment horizontal="center" vertical="center" wrapText="1"/>
    </xf>
    <xf numFmtId="4" fontId="35" fillId="11" borderId="27" xfId="0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left" vertical="center" wrapText="1"/>
    </xf>
    <xf numFmtId="169" fontId="35" fillId="11" borderId="27" xfId="111" quotePrefix="1" applyNumberFormat="1" applyFont="1" applyFill="1" applyBorder="1" applyAlignment="1">
      <alignment vertical="center"/>
    </xf>
    <xf numFmtId="0" fontId="35" fillId="11" borderId="15" xfId="111" applyFont="1" applyFill="1" applyBorder="1" applyAlignment="1">
      <alignment vertical="center" wrapText="1"/>
    </xf>
    <xf numFmtId="0" fontId="35" fillId="11" borderId="15" xfId="65" applyFont="1" applyFill="1" applyBorder="1" applyAlignment="1">
      <alignment vertical="center" wrapText="1"/>
    </xf>
    <xf numFmtId="0" fontId="35" fillId="5" borderId="15" xfId="0" applyFont="1" applyFill="1" applyBorder="1" applyAlignment="1">
      <alignment horizontal="left" vertical="center" shrinkToFit="1"/>
    </xf>
    <xf numFmtId="0" fontId="35" fillId="5" borderId="15" xfId="0" applyFont="1" applyFill="1" applyBorder="1" applyAlignment="1">
      <alignment horizontal="center" vertical="center" shrinkToFit="1"/>
    </xf>
    <xf numFmtId="0" fontId="35" fillId="5" borderId="15" xfId="111" applyFont="1" applyFill="1" applyBorder="1" applyAlignment="1">
      <alignment horizontal="center" vertical="center" wrapText="1"/>
    </xf>
    <xf numFmtId="0" fontId="35" fillId="5" borderId="15" xfId="65" applyFont="1" applyFill="1" applyBorder="1" applyAlignment="1">
      <alignment horizontal="center" vertical="center" wrapText="1"/>
    </xf>
    <xf numFmtId="49" fontId="35" fillId="5" borderId="27" xfId="111" applyNumberFormat="1" applyFont="1" applyFill="1" applyBorder="1" applyAlignment="1">
      <alignment vertical="center"/>
    </xf>
    <xf numFmtId="0" fontId="35" fillId="0" borderId="27" xfId="0" applyFont="1" applyBorder="1" applyAlignment="1">
      <alignment horizontal="left" vertical="center" shrinkToFit="1"/>
    </xf>
    <xf numFmtId="0" fontId="9" fillId="5" borderId="72" xfId="0" applyFont="1" applyFill="1" applyBorder="1" applyAlignment="1">
      <alignment vertical="center"/>
    </xf>
    <xf numFmtId="0" fontId="83" fillId="5" borderId="72" xfId="0" applyFont="1" applyFill="1" applyBorder="1" applyAlignment="1">
      <alignment vertical="center" wrapText="1"/>
    </xf>
    <xf numFmtId="0" fontId="47" fillId="5" borderId="72" xfId="0" applyFont="1" applyFill="1" applyBorder="1" applyAlignment="1">
      <alignment vertical="center" wrapText="1"/>
    </xf>
    <xf numFmtId="0" fontId="47" fillId="5" borderId="72" xfId="0" applyFont="1" applyFill="1" applyBorder="1" applyAlignment="1">
      <alignment horizontal="center" vertical="center" wrapText="1"/>
    </xf>
    <xf numFmtId="3" fontId="47" fillId="5" borderId="72" xfId="0" applyNumberFormat="1" applyFont="1" applyFill="1" applyBorder="1" applyAlignment="1">
      <alignment horizontal="center" vertical="center" wrapText="1"/>
    </xf>
    <xf numFmtId="3" fontId="20" fillId="5" borderId="72" xfId="0" applyNumberFormat="1" applyFont="1" applyFill="1" applyBorder="1" applyAlignment="1">
      <alignment horizontal="center" vertical="center" wrapText="1"/>
    </xf>
    <xf numFmtId="167" fontId="47" fillId="5" borderId="72" xfId="0" applyNumberFormat="1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  <xf numFmtId="3" fontId="9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0" fontId="9" fillId="5" borderId="0" xfId="0" applyFont="1" applyFill="1" applyAlignment="1">
      <alignment horizontal="left"/>
    </xf>
    <xf numFmtId="3" fontId="9" fillId="5" borderId="0" xfId="0" applyNumberFormat="1" applyFont="1" applyFill="1"/>
    <xf numFmtId="167" fontId="9" fillId="5" borderId="0" xfId="0" applyNumberFormat="1" applyFont="1" applyFill="1"/>
    <xf numFmtId="0" fontId="66" fillId="0" borderId="37" xfId="0" applyFont="1" applyBorder="1"/>
    <xf numFmtId="169" fontId="9" fillId="24" borderId="27" xfId="65" quotePrefix="1" applyNumberFormat="1" applyFill="1" applyBorder="1" applyAlignment="1">
      <alignment horizontal="left" vertical="center"/>
    </xf>
    <xf numFmtId="0" fontId="0" fillId="0" borderId="0" xfId="0" quotePrefix="1"/>
    <xf numFmtId="0" fontId="0" fillId="0" borderId="0" xfId="0" applyAlignment="1">
      <alignment horizontal="left"/>
    </xf>
    <xf numFmtId="169" fontId="9" fillId="0" borderId="27" xfId="65" quotePrefix="1" applyNumberFormat="1" applyBorder="1" applyAlignment="1">
      <alignment horizontal="left" vertical="center"/>
    </xf>
    <xf numFmtId="9" fontId="0" fillId="0" borderId="53" xfId="134" applyFont="1" applyBorder="1"/>
    <xf numFmtId="165" fontId="0" fillId="0" borderId="53" xfId="0" applyNumberFormat="1" applyBorder="1"/>
    <xf numFmtId="9" fontId="0" fillId="0" borderId="0" xfId="134" applyFont="1" applyBorder="1"/>
    <xf numFmtId="9" fontId="0" fillId="0" borderId="58" xfId="134" applyFont="1" applyBorder="1"/>
    <xf numFmtId="0" fontId="0" fillId="5" borderId="55" xfId="0" applyFill="1" applyBorder="1"/>
    <xf numFmtId="0" fontId="0" fillId="5" borderId="56" xfId="0" applyFill="1" applyBorder="1"/>
    <xf numFmtId="2" fontId="0" fillId="25" borderId="57" xfId="0" applyNumberFormat="1" applyFill="1" applyBorder="1"/>
    <xf numFmtId="2" fontId="0" fillId="25" borderId="37" xfId="0" applyNumberFormat="1" applyFill="1" applyBorder="1"/>
    <xf numFmtId="2" fontId="0" fillId="27" borderId="37" xfId="0" applyNumberFormat="1" applyFill="1" applyBorder="1"/>
    <xf numFmtId="0" fontId="0" fillId="5" borderId="32" xfId="0" applyFill="1" applyBorder="1"/>
    <xf numFmtId="2" fontId="0" fillId="25" borderId="32" xfId="0" applyNumberFormat="1" applyFill="1" applyBorder="1"/>
    <xf numFmtId="2" fontId="0" fillId="25" borderId="29" xfId="0" applyNumberFormat="1" applyFill="1" applyBorder="1"/>
    <xf numFmtId="0" fontId="0" fillId="5" borderId="29" xfId="0" applyFill="1" applyBorder="1"/>
    <xf numFmtId="0" fontId="0" fillId="5" borderId="65" xfId="0" applyFill="1" applyBorder="1" applyAlignment="1">
      <alignment wrapText="1"/>
    </xf>
    <xf numFmtId="0" fontId="0" fillId="5" borderId="66" xfId="0" applyFill="1" applyBorder="1" applyAlignment="1">
      <alignment wrapText="1"/>
    </xf>
    <xf numFmtId="0" fontId="0" fillId="5" borderId="92" xfId="0" applyFill="1" applyBorder="1" applyAlignment="1">
      <alignment wrapText="1"/>
    </xf>
    <xf numFmtId="0" fontId="0" fillId="5" borderId="53" xfId="0" applyFill="1" applyBorder="1" applyAlignment="1">
      <alignment wrapText="1"/>
    </xf>
    <xf numFmtId="165" fontId="0" fillId="5" borderId="0" xfId="0" applyNumberFormat="1" applyFill="1"/>
    <xf numFmtId="11" fontId="0" fillId="5" borderId="0" xfId="0" applyNumberFormat="1" applyFill="1"/>
    <xf numFmtId="165" fontId="0" fillId="5" borderId="55" xfId="0" applyNumberFormat="1" applyFill="1" applyBorder="1"/>
    <xf numFmtId="165" fontId="0" fillId="5" borderId="56" xfId="0" applyNumberFormat="1" applyFill="1" applyBorder="1"/>
    <xf numFmtId="165" fontId="0" fillId="25" borderId="0" xfId="0" applyNumberFormat="1" applyFill="1"/>
    <xf numFmtId="165" fontId="0" fillId="25" borderId="57" xfId="0" applyNumberFormat="1" applyFill="1" applyBorder="1"/>
    <xf numFmtId="165" fontId="0" fillId="5" borderId="55" xfId="0" applyNumberFormat="1" applyFill="1" applyBorder="1" applyAlignment="1">
      <alignment horizontal="right" vertical="top"/>
    </xf>
    <xf numFmtId="165" fontId="0" fillId="5" borderId="0" xfId="0" applyNumberFormat="1" applyFill="1" applyAlignment="1">
      <alignment horizontal="right" vertical="top"/>
    </xf>
    <xf numFmtId="165" fontId="0" fillId="5" borderId="56" xfId="0" applyNumberFormat="1" applyFill="1" applyBorder="1" applyAlignment="1">
      <alignment horizontal="right" vertical="top"/>
    </xf>
    <xf numFmtId="165" fontId="0" fillId="25" borderId="0" xfId="0" applyNumberFormat="1" applyFill="1" applyAlignment="1">
      <alignment horizontal="right" vertical="top"/>
    </xf>
    <xf numFmtId="165" fontId="0" fillId="24" borderId="0" xfId="0" applyNumberFormat="1" applyFill="1" applyAlignment="1">
      <alignment horizontal="right" vertical="top"/>
    </xf>
    <xf numFmtId="165" fontId="0" fillId="25" borderId="57" xfId="0" applyNumberFormat="1" applyFill="1" applyBorder="1" applyAlignment="1">
      <alignment horizontal="right" vertical="top"/>
    </xf>
    <xf numFmtId="0" fontId="0" fillId="5" borderId="72" xfId="0" applyFill="1" applyBorder="1" applyAlignment="1">
      <alignment vertical="center" wrapText="1"/>
    </xf>
    <xf numFmtId="0" fontId="0" fillId="5" borderId="37" xfId="0" applyFill="1" applyBorder="1" applyAlignment="1">
      <alignment vertical="center" wrapText="1"/>
    </xf>
    <xf numFmtId="2" fontId="0" fillId="25" borderId="73" xfId="0" applyNumberFormat="1" applyFill="1" applyBorder="1"/>
    <xf numFmtId="2" fontId="0" fillId="27" borderId="73" xfId="0" applyNumberFormat="1" applyFill="1" applyBorder="1"/>
    <xf numFmtId="0" fontId="0" fillId="5" borderId="52" xfId="0" applyFill="1" applyBorder="1"/>
    <xf numFmtId="0" fontId="0" fillId="5" borderId="53" xfId="0" applyFill="1" applyBorder="1"/>
    <xf numFmtId="0" fontId="0" fillId="5" borderId="54" xfId="0" applyFill="1" applyBorder="1"/>
    <xf numFmtId="0" fontId="0" fillId="5" borderId="28" xfId="0" applyFill="1" applyBorder="1" applyAlignment="1">
      <alignment vertical="center" wrapText="1"/>
    </xf>
    <xf numFmtId="0" fontId="0" fillId="5" borderId="93" xfId="0" applyFill="1" applyBorder="1" applyAlignment="1">
      <alignment vertical="center" wrapText="1"/>
    </xf>
    <xf numFmtId="2" fontId="0" fillId="25" borderId="55" xfId="0" applyNumberFormat="1" applyFill="1" applyBorder="1"/>
    <xf numFmtId="2" fontId="0" fillId="25" borderId="56" xfId="0" applyNumberFormat="1" applyFill="1" applyBorder="1"/>
    <xf numFmtId="2" fontId="0" fillId="27" borderId="55" xfId="0" applyNumberFormat="1" applyFill="1" applyBorder="1"/>
    <xf numFmtId="2" fontId="0" fillId="27" borderId="56" xfId="0" applyNumberFormat="1" applyFill="1" applyBorder="1"/>
    <xf numFmtId="2" fontId="0" fillId="25" borderId="94" xfId="0" applyNumberFormat="1" applyFill="1" applyBorder="1"/>
    <xf numFmtId="2" fontId="0" fillId="25" borderId="93" xfId="0" applyNumberFormat="1" applyFill="1" applyBorder="1"/>
    <xf numFmtId="2" fontId="0" fillId="27" borderId="94" xfId="0" applyNumberFormat="1" applyFill="1" applyBorder="1"/>
    <xf numFmtId="2" fontId="0" fillId="27" borderId="93" xfId="0" applyNumberFormat="1" applyFill="1" applyBorder="1"/>
    <xf numFmtId="2" fontId="0" fillId="27" borderId="28" xfId="0" applyNumberFormat="1" applyFill="1" applyBorder="1"/>
    <xf numFmtId="2" fontId="0" fillId="25" borderId="28" xfId="0" applyNumberFormat="1" applyFill="1" applyBorder="1"/>
    <xf numFmtId="165" fontId="0" fillId="5" borderId="59" xfId="0" applyNumberFormat="1" applyFill="1" applyBorder="1" applyAlignment="1">
      <alignment horizontal="right" vertical="top"/>
    </xf>
    <xf numFmtId="0" fontId="0" fillId="5" borderId="73" xfId="0" applyFill="1" applyBorder="1" applyAlignment="1">
      <alignment vertical="center" wrapText="1"/>
    </xf>
    <xf numFmtId="165" fontId="0" fillId="25" borderId="72" xfId="0" applyNumberFormat="1" applyFill="1" applyBorder="1"/>
    <xf numFmtId="165" fontId="0" fillId="27" borderId="72" xfId="0" applyNumberFormat="1" applyFill="1" applyBorder="1"/>
    <xf numFmtId="0" fontId="0" fillId="5" borderId="28" xfId="0" applyFill="1" applyBorder="1" applyAlignment="1">
      <alignment wrapText="1"/>
    </xf>
    <xf numFmtId="0" fontId="0" fillId="5" borderId="93" xfId="0" applyFill="1" applyBorder="1" applyAlignment="1">
      <alignment wrapText="1"/>
    </xf>
    <xf numFmtId="165" fontId="0" fillId="25" borderId="55" xfId="0" applyNumberFormat="1" applyFill="1" applyBorder="1"/>
    <xf numFmtId="165" fontId="0" fillId="25" borderId="56" xfId="0" applyNumberFormat="1" applyFill="1" applyBorder="1"/>
    <xf numFmtId="165" fontId="0" fillId="27" borderId="55" xfId="0" applyNumberFormat="1" applyFill="1" applyBorder="1"/>
    <xf numFmtId="165" fontId="0" fillId="27" borderId="56" xfId="0" applyNumberFormat="1" applyFill="1" applyBorder="1"/>
    <xf numFmtId="165" fontId="0" fillId="25" borderId="28" xfId="0" applyNumberFormat="1" applyFill="1" applyBorder="1"/>
    <xf numFmtId="165" fontId="0" fillId="25" borderId="93" xfId="0" applyNumberFormat="1" applyFill="1" applyBorder="1"/>
    <xf numFmtId="165" fontId="0" fillId="27" borderId="28" xfId="0" applyNumberFormat="1" applyFill="1" applyBorder="1"/>
    <xf numFmtId="165" fontId="0" fillId="27" borderId="93" xfId="0" applyNumberFormat="1" applyFill="1" applyBorder="1"/>
    <xf numFmtId="165" fontId="0" fillId="5" borderId="59" xfId="0" applyNumberFormat="1" applyFill="1" applyBorder="1"/>
    <xf numFmtId="0" fontId="0" fillId="5" borderId="73" xfId="0" applyFill="1" applyBorder="1" applyAlignment="1">
      <alignment wrapText="1"/>
    </xf>
    <xf numFmtId="165" fontId="0" fillId="25" borderId="73" xfId="0" applyNumberFormat="1" applyFill="1" applyBorder="1"/>
    <xf numFmtId="165" fontId="0" fillId="27" borderId="73" xfId="0" applyNumberFormat="1" applyFill="1" applyBorder="1"/>
    <xf numFmtId="0" fontId="0" fillId="5" borderId="37" xfId="0" applyFill="1" applyBorder="1" applyAlignment="1">
      <alignment wrapText="1"/>
    </xf>
    <xf numFmtId="0" fontId="0" fillId="5" borderId="59" xfId="0" applyFill="1" applyBorder="1"/>
    <xf numFmtId="0" fontId="74" fillId="5" borderId="0" xfId="0" applyFont="1" applyFill="1"/>
    <xf numFmtId="1" fontId="0" fillId="5" borderId="0" xfId="0" applyNumberFormat="1" applyFill="1"/>
    <xf numFmtId="0" fontId="1" fillId="0" borderId="0" xfId="0" applyFont="1"/>
    <xf numFmtId="0" fontId="1" fillId="0" borderId="0" xfId="0" applyFont="1" applyAlignment="1">
      <alignment horizontal="justify" vertical="center"/>
    </xf>
    <xf numFmtId="1" fontId="0" fillId="24" borderId="0" xfId="0" applyNumberFormat="1" applyFill="1"/>
    <xf numFmtId="201" fontId="0" fillId="0" borderId="0" xfId="152" applyNumberFormat="1" applyFont="1"/>
    <xf numFmtId="201" fontId="0" fillId="0" borderId="0" xfId="152" applyNumberFormat="1" applyFont="1" applyFill="1"/>
    <xf numFmtId="201" fontId="0" fillId="0" borderId="0" xfId="0" applyNumberFormat="1"/>
    <xf numFmtId="0" fontId="0" fillId="0" borderId="72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165" fontId="0" fillId="0" borderId="0" xfId="0" applyNumberFormat="1" applyAlignment="1">
      <alignment wrapText="1"/>
    </xf>
    <xf numFmtId="2" fontId="0" fillId="30" borderId="72" xfId="0" applyNumberFormat="1" applyFill="1" applyBorder="1"/>
    <xf numFmtId="2" fontId="0" fillId="30" borderId="74" xfId="0" applyNumberFormat="1" applyFill="1" applyBorder="1"/>
    <xf numFmtId="2" fontId="0" fillId="24" borderId="72" xfId="0" applyNumberFormat="1" applyFill="1" applyBorder="1"/>
    <xf numFmtId="2" fontId="4" fillId="5" borderId="72" xfId="0" applyNumberFormat="1" applyFont="1" applyFill="1" applyBorder="1"/>
    <xf numFmtId="0" fontId="5" fillId="5" borderId="74" xfId="0" applyFont="1" applyFill="1" applyBorder="1" applyAlignment="1">
      <alignment vertical="top" wrapText="1"/>
    </xf>
    <xf numFmtId="0" fontId="5" fillId="5" borderId="29" xfId="0" applyFont="1" applyFill="1" applyBorder="1" applyAlignment="1">
      <alignment vertical="top" wrapText="1"/>
    </xf>
    <xf numFmtId="0" fontId="5" fillId="5" borderId="32" xfId="0" applyFont="1" applyFill="1" applyBorder="1" applyAlignment="1">
      <alignment vertical="top" wrapText="1"/>
    </xf>
    <xf numFmtId="0" fontId="4" fillId="5" borderId="32" xfId="0" applyFont="1" applyFill="1" applyBorder="1" applyAlignment="1">
      <alignment horizontal="right" vertical="center" textRotation="90" wrapText="1"/>
    </xf>
    <xf numFmtId="0" fontId="4" fillId="5" borderId="29" xfId="0" applyFont="1" applyFill="1" applyBorder="1" applyAlignment="1">
      <alignment horizontal="right" vertical="center" textRotation="90" wrapText="1"/>
    </xf>
    <xf numFmtId="0" fontId="4" fillId="5" borderId="74" xfId="0" applyFont="1" applyFill="1" applyBorder="1" applyAlignment="1">
      <alignment vertical="center" textRotation="90" wrapText="1"/>
    </xf>
    <xf numFmtId="0" fontId="4" fillId="5" borderId="32" xfId="0" applyFont="1" applyFill="1" applyBorder="1" applyAlignment="1">
      <alignment vertical="center" textRotation="90" wrapText="1"/>
    </xf>
    <xf numFmtId="0" fontId="4" fillId="5" borderId="29" xfId="0" applyFont="1" applyFill="1" applyBorder="1" applyAlignment="1">
      <alignment vertical="center" textRotation="90" wrapText="1"/>
    </xf>
    <xf numFmtId="0" fontId="4" fillId="5" borderId="72" xfId="0" applyFont="1" applyFill="1" applyBorder="1" applyAlignment="1">
      <alignment vertical="center" textRotation="90" wrapText="1"/>
    </xf>
    <xf numFmtId="0" fontId="5" fillId="5" borderId="72" xfId="0" applyFont="1" applyFill="1" applyBorder="1" applyAlignment="1">
      <alignment vertical="top" wrapText="1"/>
    </xf>
    <xf numFmtId="0" fontId="4" fillId="0" borderId="74" xfId="0" applyFont="1" applyBorder="1" applyAlignment="1">
      <alignment vertical="center" textRotation="90" wrapText="1"/>
    </xf>
    <xf numFmtId="0" fontId="4" fillId="0" borderId="32" xfId="0" applyFont="1" applyBorder="1" applyAlignment="1">
      <alignment vertical="center" textRotation="90" wrapText="1"/>
    </xf>
    <xf numFmtId="0" fontId="4" fillId="0" borderId="29" xfId="0" applyFont="1" applyBorder="1" applyAlignment="1">
      <alignment vertical="center" textRotation="90" wrapText="1"/>
    </xf>
    <xf numFmtId="0" fontId="5" fillId="5" borderId="30" xfId="0" applyFont="1" applyFill="1" applyBorder="1" applyAlignment="1">
      <alignment vertical="top" wrapText="1"/>
    </xf>
    <xf numFmtId="0" fontId="5" fillId="5" borderId="45" xfId="0" applyFont="1" applyFill="1" applyBorder="1" applyAlignment="1">
      <alignment vertical="top" wrapText="1"/>
    </xf>
    <xf numFmtId="165" fontId="0" fillId="0" borderId="0" xfId="0" quotePrefix="1" applyNumberFormat="1"/>
    <xf numFmtId="43" fontId="0" fillId="0" borderId="0" xfId="152" applyFont="1"/>
    <xf numFmtId="43" fontId="0" fillId="24" borderId="0" xfId="152" applyFont="1" applyFill="1"/>
    <xf numFmtId="166" fontId="35" fillId="5" borderId="0" xfId="65" applyNumberFormat="1" applyFont="1" applyFill="1" applyAlignment="1">
      <alignment vertical="center"/>
    </xf>
    <xf numFmtId="165" fontId="35" fillId="5" borderId="0" xfId="65" applyNumberFormat="1" applyFont="1" applyFill="1" applyAlignment="1">
      <alignment vertical="center"/>
    </xf>
    <xf numFmtId="165" fontId="9" fillId="5" borderId="0" xfId="65" applyNumberFormat="1" applyFill="1" applyAlignment="1">
      <alignment vertical="center"/>
    </xf>
    <xf numFmtId="9" fontId="35" fillId="24" borderId="0" xfId="134" applyFont="1" applyFill="1" applyAlignment="1">
      <alignment vertical="center"/>
    </xf>
    <xf numFmtId="0" fontId="0" fillId="0" borderId="0" xfId="0" applyAlignment="1">
      <alignment horizontal="left" vertical="top" wrapText="1"/>
    </xf>
    <xf numFmtId="0" fontId="4" fillId="27" borderId="74" xfId="0" applyFont="1" applyFill="1" applyBorder="1" applyAlignment="1">
      <alignment vertical="top" wrapText="1"/>
    </xf>
    <xf numFmtId="0" fontId="4" fillId="27" borderId="32" xfId="0" applyFont="1" applyFill="1" applyBorder="1" applyAlignment="1">
      <alignment vertical="top" wrapText="1"/>
    </xf>
    <xf numFmtId="0" fontId="4" fillId="27" borderId="72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vertical="top" wrapText="1"/>
    </xf>
    <xf numFmtId="0" fontId="4" fillId="27" borderId="77" xfId="0" applyFont="1" applyFill="1" applyBorder="1" applyAlignment="1">
      <alignment horizontal="center" vertical="top" wrapText="1"/>
    </xf>
    <xf numFmtId="0" fontId="4" fillId="27" borderId="56" xfId="0" applyFont="1" applyFill="1" applyBorder="1" applyAlignment="1">
      <alignment horizontal="center" vertical="top" wrapText="1"/>
    </xf>
    <xf numFmtId="0" fontId="4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vertical="top" wrapText="1"/>
    </xf>
    <xf numFmtId="0" fontId="5" fillId="27" borderId="32" xfId="0" applyFont="1" applyFill="1" applyBorder="1" applyAlignment="1">
      <alignment vertical="top" wrapText="1"/>
    </xf>
    <xf numFmtId="0" fontId="5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5" fillId="27" borderId="32" xfId="0" applyFont="1" applyFill="1" applyBorder="1" applyAlignment="1">
      <alignment horizontal="left" vertical="top" wrapText="1"/>
    </xf>
    <xf numFmtId="0" fontId="5" fillId="27" borderId="29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0" fillId="0" borderId="72" xfId="0" applyBorder="1" applyAlignment="1">
      <alignment horizontal="center" textRotation="90" wrapText="1"/>
    </xf>
    <xf numFmtId="0" fontId="0" fillId="0" borderId="37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2" xfId="0" applyBorder="1" applyAlignment="1">
      <alignment horizontal="center" textRotation="90"/>
    </xf>
    <xf numFmtId="0" fontId="4" fillId="27" borderId="65" xfId="0" applyFont="1" applyFill="1" applyBorder="1" applyAlignment="1">
      <alignment horizontal="center" vertical="top" wrapText="1"/>
    </xf>
    <xf numFmtId="0" fontId="4" fillId="27" borderId="68" xfId="0" applyFont="1" applyFill="1" applyBorder="1" applyAlignment="1">
      <alignment horizontal="center" vertical="top" wrapText="1"/>
    </xf>
    <xf numFmtId="0" fontId="4" fillId="27" borderId="69" xfId="0" applyFont="1" applyFill="1" applyBorder="1" applyAlignment="1">
      <alignment horizontal="center" vertical="top" wrapText="1"/>
    </xf>
    <xf numFmtId="0" fontId="5" fillId="0" borderId="37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0" borderId="74" xfId="0" applyFont="1" applyBorder="1" applyAlignment="1">
      <alignment vertical="top" wrapText="1"/>
    </xf>
    <xf numFmtId="0" fontId="5" fillId="0" borderId="32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5" fillId="0" borderId="70" xfId="0" applyFont="1" applyBorder="1" applyAlignment="1">
      <alignment vertical="top" wrapText="1"/>
    </xf>
    <xf numFmtId="0" fontId="5" fillId="0" borderId="74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5" fillId="0" borderId="29" xfId="0" applyFont="1" applyBorder="1" applyAlignment="1">
      <alignment horizontal="left" vertical="top" wrapText="1"/>
    </xf>
    <xf numFmtId="0" fontId="72" fillId="0" borderId="74" xfId="0" applyFont="1" applyBorder="1" applyAlignment="1">
      <alignment vertical="top" wrapText="1"/>
    </xf>
    <xf numFmtId="0" fontId="72" fillId="0" borderId="32" xfId="0" applyFont="1" applyBorder="1" applyAlignment="1">
      <alignment vertical="top" wrapText="1"/>
    </xf>
    <xf numFmtId="0" fontId="72" fillId="0" borderId="29" xfId="0" applyFont="1" applyBorder="1" applyAlignment="1">
      <alignment vertical="top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3" xfId="0" applyFont="1" applyBorder="1" applyAlignment="1">
      <alignment horizontal="center" vertical="center" wrapText="1"/>
    </xf>
    <xf numFmtId="0" fontId="5" fillId="0" borderId="72" xfId="0" applyFont="1" applyBorder="1" applyAlignment="1">
      <alignment horizontal="left" vertical="top" wrapText="1"/>
    </xf>
    <xf numFmtId="0" fontId="5" fillId="0" borderId="71" xfId="0" applyFont="1" applyBorder="1" applyAlignment="1">
      <alignment horizontal="left" vertical="top" wrapText="1"/>
    </xf>
    <xf numFmtId="0" fontId="4" fillId="0" borderId="72" xfId="0" applyFont="1" applyBorder="1" applyAlignment="1">
      <alignment horizontal="left" wrapText="1"/>
    </xf>
    <xf numFmtId="0" fontId="4" fillId="0" borderId="72" xfId="0" applyFont="1" applyBorder="1"/>
    <xf numFmtId="0" fontId="4" fillId="0" borderId="74" xfId="0" applyFont="1" applyBorder="1" applyAlignment="1">
      <alignment wrapText="1"/>
    </xf>
    <xf numFmtId="0" fontId="4" fillId="0" borderId="32" xfId="0" applyFont="1" applyBorder="1" applyAlignment="1">
      <alignment wrapText="1"/>
    </xf>
    <xf numFmtId="0" fontId="4" fillId="0" borderId="29" xfId="0" applyFont="1" applyBorder="1" applyAlignment="1">
      <alignment wrapText="1"/>
    </xf>
    <xf numFmtId="2" fontId="4" fillId="0" borderId="74" xfId="0" applyNumberFormat="1" applyFont="1" applyBorder="1" applyAlignment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0" fontId="4" fillId="22" borderId="42" xfId="0" applyFont="1" applyFill="1" applyBorder="1" applyAlignment="1">
      <alignment horizontal="center"/>
    </xf>
    <xf numFmtId="0" fontId="4" fillId="22" borderId="43" xfId="0" applyFont="1" applyFill="1" applyBorder="1" applyAlignment="1">
      <alignment horizontal="center"/>
    </xf>
    <xf numFmtId="0" fontId="4" fillId="22" borderId="44" xfId="0" applyFont="1" applyFill="1" applyBorder="1" applyAlignment="1">
      <alignment horizontal="center"/>
    </xf>
    <xf numFmtId="0" fontId="4" fillId="22" borderId="30" xfId="0" applyFont="1" applyFill="1" applyBorder="1" applyAlignment="1">
      <alignment horizontal="center"/>
    </xf>
    <xf numFmtId="0" fontId="4" fillId="22" borderId="0" xfId="0" applyFont="1" applyFill="1" applyAlignment="1">
      <alignment horizontal="center"/>
    </xf>
    <xf numFmtId="0" fontId="4" fillId="22" borderId="40" xfId="0" applyFont="1" applyFill="1" applyBorder="1" applyAlignment="1">
      <alignment horizontal="center"/>
    </xf>
    <xf numFmtId="0" fontId="4" fillId="22" borderId="45" xfId="0" applyFont="1" applyFill="1" applyBorder="1" applyAlignment="1">
      <alignment horizontal="center"/>
    </xf>
    <xf numFmtId="0" fontId="4" fillId="22" borderId="46" xfId="0" applyFont="1" applyFill="1" applyBorder="1" applyAlignment="1">
      <alignment horizontal="center"/>
    </xf>
    <xf numFmtId="0" fontId="4" fillId="22" borderId="41" xfId="0" applyFont="1" applyFill="1" applyBorder="1" applyAlignment="1">
      <alignment horizontal="center"/>
    </xf>
    <xf numFmtId="0" fontId="4" fillId="0" borderId="37" xfId="0" applyFont="1" applyBorder="1"/>
    <xf numFmtId="0" fontId="4" fillId="0" borderId="73" xfId="0" applyFont="1" applyBorder="1"/>
    <xf numFmtId="0" fontId="4" fillId="0" borderId="38" xfId="0" applyFont="1" applyBorder="1"/>
    <xf numFmtId="0" fontId="4" fillId="0" borderId="67" xfId="0" applyFont="1" applyBorder="1" applyAlignment="1">
      <alignment wrapText="1"/>
    </xf>
    <xf numFmtId="0" fontId="4" fillId="0" borderId="72" xfId="0" applyFont="1" applyBorder="1" applyAlignment="1">
      <alignment wrapText="1"/>
    </xf>
    <xf numFmtId="2" fontId="4" fillId="0" borderId="72" xfId="0" applyNumberFormat="1" applyFont="1" applyBorder="1"/>
    <xf numFmtId="0" fontId="4" fillId="22" borderId="72" xfId="0" applyFont="1" applyFill="1" applyBorder="1" applyAlignment="1">
      <alignment horizontal="center"/>
    </xf>
    <xf numFmtId="0" fontId="4" fillId="0" borderId="74" xfId="0" applyFont="1" applyBorder="1" applyAlignment="1">
      <alignment horizontal="left" wrapText="1"/>
    </xf>
    <xf numFmtId="0" fontId="4" fillId="0" borderId="32" xfId="0" applyFont="1" applyBorder="1" applyAlignment="1">
      <alignment horizontal="left" wrapText="1"/>
    </xf>
    <xf numFmtId="0" fontId="4" fillId="0" borderId="29" xfId="0" applyFont="1" applyBorder="1" applyAlignment="1">
      <alignment horizontal="left" wrapText="1"/>
    </xf>
    <xf numFmtId="0" fontId="4" fillId="0" borderId="74" xfId="0" applyFont="1" applyBorder="1" applyAlignment="1">
      <alignment horizontal="center" wrapText="1"/>
    </xf>
    <xf numFmtId="0" fontId="4" fillId="0" borderId="32" xfId="0" applyFont="1" applyBorder="1" applyAlignment="1">
      <alignment horizontal="center" wrapText="1"/>
    </xf>
    <xf numFmtId="0" fontId="4" fillId="0" borderId="29" xfId="0" applyFont="1" applyBorder="1" applyAlignment="1">
      <alignment horizontal="center" wrapText="1"/>
    </xf>
    <xf numFmtId="0" fontId="4" fillId="4" borderId="30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0" fontId="4" fillId="4" borderId="74" xfId="0" applyFont="1" applyFill="1" applyBorder="1" applyAlignment="1">
      <alignment wrapText="1"/>
    </xf>
    <xf numFmtId="0" fontId="4" fillId="4" borderId="32" xfId="0" applyFont="1" applyFill="1" applyBorder="1" applyAlignment="1">
      <alignment wrapText="1"/>
    </xf>
    <xf numFmtId="0" fontId="4" fillId="4" borderId="29" xfId="0" applyFont="1" applyFill="1" applyBorder="1" applyAlignment="1">
      <alignment wrapText="1"/>
    </xf>
    <xf numFmtId="0" fontId="4" fillId="0" borderId="72" xfId="0" applyFont="1" applyBorder="1" applyAlignment="1">
      <alignment horizontal="right"/>
    </xf>
    <xf numFmtId="2" fontId="4" fillId="0" borderId="72" xfId="0" applyNumberFormat="1" applyFont="1" applyBorder="1" applyAlignment="1">
      <alignment horizontal="right"/>
    </xf>
    <xf numFmtId="0" fontId="5" fillId="0" borderId="72" xfId="0" applyFont="1" applyBorder="1" applyAlignment="1">
      <alignment horizontal="right"/>
    </xf>
    <xf numFmtId="0" fontId="65" fillId="0" borderId="72" xfId="0" applyFont="1" applyBorder="1" applyAlignment="1">
      <alignment wrapText="1"/>
    </xf>
    <xf numFmtId="0" fontId="4" fillId="0" borderId="72" xfId="0" applyFont="1" applyBorder="1" applyAlignment="1">
      <alignment horizontal="center"/>
    </xf>
    <xf numFmtId="4" fontId="4" fillId="0" borderId="72" xfId="0" applyNumberFormat="1" applyFont="1" applyBorder="1" applyAlignment="1">
      <alignment horizontal="right"/>
    </xf>
    <xf numFmtId="0" fontId="4" fillId="23" borderId="72" xfId="0" applyFont="1" applyFill="1" applyBorder="1" applyAlignment="1">
      <alignment horizontal="left" wrapText="1"/>
    </xf>
    <xf numFmtId="0" fontId="4" fillId="0" borderId="74" xfId="0" applyFont="1" applyBorder="1" applyAlignment="1">
      <alignment horizontal="left"/>
    </xf>
    <xf numFmtId="0" fontId="4" fillId="0" borderId="29" xfId="0" applyFont="1" applyBorder="1" applyAlignment="1">
      <alignment horizontal="left"/>
    </xf>
    <xf numFmtId="0" fontId="4" fillId="0" borderId="74" xfId="0" applyFont="1" applyBorder="1"/>
    <xf numFmtId="0" fontId="4" fillId="0" borderId="29" xfId="0" applyFont="1" applyBorder="1"/>
    <xf numFmtId="2" fontId="5" fillId="0" borderId="72" xfId="0" applyNumberFormat="1" applyFont="1" applyBorder="1" applyAlignment="1">
      <alignment horizontal="right"/>
    </xf>
    <xf numFmtId="0" fontId="4" fillId="0" borderId="74" xfId="0" applyFont="1" applyBorder="1" applyAlignment="1">
      <alignment horizontal="right"/>
    </xf>
    <xf numFmtId="0" fontId="4" fillId="0" borderId="29" xfId="0" applyFont="1" applyBorder="1" applyAlignment="1">
      <alignment horizontal="right"/>
    </xf>
    <xf numFmtId="2" fontId="5" fillId="0" borderId="74" xfId="0" applyNumberFormat="1" applyFont="1" applyBorder="1" applyAlignment="1">
      <alignment horizontal="right"/>
    </xf>
    <xf numFmtId="2" fontId="5" fillId="0" borderId="29" xfId="0" applyNumberFormat="1" applyFont="1" applyBorder="1" applyAlignment="1">
      <alignment horizontal="right"/>
    </xf>
    <xf numFmtId="0" fontId="87" fillId="28" borderId="0" xfId="65" applyFont="1" applyFill="1" applyAlignment="1">
      <alignment horizontal="center" vertical="center"/>
    </xf>
    <xf numFmtId="0" fontId="19" fillId="5" borderId="16" xfId="65" applyFont="1" applyFill="1" applyBorder="1" applyAlignment="1">
      <alignment horizontal="left" vertical="center" wrapText="1"/>
    </xf>
    <xf numFmtId="0" fontId="9" fillId="5" borderId="16" xfId="65" applyFill="1" applyBorder="1" applyAlignment="1">
      <alignment horizontal="left" vertical="center" wrapText="1"/>
    </xf>
    <xf numFmtId="0" fontId="16" fillId="5" borderId="15" xfId="65" applyFont="1" applyFill="1" applyBorder="1" applyAlignment="1">
      <alignment horizontal="center" vertical="center" wrapText="1"/>
    </xf>
    <xf numFmtId="0" fontId="16" fillId="5" borderId="20" xfId="65" applyFont="1" applyFill="1" applyBorder="1" applyAlignment="1">
      <alignment horizontal="center" vertical="center" wrapText="1"/>
    </xf>
    <xf numFmtId="0" fontId="20" fillId="5" borderId="15" xfId="65" applyFont="1" applyFill="1" applyBorder="1" applyAlignment="1">
      <alignment horizontal="center" vertical="center" textRotation="90" wrapText="1"/>
    </xf>
    <xf numFmtId="0" fontId="9" fillId="5" borderId="20" xfId="66" applyFill="1" applyBorder="1" applyAlignment="1">
      <alignment horizontal="center" vertical="center"/>
    </xf>
    <xf numFmtId="0" fontId="9" fillId="5" borderId="23" xfId="66" applyFill="1" applyBorder="1" applyAlignment="1">
      <alignment horizontal="center" vertical="center"/>
    </xf>
    <xf numFmtId="0" fontId="20" fillId="6" borderId="3" xfId="65" applyFont="1" applyFill="1" applyBorder="1" applyAlignment="1">
      <alignment horizontal="center" vertical="center" wrapText="1"/>
    </xf>
    <xf numFmtId="0" fontId="20" fillId="6" borderId="17" xfId="65" applyFont="1" applyFill="1" applyBorder="1" applyAlignment="1">
      <alignment horizontal="center" vertical="center" wrapText="1"/>
    </xf>
    <xf numFmtId="0" fontId="20" fillId="6" borderId="18" xfId="65" applyFont="1" applyFill="1" applyBorder="1" applyAlignment="1">
      <alignment horizontal="center" vertical="center" wrapText="1"/>
    </xf>
    <xf numFmtId="0" fontId="21" fillId="5" borderId="24" xfId="65" applyFont="1" applyFill="1" applyBorder="1" applyAlignment="1">
      <alignment horizontal="center" vertical="center" wrapText="1"/>
    </xf>
    <xf numFmtId="0" fontId="21" fillId="5" borderId="25" xfId="65" applyFont="1" applyFill="1" applyBorder="1" applyAlignment="1">
      <alignment horizontal="center" vertical="center" wrapText="1"/>
    </xf>
    <xf numFmtId="0" fontId="21" fillId="5" borderId="26" xfId="65" applyFont="1" applyFill="1" applyBorder="1" applyAlignment="1">
      <alignment horizontal="center" vertical="center" wrapText="1"/>
    </xf>
    <xf numFmtId="0" fontId="20" fillId="5" borderId="19" xfId="65" applyFont="1" applyFill="1" applyBorder="1" applyAlignment="1">
      <alignment horizontal="center" vertical="center" wrapText="1"/>
    </xf>
    <xf numFmtId="0" fontId="20" fillId="5" borderId="5" xfId="65" applyFont="1" applyFill="1" applyBorder="1" applyAlignment="1">
      <alignment horizontal="center" vertical="center" wrapText="1"/>
    </xf>
    <xf numFmtId="0" fontId="20" fillId="5" borderId="6" xfId="65" applyFont="1" applyFill="1" applyBorder="1" applyAlignment="1">
      <alignment horizontal="center" vertical="center" wrapText="1"/>
    </xf>
    <xf numFmtId="0" fontId="21" fillId="5" borderId="23" xfId="65" applyFont="1" applyFill="1" applyBorder="1" applyAlignment="1">
      <alignment horizontal="center" vertical="center" wrapText="1"/>
    </xf>
    <xf numFmtId="0" fontId="26" fillId="5" borderId="23" xfId="65" applyFont="1" applyFill="1" applyBorder="1" applyAlignment="1">
      <alignment horizontal="center" vertical="center" wrapText="1"/>
    </xf>
    <xf numFmtId="0" fontId="20" fillId="5" borderId="3" xfId="65" applyFont="1" applyFill="1" applyBorder="1" applyAlignment="1">
      <alignment horizontal="center" vertical="center" wrapText="1"/>
    </xf>
    <xf numFmtId="0" fontId="20" fillId="5" borderId="17" xfId="65" applyFont="1" applyFill="1" applyBorder="1" applyAlignment="1">
      <alignment horizontal="center" vertical="center" wrapText="1"/>
    </xf>
    <xf numFmtId="0" fontId="20" fillId="5" borderId="18" xfId="65" applyFont="1" applyFill="1" applyBorder="1" applyAlignment="1">
      <alignment horizontal="center" vertical="center" wrapText="1"/>
    </xf>
    <xf numFmtId="0" fontId="22" fillId="5" borderId="15" xfId="65" applyFont="1" applyFill="1" applyBorder="1" applyAlignment="1">
      <alignment horizontal="left" vertical="center" wrapText="1"/>
    </xf>
    <xf numFmtId="0" fontId="18" fillId="5" borderId="20" xfId="65" applyFont="1" applyFill="1" applyBorder="1" applyAlignment="1">
      <alignment vertical="center" wrapText="1"/>
    </xf>
    <xf numFmtId="0" fontId="20" fillId="5" borderId="20" xfId="65" applyFont="1" applyFill="1" applyBorder="1" applyAlignment="1">
      <alignment horizontal="center" vertical="center" wrapText="1"/>
    </xf>
    <xf numFmtId="0" fontId="21" fillId="5" borderId="11" xfId="65" applyFont="1" applyFill="1" applyBorder="1" applyAlignment="1">
      <alignment horizontal="center" vertical="center" wrapText="1"/>
    </xf>
    <xf numFmtId="0" fontId="9" fillId="5" borderId="14" xfId="65" applyFill="1" applyBorder="1" applyAlignment="1">
      <alignment horizontal="center" vertical="center" wrapText="1"/>
    </xf>
    <xf numFmtId="0" fontId="9" fillId="5" borderId="22" xfId="65" applyFill="1" applyBorder="1" applyAlignment="1">
      <alignment horizontal="center" vertical="center" wrapText="1"/>
    </xf>
    <xf numFmtId="0" fontId="9" fillId="5" borderId="20" xfId="65" applyFill="1" applyBorder="1" applyAlignment="1">
      <alignment horizontal="left" vertical="top" wrapText="1"/>
    </xf>
    <xf numFmtId="0" fontId="24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/>
    </xf>
    <xf numFmtId="0" fontId="24" fillId="5" borderId="13" xfId="65" applyFont="1" applyFill="1" applyBorder="1" applyAlignment="1">
      <alignment vertical="center" wrapText="1"/>
    </xf>
    <xf numFmtId="0" fontId="21" fillId="6" borderId="21" xfId="65" applyFont="1" applyFill="1" applyBorder="1" applyAlignment="1">
      <alignment horizontal="center" vertical="center" wrapText="1"/>
    </xf>
    <xf numFmtId="0" fontId="21" fillId="6" borderId="0" xfId="65" applyFont="1" applyFill="1" applyAlignment="1">
      <alignment horizontal="center" vertical="center" wrapText="1"/>
    </xf>
    <xf numFmtId="0" fontId="21" fillId="6" borderId="12" xfId="65" applyFont="1" applyFill="1" applyBorder="1" applyAlignment="1">
      <alignment horizontal="center" vertical="center" wrapText="1"/>
    </xf>
    <xf numFmtId="0" fontId="21" fillId="6" borderId="7" xfId="65" applyFont="1" applyFill="1" applyBorder="1" applyAlignment="1">
      <alignment horizontal="center" vertical="center" wrapText="1"/>
    </xf>
    <xf numFmtId="0" fontId="21" fillId="6" borderId="9" xfId="65" applyFont="1" applyFill="1" applyBorder="1" applyAlignment="1">
      <alignment horizontal="center" vertical="center" wrapText="1"/>
    </xf>
    <xf numFmtId="0" fontId="21" fillId="6" borderId="10" xfId="65" applyFont="1" applyFill="1" applyBorder="1" applyAlignment="1">
      <alignment horizontal="center" vertical="center" wrapText="1"/>
    </xf>
    <xf numFmtId="0" fontId="25" fillId="5" borderId="20" xfId="65" applyFont="1" applyFill="1" applyBorder="1" applyAlignment="1">
      <alignment horizontal="center" vertical="center" wrapText="1"/>
    </xf>
    <xf numFmtId="0" fontId="19" fillId="5" borderId="15" xfId="65" applyFont="1" applyFill="1" applyBorder="1" applyAlignment="1">
      <alignment horizontal="left" vertical="center" wrapText="1"/>
    </xf>
    <xf numFmtId="0" fontId="19" fillId="5" borderId="20" xfId="65" applyFont="1" applyFill="1" applyBorder="1" applyAlignment="1">
      <alignment horizontal="left" vertical="center" wrapText="1"/>
    </xf>
    <xf numFmtId="0" fontId="16" fillId="5" borderId="20" xfId="65" applyFont="1" applyFill="1" applyBorder="1" applyAlignment="1">
      <alignment horizontal="left" vertical="center" wrapText="1"/>
    </xf>
    <xf numFmtId="3" fontId="38" fillId="18" borderId="27" xfId="0" applyNumberFormat="1" applyFont="1" applyFill="1" applyBorder="1" applyAlignment="1">
      <alignment horizontal="center" vertical="center" wrapText="1"/>
    </xf>
    <xf numFmtId="3" fontId="20" fillId="5" borderId="47" xfId="0" applyNumberFormat="1" applyFont="1" applyFill="1" applyBorder="1" applyAlignment="1">
      <alignment horizontal="center" vertical="center" wrapText="1"/>
    </xf>
    <xf numFmtId="167" fontId="20" fillId="5" borderId="19" xfId="0" applyNumberFormat="1" applyFont="1" applyFill="1" applyBorder="1" applyAlignment="1">
      <alignment horizontal="center" vertical="center" wrapText="1"/>
    </xf>
    <xf numFmtId="167" fontId="20" fillId="5" borderId="5" xfId="0" applyNumberFormat="1" applyFont="1" applyFill="1" applyBorder="1" applyAlignment="1">
      <alignment horizontal="center" vertical="center" wrapText="1"/>
    </xf>
    <xf numFmtId="167" fontId="20" fillId="5" borderId="6" xfId="0" applyNumberFormat="1" applyFont="1" applyFill="1" applyBorder="1" applyAlignment="1">
      <alignment horizontal="center" vertical="center" wrapText="1"/>
    </xf>
    <xf numFmtId="0" fontId="79" fillId="5" borderId="15" xfId="0" applyFont="1" applyFill="1" applyBorder="1" applyAlignment="1">
      <alignment vertical="center" wrapText="1"/>
    </xf>
    <xf numFmtId="0" fontId="59" fillId="5" borderId="20" xfId="0" applyFont="1" applyFill="1" applyBorder="1" applyAlignment="1">
      <alignment vertical="center" wrapText="1"/>
    </xf>
    <xf numFmtId="0" fontId="9" fillId="5" borderId="20" xfId="65" applyFill="1" applyBorder="1" applyAlignment="1">
      <alignment horizontal="left" vertical="center" wrapText="1"/>
    </xf>
    <xf numFmtId="167" fontId="20" fillId="5" borderId="11" xfId="0" applyNumberFormat="1" applyFont="1" applyFill="1" applyBorder="1" applyAlignment="1">
      <alignment horizontal="center" vertical="center"/>
    </xf>
    <xf numFmtId="167" fontId="9" fillId="5" borderId="14" xfId="0" applyNumberFormat="1" applyFont="1" applyFill="1" applyBorder="1" applyAlignment="1">
      <alignment horizontal="center" vertical="center"/>
    </xf>
    <xf numFmtId="167" fontId="9" fillId="5" borderId="22" xfId="0" applyNumberFormat="1" applyFont="1" applyFill="1" applyBorder="1" applyAlignment="1">
      <alignment horizontal="center" vertical="center"/>
    </xf>
    <xf numFmtId="167" fontId="20" fillId="5" borderId="24" xfId="0" applyNumberFormat="1" applyFont="1" applyFill="1" applyBorder="1" applyAlignment="1">
      <alignment horizontal="center" vertical="center" wrapText="1"/>
    </xf>
    <xf numFmtId="167" fontId="20" fillId="5" borderId="25" xfId="0" applyNumberFormat="1" applyFont="1" applyFill="1" applyBorder="1" applyAlignment="1">
      <alignment horizontal="center" vertical="center" wrapText="1"/>
    </xf>
    <xf numFmtId="167" fontId="20" fillId="5" borderId="26" xfId="0" applyNumberFormat="1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top" wrapText="1"/>
    </xf>
    <xf numFmtId="3" fontId="20" fillId="5" borderId="20" xfId="0" applyNumberFormat="1" applyFont="1" applyFill="1" applyBorder="1" applyAlignment="1">
      <alignment horizontal="center" vertical="center" wrapText="1"/>
    </xf>
    <xf numFmtId="0" fontId="20" fillId="5" borderId="23" xfId="65" applyFont="1" applyFill="1" applyBorder="1" applyAlignment="1">
      <alignment horizontal="center" vertical="top" wrapText="1"/>
    </xf>
    <xf numFmtId="3" fontId="20" fillId="5" borderId="23" xfId="0" applyNumberFormat="1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wrapText="1"/>
    </xf>
    <xf numFmtId="0" fontId="9" fillId="5" borderId="20" xfId="0" applyFont="1" applyFill="1" applyBorder="1"/>
    <xf numFmtId="0" fontId="19" fillId="5" borderId="15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 wrapText="1"/>
    </xf>
    <xf numFmtId="0" fontId="14" fillId="3" borderId="8" xfId="0" applyFont="1" applyFill="1" applyBorder="1" applyAlignment="1">
      <alignment horizontal="left"/>
    </xf>
    <xf numFmtId="0" fontId="14" fillId="3" borderId="9" xfId="0" applyFont="1" applyFill="1" applyBorder="1" applyAlignment="1">
      <alignment horizontal="left"/>
    </xf>
    <xf numFmtId="0" fontId="20" fillId="5" borderId="33" xfId="0" applyFont="1" applyFill="1" applyBorder="1" applyAlignment="1">
      <alignment horizontal="center" vertical="center" wrapText="1"/>
    </xf>
    <xf numFmtId="0" fontId="9" fillId="5" borderId="34" xfId="0" applyFont="1" applyFill="1" applyBorder="1" applyAlignment="1">
      <alignment horizontal="center" vertical="center" wrapText="1"/>
    </xf>
    <xf numFmtId="0" fontId="20" fillId="6" borderId="3" xfId="0" applyFont="1" applyFill="1" applyBorder="1" applyAlignment="1">
      <alignment horizontal="center" vertical="center" wrapText="1"/>
    </xf>
    <xf numFmtId="0" fontId="20" fillId="6" borderId="17" xfId="0" applyFont="1" applyFill="1" applyBorder="1" applyAlignment="1">
      <alignment horizontal="center" vertical="center" wrapText="1"/>
    </xf>
    <xf numFmtId="0" fontId="20" fillId="6" borderId="18" xfId="0" applyFont="1" applyFill="1" applyBorder="1" applyAlignment="1">
      <alignment horizontal="center" vertical="center" wrapText="1"/>
    </xf>
    <xf numFmtId="3" fontId="20" fillId="6" borderId="21" xfId="0" applyNumberFormat="1" applyFont="1" applyFill="1" applyBorder="1" applyAlignment="1">
      <alignment horizontal="center" vertical="center" wrapText="1"/>
    </xf>
    <xf numFmtId="3" fontId="20" fillId="6" borderId="0" xfId="0" applyNumberFormat="1" applyFont="1" applyFill="1" applyAlignment="1">
      <alignment horizontal="center" vertical="center" wrapText="1"/>
    </xf>
    <xf numFmtId="3" fontId="20" fillId="6" borderId="12" xfId="0" applyNumberFormat="1" applyFont="1" applyFill="1" applyBorder="1" applyAlignment="1">
      <alignment horizontal="center" vertical="center" wrapText="1"/>
    </xf>
    <xf numFmtId="3" fontId="20" fillId="6" borderId="7" xfId="0" applyNumberFormat="1" applyFont="1" applyFill="1" applyBorder="1" applyAlignment="1">
      <alignment horizontal="center" vertical="center" wrapText="1"/>
    </xf>
    <xf numFmtId="3" fontId="20" fillId="6" borderId="9" xfId="0" applyNumberFormat="1" applyFont="1" applyFill="1" applyBorder="1" applyAlignment="1">
      <alignment horizontal="center" vertical="center" wrapText="1"/>
    </xf>
    <xf numFmtId="3" fontId="20" fillId="6" borderId="10" xfId="0" applyNumberFormat="1" applyFont="1" applyFill="1" applyBorder="1" applyAlignment="1">
      <alignment horizontal="center" vertical="center" wrapText="1"/>
    </xf>
    <xf numFmtId="0" fontId="9" fillId="5" borderId="20" xfId="66" applyFill="1" applyBorder="1"/>
    <xf numFmtId="11" fontId="21" fillId="6" borderId="21" xfId="66" applyNumberFormat="1" applyFont="1" applyFill="1" applyBorder="1" applyAlignment="1">
      <alignment horizontal="center" vertical="center" wrapText="1"/>
    </xf>
    <xf numFmtId="11" fontId="21" fillId="6" borderId="0" xfId="66" applyNumberFormat="1" applyFont="1" applyFill="1" applyAlignment="1">
      <alignment horizontal="center" vertical="center" wrapText="1"/>
    </xf>
    <xf numFmtId="11" fontId="21" fillId="6" borderId="12" xfId="66" applyNumberFormat="1" applyFont="1" applyFill="1" applyBorder="1" applyAlignment="1">
      <alignment horizontal="center" vertical="center" wrapText="1"/>
    </xf>
    <xf numFmtId="11" fontId="20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 applyAlignment="1">
      <alignment horizontal="center" vertical="top" wrapText="1"/>
    </xf>
    <xf numFmtId="11" fontId="25" fillId="5" borderId="20" xfId="66" applyNumberFormat="1" applyFont="1" applyFill="1" applyBorder="1" applyAlignment="1">
      <alignment horizontal="center" vertical="top" wrapText="1"/>
    </xf>
    <xf numFmtId="0" fontId="35" fillId="5" borderId="20" xfId="66" applyFont="1" applyFill="1" applyBorder="1" applyAlignment="1">
      <alignment horizontal="center" vertical="top" wrapText="1"/>
    </xf>
    <xf numFmtId="11" fontId="19" fillId="5" borderId="35" xfId="66" applyNumberFormat="1" applyFont="1" applyFill="1" applyBorder="1" applyAlignment="1">
      <alignment vertical="center" wrapText="1"/>
    </xf>
    <xf numFmtId="0" fontId="9" fillId="5" borderId="48" xfId="66" applyFill="1" applyBorder="1" applyAlignment="1">
      <alignment vertical="center" wrapText="1"/>
    </xf>
    <xf numFmtId="0" fontId="9" fillId="5" borderId="50" xfId="66" applyFill="1" applyBorder="1" applyAlignment="1">
      <alignment vertical="center" wrapText="1"/>
    </xf>
    <xf numFmtId="11" fontId="20" fillId="6" borderId="3" xfId="66" applyNumberFormat="1" applyFont="1" applyFill="1" applyBorder="1" applyAlignment="1">
      <alignment horizontal="center" vertical="center" wrapText="1"/>
    </xf>
    <xf numFmtId="0" fontId="9" fillId="6" borderId="17" xfId="66" applyFill="1" applyBorder="1" applyAlignment="1">
      <alignment horizontal="center" vertical="center" wrapText="1"/>
    </xf>
    <xf numFmtId="0" fontId="9" fillId="6" borderId="18" xfId="66" applyFill="1" applyBorder="1" applyAlignment="1">
      <alignment horizontal="center" vertical="center" wrapText="1"/>
    </xf>
    <xf numFmtId="11" fontId="20" fillId="5" borderId="19" xfId="66" applyNumberFormat="1" applyFont="1" applyFill="1" applyBorder="1" applyAlignment="1">
      <alignment horizontal="center" vertical="top" wrapText="1"/>
    </xf>
    <xf numFmtId="11" fontId="20" fillId="5" borderId="5" xfId="66" applyNumberFormat="1" applyFont="1" applyFill="1" applyBorder="1" applyAlignment="1">
      <alignment horizontal="center" vertical="top" wrapText="1"/>
    </xf>
    <xf numFmtId="11" fontId="20" fillId="5" borderId="6" xfId="66" applyNumberFormat="1" applyFont="1" applyFill="1" applyBorder="1" applyAlignment="1">
      <alignment horizontal="center" vertical="top" wrapText="1"/>
    </xf>
    <xf numFmtId="11" fontId="20" fillId="5" borderId="3" xfId="66" applyNumberFormat="1" applyFont="1" applyFill="1" applyBorder="1" applyAlignment="1">
      <alignment horizontal="center" vertical="center" wrapText="1"/>
    </xf>
    <xf numFmtId="0" fontId="9" fillId="5" borderId="17" xfId="66" applyFill="1" applyBorder="1" applyAlignment="1">
      <alignment horizontal="center" vertical="center" wrapText="1"/>
    </xf>
    <xf numFmtId="0" fontId="9" fillId="5" borderId="18" xfId="66" applyFill="1" applyBorder="1" applyAlignment="1">
      <alignment horizontal="center" vertical="center" wrapText="1"/>
    </xf>
    <xf numFmtId="11" fontId="58" fillId="5" borderId="35" xfId="66" applyNumberFormat="1" applyFont="1" applyFill="1" applyBorder="1" applyAlignment="1">
      <alignment vertical="center" wrapText="1"/>
    </xf>
    <xf numFmtId="0" fontId="9" fillId="5" borderId="49" xfId="66" applyFill="1" applyBorder="1" applyAlignment="1">
      <alignment vertical="center" wrapText="1"/>
    </xf>
    <xf numFmtId="0" fontId="9" fillId="5" borderId="51" xfId="66" applyFill="1" applyBorder="1" applyAlignment="1">
      <alignment vertical="center" wrapText="1"/>
    </xf>
    <xf numFmtId="0" fontId="21" fillId="5" borderId="11" xfId="66" applyFont="1" applyFill="1" applyBorder="1" applyAlignment="1">
      <alignment horizontal="center" vertical="top"/>
    </xf>
    <xf numFmtId="0" fontId="9" fillId="5" borderId="14" xfId="66" applyFill="1" applyBorder="1" applyAlignment="1">
      <alignment horizontal="center" vertical="top"/>
    </xf>
    <xf numFmtId="0" fontId="9" fillId="5" borderId="22" xfId="66" applyFill="1" applyBorder="1" applyAlignment="1">
      <alignment horizontal="center" vertical="top"/>
    </xf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3" xfId="66" applyFill="1" applyBorder="1" applyAlignment="1">
      <alignment horizontal="center" vertical="top" wrapText="1"/>
    </xf>
    <xf numFmtId="11" fontId="26" fillId="5" borderId="23" xfId="66" applyNumberFormat="1" applyFont="1" applyFill="1" applyBorder="1" applyAlignment="1">
      <alignment horizontal="center" vertical="top" wrapText="1"/>
    </xf>
    <xf numFmtId="0" fontId="35" fillId="5" borderId="23" xfId="66" applyFont="1" applyFill="1" applyBorder="1" applyAlignment="1">
      <alignment horizontal="center" vertical="top" wrapText="1"/>
    </xf>
    <xf numFmtId="11" fontId="21" fillId="5" borderId="24" xfId="66" applyNumberFormat="1" applyFont="1" applyFill="1" applyBorder="1" applyAlignment="1">
      <alignment horizontal="center" vertical="top" wrapText="1"/>
    </xf>
    <xf numFmtId="0" fontId="9" fillId="5" borderId="25" xfId="66" applyFill="1" applyBorder="1" applyAlignment="1">
      <alignment horizontal="center" vertical="top" wrapText="1"/>
    </xf>
    <xf numFmtId="0" fontId="9" fillId="5" borderId="26" xfId="66" applyFill="1" applyBorder="1" applyAlignment="1">
      <alignment horizontal="center" vertical="top" wrapText="1"/>
    </xf>
    <xf numFmtId="0" fontId="83" fillId="5" borderId="72" xfId="0" applyFont="1" applyFill="1" applyBorder="1" applyAlignment="1">
      <alignment horizontal="left" vertical="center" wrapText="1"/>
    </xf>
    <xf numFmtId="0" fontId="14" fillId="3" borderId="83" xfId="0" applyFont="1" applyFill="1" applyBorder="1" applyAlignment="1">
      <alignment horizontal="left" vertical="center"/>
    </xf>
    <xf numFmtId="0" fontId="14" fillId="3" borderId="82" xfId="0" applyFont="1" applyFill="1" applyBorder="1" applyAlignment="1">
      <alignment horizontal="left" vertical="center"/>
    </xf>
    <xf numFmtId="0" fontId="19" fillId="5" borderId="20" xfId="0" applyFont="1" applyFill="1" applyBorder="1" applyAlignment="1">
      <alignment vertical="center" wrapText="1"/>
    </xf>
    <xf numFmtId="0" fontId="20" fillId="5" borderId="86" xfId="0" applyFont="1" applyFill="1" applyBorder="1" applyAlignment="1">
      <alignment horizontal="center" vertical="center" wrapText="1"/>
    </xf>
    <xf numFmtId="0" fontId="20" fillId="5" borderId="87" xfId="0" applyFont="1" applyFill="1" applyBorder="1" applyAlignment="1">
      <alignment horizontal="center" vertical="center" wrapText="1"/>
    </xf>
    <xf numFmtId="0" fontId="20" fillId="5" borderId="19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</cellXfs>
  <cellStyles count="153">
    <cellStyle name="2x indented GHG Textfiels" xfId="68" xr:uid="{00000000-0005-0000-0000-000000000000}"/>
    <cellStyle name="2x indented GHG Textfiels 2" xfId="136" xr:uid="{848C171A-3C7D-4E87-B3E8-C540E14F18B3}"/>
    <cellStyle name="5x indented GHG Textfiels" xfId="69" xr:uid="{00000000-0005-0000-0000-000001000000}"/>
    <cellStyle name="Boden" xfId="70" xr:uid="{00000000-0005-0000-0000-000023000000}"/>
    <cellStyle name="Body text" xfId="71" xr:uid="{00000000-0005-0000-0000-000024000000}"/>
    <cellStyle name="Bold GHG Numbers (0.00)" xfId="72" xr:uid="{00000000-0005-0000-0000-000025000000}"/>
    <cellStyle name="Comma [0]_CAS Ciba" xfId="73" xr:uid="{00000000-0005-0000-0000-000026000000}"/>
    <cellStyle name="Comma_CAS Ciba" xfId="74" xr:uid="{00000000-0005-0000-0000-000027000000}"/>
    <cellStyle name="comment" xfId="75" xr:uid="{00000000-0005-0000-0000-000028000000}"/>
    <cellStyle name="Currency [0]_CAS Ciba" xfId="76" xr:uid="{00000000-0005-0000-0000-000029000000}"/>
    <cellStyle name="Currency_CAS Ciba" xfId="77" xr:uid="{00000000-0005-0000-0000-00002A000000}"/>
    <cellStyle name="Dezimal 2" xfId="131" xr:uid="{00000000-0005-0000-0000-00002B000000}"/>
    <cellStyle name="dt" xfId="78" xr:uid="{00000000-0005-0000-0000-00002C000000}"/>
    <cellStyle name="EcoTitel" xfId="79" xr:uid="{00000000-0005-0000-0000-00002D000000}"/>
    <cellStyle name="EcoZahl" xfId="80" xr:uid="{00000000-0005-0000-0000-00002E000000}"/>
    <cellStyle name="Eingabe 2" xfId="81" xr:uid="{00000000-0005-0000-0000-00002F000000}"/>
    <cellStyle name="Euro" xfId="82" xr:uid="{00000000-0005-0000-0000-000030000000}"/>
    <cellStyle name="header" xfId="83" xr:uid="{00000000-0005-0000-0000-000031000000}"/>
    <cellStyle name="Header Total" xfId="84" xr:uid="{00000000-0005-0000-0000-000032000000}"/>
    <cellStyle name="Headline" xfId="85" xr:uid="{00000000-0005-0000-0000-000033000000}"/>
    <cellStyle name="kg" xfId="86" xr:uid="{00000000-0005-0000-0000-000055000000}"/>
    <cellStyle name="Komma 2" xfId="87" xr:uid="{00000000-0005-0000-0000-000056000000}"/>
    <cellStyle name="Komma 3" xfId="67" xr:uid="{00000000-0005-0000-0000-000057000000}"/>
    <cellStyle name="Komma 3 2" xfId="88" xr:uid="{00000000-0005-0000-0000-000058000000}"/>
    <cellStyle name="Komma 3 2 2" xfId="137" xr:uid="{45F04C5A-ECE3-45CC-836D-E9224AAC85A2}"/>
    <cellStyle name="Komma 3 3" xfId="89" xr:uid="{00000000-0005-0000-0000-000059000000}"/>
    <cellStyle name="Komma 3 3 2" xfId="138" xr:uid="{8B08C4EF-CE92-41F5-8496-FF4DB70F674A}"/>
    <cellStyle name="Komma 3 4" xfId="90" xr:uid="{00000000-0005-0000-0000-00005A000000}"/>
    <cellStyle name="Komma 3 4 2" xfId="139" xr:uid="{E46A9638-3D5E-434A-B684-F7E38963CFFA}"/>
    <cellStyle name="Komma 3 5" xfId="91" xr:uid="{00000000-0005-0000-0000-00005B000000}"/>
    <cellStyle name="Komma 3 5 2" xfId="140" xr:uid="{23B59923-D880-4F1E-AAE7-9477B2CA7B4F}"/>
    <cellStyle name="Komma 3 6" xfId="135" xr:uid="{098016BC-E78C-4AAF-8A57-76CCF2768515}"/>
    <cellStyle name="Komma 4" xfId="92" xr:uid="{00000000-0005-0000-0000-00005C000000}"/>
    <cellStyle name="Komma 4 2" xfId="141" xr:uid="{6B8924B0-FEC5-41F0-8C23-3D4B543CF429}"/>
    <cellStyle name="l" xfId="93" xr:uid="{00000000-0005-0000-0000-00005D000000}"/>
    <cellStyle name="Lien hypertexte" xfId="45" builtinId="8" hidden="1"/>
    <cellStyle name="Lien hypertexte" xfId="15" builtinId="8" hidden="1"/>
    <cellStyle name="Lien hypertexte" xfId="9" builtinId="8" hidden="1"/>
    <cellStyle name="Lien hypertexte" xfId="11" builtinId="8" hidden="1"/>
    <cellStyle name="Lien hypertexte" xfId="5" builtinId="8" hidden="1"/>
    <cellStyle name="Lien hypertexte" xfId="3" builtinId="8" hidden="1"/>
    <cellStyle name="Lien hypertexte" xfId="7" builtinId="8" hidden="1"/>
    <cellStyle name="Lien hypertexte" xfId="19" builtinId="8" hidden="1"/>
    <cellStyle name="Lien hypertexte" xfId="21" builtinId="8" hidden="1"/>
    <cellStyle name="Lien hypertexte" xfId="25" builtinId="8" hidden="1"/>
    <cellStyle name="Lien hypertexte" xfId="31" builtinId="8" hidden="1"/>
    <cellStyle name="Lien hypertexte" xfId="27" builtinId="8" hidden="1"/>
    <cellStyle name="Lien hypertexte" xfId="39" builtinId="8" hidden="1"/>
    <cellStyle name="Lien hypertexte" xfId="41" builtinId="8" hidden="1"/>
    <cellStyle name="Lien hypertexte" xfId="1" builtinId="8" hidden="1"/>
    <cellStyle name="Lien hypertexte" xfId="59" builtinId="8" hidden="1"/>
    <cellStyle name="Lien hypertexte" xfId="13" builtinId="8" hidden="1"/>
    <cellStyle name="Lien hypertexte" xfId="132" builtinId="8" hidden="1"/>
    <cellStyle name="Lien hypertexte" xfId="53" builtinId="8" hidden="1"/>
    <cellStyle name="Lien hypertexte" xfId="37" builtinId="8" hidden="1"/>
    <cellStyle name="Lien hypertexte" xfId="33" builtinId="8" hidden="1"/>
    <cellStyle name="Lien hypertexte" xfId="35" builtinId="8" hidden="1"/>
    <cellStyle name="Lien hypertexte" xfId="61" builtinId="8" hidden="1"/>
    <cellStyle name="Lien hypertexte" xfId="29" builtinId="8" hidden="1"/>
    <cellStyle name="Lien hypertexte" xfId="63" builtinId="8" hidden="1"/>
    <cellStyle name="Lien hypertexte" xfId="55" builtinId="8" hidden="1"/>
    <cellStyle name="Lien hypertexte" xfId="57" builtinId="8" hidden="1"/>
    <cellStyle name="Lien hypertexte" xfId="23" builtinId="8" hidden="1"/>
    <cellStyle name="Lien hypertexte" xfId="43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17" builtinId="8" hidden="1"/>
    <cellStyle name="Lien hypertexte" xfId="151" builtinId="8"/>
    <cellStyle name="Lien hypertexte visité" xfId="64" builtinId="9" hidden="1"/>
    <cellStyle name="Lien hypertexte visité" xfId="133" builtinId="9" hidden="1"/>
    <cellStyle name="Lien hypertexte visité" xfId="28" builtinId="9" hidden="1"/>
    <cellStyle name="Lien hypertexte visité" xfId="18" builtinId="9" hidden="1"/>
    <cellStyle name="Lien hypertexte visité" xfId="52" builtinId="9" hidden="1"/>
    <cellStyle name="Lien hypertexte visité" xfId="10" builtinId="9" hidden="1"/>
    <cellStyle name="Lien hypertexte visité" xfId="24" builtinId="9" hidden="1"/>
    <cellStyle name="Lien hypertexte visité" xfId="36" builtinId="9" hidden="1"/>
    <cellStyle name="Lien hypertexte visité" xfId="12" builtinId="9" hidden="1"/>
    <cellStyle name="Lien hypertexte visité" xfId="20" builtinId="9" hidden="1"/>
    <cellStyle name="Lien hypertexte visité" xfId="16" builtinId="9" hidden="1"/>
    <cellStyle name="Lien hypertexte visité" xfId="14" builtinId="9" hidden="1"/>
    <cellStyle name="Lien hypertexte visité" xfId="8" builtinId="9" hidden="1"/>
    <cellStyle name="Lien hypertexte visité" xfId="22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26" builtinId="9" hidden="1"/>
    <cellStyle name="Lien hypertexte visité" xfId="46" builtinId="9" hidden="1"/>
    <cellStyle name="Lien hypertexte visité" xfId="62" builtinId="9" hidden="1"/>
    <cellStyle name="Lien hypertexte visité" xfId="32" builtinId="9" hidden="1"/>
    <cellStyle name="Lien hypertexte visité" xfId="54" builtinId="9" hidden="1"/>
    <cellStyle name="Lien hypertexte visité" xfId="38" builtinId="9" hidden="1"/>
    <cellStyle name="Lien hypertexte visité" xfId="34" builtinId="9" hidden="1"/>
    <cellStyle name="Lien hypertexte visité" xfId="48" builtinId="9" hidden="1"/>
    <cellStyle name="Lien hypertexte visité" xfId="44" builtinId="9" hidden="1"/>
    <cellStyle name="Lien hypertexte visité" xfId="42" builtinId="9" hidden="1"/>
    <cellStyle name="Lien hypertexte visité" xfId="40" builtinId="9" hidden="1"/>
    <cellStyle name="Lien hypertexte visité" xfId="30" builtinId="9" hidden="1"/>
    <cellStyle name="Lien hypertexte visité" xfId="50" builtinId="9" hidden="1"/>
    <cellStyle name="Lien hypertexte visité" xfId="4" builtinId="9" hidden="1"/>
    <cellStyle name="Lien hypertexte visité" xfId="6" builtinId="9" hidden="1"/>
    <cellStyle name="Lien hypertexte visité" xfId="2" builtinId="9" hidden="1"/>
    <cellStyle name="Luft" xfId="94" xr:uid="{00000000-0005-0000-0000-00005E000000}"/>
    <cellStyle name="m2" xfId="95" xr:uid="{00000000-0005-0000-0000-00005F000000}"/>
    <cellStyle name="m2a" xfId="96" xr:uid="{00000000-0005-0000-0000-000060000000}"/>
    <cellStyle name="m3" xfId="97" xr:uid="{00000000-0005-0000-0000-000061000000}"/>
    <cellStyle name="Milliers" xfId="152" builtinId="3"/>
    <cellStyle name="Niels" xfId="98" xr:uid="{00000000-0005-0000-0000-000062000000}"/>
    <cellStyle name="NielsProz" xfId="99" xr:uid="{00000000-0005-0000-0000-000063000000}"/>
    <cellStyle name="NielsProzent" xfId="100" xr:uid="{00000000-0005-0000-0000-000064000000}"/>
    <cellStyle name="Normal" xfId="0" builtinId="0"/>
    <cellStyle name="Normal GHG Numbers (0.00)" xfId="101" xr:uid="{00000000-0005-0000-0000-000065000000}"/>
    <cellStyle name="Normal GHG Numbers (0.00) 2" xfId="142" xr:uid="{02F83879-5A1D-4A0A-883B-DE341FC8941A}"/>
    <cellStyle name="Normal GHG Textfiels Bold" xfId="102" xr:uid="{00000000-0005-0000-0000-000066000000}"/>
    <cellStyle name="Normal GHG Textfiels Bold 2" xfId="143" xr:uid="{0F23BE44-D13E-4085-88BD-111565B51CFF}"/>
    <cellStyle name="Normal GHG whole table" xfId="103" xr:uid="{00000000-0005-0000-0000-000067000000}"/>
    <cellStyle name="Normal GHG whole table 2" xfId="144" xr:uid="{CA534947-B776-4999-8F47-540D6505E19B}"/>
    <cellStyle name="NormalTabelle" xfId="104" xr:uid="{00000000-0005-0000-0000-000069000000}"/>
    <cellStyle name="Pourcentage" xfId="134" builtinId="5"/>
    <cellStyle name="Prozent 2" xfId="105" xr:uid="{00000000-0005-0000-0000-00006A000000}"/>
    <cellStyle name="Prozent 3" xfId="106" xr:uid="{00000000-0005-0000-0000-00006B000000}"/>
    <cellStyle name="Prozent 3 2" xfId="145" xr:uid="{D68555C6-DFD0-4C7A-8712-DFED4CE54C77}"/>
    <cellStyle name="Prozent 4" xfId="107" xr:uid="{00000000-0005-0000-0000-00006C000000}"/>
    <cellStyle name="Prozent 4 2" xfId="146" xr:uid="{8433D7A1-FC3B-4557-ADB6-B27F332EDA62}"/>
    <cellStyle name="prozent+" xfId="108" xr:uid="{00000000-0005-0000-0000-00006D000000}"/>
    <cellStyle name="Prüfung" xfId="109" xr:uid="{00000000-0005-0000-0000-00006E000000}"/>
    <cellStyle name="Scientific" xfId="110" xr:uid="{00000000-0005-0000-0000-00006F000000}"/>
    <cellStyle name="Stand. 2" xfId="66" xr:uid="{00000000-0005-0000-0000-000070000000}"/>
    <cellStyle name="Standard 2" xfId="111" xr:uid="{00000000-0005-0000-0000-000072000000}"/>
    <cellStyle name="Standard 2 2" xfId="65" xr:uid="{00000000-0005-0000-0000-000073000000}"/>
    <cellStyle name="Standard 2 3" xfId="112" xr:uid="{00000000-0005-0000-0000-000074000000}"/>
    <cellStyle name="Standard 3" xfId="113" xr:uid="{00000000-0005-0000-0000-000075000000}"/>
    <cellStyle name="Standard 4" xfId="114" xr:uid="{00000000-0005-0000-0000-000076000000}"/>
    <cellStyle name="Standard 4 2" xfId="147" xr:uid="{CD23E0FA-0F20-4714-BE3D-7D0189694D54}"/>
    <cellStyle name="Standard 5" xfId="115" xr:uid="{00000000-0005-0000-0000-000077000000}"/>
    <cellStyle name="Standard 5 2" xfId="148" xr:uid="{C2A2B349-973B-42EE-B70F-54D5F3BDF704}"/>
    <cellStyle name="Standard 6" xfId="116" xr:uid="{00000000-0005-0000-0000-000078000000}"/>
    <cellStyle name="Standard 6 2" xfId="149" xr:uid="{AECDFC29-E6A4-4F63-8B68-1D8BE8FE5CD3}"/>
    <cellStyle name="Standard 7" xfId="117" xr:uid="{00000000-0005-0000-0000-000079000000}"/>
    <cellStyle name="Standard 7 2" xfId="150" xr:uid="{9D1BF7EF-F4AD-4346-863F-94632B0A8AC9}"/>
    <cellStyle name="Standard 8" xfId="118" xr:uid="{00000000-0005-0000-0000-00007A000000}"/>
    <cellStyle name="text" xfId="119" xr:uid="{00000000-0005-0000-0000-00007B000000}"/>
    <cellStyle name="Text-Manual" xfId="120" xr:uid="{00000000-0005-0000-0000-00007C000000}"/>
    <cellStyle name="Title" xfId="121" xr:uid="{00000000-0005-0000-0000-00007D000000}"/>
    <cellStyle name="unit" xfId="122" xr:uid="{00000000-0005-0000-0000-00007E000000}"/>
    <cellStyle name="Wasser" xfId="123" xr:uid="{00000000-0005-0000-0000-00007F000000}"/>
    <cellStyle name="Wasseremission" xfId="124" xr:uid="{00000000-0005-0000-0000-000080000000}"/>
    <cellStyle name="wis" xfId="125" xr:uid="{00000000-0005-0000-0000-000081000000}"/>
    <cellStyle name="wissenschaft" xfId="126" xr:uid="{00000000-0005-0000-0000-000082000000}"/>
    <cellStyle name="wissenschaft+" xfId="129" xr:uid="{00000000-0005-0000-0000-000085000000}"/>
    <cellStyle name="wissenschaft-Eingabe" xfId="127" xr:uid="{00000000-0005-0000-0000-000083000000}"/>
    <cellStyle name="wissenschaft-Eingabe 2" xfId="128" xr:uid="{00000000-0005-0000-0000-000084000000}"/>
    <cellStyle name="zkh" xfId="130" xr:uid="{00000000-0005-0000-0000-000086000000}"/>
  </cellStyles>
  <dxfs count="389"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1" formatCode="0"/>
    </dxf>
    <dxf>
      <numFmt numFmtId="202" formatCode="#,##0.000"/>
    </dxf>
    <dxf>
      <numFmt numFmtId="4" formatCode="#,##0.00"/>
    </dxf>
    <dxf>
      <numFmt numFmtId="165" formatCode="0.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202" formatCode="#,##0.000"/>
    </dxf>
    <dxf>
      <numFmt numFmtId="4" formatCode="#,##0.00"/>
    </dxf>
    <dxf>
      <numFmt numFmtId="165" formatCode="0.0"/>
    </dxf>
    <dxf>
      <numFmt numFmtId="3" formatCode="#,##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1" formatCode="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20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484713896703888E-2"/>
          <c:y val="2.9937200453879674E-2"/>
          <c:w val="0.56885346319069663"/>
          <c:h val="0.9069272367449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BillQuantities!$B$3</c:f>
              <c:strCache>
                <c:ptCount val="1"/>
                <c:pt idx="0">
                  <c:v>Travaux préparatoires B06 / B07.02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Graphes_Background!$E$12:$H$12</c:f>
              <c:numCache>
                <c:formatCode>General</c:formatCode>
                <c:ptCount val="4"/>
                <c:pt idx="0" formatCode="0.00">
                  <c:v>1.8899853078669697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5-416C-A9A0-025EEA7EC2C6}"/>
            </c:ext>
          </c:extLst>
        </c:ser>
        <c:ser>
          <c:idx val="1"/>
          <c:order val="1"/>
          <c:tx>
            <c:strRef>
              <c:f>BillQuantities!$B$7</c:f>
              <c:strCache>
                <c:ptCount val="1"/>
                <c:pt idx="0">
                  <c:v>Enveloppe du bâtiment souterraine C01 / 02 / 04 - E01 - F01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Graphes_Background!$E$13:$H$13</c:f>
              <c:numCache>
                <c:formatCode>General</c:formatCode>
                <c:ptCount val="4"/>
                <c:pt idx="0" formatCode="0.00">
                  <c:v>169.82493335158719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5-416C-A9A0-025EEA7EC2C6}"/>
            </c:ext>
          </c:extLst>
        </c:ser>
        <c:ser>
          <c:idx val="2"/>
          <c:order val="2"/>
          <c:tx>
            <c:strRef>
              <c:f>BillQuantities!$B$13</c:f>
              <c:strCache>
                <c:ptCount val="1"/>
                <c:pt idx="0">
                  <c:v>Enveloppe du bâtiment hors terrain C02 / 04 - E02 / 03 - F01 / 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Graphes_Background!$E$16:$H$16</c:f>
              <c:numCache>
                <c:formatCode>General</c:formatCode>
                <c:ptCount val="4"/>
                <c:pt idx="0" formatCode="0.00">
                  <c:v>335.79120744548698</c:v>
                </c:pt>
                <c:pt idx="3" formatCode="0.00">
                  <c:v>-6.5727832316756443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5-416C-A9A0-025EEA7EC2C6}"/>
            </c:ext>
          </c:extLst>
        </c:ser>
        <c:ser>
          <c:idx val="3"/>
          <c:order val="3"/>
          <c:tx>
            <c:strRef>
              <c:f>BillQuantities!$B$23</c:f>
              <c:strCache>
                <c:ptCount val="1"/>
                <c:pt idx="0">
                  <c:v>Eléments de construction intérieurs et extérieurs C02 / 04 - G03 / 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Graphes_Background!$E$21:$H$21</c:f>
              <c:numCache>
                <c:formatCode>General</c:formatCode>
                <c:ptCount val="4"/>
                <c:pt idx="0" formatCode="0.00">
                  <c:v>363.10145878766662</c:v>
                </c:pt>
                <c:pt idx="3" formatCode="0.0">
                  <c:v>-6.0754090270542997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5-416C-A9A0-025EEA7EC2C6}"/>
            </c:ext>
          </c:extLst>
        </c:ser>
        <c:ser>
          <c:idx val="4"/>
          <c:order val="4"/>
          <c:tx>
            <c:strRef>
              <c:f>BillQuantities!$B$37</c:f>
              <c:strCache>
                <c:ptCount val="1"/>
                <c:pt idx="0">
                  <c:v>Installations HLKS D01 / 05 / 07 / 08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Graphes_Background!$E$25:$H$25</c:f>
              <c:numCache>
                <c:formatCode>General</c:formatCode>
                <c:ptCount val="4"/>
                <c:pt idx="0" formatCode="0.00">
                  <c:v>227.88236053604024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85-416C-A9A0-025EEA7EC2C6}"/>
            </c:ext>
          </c:extLst>
        </c:ser>
        <c:ser>
          <c:idx val="6"/>
          <c:order val="5"/>
          <c:tx>
            <c:strRef>
              <c:f>Graphes_Background!$C$29</c:f>
              <c:strCache>
                <c:ptCount val="1"/>
                <c:pt idx="0">
                  <c:v>Chauffage PAC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Graphes_Background!$E$29:$G$29</c:f>
              <c:numCache>
                <c:formatCode>0.00</c:formatCode>
                <c:ptCount val="3"/>
                <c:pt idx="1">
                  <c:v>1.1666666666666667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5-416C-A9A0-025EEA7EC2C6}"/>
            </c:ext>
          </c:extLst>
        </c:ser>
        <c:ser>
          <c:idx val="7"/>
          <c:order val="6"/>
          <c:tx>
            <c:strRef>
              <c:f>Graphes_Background!$C$30</c:f>
              <c:strCache>
                <c:ptCount val="1"/>
                <c:pt idx="0">
                  <c:v>Eau chaude sanitaire PAC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Graphes_Background!$E$30:$G$30</c:f>
              <c:numCache>
                <c:formatCode>0.00</c:formatCode>
                <c:ptCount val="3"/>
                <c:pt idx="1">
                  <c:v>0.93750000000000011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5-416C-A9A0-025EEA7EC2C6}"/>
            </c:ext>
          </c:extLst>
        </c:ser>
        <c:ser>
          <c:idx val="8"/>
          <c:order val="7"/>
          <c:tx>
            <c:strRef>
              <c:f>Graphes_Background!$C$31</c:f>
              <c:strCache>
                <c:ptCount val="1"/>
                <c:pt idx="0">
                  <c:v>Climatisation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Graphes_Background!$E$31:$G$31</c:f>
              <c:numCache>
                <c:formatCode>0.00</c:formatCode>
                <c:ptCount val="3"/>
                <c:pt idx="1">
                  <c:v>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5-416C-A9A0-025EEA7EC2C6}"/>
            </c:ext>
          </c:extLst>
        </c:ser>
        <c:ser>
          <c:idx val="9"/>
          <c:order val="8"/>
          <c:tx>
            <c:strRef>
              <c:f>Graphes_Background!$C$32</c:f>
              <c:strCache>
                <c:ptCount val="1"/>
                <c:pt idx="0">
                  <c:v>Eclairage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Graphes_Background!$E$32:$G$32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85-416C-A9A0-025EEA7EC2C6}"/>
            </c:ext>
          </c:extLst>
        </c:ser>
        <c:ser>
          <c:idx val="10"/>
          <c:order val="9"/>
          <c:tx>
            <c:strRef>
              <c:f>Graphes_Background!$C$33</c:f>
              <c:strCache>
                <c:ptCount val="1"/>
                <c:pt idx="0">
                  <c:v>Ventilation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Graphes_Background!$E$33:$G$33</c:f>
              <c:numCache>
                <c:formatCode>0.00</c:formatCode>
                <c:ptCount val="3"/>
                <c:pt idx="1">
                  <c:v>5.1282051282051273E-2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85-416C-A9A0-025EEA7EC2C6}"/>
            </c:ext>
          </c:extLst>
        </c:ser>
        <c:ser>
          <c:idx val="11"/>
          <c:order val="10"/>
          <c:tx>
            <c:strRef>
              <c:f>Graphes_Background!$C$34</c:f>
              <c:strCache>
                <c:ptCount val="1"/>
                <c:pt idx="0">
                  <c:v>Appareils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Graphes_Background!$E$34:$G$34</c:f>
              <c:numCache>
                <c:formatCode>0.00</c:formatCode>
                <c:ptCount val="3"/>
                <c:pt idx="1">
                  <c:v>0.51282051282051277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85-416C-A9A0-025EEA7EC2C6}"/>
            </c:ext>
          </c:extLst>
        </c:ser>
        <c:ser>
          <c:idx val="12"/>
          <c:order val="11"/>
          <c:tx>
            <c:strRef>
              <c:f>Graphes_Background!$C$35</c:f>
              <c:strCache>
                <c:ptCount val="1"/>
                <c:pt idx="0">
                  <c:v>Installation techniques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noFill/>
              <a:ln w="25400">
                <a:solidFill>
                  <a:schemeClr val="tx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C-F685-416C-A9A0-025EEA7EC2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Graphes_Background!$E$35:$G$35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85-416C-A9A0-025EEA7EC2C6}"/>
            </c:ext>
          </c:extLst>
        </c:ser>
        <c:ser>
          <c:idx val="13"/>
          <c:order val="12"/>
          <c:tx>
            <c:strRef>
              <c:f>Graphes_Background!$C$36</c:f>
              <c:strCache>
                <c:ptCount val="1"/>
                <c:pt idx="0">
                  <c:v>Auto-consommation PV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Graphes_Background!$E$36:$G$36</c:f>
              <c:numCache>
                <c:formatCode>General</c:formatCode>
                <c:ptCount val="3"/>
                <c:pt idx="2" formatCode="0.00">
                  <c:v>0.38060897435897439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85-416C-A9A0-025EEA7EC2C6}"/>
            </c:ext>
          </c:extLst>
        </c:ser>
        <c:ser>
          <c:idx val="5"/>
          <c:order val="13"/>
          <c:tx>
            <c:strRef>
              <c:f>Graphes_Background!$C$37</c:f>
              <c:strCache>
                <c:ptCount val="1"/>
                <c:pt idx="0">
                  <c:v>PV réinjectée réseau</c:v>
                </c:pt>
              </c:strCache>
            </c:strRef>
          </c:tx>
          <c:spPr>
            <a:noFill/>
            <a:ln w="1587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Graphes_Background!$E$37:$G$37</c:f>
              <c:numCache>
                <c:formatCode>General</c:formatCode>
                <c:ptCount val="3"/>
                <c:pt idx="2" formatCode="0.00">
                  <c:v>-0.32214743589743605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F-441D-9FFC-8790937202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70736639"/>
        <c:axId val="1870737471"/>
      </c:barChart>
      <c:catAx>
        <c:axId val="18707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7471"/>
        <c:crosses val="autoZero"/>
        <c:auto val="1"/>
        <c:lblAlgn val="ctr"/>
        <c:lblOffset val="100"/>
        <c:noMultiLvlLbl val="0"/>
      </c:catAx>
      <c:valAx>
        <c:axId val="1870737471"/>
        <c:scaling>
          <c:orientation val="minMax"/>
          <c:max val="16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663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54590472539233"/>
          <c:y val="3.8161844073261578E-2"/>
          <c:w val="0.3254540952746075"/>
          <c:h val="0.92508169058366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Structure</c:v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Standard!$AN$3:$AP$3</c:f>
              <c:strCache>
                <c:ptCount val="3"/>
                <c:pt idx="0">
                  <c:v>Phase A [kgCO2eq/m2]</c:v>
                </c:pt>
                <c:pt idx="1">
                  <c:v>Phase B  [kgCO2eq/m2]</c:v>
                </c:pt>
                <c:pt idx="2">
                  <c:v>Phase C  [kgCO2eq/m2]</c:v>
                </c:pt>
              </c:strCache>
            </c:strRef>
          </c:cat>
          <c:val>
            <c:numRef>
              <c:f>(Standard!$AN$249,Standard!$AO$249,Standard!$AP$249)</c:f>
              <c:numCache>
                <c:formatCode>0.0</c:formatCode>
                <c:ptCount val="3"/>
                <c:pt idx="0">
                  <c:v>422.22867648145683</c:v>
                </c:pt>
                <c:pt idx="1">
                  <c:v>0</c:v>
                </c:pt>
                <c:pt idx="2">
                  <c:v>40.551974295890652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4-4B20-A4C1-E47EF41B7DEF}"/>
            </c:ext>
          </c:extLst>
        </c:ser>
        <c:ser>
          <c:idx val="1"/>
          <c:order val="1"/>
          <c:tx>
            <c:strRef>
              <c:f>Standard!$AS$2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Standard!$AS$249:$AU$249</c:f>
              <c:numCache>
                <c:formatCode>0.0</c:formatCode>
                <c:ptCount val="3"/>
                <c:pt idx="0">
                  <c:v>33.891226410222167</c:v>
                </c:pt>
                <c:pt idx="1">
                  <c:v>55.846438945550055</c:v>
                </c:pt>
                <c:pt idx="2">
                  <c:v>21.95521253532791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4-4B20-A4C1-E47EF41B7DEF}"/>
            </c:ext>
          </c:extLst>
        </c:ser>
        <c:ser>
          <c:idx val="2"/>
          <c:order val="2"/>
          <c:tx>
            <c:strRef>
              <c:f>Standard!$AX$2</c:f>
              <c:strCache>
                <c:ptCount val="1"/>
                <c:pt idx="0">
                  <c:v>Finishings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Standard!$AX$249:$AZ$249</c:f>
              <c:numCache>
                <c:formatCode>0.0</c:formatCode>
                <c:ptCount val="3"/>
                <c:pt idx="0">
                  <c:v>76.95077321256845</c:v>
                </c:pt>
                <c:pt idx="1">
                  <c:v>92.589834874822557</c:v>
                </c:pt>
                <c:pt idx="2">
                  <c:v>16.118423654351545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C4-4B20-A4C1-E47EF41B7DEF}"/>
            </c:ext>
          </c:extLst>
        </c:ser>
        <c:ser>
          <c:idx val="3"/>
          <c:order val="3"/>
          <c:tx>
            <c:strRef>
              <c:f>Standard!$BC$2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Standard!$BC$249:$BE$249</c:f>
              <c:numCache>
                <c:formatCode>0.0</c:formatCode>
                <c:ptCount val="3"/>
                <c:pt idx="0">
                  <c:v>81.533014558568198</c:v>
                </c:pt>
                <c:pt idx="1">
                  <c:v>87.195647477850514</c:v>
                </c:pt>
                <c:pt idx="2">
                  <c:v>10.233889764480654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4-4B20-A4C1-E47EF41B7DEF}"/>
            </c:ext>
          </c:extLst>
        </c:ser>
        <c:ser>
          <c:idx val="4"/>
          <c:order val="4"/>
          <c:tx>
            <c:v>Carbon content [Structure]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(Standard!$AQ$249,Standard!$AQ$249,Standard!$AQ$249)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C4-4B20-A4C1-E47EF41B7DEF}"/>
            </c:ext>
          </c:extLst>
        </c:ser>
        <c:ser>
          <c:idx val="5"/>
          <c:order val="5"/>
          <c:tx>
            <c:v>Carbon content [insulation]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(Standard!$AV$249,Standard!$AV$249,Standard!$AV$249)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C4-4B20-A4C1-E47EF41B7DEF}"/>
            </c:ext>
          </c:extLst>
        </c:ser>
        <c:ser>
          <c:idx val="6"/>
          <c:order val="6"/>
          <c:tx>
            <c:v>Carbon content [finishings]</c:v>
          </c:tx>
          <c:spPr>
            <a:solidFill>
              <a:schemeClr val="bg2">
                <a:lumMod val="90000"/>
              </a:schemeClr>
            </a:solidFill>
            <a:ln>
              <a:solidFill>
                <a:schemeClr val="tx1"/>
              </a:solidFill>
              <a:prstDash val="sysDot"/>
            </a:ln>
            <a:effectLst/>
          </c:spPr>
          <c:invertIfNegative val="0"/>
          <c:val>
            <c:numRef>
              <c:f>(Standard!$BA$249,Standard!$BA$249,Standard!$BA$250)</c:f>
              <c:numCache>
                <c:formatCode>0.0</c:formatCode>
                <c:ptCount val="3"/>
                <c:pt idx="0">
                  <c:v>-13.003921856699758</c:v>
                </c:pt>
                <c:pt idx="1">
                  <c:v>-13.003921856699758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C4-4B20-A4C1-E47EF41B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857104"/>
        <c:axId val="1518846064"/>
      </c:barChart>
      <c:catAx>
        <c:axId val="151885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8846064"/>
        <c:crosses val="autoZero"/>
        <c:auto val="1"/>
        <c:lblAlgn val="ctr"/>
        <c:lblOffset val="100"/>
        <c:noMultiLvlLbl val="0"/>
      </c:catAx>
      <c:valAx>
        <c:axId val="15188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885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materials_st'!$B$4:$B$39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Laine de verre</c:v>
                </c:pt>
                <c:pt idx="9">
                  <c:v>Sable</c:v>
                </c:pt>
                <c:pt idx="10">
                  <c:v>Lé d'étanchéité bitumineux</c:v>
                </c:pt>
                <c:pt idx="11">
                  <c:v>Plaque de plâtre cartonnée</c:v>
                </c:pt>
                <c:pt idx="12">
                  <c:v>Enduit de ciment</c:v>
                </c:pt>
                <c:pt idx="13">
                  <c:v>Polystyrène expansé (EPS)</c:v>
                </c:pt>
                <c:pt idx="14">
                  <c:v>Cadre en matière synthétique (PVC) 2</c:v>
                </c:pt>
                <c:pt idx="15">
                  <c:v>Triple vitrage, U&lt;0.6 W/m2K, épaisseur 40 mm 3</c:v>
                </c:pt>
                <c:pt idx="16">
                  <c:v>Protection solaire, stores vénitiens avec moteur 4</c:v>
                </c:pt>
                <c:pt idx="17">
                  <c:v>Porte intérieure, porte fonctionnelle, bois, cadre en bois</c:v>
                </c:pt>
                <c:pt idx="18">
                  <c:v>Portes extérieures aluminium, avec panneau</c:v>
                </c:pt>
                <c:pt idx="19">
                  <c:v>Bois massif épicéa / sapin / mélèze, séché en cellule, raboté</c:v>
                </c:pt>
                <c:pt idx="20">
                  <c:v>Lé d'étanchéité polyoléfine (FPO)</c:v>
                </c:pt>
                <c:pt idx="21">
                  <c:v>Voile de polyéthylène (PE)</c:v>
                </c:pt>
                <c:pt idx="22">
                  <c:v>Émulsion de bitume, 1 couche</c:v>
                </c:pt>
                <c:pt idx="23">
                  <c:v>Tôle de cuivre, nue</c:v>
                </c:pt>
                <c:pt idx="24">
                  <c:v>Tôle d'acier, zinguée</c:v>
                </c:pt>
                <c:pt idx="25">
                  <c:v>Dalle en céramique/grès, 9 mm</c:v>
                </c:pt>
                <c:pt idx="26">
                  <c:v>Chape de ciment, 85 mm</c:v>
                </c:pt>
                <c:pt idx="27">
                  <c:v>Polyuréthane (PUR/PIR)</c:v>
                </c:pt>
                <c:pt idx="28">
                  <c:v>Parquet, 2 plis, vitrifié d'usine, 11 mm</c:v>
                </c:pt>
                <c:pt idx="29">
                  <c:v>Moquette en fibres naturelles</c:v>
                </c:pt>
                <c:pt idx="30">
                  <c:v>Données écobilans dans la construction</c:v>
                </c:pt>
                <c:pt idx="31">
                  <c:v>Installations électriques, habitation</c:v>
                </c:pt>
                <c:pt idx="32">
                  <c:v>Installations photovoltaïques 1</c:v>
                </c:pt>
                <c:pt idx="33">
                  <c:v>Pompe à chaleur saumure-eau 7 kW</c:v>
                </c:pt>
                <c:pt idx="34">
                  <c:v>Distribution de chaleur, bâtiment d'habitation</c:v>
                </c:pt>
                <c:pt idx="35">
                  <c:v>Diffusion de chaleur par le biais du chauffage au sol</c:v>
                </c:pt>
              </c:strCache>
            </c:strRef>
          </c:cat>
          <c:val>
            <c:numRef>
              <c:f>'List of materials_st'!$A$4:$A$39</c:f>
              <c:numCache>
                <c:formatCode>0.00</c:formatCode>
                <c:ptCount val="36"/>
                <c:pt idx="0">
                  <c:v>1.8899853078669697</c:v>
                </c:pt>
                <c:pt idx="1">
                  <c:v>0</c:v>
                </c:pt>
                <c:pt idx="2">
                  <c:v>254.92230663817287</c:v>
                </c:pt>
                <c:pt idx="3">
                  <c:v>241.65927822225191</c:v>
                </c:pt>
                <c:pt idx="4">
                  <c:v>6.2272566114598629</c:v>
                </c:pt>
                <c:pt idx="5">
                  <c:v>4.6883153020791593</c:v>
                </c:pt>
                <c:pt idx="6">
                  <c:v>5.3531491919326832</c:v>
                </c:pt>
                <c:pt idx="7">
                  <c:v>2.9884896420462135</c:v>
                </c:pt>
                <c:pt idx="8">
                  <c:v>1.4557567335381327</c:v>
                </c:pt>
                <c:pt idx="9">
                  <c:v>1.736860578335782</c:v>
                </c:pt>
                <c:pt idx="10">
                  <c:v>19.835487471172254</c:v>
                </c:pt>
                <c:pt idx="11">
                  <c:v>18.58189404968612</c:v>
                </c:pt>
                <c:pt idx="12">
                  <c:v>9.6344446148323755</c:v>
                </c:pt>
                <c:pt idx="13">
                  <c:v>100.80896834513156</c:v>
                </c:pt>
                <c:pt idx="14">
                  <c:v>31.697822893014553</c:v>
                </c:pt>
                <c:pt idx="15">
                  <c:v>17.707442553759851</c:v>
                </c:pt>
                <c:pt idx="16">
                  <c:v>19.87308668358488</c:v>
                </c:pt>
                <c:pt idx="17">
                  <c:v>9.683571078758737</c:v>
                </c:pt>
                <c:pt idx="18">
                  <c:v>5.7085707819479676</c:v>
                </c:pt>
                <c:pt idx="19">
                  <c:v>0.72183984232669951</c:v>
                </c:pt>
                <c:pt idx="20">
                  <c:v>5.208660010685187</c:v>
                </c:pt>
                <c:pt idx="21">
                  <c:v>2.3581532656604782</c:v>
                </c:pt>
                <c:pt idx="22">
                  <c:v>0.18566750033391211</c:v>
                </c:pt>
                <c:pt idx="23">
                  <c:v>1.7131172191799118</c:v>
                </c:pt>
                <c:pt idx="24">
                  <c:v>15.356977731636171</c:v>
                </c:pt>
                <c:pt idx="25">
                  <c:v>38.761406437825563</c:v>
                </c:pt>
                <c:pt idx="26">
                  <c:v>31.070710876630606</c:v>
                </c:pt>
                <c:pt idx="27">
                  <c:v>24.091418659008944</c:v>
                </c:pt>
                <c:pt idx="28">
                  <c:v>4.9791416232580916</c:v>
                </c:pt>
                <c:pt idx="29">
                  <c:v>9.8248074440140692E-2</c:v>
                </c:pt>
                <c:pt idx="30">
                  <c:v>0</c:v>
                </c:pt>
                <c:pt idx="31">
                  <c:v>31.618000000000002</c:v>
                </c:pt>
                <c:pt idx="32">
                  <c:v>59.390454565691641</c:v>
                </c:pt>
                <c:pt idx="33">
                  <c:v>9.3128088687057566</c:v>
                </c:pt>
                <c:pt idx="34">
                  <c:v>8.5920000000000005</c:v>
                </c:pt>
                <c:pt idx="35">
                  <c:v>11.931999999999999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C-4CF2-AE0C-75DFACB8E8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materials_st'!$B$4:$B$39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Laine de verre</c:v>
                </c:pt>
                <c:pt idx="9">
                  <c:v>Sable</c:v>
                </c:pt>
                <c:pt idx="10">
                  <c:v>Lé d'étanchéité bitumineux</c:v>
                </c:pt>
                <c:pt idx="11">
                  <c:v>Plaque de plâtre cartonnée</c:v>
                </c:pt>
                <c:pt idx="12">
                  <c:v>Enduit de ciment</c:v>
                </c:pt>
                <c:pt idx="13">
                  <c:v>Polystyrène expansé (EPS)</c:v>
                </c:pt>
                <c:pt idx="14">
                  <c:v>Cadre en matière synthétique (PVC) 2</c:v>
                </c:pt>
                <c:pt idx="15">
                  <c:v>Triple vitrage, U&lt;0.6 W/m2K, épaisseur 40 mm 3</c:v>
                </c:pt>
                <c:pt idx="16">
                  <c:v>Protection solaire, stores vénitiens avec moteur 4</c:v>
                </c:pt>
                <c:pt idx="17">
                  <c:v>Porte intérieure, porte fonctionnelle, bois, cadre en bois</c:v>
                </c:pt>
                <c:pt idx="18">
                  <c:v>Portes extérieures aluminium, avec panneau</c:v>
                </c:pt>
                <c:pt idx="19">
                  <c:v>Bois massif épicéa / sapin / mélèze, séché en cellule, raboté</c:v>
                </c:pt>
                <c:pt idx="20">
                  <c:v>Lé d'étanchéité polyoléfine (FPO)</c:v>
                </c:pt>
                <c:pt idx="21">
                  <c:v>Voile de polyéthylène (PE)</c:v>
                </c:pt>
                <c:pt idx="22">
                  <c:v>Émulsion de bitume, 1 couche</c:v>
                </c:pt>
                <c:pt idx="23">
                  <c:v>Tôle de cuivre, nue</c:v>
                </c:pt>
                <c:pt idx="24">
                  <c:v>Tôle d'acier, zinguée</c:v>
                </c:pt>
                <c:pt idx="25">
                  <c:v>Dalle en céramique/grès, 9 mm</c:v>
                </c:pt>
                <c:pt idx="26">
                  <c:v>Chape de ciment, 85 mm</c:v>
                </c:pt>
                <c:pt idx="27">
                  <c:v>Polyuréthane (PUR/PIR)</c:v>
                </c:pt>
                <c:pt idx="28">
                  <c:v>Parquet, 2 plis, vitrifié d'usine, 11 mm</c:v>
                </c:pt>
                <c:pt idx="29">
                  <c:v>Moquette en fibres naturelles</c:v>
                </c:pt>
                <c:pt idx="30">
                  <c:v>Données écobilans dans la construction</c:v>
                </c:pt>
                <c:pt idx="31">
                  <c:v>Installations électriques, habitation</c:v>
                </c:pt>
                <c:pt idx="32">
                  <c:v>Installations photovoltaïques 1</c:v>
                </c:pt>
                <c:pt idx="33">
                  <c:v>Pompe à chaleur saumure-eau 7 kW</c:v>
                </c:pt>
                <c:pt idx="34">
                  <c:v>Distribution de chaleur, bâtiment d'habitation</c:v>
                </c:pt>
                <c:pt idx="35">
                  <c:v>Diffusion de chaleur par le biais du chauffage au sol</c:v>
                </c:pt>
              </c:strCache>
            </c:strRef>
          </c:cat>
          <c:val>
            <c:numRef>
              <c:f>'List of materials_st'!$C$4:$C$39</c:f>
              <c:numCache>
                <c:formatCode>0</c:formatCode>
                <c:ptCount val="36"/>
                <c:pt idx="0">
                  <c:v>2423</c:v>
                </c:pt>
                <c:pt idx="1">
                  <c:v>0</c:v>
                </c:pt>
                <c:pt idx="2">
                  <c:v>1984784.08</c:v>
                </c:pt>
                <c:pt idx="3">
                  <c:v>127327.58999999998</c:v>
                </c:pt>
                <c:pt idx="4">
                  <c:v>88806.61</c:v>
                </c:pt>
                <c:pt idx="5">
                  <c:v>265250</c:v>
                </c:pt>
                <c:pt idx="6">
                  <c:v>334.22399999999999</c:v>
                </c:pt>
                <c:pt idx="7">
                  <c:v>305.67070000000007</c:v>
                </c:pt>
                <c:pt idx="8">
                  <c:v>525.45839999999998</c:v>
                </c:pt>
                <c:pt idx="9">
                  <c:v>68551.100000000006</c:v>
                </c:pt>
                <c:pt idx="10">
                  <c:v>3227.4528</c:v>
                </c:pt>
                <c:pt idx="11">
                  <c:v>21326.924999999999</c:v>
                </c:pt>
                <c:pt idx="12">
                  <c:v>14022.307499999999</c:v>
                </c:pt>
                <c:pt idx="13">
                  <c:v>5268.808</c:v>
                </c:pt>
                <c:pt idx="14">
                  <c:v>134.07999999999998</c:v>
                </c:pt>
                <c:pt idx="15">
                  <c:v>104.58239999999999</c:v>
                </c:pt>
                <c:pt idx="16">
                  <c:v>117.9</c:v>
                </c:pt>
                <c:pt idx="17">
                  <c:v>78.14</c:v>
                </c:pt>
                <c:pt idx="18">
                  <c:v>11.5</c:v>
                </c:pt>
                <c:pt idx="19">
                  <c:v>1799.1407999999999</c:v>
                </c:pt>
                <c:pt idx="20">
                  <c:v>362.76499999999999</c:v>
                </c:pt>
                <c:pt idx="21">
                  <c:v>150.68700000000001</c:v>
                </c:pt>
                <c:pt idx="22">
                  <c:v>393.56000000000006</c:v>
                </c:pt>
                <c:pt idx="23">
                  <c:v>312.39</c:v>
                </c:pt>
                <c:pt idx="24">
                  <c:v>1285.38744</c:v>
                </c:pt>
                <c:pt idx="25">
                  <c:v>739.38</c:v>
                </c:pt>
                <c:pt idx="26">
                  <c:v>104865.40000000001</c:v>
                </c:pt>
                <c:pt idx="27">
                  <c:v>1289.1419999999998</c:v>
                </c:pt>
                <c:pt idx="28">
                  <c:v>235</c:v>
                </c:pt>
                <c:pt idx="29">
                  <c:v>7</c:v>
                </c:pt>
                <c:pt idx="30">
                  <c:v>0</c:v>
                </c:pt>
                <c:pt idx="31">
                  <c:v>898.44</c:v>
                </c:pt>
                <c:pt idx="32">
                  <c:v>19.180000000000003</c:v>
                </c:pt>
                <c:pt idx="33">
                  <c:v>1</c:v>
                </c:pt>
                <c:pt idx="34">
                  <c:v>898.44</c:v>
                </c:pt>
                <c:pt idx="35">
                  <c:v>898.44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89E-A8A4-5C2AD9D69C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materials_Re'!$B$4:$B$39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Bois massif épicéa / sapin / mélèze, séché en cellule, raboté</c:v>
                </c:pt>
                <c:pt idx="9">
                  <c:v>Bois massif de construction</c:v>
                </c:pt>
                <c:pt idx="10">
                  <c:v>Panneau de fibres mou</c:v>
                </c:pt>
                <c:pt idx="11">
                  <c:v>Gramitherm</c:v>
                </c:pt>
                <c:pt idx="12">
                  <c:v>Panneau d'aggloméré type OSB, colle PF, zone humide</c:v>
                </c:pt>
                <c:pt idx="13">
                  <c:v>Laine de verre</c:v>
                </c:pt>
                <c:pt idx="14">
                  <c:v>Enduit de ciment</c:v>
                </c:pt>
                <c:pt idx="15">
                  <c:v>Sable</c:v>
                </c:pt>
                <c:pt idx="16">
                  <c:v>Lé d'étanchéité bitumineux</c:v>
                </c:pt>
                <c:pt idx="17">
                  <c:v>Plaque de plâtre armé de fibres</c:v>
                </c:pt>
                <c:pt idx="18">
                  <c:v>Polyuréthane (PUR/PIR)</c:v>
                </c:pt>
                <c:pt idx="19">
                  <c:v>Cadre de fenêtre bois-métal</c:v>
                </c:pt>
                <c:pt idx="20">
                  <c:v>Triple vitrage, U&lt;0.6 W/m2K, épaisseur 40 mm 3</c:v>
                </c:pt>
                <c:pt idx="21">
                  <c:v>Protection solaire, stores vénitiens avec moteur 4</c:v>
                </c:pt>
                <c:pt idx="22">
                  <c:v>Porte intérieure, porte fonctionnelle, bois, cadre en bois</c:v>
                </c:pt>
                <c:pt idx="23">
                  <c:v>Portes extérieures aluminium, avec panneau</c:v>
                </c:pt>
                <c:pt idx="24">
                  <c:v>Bois lamellé-collé</c:v>
                </c:pt>
                <c:pt idx="25">
                  <c:v>Lé d'étanchéité polyoléfine (FPO)</c:v>
                </c:pt>
                <c:pt idx="26">
                  <c:v>Voile de polyéthylène (PE)</c:v>
                </c:pt>
                <c:pt idx="27">
                  <c:v>Émulsion de bitume, 1 couche</c:v>
                </c:pt>
                <c:pt idx="28">
                  <c:v>Tôle de cuivre, nue</c:v>
                </c:pt>
                <c:pt idx="29">
                  <c:v>Tôle d'acier, zinguée</c:v>
                </c:pt>
                <c:pt idx="30">
                  <c:v>Dalle en céramique/grès, 9 mm</c:v>
                </c:pt>
                <c:pt idx="31">
                  <c:v>Polystyrène expansé (EPS)</c:v>
                </c:pt>
                <c:pt idx="32">
                  <c:v>Plaque de plâtre cartonnée</c:v>
                </c:pt>
                <c:pt idx="33">
                  <c:v>Chape de ciment, 85 mm</c:v>
                </c:pt>
                <c:pt idx="34">
                  <c:v>Barrière de vapeur PE</c:v>
                </c:pt>
                <c:pt idx="35">
                  <c:v>GUTEX Pyroresist</c:v>
                </c:pt>
              </c:strCache>
            </c:strRef>
          </c:cat>
          <c:val>
            <c:numRef>
              <c:f>'List of materials_Re'!$A$4:$A$39</c:f>
              <c:numCache>
                <c:formatCode>0.00</c:formatCode>
                <c:ptCount val="36"/>
                <c:pt idx="0">
                  <c:v>1.8708693065379787</c:v>
                </c:pt>
                <c:pt idx="1">
                  <c:v>0</c:v>
                </c:pt>
                <c:pt idx="2">
                  <c:v>177.52460394217843</c:v>
                </c:pt>
                <c:pt idx="3">
                  <c:v>166.51913915515303</c:v>
                </c:pt>
                <c:pt idx="4">
                  <c:v>7.9577755376699502</c:v>
                </c:pt>
                <c:pt idx="5">
                  <c:v>2.8983324078358788</c:v>
                </c:pt>
                <c:pt idx="6">
                  <c:v>5.9434293647121041</c:v>
                </c:pt>
                <c:pt idx="7">
                  <c:v>3.6999578502016259</c:v>
                </c:pt>
                <c:pt idx="8">
                  <c:v>3.843430785119323</c:v>
                </c:pt>
                <c:pt idx="9">
                  <c:v>8.8532087771675361</c:v>
                </c:pt>
                <c:pt idx="10">
                  <c:v>18.303603497058241</c:v>
                </c:pt>
                <c:pt idx="11">
                  <c:v>4.6691235539102269</c:v>
                </c:pt>
                <c:pt idx="12">
                  <c:v>10.993427223672901</c:v>
                </c:pt>
                <c:pt idx="13">
                  <c:v>6.3018194172010311</c:v>
                </c:pt>
                <c:pt idx="14">
                  <c:v>1.0223125826337014</c:v>
                </c:pt>
                <c:pt idx="15">
                  <c:v>1.8547516427579824</c:v>
                </c:pt>
                <c:pt idx="16">
                  <c:v>23.176329994050374</c:v>
                </c:pt>
                <c:pt idx="17">
                  <c:v>70.945459570304749</c:v>
                </c:pt>
                <c:pt idx="18">
                  <c:v>70.434199841343286</c:v>
                </c:pt>
                <c:pt idx="19">
                  <c:v>33.569488552477907</c:v>
                </c:pt>
                <c:pt idx="20">
                  <c:v>17.528343015799564</c:v>
                </c:pt>
                <c:pt idx="21">
                  <c:v>19.672083030343096</c:v>
                </c:pt>
                <c:pt idx="22">
                  <c:v>9.5856279059518297</c:v>
                </c:pt>
                <c:pt idx="23">
                  <c:v>5.6508322131876039</c:v>
                </c:pt>
                <c:pt idx="24">
                  <c:v>17.560431483572422</c:v>
                </c:pt>
                <c:pt idx="25">
                  <c:v>5.4100350366893633</c:v>
                </c:pt>
                <c:pt idx="26">
                  <c:v>2.4493231969326374</c:v>
                </c:pt>
                <c:pt idx="27">
                  <c:v>0.16103957823758841</c:v>
                </c:pt>
                <c:pt idx="28">
                  <c:v>1.2058952008990549</c:v>
                </c:pt>
                <c:pt idx="29">
                  <c:v>9.9284773618893372</c:v>
                </c:pt>
                <c:pt idx="30">
                  <c:v>21.970866662259539</c:v>
                </c:pt>
                <c:pt idx="31">
                  <c:v>2.1639490645865007</c:v>
                </c:pt>
                <c:pt idx="32">
                  <c:v>2.1413972587646808</c:v>
                </c:pt>
                <c:pt idx="33">
                  <c:v>33.183368916506915</c:v>
                </c:pt>
                <c:pt idx="34">
                  <c:v>4.6339435446552519</c:v>
                </c:pt>
                <c:pt idx="35">
                  <c:v>41.513838562685912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A-4DAE-9804-D05069BED5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materials_Re'!$B$4:$B$39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Bois massif épicéa / sapin / mélèze, séché en cellule, raboté</c:v>
                </c:pt>
                <c:pt idx="9">
                  <c:v>Bois massif de construction</c:v>
                </c:pt>
                <c:pt idx="10">
                  <c:v>Panneau de fibres mou</c:v>
                </c:pt>
                <c:pt idx="11">
                  <c:v>Gramitherm</c:v>
                </c:pt>
                <c:pt idx="12">
                  <c:v>Panneau d'aggloméré type OSB, colle PF, zone humide</c:v>
                </c:pt>
                <c:pt idx="13">
                  <c:v>Laine de verre</c:v>
                </c:pt>
                <c:pt idx="14">
                  <c:v>Enduit de ciment</c:v>
                </c:pt>
                <c:pt idx="15">
                  <c:v>Sable</c:v>
                </c:pt>
                <c:pt idx="16">
                  <c:v>Lé d'étanchéité bitumineux</c:v>
                </c:pt>
                <c:pt idx="17">
                  <c:v>Plaque de plâtre armé de fibres</c:v>
                </c:pt>
                <c:pt idx="18">
                  <c:v>Polyuréthane (PUR/PIR)</c:v>
                </c:pt>
                <c:pt idx="19">
                  <c:v>Cadre de fenêtre bois-métal</c:v>
                </c:pt>
                <c:pt idx="20">
                  <c:v>Triple vitrage, U&lt;0.6 W/m2K, épaisseur 40 mm 3</c:v>
                </c:pt>
                <c:pt idx="21">
                  <c:v>Protection solaire, stores vénitiens avec moteur 4</c:v>
                </c:pt>
                <c:pt idx="22">
                  <c:v>Porte intérieure, porte fonctionnelle, bois, cadre en bois</c:v>
                </c:pt>
                <c:pt idx="23">
                  <c:v>Portes extérieures aluminium, avec panneau</c:v>
                </c:pt>
                <c:pt idx="24">
                  <c:v>Bois lamellé-collé</c:v>
                </c:pt>
                <c:pt idx="25">
                  <c:v>Lé d'étanchéité polyoléfine (FPO)</c:v>
                </c:pt>
                <c:pt idx="26">
                  <c:v>Voile de polyéthylène (PE)</c:v>
                </c:pt>
                <c:pt idx="27">
                  <c:v>Émulsion de bitume, 1 couche</c:v>
                </c:pt>
                <c:pt idx="28">
                  <c:v>Tôle de cuivre, nue</c:v>
                </c:pt>
                <c:pt idx="29">
                  <c:v>Tôle d'acier, zinguée</c:v>
                </c:pt>
                <c:pt idx="30">
                  <c:v>Dalle en céramique/grès, 9 mm</c:v>
                </c:pt>
                <c:pt idx="31">
                  <c:v>Polystyrène expansé (EPS)</c:v>
                </c:pt>
                <c:pt idx="32">
                  <c:v>Plaque de plâtre cartonnée</c:v>
                </c:pt>
                <c:pt idx="33">
                  <c:v>Chape de ciment, 85 mm</c:v>
                </c:pt>
                <c:pt idx="34">
                  <c:v>Barrière de vapeur PE</c:v>
                </c:pt>
                <c:pt idx="35">
                  <c:v>GUTEX Pyroresist</c:v>
                </c:pt>
              </c:strCache>
            </c:strRef>
          </c:cat>
          <c:val>
            <c:numRef>
              <c:f>'List of materials_Re'!$C$4:$C$39</c:f>
              <c:numCache>
                <c:formatCode>0</c:formatCode>
                <c:ptCount val="36"/>
                <c:pt idx="0">
                  <c:v>2423</c:v>
                </c:pt>
                <c:pt idx="1">
                  <c:v>0</c:v>
                </c:pt>
                <c:pt idx="2">
                  <c:v>1317456.0999999999</c:v>
                </c:pt>
                <c:pt idx="3">
                  <c:v>83806.200000000012</c:v>
                </c:pt>
                <c:pt idx="4">
                  <c:v>96173.584999999992</c:v>
                </c:pt>
                <c:pt idx="5">
                  <c:v>153319.6</c:v>
                </c:pt>
                <c:pt idx="6">
                  <c:v>334.22399999999999</c:v>
                </c:pt>
                <c:pt idx="7">
                  <c:v>333.1986</c:v>
                </c:pt>
                <c:pt idx="8">
                  <c:v>9135.1202999999987</c:v>
                </c:pt>
                <c:pt idx="9">
                  <c:v>18860.74524</c:v>
                </c:pt>
                <c:pt idx="10">
                  <c:v>9817.2300000000014</c:v>
                </c:pt>
                <c:pt idx="11">
                  <c:v>5433.0639999999994</c:v>
                </c:pt>
                <c:pt idx="12">
                  <c:v>7132.133249999999</c:v>
                </c:pt>
                <c:pt idx="13">
                  <c:v>2377.2012</c:v>
                </c:pt>
                <c:pt idx="14">
                  <c:v>1503.1125000000002</c:v>
                </c:pt>
                <c:pt idx="15">
                  <c:v>72054.600000000006</c:v>
                </c:pt>
                <c:pt idx="16">
                  <c:v>3667.6068</c:v>
                </c:pt>
                <c:pt idx="17">
                  <c:v>39586.572</c:v>
                </c:pt>
                <c:pt idx="18">
                  <c:v>3807.4739999999993</c:v>
                </c:pt>
                <c:pt idx="19">
                  <c:v>134.07999999999998</c:v>
                </c:pt>
                <c:pt idx="20">
                  <c:v>104.58239999999999</c:v>
                </c:pt>
                <c:pt idx="21">
                  <c:v>117.9</c:v>
                </c:pt>
                <c:pt idx="22">
                  <c:v>78.14</c:v>
                </c:pt>
                <c:pt idx="23">
                  <c:v>11.5</c:v>
                </c:pt>
                <c:pt idx="24">
                  <c:v>31104.993800000004</c:v>
                </c:pt>
                <c:pt idx="25">
                  <c:v>380.64</c:v>
                </c:pt>
                <c:pt idx="26">
                  <c:v>158.11200000000002</c:v>
                </c:pt>
                <c:pt idx="27">
                  <c:v>332.63</c:v>
                </c:pt>
                <c:pt idx="28">
                  <c:v>222.14400000000001</c:v>
                </c:pt>
                <c:pt idx="29">
                  <c:v>839.51009999999997</c:v>
                </c:pt>
                <c:pt idx="30">
                  <c:v>423.38</c:v>
                </c:pt>
                <c:pt idx="31">
                  <c:v>114.255</c:v>
                </c:pt>
                <c:pt idx="32">
                  <c:v>2482.85</c:v>
                </c:pt>
                <c:pt idx="33">
                  <c:v>113140.08</c:v>
                </c:pt>
                <c:pt idx="34">
                  <c:v>317.18399999999997</c:v>
                </c:pt>
                <c:pt idx="35">
                  <c:v>9162.902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3-45AD-8D9A-1D17D8F4B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Sable</c:v>
                </c:pt>
                <c:pt idx="9">
                  <c:v>Lé d'étanchéité bitumineux</c:v>
                </c:pt>
                <c:pt idx="10">
                  <c:v>Contreplaqué de planches</c:v>
                </c:pt>
                <c:pt idx="11">
                  <c:v>Bois lamellé-collé</c:v>
                </c:pt>
                <c:pt idx="12">
                  <c:v>-</c:v>
                </c:pt>
                <c:pt idx="13">
                  <c:v>Botte de paille pour la construction</c:v>
                </c:pt>
                <c:pt idx="14">
                  <c:v>Enduit minéral</c:v>
                </c:pt>
                <c:pt idx="15">
                  <c:v>Données écobilans dans la construction</c:v>
                </c:pt>
                <c:pt idx="16">
                  <c:v>Cadre de fenêtre en bois</c:v>
                </c:pt>
                <c:pt idx="17">
                  <c:v>Triple vitrage, U&lt;0.6 W/m2K, épaisseur 40 mm 3</c:v>
                </c:pt>
                <c:pt idx="18">
                  <c:v>Bois massif épicéa / sapin / mélèze, séché en cellule, raboté</c:v>
                </c:pt>
                <c:pt idx="19">
                  <c:v>Porte intérieure, porte fonctionnelle, bois, cadre en bois</c:v>
                </c:pt>
                <c:pt idx="20">
                  <c:v>Portes extérieures aluminium, avec panneau</c:v>
                </c:pt>
                <c:pt idx="21">
                  <c:v>Bois massif 3 et 5 plis</c:v>
                </c:pt>
                <c:pt idx="22">
                  <c:v>Bois massif de construction</c:v>
                </c:pt>
                <c:pt idx="23">
                  <c:v>Lé d'étanchéité polyoléfine (FPO)</c:v>
                </c:pt>
                <c:pt idx="24">
                  <c:v>Voile de polyéthylène (PE)</c:v>
                </c:pt>
                <c:pt idx="25">
                  <c:v>Tôle de cuivre, nue</c:v>
                </c:pt>
                <c:pt idx="26">
                  <c:v>Tôle d'acier, zinguée</c:v>
                </c:pt>
                <c:pt idx="27">
                  <c:v>Laine de verre</c:v>
                </c:pt>
                <c:pt idx="28">
                  <c:v>Dalle en céramique/grès, 9 mm</c:v>
                </c:pt>
                <c:pt idx="29">
                  <c:v>Polystyrène expansé (EPS)</c:v>
                </c:pt>
                <c:pt idx="30">
                  <c:v>Gramitherm</c:v>
                </c:pt>
                <c:pt idx="31">
                  <c:v>Béton chaux-chanvre</c:v>
                </c:pt>
                <c:pt idx="32">
                  <c:v>GUTEX Pyroresist</c:v>
                </c:pt>
                <c:pt idx="33">
                  <c:v>Gravier concassé</c:v>
                </c:pt>
                <c:pt idx="34">
                  <c:v>Parquet, 2 plis, vitrifié d'usine, 11 mm</c:v>
                </c:pt>
                <c:pt idx="35">
                  <c:v>Moquette en fibres naturelles</c:v>
                </c:pt>
              </c:strCache>
            </c:strRef>
          </c:cat>
          <c:val>
            <c:numRef>
              <c:f>'List of materials_En'!$A$4:$A$39</c:f>
              <c:numCache>
                <c:formatCode>0.00</c:formatCode>
                <c:ptCount val="36"/>
                <c:pt idx="0">
                  <c:v>1.759917084697981</c:v>
                </c:pt>
                <c:pt idx="1">
                  <c:v>0</c:v>
                </c:pt>
                <c:pt idx="2">
                  <c:v>106.86918300029021</c:v>
                </c:pt>
                <c:pt idx="3">
                  <c:v>98.533952002404547</c:v>
                </c:pt>
                <c:pt idx="4">
                  <c:v>6.3610146811906638</c:v>
                </c:pt>
                <c:pt idx="5">
                  <c:v>2.5260661829940712</c:v>
                </c:pt>
                <c:pt idx="6">
                  <c:v>4.9847470668711908</c:v>
                </c:pt>
                <c:pt idx="7">
                  <c:v>3.981879385183035</c:v>
                </c:pt>
                <c:pt idx="8">
                  <c:v>2.0538942560424527</c:v>
                </c:pt>
                <c:pt idx="9">
                  <c:v>25.198652190207707</c:v>
                </c:pt>
                <c:pt idx="10">
                  <c:v>32.035576624766797</c:v>
                </c:pt>
                <c:pt idx="11">
                  <c:v>27.146869296463663</c:v>
                </c:pt>
                <c:pt idx="12">
                  <c:v>0</c:v>
                </c:pt>
                <c:pt idx="13">
                  <c:v>32.826352837983492</c:v>
                </c:pt>
                <c:pt idx="14">
                  <c:v>3.1605303221259486</c:v>
                </c:pt>
                <c:pt idx="15">
                  <c:v>0</c:v>
                </c:pt>
                <c:pt idx="16">
                  <c:v>17.29849342896231</c:v>
                </c:pt>
                <c:pt idx="17">
                  <c:v>16.488821657476887</c:v>
                </c:pt>
                <c:pt idx="18">
                  <c:v>7.2777789637660133</c:v>
                </c:pt>
                <c:pt idx="19">
                  <c:v>9.0171506156461163</c:v>
                </c:pt>
                <c:pt idx="20">
                  <c:v>5.3157086494479211</c:v>
                </c:pt>
                <c:pt idx="21">
                  <c:v>18.892084609883504</c:v>
                </c:pt>
                <c:pt idx="22">
                  <c:v>5.8353244218730564</c:v>
                </c:pt>
                <c:pt idx="23">
                  <c:v>6.9943365739397203</c:v>
                </c:pt>
                <c:pt idx="24">
                  <c:v>3.1665951701836574</c:v>
                </c:pt>
                <c:pt idx="25">
                  <c:v>2.3399301612536796</c:v>
                </c:pt>
                <c:pt idx="26">
                  <c:v>15.793181878985118</c:v>
                </c:pt>
                <c:pt idx="27">
                  <c:v>3.4550597006757604</c:v>
                </c:pt>
                <c:pt idx="28">
                  <c:v>19.008123626715314</c:v>
                </c:pt>
                <c:pt idx="29">
                  <c:v>2.0356156979395545</c:v>
                </c:pt>
                <c:pt idx="30">
                  <c:v>3.6521966419302681</c:v>
                </c:pt>
                <c:pt idx="31">
                  <c:v>34.920538892284725</c:v>
                </c:pt>
                <c:pt idx="32">
                  <c:v>38.598786455746179</c:v>
                </c:pt>
                <c:pt idx="33">
                  <c:v>4.7001066290783964</c:v>
                </c:pt>
                <c:pt idx="34">
                  <c:v>11.541872227519589</c:v>
                </c:pt>
                <c:pt idx="35">
                  <c:v>9.1486671365200445E-2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B-45E5-BD94-B15558028B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'List of materials_En'!$B$4:$B$39</c:f>
              <c:strCache>
                <c:ptCount val="36"/>
                <c:pt idx="0">
                  <c:v>Excavations mécaniques, en moyenne</c:v>
                </c:pt>
                <c:pt idx="1">
                  <c:v>Fondations profondes, pieu en béton préfabriqué</c:v>
                </c:pt>
                <c:pt idx="2">
                  <c:v>Béton pour bâtiment (sans armature)</c:v>
                </c:pt>
                <c:pt idx="3">
                  <c:v>Acier d'armature</c:v>
                </c:pt>
                <c:pt idx="4">
                  <c:v>Béton maigre (sans armature)</c:v>
                </c:pt>
                <c:pt idx="5">
                  <c:v>Gravier rond</c:v>
                </c:pt>
                <c:pt idx="6">
                  <c:v>Polystyrène extrudé (XPS)</c:v>
                </c:pt>
                <c:pt idx="7">
                  <c:v>Feuille de polyéthylène (PE)</c:v>
                </c:pt>
                <c:pt idx="8">
                  <c:v>Sable</c:v>
                </c:pt>
                <c:pt idx="9">
                  <c:v>Lé d'étanchéité bitumineux</c:v>
                </c:pt>
                <c:pt idx="10">
                  <c:v>Contreplaqué de planches</c:v>
                </c:pt>
                <c:pt idx="11">
                  <c:v>Bois lamellé-collé</c:v>
                </c:pt>
                <c:pt idx="12">
                  <c:v>-</c:v>
                </c:pt>
                <c:pt idx="13">
                  <c:v>Botte de paille pour la construction</c:v>
                </c:pt>
                <c:pt idx="14">
                  <c:v>Enduit minéral</c:v>
                </c:pt>
                <c:pt idx="15">
                  <c:v>Données écobilans dans la construction</c:v>
                </c:pt>
                <c:pt idx="16">
                  <c:v>Cadre de fenêtre en bois</c:v>
                </c:pt>
                <c:pt idx="17">
                  <c:v>Triple vitrage, U&lt;0.6 W/m2K, épaisseur 40 mm 3</c:v>
                </c:pt>
                <c:pt idx="18">
                  <c:v>Bois massif épicéa / sapin / mélèze, séché en cellule, raboté</c:v>
                </c:pt>
                <c:pt idx="19">
                  <c:v>Porte intérieure, porte fonctionnelle, bois, cadre en bois</c:v>
                </c:pt>
                <c:pt idx="20">
                  <c:v>Portes extérieures aluminium, avec panneau</c:v>
                </c:pt>
                <c:pt idx="21">
                  <c:v>Bois massif 3 et 5 plis</c:v>
                </c:pt>
                <c:pt idx="22">
                  <c:v>Bois massif de construction</c:v>
                </c:pt>
                <c:pt idx="23">
                  <c:v>Lé d'étanchéité polyoléfine (FPO)</c:v>
                </c:pt>
                <c:pt idx="24">
                  <c:v>Voile de polyéthylène (PE)</c:v>
                </c:pt>
                <c:pt idx="25">
                  <c:v>Tôle de cuivre, nue</c:v>
                </c:pt>
                <c:pt idx="26">
                  <c:v>Tôle d'acier, zinguée</c:v>
                </c:pt>
                <c:pt idx="27">
                  <c:v>Laine de verre</c:v>
                </c:pt>
                <c:pt idx="28">
                  <c:v>Dalle en céramique/grès, 9 mm</c:v>
                </c:pt>
                <c:pt idx="29">
                  <c:v>Polystyrène expansé (EPS)</c:v>
                </c:pt>
                <c:pt idx="30">
                  <c:v>Gramitherm</c:v>
                </c:pt>
                <c:pt idx="31">
                  <c:v>Béton chaux-chanvre</c:v>
                </c:pt>
                <c:pt idx="32">
                  <c:v>GUTEX Pyroresist</c:v>
                </c:pt>
                <c:pt idx="33">
                  <c:v>Gravier concassé</c:v>
                </c:pt>
                <c:pt idx="34">
                  <c:v>Parquet, 2 plis, vitrifié d'usine, 11 mm</c:v>
                </c:pt>
                <c:pt idx="35">
                  <c:v>Moquette en fibres naturelles</c:v>
                </c:pt>
              </c:strCache>
            </c:strRef>
          </c:cat>
          <c:val>
            <c:numRef>
              <c:f>'List of materials_En'!$C$4:$C$39</c:f>
              <c:numCache>
                <c:formatCode>0</c:formatCode>
                <c:ptCount val="36"/>
                <c:pt idx="0">
                  <c:v>2423</c:v>
                </c:pt>
                <c:pt idx="1">
                  <c:v>0</c:v>
                </c:pt>
                <c:pt idx="2">
                  <c:v>936456.49999999988</c:v>
                </c:pt>
                <c:pt idx="3">
                  <c:v>58600.799999999996</c:v>
                </c:pt>
                <c:pt idx="4">
                  <c:v>97418.434999999998</c:v>
                </c:pt>
                <c:pt idx="5">
                  <c:v>153479.19999999998</c:v>
                </c:pt>
                <c:pt idx="6">
                  <c:v>334.22399999999999</c:v>
                </c:pt>
                <c:pt idx="7">
                  <c:v>435.25390000000004</c:v>
                </c:pt>
                <c:pt idx="8">
                  <c:v>81939.8</c:v>
                </c:pt>
                <c:pt idx="9">
                  <c:v>4118.4000000000005</c:v>
                </c:pt>
                <c:pt idx="10">
                  <c:v>49210.2736</c:v>
                </c:pt>
                <c:pt idx="11">
                  <c:v>54536.969999999994</c:v>
                </c:pt>
                <c:pt idx="12">
                  <c:v>0</c:v>
                </c:pt>
                <c:pt idx="13">
                  <c:v>121441.39549999998</c:v>
                </c:pt>
                <c:pt idx="14">
                  <c:v>6933.62</c:v>
                </c:pt>
                <c:pt idx="15">
                  <c:v>1397.3760000000002</c:v>
                </c:pt>
                <c:pt idx="16">
                  <c:v>134.07999999999998</c:v>
                </c:pt>
                <c:pt idx="17">
                  <c:v>104.58239999999999</c:v>
                </c:pt>
                <c:pt idx="18">
                  <c:v>18274.686000000002</c:v>
                </c:pt>
                <c:pt idx="19">
                  <c:v>78.14</c:v>
                </c:pt>
                <c:pt idx="20">
                  <c:v>11.5</c:v>
                </c:pt>
                <c:pt idx="21">
                  <c:v>29857.230000000003</c:v>
                </c:pt>
                <c:pt idx="22">
                  <c:v>12343.159999999998</c:v>
                </c:pt>
                <c:pt idx="23">
                  <c:v>523.13300000000004</c:v>
                </c:pt>
                <c:pt idx="24">
                  <c:v>217.30140000000003</c:v>
                </c:pt>
                <c:pt idx="25">
                  <c:v>458.22539999999998</c:v>
                </c:pt>
                <c:pt idx="26">
                  <c:v>1419.5940000000001</c:v>
                </c:pt>
                <c:pt idx="27">
                  <c:v>1900.884</c:v>
                </c:pt>
                <c:pt idx="28">
                  <c:v>389.38</c:v>
                </c:pt>
                <c:pt idx="29">
                  <c:v>114.255</c:v>
                </c:pt>
                <c:pt idx="30">
                  <c:v>4517.6736000000001</c:v>
                </c:pt>
                <c:pt idx="31">
                  <c:v>35990.879999999997</c:v>
                </c:pt>
                <c:pt idx="32">
                  <c:v>9056.5969999999998</c:v>
                </c:pt>
                <c:pt idx="33">
                  <c:v>119969.59999999999</c:v>
                </c:pt>
                <c:pt idx="34">
                  <c:v>585</c:v>
                </c:pt>
                <c:pt idx="3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8-4D06-A6BA-083A1714CA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8482671"/>
        <c:axId val="1988483087"/>
      </c:barChart>
      <c:catAx>
        <c:axId val="19884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3087"/>
        <c:crosses val="autoZero"/>
        <c:auto val="1"/>
        <c:lblAlgn val="ctr"/>
        <c:lblOffset val="100"/>
        <c:noMultiLvlLbl val="0"/>
      </c:catAx>
      <c:valAx>
        <c:axId val="19884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Quantities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848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/>
              <a:t>New - Riaz</a:t>
            </a:r>
            <a:r>
              <a:rPr lang="fr-CH" baseline="0"/>
              <a:t> - MFH</a:t>
            </a:r>
            <a:endParaRPr lang="fr-C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Emissions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(Graphes!$C$34,Graphes!$I$34,Graphes!$O$34,Graphes!$C$36,Graphes!$I$36,Graphes!$O$36,Graphes!$C$38,Graphes!$I$38,Graphes!$O$38)</c:f>
              <c:numCache>
                <c:formatCode>0.00</c:formatCode>
                <c:ptCount val="9"/>
                <c:pt idx="0">
                  <c:v>614.60369066281544</c:v>
                </c:pt>
                <c:pt idx="1">
                  <c:v>521.56293818255449</c:v>
                </c:pt>
                <c:pt idx="2">
                  <c:v>404.10271683491567</c:v>
                </c:pt>
                <c:pt idx="3">
                  <c:v>235.63192129822312</c:v>
                </c:pt>
                <c:pt idx="4">
                  <c:v>259.8259160436599</c:v>
                </c:pt>
                <c:pt idx="5">
                  <c:v>188.63862873695948</c:v>
                </c:pt>
                <c:pt idx="6">
                  <c:v>88.859500250050758</c:v>
                </c:pt>
                <c:pt idx="7">
                  <c:v>72.031726866036664</c:v>
                </c:pt>
                <c:pt idx="8">
                  <c:v>58.024811027494707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B-4AE9-B943-F25B59D5B9D7}"/>
            </c:ext>
          </c:extLst>
        </c:ser>
        <c:ser>
          <c:idx val="1"/>
          <c:order val="1"/>
          <c:tx>
            <c:v>Bio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(Graphes!$C$33,Graphes!$I$33,Graphes!$O$33,Graphes!$C$35,Graphes!$I$35,Graphes!$O$35)</c:f>
              <c:numCache>
                <c:formatCode>0.00</c:formatCode>
                <c:ptCount val="6"/>
                <c:pt idx="0">
                  <c:v>-13.003921856699758</c:v>
                </c:pt>
                <c:pt idx="1">
                  <c:v>-181.28821723221171</c:v>
                </c:pt>
                <c:pt idx="2">
                  <c:v>-490.83959465693795</c:v>
                </c:pt>
                <c:pt idx="3">
                  <c:v>-13.003921856699758</c:v>
                </c:pt>
                <c:pt idx="4">
                  <c:v>-99.088369240467728</c:v>
                </c:pt>
                <c:pt idx="5">
                  <c:v>-257.07391749457594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B-4AE9-B943-F25B59D5B9D7}"/>
            </c:ext>
          </c:extLst>
        </c:ser>
        <c:ser>
          <c:idx val="2"/>
          <c:order val="2"/>
          <c:tx>
            <c:v>Bio_release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(Graphes!$C$32,Graphes!$I$32,Graphes!$O$32,Graphes!$C$37,Graphes!$I$37,Graphes!$O$37,Graphes!$C$39,Graphes!$I$39,Graphes!$O$39)</c:f>
              <c:numCache>
                <c:formatCode>General</c:formatCode>
                <c:ptCount val="9"/>
                <c:pt idx="3" formatCode="0.00">
                  <c:v>13.003921856699758</c:v>
                </c:pt>
                <c:pt idx="4" formatCode="0.00">
                  <c:v>99.088369240467728</c:v>
                </c:pt>
                <c:pt idx="5" formatCode="0.00">
                  <c:v>257.07391749457594</c:v>
                </c:pt>
                <c:pt idx="6" formatCode="0.00">
                  <c:v>13.003921856699758</c:v>
                </c:pt>
                <c:pt idx="7" formatCode="0.00">
                  <c:v>181.28821723221171</c:v>
                </c:pt>
                <c:pt idx="8" formatCode="0.00">
                  <c:v>490.83959465693795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B-4AE9-B943-F25B59D5B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H" baseline="0"/>
              <a:t>Cumulative emissions</a:t>
            </a:r>
            <a:endParaRPr lang="fr-C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Graphes!$U$52</c:f>
              <c:strCache>
                <c:ptCount val="1"/>
                <c:pt idx="0">
                  <c:v>Standard biogenic-GWP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30"/>
            <c:marker>
              <c:symbol val="none"/>
            </c:marker>
            <c:bubble3D val="0"/>
            <c:spPr>
              <a:ln w="25400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6E-4080-8AD4-9541949E0714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25400" cap="rnd">
                <a:solidFill>
                  <a:schemeClr val="tx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E6E-4080-8AD4-9541949E0714}"/>
              </c:ext>
            </c:extLst>
          </c:dPt>
          <c:val>
            <c:numRef>
              <c:f>Graphes!$U$53:$U$113</c:f>
              <c:numCache>
                <c:formatCode>0.00</c:formatCode>
                <c:ptCount val="61"/>
                <c:pt idx="0">
                  <c:v>-13.003921856699758</c:v>
                </c:pt>
                <c:pt idx="1">
                  <c:v>-13.003921856699758</c:v>
                </c:pt>
                <c:pt idx="2">
                  <c:v>-13.003921856699758</c:v>
                </c:pt>
                <c:pt idx="3">
                  <c:v>-13.003921856699758</c:v>
                </c:pt>
                <c:pt idx="4">
                  <c:v>-13.003921856699758</c:v>
                </c:pt>
                <c:pt idx="5">
                  <c:v>-13.003921856699758</c:v>
                </c:pt>
                <c:pt idx="6">
                  <c:v>-13.003921856699758</c:v>
                </c:pt>
                <c:pt idx="7">
                  <c:v>-13.003921856699758</c:v>
                </c:pt>
                <c:pt idx="8">
                  <c:v>-13.003921856699758</c:v>
                </c:pt>
                <c:pt idx="9">
                  <c:v>-13.003921856699758</c:v>
                </c:pt>
                <c:pt idx="10">
                  <c:v>-13.003921856699758</c:v>
                </c:pt>
                <c:pt idx="11">
                  <c:v>-13.003921856699758</c:v>
                </c:pt>
                <c:pt idx="12">
                  <c:v>-13.003921856699758</c:v>
                </c:pt>
                <c:pt idx="13">
                  <c:v>-13.003921856699758</c:v>
                </c:pt>
                <c:pt idx="14">
                  <c:v>-13.003921856699758</c:v>
                </c:pt>
                <c:pt idx="15">
                  <c:v>-13.003921856699758</c:v>
                </c:pt>
                <c:pt idx="16">
                  <c:v>-13.003921856699758</c:v>
                </c:pt>
                <c:pt idx="17">
                  <c:v>-13.003921856699758</c:v>
                </c:pt>
                <c:pt idx="18">
                  <c:v>-13.003921856699758</c:v>
                </c:pt>
                <c:pt idx="19">
                  <c:v>-13.003921856699758</c:v>
                </c:pt>
                <c:pt idx="20">
                  <c:v>-13.003921856699758</c:v>
                </c:pt>
                <c:pt idx="21">
                  <c:v>-13.003921856699758</c:v>
                </c:pt>
                <c:pt idx="22">
                  <c:v>-13.003921856699758</c:v>
                </c:pt>
                <c:pt idx="23">
                  <c:v>-13.003921856699758</c:v>
                </c:pt>
                <c:pt idx="24">
                  <c:v>-13.003921856699758</c:v>
                </c:pt>
                <c:pt idx="25">
                  <c:v>-13.003921856699758</c:v>
                </c:pt>
                <c:pt idx="26">
                  <c:v>-13.003921856699758</c:v>
                </c:pt>
                <c:pt idx="27">
                  <c:v>-13.003921856699758</c:v>
                </c:pt>
                <c:pt idx="28">
                  <c:v>-13.003921856699758</c:v>
                </c:pt>
                <c:pt idx="29">
                  <c:v>-13.003921856699758</c:v>
                </c:pt>
                <c:pt idx="30">
                  <c:v>-13.003921856699758</c:v>
                </c:pt>
                <c:pt idx="31">
                  <c:v>-13.003921856699758</c:v>
                </c:pt>
                <c:pt idx="32">
                  <c:v>-13.003921856699758</c:v>
                </c:pt>
                <c:pt idx="33">
                  <c:v>-13.003921856699758</c:v>
                </c:pt>
                <c:pt idx="34">
                  <c:v>-13.003921856699758</c:v>
                </c:pt>
                <c:pt idx="35">
                  <c:v>-13.003921856699758</c:v>
                </c:pt>
                <c:pt idx="36">
                  <c:v>-13.003921856699758</c:v>
                </c:pt>
                <c:pt idx="37">
                  <c:v>-13.003921856699758</c:v>
                </c:pt>
                <c:pt idx="38">
                  <c:v>-13.003921856699758</c:v>
                </c:pt>
                <c:pt idx="39">
                  <c:v>-13.003921856699758</c:v>
                </c:pt>
                <c:pt idx="40">
                  <c:v>-13.003921856699758</c:v>
                </c:pt>
                <c:pt idx="41">
                  <c:v>-13.003921856699758</c:v>
                </c:pt>
                <c:pt idx="42">
                  <c:v>-13.003921856699758</c:v>
                </c:pt>
                <c:pt idx="43">
                  <c:v>-13.003921856699758</c:v>
                </c:pt>
                <c:pt idx="44">
                  <c:v>-13.003921856699758</c:v>
                </c:pt>
                <c:pt idx="45">
                  <c:v>-13.003921856699758</c:v>
                </c:pt>
                <c:pt idx="46">
                  <c:v>-13.003921856699758</c:v>
                </c:pt>
                <c:pt idx="47">
                  <c:v>-13.003921856699758</c:v>
                </c:pt>
                <c:pt idx="48">
                  <c:v>-13.003921856699758</c:v>
                </c:pt>
                <c:pt idx="49">
                  <c:v>-13.003921856699758</c:v>
                </c:pt>
                <c:pt idx="50">
                  <c:v>-13.003921856699758</c:v>
                </c:pt>
                <c:pt idx="51">
                  <c:v>-13.003921856699758</c:v>
                </c:pt>
                <c:pt idx="52">
                  <c:v>-13.003921856699758</c:v>
                </c:pt>
                <c:pt idx="53">
                  <c:v>-13.003921856699758</c:v>
                </c:pt>
                <c:pt idx="54">
                  <c:v>-13.003921856699758</c:v>
                </c:pt>
                <c:pt idx="55">
                  <c:v>-13.003921856699758</c:v>
                </c:pt>
                <c:pt idx="56">
                  <c:v>-13.003921856699758</c:v>
                </c:pt>
                <c:pt idx="57">
                  <c:v>-13.003921856699758</c:v>
                </c:pt>
                <c:pt idx="58">
                  <c:v>-13.003921856699758</c:v>
                </c:pt>
                <c:pt idx="59">
                  <c:v>-13.003921856699758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E-4080-8AD4-9541949E0714}"/>
            </c:ext>
          </c:extLst>
        </c:ser>
        <c:ser>
          <c:idx val="0"/>
          <c:order val="0"/>
          <c:tx>
            <c:strRef>
              <c:f>Graphes!$O$52</c:f>
              <c:strCache>
                <c:ptCount val="1"/>
                <c:pt idx="0">
                  <c:v>Standard-fossil GWP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Graphes!$A$53:$A$112</c:f>
              <c:numCache>
                <c:formatCode>General</c:formatCode>
                <c:ptCount val="60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  <c:pt idx="15">
                  <c:v>2039</c:v>
                </c:pt>
                <c:pt idx="16">
                  <c:v>2040</c:v>
                </c:pt>
                <c:pt idx="17">
                  <c:v>2041</c:v>
                </c:pt>
                <c:pt idx="18">
                  <c:v>2042</c:v>
                </c:pt>
                <c:pt idx="19">
                  <c:v>2043</c:v>
                </c:pt>
                <c:pt idx="20">
                  <c:v>2044</c:v>
                </c:pt>
                <c:pt idx="21">
                  <c:v>2045</c:v>
                </c:pt>
                <c:pt idx="22">
                  <c:v>2046</c:v>
                </c:pt>
                <c:pt idx="23">
                  <c:v>2047</c:v>
                </c:pt>
                <c:pt idx="24">
                  <c:v>2048</c:v>
                </c:pt>
                <c:pt idx="25">
                  <c:v>2049</c:v>
                </c:pt>
                <c:pt idx="26">
                  <c:v>2050</c:v>
                </c:pt>
                <c:pt idx="27">
                  <c:v>2051</c:v>
                </c:pt>
                <c:pt idx="28">
                  <c:v>2052</c:v>
                </c:pt>
                <c:pt idx="29">
                  <c:v>2053</c:v>
                </c:pt>
                <c:pt idx="30">
                  <c:v>2054</c:v>
                </c:pt>
                <c:pt idx="31">
                  <c:v>2055</c:v>
                </c:pt>
                <c:pt idx="32">
                  <c:v>2056</c:v>
                </c:pt>
                <c:pt idx="33">
                  <c:v>2057</c:v>
                </c:pt>
                <c:pt idx="34">
                  <c:v>2058</c:v>
                </c:pt>
                <c:pt idx="35">
                  <c:v>2059</c:v>
                </c:pt>
                <c:pt idx="36">
                  <c:v>2060</c:v>
                </c:pt>
                <c:pt idx="37">
                  <c:v>2061</c:v>
                </c:pt>
                <c:pt idx="38">
                  <c:v>2062</c:v>
                </c:pt>
                <c:pt idx="39">
                  <c:v>2063</c:v>
                </c:pt>
                <c:pt idx="40">
                  <c:v>2064</c:v>
                </c:pt>
                <c:pt idx="41">
                  <c:v>2065</c:v>
                </c:pt>
                <c:pt idx="42">
                  <c:v>2066</c:v>
                </c:pt>
                <c:pt idx="43">
                  <c:v>2067</c:v>
                </c:pt>
                <c:pt idx="44">
                  <c:v>2068</c:v>
                </c:pt>
                <c:pt idx="45">
                  <c:v>2069</c:v>
                </c:pt>
                <c:pt idx="46">
                  <c:v>2070</c:v>
                </c:pt>
                <c:pt idx="47">
                  <c:v>2071</c:v>
                </c:pt>
                <c:pt idx="48">
                  <c:v>2072</c:v>
                </c:pt>
                <c:pt idx="49">
                  <c:v>2073</c:v>
                </c:pt>
                <c:pt idx="50">
                  <c:v>2074</c:v>
                </c:pt>
                <c:pt idx="51">
                  <c:v>2075</c:v>
                </c:pt>
                <c:pt idx="52">
                  <c:v>2076</c:v>
                </c:pt>
                <c:pt idx="53">
                  <c:v>2077</c:v>
                </c:pt>
                <c:pt idx="54">
                  <c:v>2078</c:v>
                </c:pt>
                <c:pt idx="55">
                  <c:v>2079</c:v>
                </c:pt>
                <c:pt idx="56">
                  <c:v>2080</c:v>
                </c:pt>
                <c:pt idx="57">
                  <c:v>2081</c:v>
                </c:pt>
                <c:pt idx="58">
                  <c:v>2082</c:v>
                </c:pt>
                <c:pt idx="59">
                  <c:v>2083</c:v>
                </c:pt>
              </c:numCache>
            </c:numRef>
          </c:cat>
          <c:val>
            <c:numRef>
              <c:f>Graphes!$O$53:$O$113</c:f>
              <c:numCache>
                <c:formatCode>0.00</c:formatCode>
                <c:ptCount val="61"/>
                <c:pt idx="0">
                  <c:v>614.60369066281544</c:v>
                </c:pt>
                <c:pt idx="1">
                  <c:v>614.60369066281544</c:v>
                </c:pt>
                <c:pt idx="2">
                  <c:v>614.60369066281544</c:v>
                </c:pt>
                <c:pt idx="3">
                  <c:v>614.60369066281544</c:v>
                </c:pt>
                <c:pt idx="4">
                  <c:v>614.60369066281544</c:v>
                </c:pt>
                <c:pt idx="5">
                  <c:v>614.60369066281544</c:v>
                </c:pt>
                <c:pt idx="6">
                  <c:v>614.60369066281544</c:v>
                </c:pt>
                <c:pt idx="7">
                  <c:v>614.60369066281544</c:v>
                </c:pt>
                <c:pt idx="8">
                  <c:v>614.60369066281544</c:v>
                </c:pt>
                <c:pt idx="9">
                  <c:v>614.60369066281544</c:v>
                </c:pt>
                <c:pt idx="10">
                  <c:v>614.60369066281544</c:v>
                </c:pt>
                <c:pt idx="11">
                  <c:v>614.60369066281544</c:v>
                </c:pt>
                <c:pt idx="12">
                  <c:v>614.60369066281544</c:v>
                </c:pt>
                <c:pt idx="13">
                  <c:v>614.60369066281544</c:v>
                </c:pt>
                <c:pt idx="14">
                  <c:v>614.60369066281544</c:v>
                </c:pt>
                <c:pt idx="15">
                  <c:v>614.60369066281544</c:v>
                </c:pt>
                <c:pt idx="16">
                  <c:v>614.60369066281544</c:v>
                </c:pt>
                <c:pt idx="17">
                  <c:v>614.60369066281544</c:v>
                </c:pt>
                <c:pt idx="18">
                  <c:v>614.60369066281544</c:v>
                </c:pt>
                <c:pt idx="19">
                  <c:v>614.60369066281544</c:v>
                </c:pt>
                <c:pt idx="20">
                  <c:v>614.60369066281544</c:v>
                </c:pt>
                <c:pt idx="21">
                  <c:v>614.60369066281544</c:v>
                </c:pt>
                <c:pt idx="22">
                  <c:v>614.60369066281544</c:v>
                </c:pt>
                <c:pt idx="23">
                  <c:v>614.60369066281544</c:v>
                </c:pt>
                <c:pt idx="24">
                  <c:v>614.60369066281544</c:v>
                </c:pt>
                <c:pt idx="25">
                  <c:v>614.60369066281544</c:v>
                </c:pt>
                <c:pt idx="26">
                  <c:v>614.60369066281544</c:v>
                </c:pt>
                <c:pt idx="27">
                  <c:v>614.60369066281544</c:v>
                </c:pt>
                <c:pt idx="28">
                  <c:v>614.60369066281544</c:v>
                </c:pt>
                <c:pt idx="29">
                  <c:v>614.60369066281544</c:v>
                </c:pt>
                <c:pt idx="30">
                  <c:v>850.23561196103856</c:v>
                </c:pt>
                <c:pt idx="31">
                  <c:v>850.23561196103856</c:v>
                </c:pt>
                <c:pt idx="32">
                  <c:v>850.23561196103856</c:v>
                </c:pt>
                <c:pt idx="33">
                  <c:v>850.23561196103856</c:v>
                </c:pt>
                <c:pt idx="34">
                  <c:v>850.23561196103856</c:v>
                </c:pt>
                <c:pt idx="35">
                  <c:v>850.23561196103856</c:v>
                </c:pt>
                <c:pt idx="36">
                  <c:v>850.23561196103856</c:v>
                </c:pt>
                <c:pt idx="37">
                  <c:v>850.23561196103856</c:v>
                </c:pt>
                <c:pt idx="38">
                  <c:v>850.23561196103856</c:v>
                </c:pt>
                <c:pt idx="39">
                  <c:v>850.23561196103856</c:v>
                </c:pt>
                <c:pt idx="40">
                  <c:v>850.23561196103856</c:v>
                </c:pt>
                <c:pt idx="41">
                  <c:v>850.23561196103856</c:v>
                </c:pt>
                <c:pt idx="42">
                  <c:v>850.23561196103856</c:v>
                </c:pt>
                <c:pt idx="43">
                  <c:v>850.23561196103856</c:v>
                </c:pt>
                <c:pt idx="44">
                  <c:v>850.23561196103856</c:v>
                </c:pt>
                <c:pt idx="45">
                  <c:v>850.23561196103856</c:v>
                </c:pt>
                <c:pt idx="46">
                  <c:v>850.23561196103856</c:v>
                </c:pt>
                <c:pt idx="47">
                  <c:v>850.23561196103856</c:v>
                </c:pt>
                <c:pt idx="48">
                  <c:v>850.23561196103856</c:v>
                </c:pt>
                <c:pt idx="49">
                  <c:v>850.23561196103856</c:v>
                </c:pt>
                <c:pt idx="50">
                  <c:v>850.23561196103856</c:v>
                </c:pt>
                <c:pt idx="51">
                  <c:v>850.23561196103856</c:v>
                </c:pt>
                <c:pt idx="52">
                  <c:v>850.23561196103856</c:v>
                </c:pt>
                <c:pt idx="53">
                  <c:v>850.23561196103856</c:v>
                </c:pt>
                <c:pt idx="54">
                  <c:v>850.23561196103856</c:v>
                </c:pt>
                <c:pt idx="55">
                  <c:v>850.23561196103856</c:v>
                </c:pt>
                <c:pt idx="56">
                  <c:v>850.23561196103856</c:v>
                </c:pt>
                <c:pt idx="57">
                  <c:v>850.23561196103856</c:v>
                </c:pt>
                <c:pt idx="58">
                  <c:v>850.23561196103856</c:v>
                </c:pt>
                <c:pt idx="59">
                  <c:v>850.23561196103856</c:v>
                </c:pt>
                <c:pt idx="60">
                  <c:v>939.09511221108937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E-4080-8AD4-9541949E0714}"/>
            </c:ext>
          </c:extLst>
        </c:ser>
        <c:ser>
          <c:idx val="2"/>
          <c:order val="2"/>
          <c:tx>
            <c:strRef>
              <c:f>Graphes!$Z$52</c:f>
              <c:strCache>
                <c:ptCount val="1"/>
                <c:pt idx="0">
                  <c:v>Realistic-fossil 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Graphes!$Z$53:$Z$113</c:f>
              <c:numCache>
                <c:formatCode>0.00</c:formatCode>
                <c:ptCount val="61"/>
                <c:pt idx="0">
                  <c:v>521.56293818255449</c:v>
                </c:pt>
                <c:pt idx="1">
                  <c:v>521.56293818255449</c:v>
                </c:pt>
                <c:pt idx="2">
                  <c:v>521.56293818255449</c:v>
                </c:pt>
                <c:pt idx="3">
                  <c:v>521.56293818255449</c:v>
                </c:pt>
                <c:pt idx="4">
                  <c:v>521.56293818255449</c:v>
                </c:pt>
                <c:pt idx="5">
                  <c:v>521.56293818255449</c:v>
                </c:pt>
                <c:pt idx="6">
                  <c:v>521.56293818255449</c:v>
                </c:pt>
                <c:pt idx="7">
                  <c:v>521.56293818255449</c:v>
                </c:pt>
                <c:pt idx="8">
                  <c:v>521.56293818255449</c:v>
                </c:pt>
                <c:pt idx="9">
                  <c:v>521.56293818255449</c:v>
                </c:pt>
                <c:pt idx="10">
                  <c:v>521.56293818255449</c:v>
                </c:pt>
                <c:pt idx="11">
                  <c:v>521.56293818255449</c:v>
                </c:pt>
                <c:pt idx="12">
                  <c:v>521.56293818255449</c:v>
                </c:pt>
                <c:pt idx="13">
                  <c:v>521.56293818255449</c:v>
                </c:pt>
                <c:pt idx="14">
                  <c:v>521.56293818255449</c:v>
                </c:pt>
                <c:pt idx="15">
                  <c:v>521.56293818255449</c:v>
                </c:pt>
                <c:pt idx="16">
                  <c:v>521.56293818255449</c:v>
                </c:pt>
                <c:pt idx="17">
                  <c:v>521.56293818255449</c:v>
                </c:pt>
                <c:pt idx="18">
                  <c:v>521.56293818255449</c:v>
                </c:pt>
                <c:pt idx="19">
                  <c:v>521.56293818255449</c:v>
                </c:pt>
                <c:pt idx="20">
                  <c:v>521.56293818255449</c:v>
                </c:pt>
                <c:pt idx="21">
                  <c:v>521.56293818255449</c:v>
                </c:pt>
                <c:pt idx="22">
                  <c:v>521.56293818255449</c:v>
                </c:pt>
                <c:pt idx="23">
                  <c:v>521.56293818255449</c:v>
                </c:pt>
                <c:pt idx="24">
                  <c:v>521.56293818255449</c:v>
                </c:pt>
                <c:pt idx="25">
                  <c:v>521.56293818255449</c:v>
                </c:pt>
                <c:pt idx="26">
                  <c:v>521.56293818255449</c:v>
                </c:pt>
                <c:pt idx="27">
                  <c:v>521.56293818255449</c:v>
                </c:pt>
                <c:pt idx="28">
                  <c:v>521.56293818255449</c:v>
                </c:pt>
                <c:pt idx="29">
                  <c:v>521.56293818255449</c:v>
                </c:pt>
                <c:pt idx="30">
                  <c:v>781.38885422621433</c:v>
                </c:pt>
                <c:pt idx="31">
                  <c:v>781.38885422621433</c:v>
                </c:pt>
                <c:pt idx="32">
                  <c:v>781.38885422621433</c:v>
                </c:pt>
                <c:pt idx="33">
                  <c:v>781.38885422621433</c:v>
                </c:pt>
                <c:pt idx="34">
                  <c:v>781.38885422621433</c:v>
                </c:pt>
                <c:pt idx="35">
                  <c:v>781.38885422621433</c:v>
                </c:pt>
                <c:pt idx="36">
                  <c:v>781.38885422621433</c:v>
                </c:pt>
                <c:pt idx="37">
                  <c:v>781.38885422621433</c:v>
                </c:pt>
                <c:pt idx="38">
                  <c:v>781.38885422621433</c:v>
                </c:pt>
                <c:pt idx="39">
                  <c:v>781.38885422621433</c:v>
                </c:pt>
                <c:pt idx="40">
                  <c:v>781.38885422621433</c:v>
                </c:pt>
                <c:pt idx="41">
                  <c:v>781.38885422621433</c:v>
                </c:pt>
                <c:pt idx="42">
                  <c:v>781.38885422621433</c:v>
                </c:pt>
                <c:pt idx="43">
                  <c:v>781.38885422621433</c:v>
                </c:pt>
                <c:pt idx="44">
                  <c:v>781.38885422621433</c:v>
                </c:pt>
                <c:pt idx="45">
                  <c:v>781.38885422621433</c:v>
                </c:pt>
                <c:pt idx="46">
                  <c:v>781.38885422621433</c:v>
                </c:pt>
                <c:pt idx="47">
                  <c:v>781.38885422621433</c:v>
                </c:pt>
                <c:pt idx="48">
                  <c:v>781.38885422621433</c:v>
                </c:pt>
                <c:pt idx="49">
                  <c:v>781.38885422621433</c:v>
                </c:pt>
                <c:pt idx="50">
                  <c:v>781.38885422621433</c:v>
                </c:pt>
                <c:pt idx="51">
                  <c:v>781.38885422621433</c:v>
                </c:pt>
                <c:pt idx="52">
                  <c:v>781.38885422621433</c:v>
                </c:pt>
                <c:pt idx="53">
                  <c:v>781.38885422621433</c:v>
                </c:pt>
                <c:pt idx="54">
                  <c:v>781.38885422621433</c:v>
                </c:pt>
                <c:pt idx="55">
                  <c:v>781.38885422621433</c:v>
                </c:pt>
                <c:pt idx="56">
                  <c:v>781.38885422621433</c:v>
                </c:pt>
                <c:pt idx="57">
                  <c:v>781.38885422621433</c:v>
                </c:pt>
                <c:pt idx="58">
                  <c:v>781.38885422621433</c:v>
                </c:pt>
                <c:pt idx="59">
                  <c:v>781.38885422621433</c:v>
                </c:pt>
                <c:pt idx="60">
                  <c:v>853.42058109225104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DA-45D2-9B08-CA4C5B3DD567}"/>
            </c:ext>
          </c:extLst>
        </c:ser>
        <c:ser>
          <c:idx val="3"/>
          <c:order val="3"/>
          <c:tx>
            <c:strRef>
              <c:f>Graphes!$AA$52</c:f>
              <c:strCache>
                <c:ptCount val="1"/>
                <c:pt idx="0">
                  <c:v>Realistic biogenic-GWP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Graphes!$AA$53:$AA$113</c:f>
              <c:numCache>
                <c:formatCode>0.00</c:formatCode>
                <c:ptCount val="61"/>
                <c:pt idx="0">
                  <c:v>-181.28821723221171</c:v>
                </c:pt>
                <c:pt idx="1">
                  <c:v>-181.28821723221171</c:v>
                </c:pt>
                <c:pt idx="2">
                  <c:v>-181.28821723221171</c:v>
                </c:pt>
                <c:pt idx="3">
                  <c:v>-181.28821723221171</c:v>
                </c:pt>
                <c:pt idx="4">
                  <c:v>-181.28821723221171</c:v>
                </c:pt>
                <c:pt idx="5">
                  <c:v>-181.28821723221171</c:v>
                </c:pt>
                <c:pt idx="6">
                  <c:v>-181.28821723221171</c:v>
                </c:pt>
                <c:pt idx="7">
                  <c:v>-181.28821723221171</c:v>
                </c:pt>
                <c:pt idx="8">
                  <c:v>-181.28821723221171</c:v>
                </c:pt>
                <c:pt idx="9">
                  <c:v>-181.28821723221171</c:v>
                </c:pt>
                <c:pt idx="10">
                  <c:v>-181.28821723221171</c:v>
                </c:pt>
                <c:pt idx="11">
                  <c:v>-181.28821723221171</c:v>
                </c:pt>
                <c:pt idx="12">
                  <c:v>-181.28821723221171</c:v>
                </c:pt>
                <c:pt idx="13">
                  <c:v>-181.28821723221171</c:v>
                </c:pt>
                <c:pt idx="14">
                  <c:v>-181.28821723221171</c:v>
                </c:pt>
                <c:pt idx="15">
                  <c:v>-181.28821723221171</c:v>
                </c:pt>
                <c:pt idx="16">
                  <c:v>-181.28821723221171</c:v>
                </c:pt>
                <c:pt idx="17">
                  <c:v>-181.28821723221171</c:v>
                </c:pt>
                <c:pt idx="18">
                  <c:v>-181.28821723221171</c:v>
                </c:pt>
                <c:pt idx="19">
                  <c:v>-181.28821723221171</c:v>
                </c:pt>
                <c:pt idx="20">
                  <c:v>-181.28821723221171</c:v>
                </c:pt>
                <c:pt idx="21">
                  <c:v>-181.28821723221171</c:v>
                </c:pt>
                <c:pt idx="22">
                  <c:v>-181.28821723221171</c:v>
                </c:pt>
                <c:pt idx="23">
                  <c:v>-181.28821723221171</c:v>
                </c:pt>
                <c:pt idx="24">
                  <c:v>-181.28821723221171</c:v>
                </c:pt>
                <c:pt idx="25">
                  <c:v>-181.28821723221171</c:v>
                </c:pt>
                <c:pt idx="26">
                  <c:v>-181.28821723221171</c:v>
                </c:pt>
                <c:pt idx="27">
                  <c:v>-181.28821723221171</c:v>
                </c:pt>
                <c:pt idx="28">
                  <c:v>-181.28821723221171</c:v>
                </c:pt>
                <c:pt idx="29">
                  <c:v>-181.28821723221171</c:v>
                </c:pt>
                <c:pt idx="30">
                  <c:v>-181.28821723221171</c:v>
                </c:pt>
                <c:pt idx="31">
                  <c:v>-181.28821723221171</c:v>
                </c:pt>
                <c:pt idx="32">
                  <c:v>-181.28821723221171</c:v>
                </c:pt>
                <c:pt idx="33">
                  <c:v>-181.28821723221171</c:v>
                </c:pt>
                <c:pt idx="34">
                  <c:v>-181.28821723221171</c:v>
                </c:pt>
                <c:pt idx="35">
                  <c:v>-181.28821723221171</c:v>
                </c:pt>
                <c:pt idx="36">
                  <c:v>-181.28821723221171</c:v>
                </c:pt>
                <c:pt idx="37">
                  <c:v>-181.28821723221171</c:v>
                </c:pt>
                <c:pt idx="38">
                  <c:v>-181.28821723221171</c:v>
                </c:pt>
                <c:pt idx="39">
                  <c:v>-181.28821723221171</c:v>
                </c:pt>
                <c:pt idx="40">
                  <c:v>-181.28821723221171</c:v>
                </c:pt>
                <c:pt idx="41">
                  <c:v>-181.28821723221171</c:v>
                </c:pt>
                <c:pt idx="42">
                  <c:v>-181.28821723221171</c:v>
                </c:pt>
                <c:pt idx="43">
                  <c:v>-181.28821723221171</c:v>
                </c:pt>
                <c:pt idx="44">
                  <c:v>-181.28821723221171</c:v>
                </c:pt>
                <c:pt idx="45">
                  <c:v>-181.28821723221171</c:v>
                </c:pt>
                <c:pt idx="46">
                  <c:v>-181.28821723221171</c:v>
                </c:pt>
                <c:pt idx="47">
                  <c:v>-181.28821723221171</c:v>
                </c:pt>
                <c:pt idx="48">
                  <c:v>-181.28821723221171</c:v>
                </c:pt>
                <c:pt idx="49">
                  <c:v>-181.28821723221171</c:v>
                </c:pt>
                <c:pt idx="50">
                  <c:v>-181.28821723221171</c:v>
                </c:pt>
                <c:pt idx="51">
                  <c:v>-181.28821723221171</c:v>
                </c:pt>
                <c:pt idx="52">
                  <c:v>-181.28821723221171</c:v>
                </c:pt>
                <c:pt idx="53">
                  <c:v>-181.28821723221171</c:v>
                </c:pt>
                <c:pt idx="54">
                  <c:v>-181.28821723221171</c:v>
                </c:pt>
                <c:pt idx="55">
                  <c:v>-181.28821723221171</c:v>
                </c:pt>
                <c:pt idx="56">
                  <c:v>-181.28821723221171</c:v>
                </c:pt>
                <c:pt idx="57">
                  <c:v>-181.28821723221171</c:v>
                </c:pt>
                <c:pt idx="58">
                  <c:v>-181.28821723221171</c:v>
                </c:pt>
                <c:pt idx="59">
                  <c:v>-181.28821723221171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DA-45D2-9B08-CA4C5B3DD567}"/>
            </c:ext>
          </c:extLst>
        </c:ser>
        <c:ser>
          <c:idx val="4"/>
          <c:order val="4"/>
          <c:tx>
            <c:strRef>
              <c:f>Graphes!$AF$52</c:f>
              <c:strCache>
                <c:ptCount val="1"/>
                <c:pt idx="0">
                  <c:v>Advanced-fossil GWP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Graphes!$AF$53:$AF$113</c:f>
              <c:numCache>
                <c:formatCode>0.00</c:formatCode>
                <c:ptCount val="61"/>
                <c:pt idx="0">
                  <c:v>404.10271683491567</c:v>
                </c:pt>
                <c:pt idx="1">
                  <c:v>404.10271683491567</c:v>
                </c:pt>
                <c:pt idx="2">
                  <c:v>404.10271683491567</c:v>
                </c:pt>
                <c:pt idx="3">
                  <c:v>404.10271683491567</c:v>
                </c:pt>
                <c:pt idx="4">
                  <c:v>404.10271683491567</c:v>
                </c:pt>
                <c:pt idx="5">
                  <c:v>404.10271683491567</c:v>
                </c:pt>
                <c:pt idx="6">
                  <c:v>404.10271683491567</c:v>
                </c:pt>
                <c:pt idx="7">
                  <c:v>404.10271683491567</c:v>
                </c:pt>
                <c:pt idx="8">
                  <c:v>404.10271683491567</c:v>
                </c:pt>
                <c:pt idx="9">
                  <c:v>404.10271683491567</c:v>
                </c:pt>
                <c:pt idx="10">
                  <c:v>404.10271683491567</c:v>
                </c:pt>
                <c:pt idx="11">
                  <c:v>404.10271683491567</c:v>
                </c:pt>
                <c:pt idx="12">
                  <c:v>404.10271683491567</c:v>
                </c:pt>
                <c:pt idx="13">
                  <c:v>404.10271683491567</c:v>
                </c:pt>
                <c:pt idx="14">
                  <c:v>404.10271683491567</c:v>
                </c:pt>
                <c:pt idx="15">
                  <c:v>404.10271683491567</c:v>
                </c:pt>
                <c:pt idx="16">
                  <c:v>404.10271683491567</c:v>
                </c:pt>
                <c:pt idx="17">
                  <c:v>404.10271683491567</c:v>
                </c:pt>
                <c:pt idx="18">
                  <c:v>404.10271683491567</c:v>
                </c:pt>
                <c:pt idx="19">
                  <c:v>404.10271683491567</c:v>
                </c:pt>
                <c:pt idx="20">
                  <c:v>404.10271683491567</c:v>
                </c:pt>
                <c:pt idx="21">
                  <c:v>404.10271683491567</c:v>
                </c:pt>
                <c:pt idx="22">
                  <c:v>404.10271683491567</c:v>
                </c:pt>
                <c:pt idx="23">
                  <c:v>404.10271683491567</c:v>
                </c:pt>
                <c:pt idx="24">
                  <c:v>404.10271683491567</c:v>
                </c:pt>
                <c:pt idx="25">
                  <c:v>404.10271683491567</c:v>
                </c:pt>
                <c:pt idx="26">
                  <c:v>404.10271683491567</c:v>
                </c:pt>
                <c:pt idx="27">
                  <c:v>404.10271683491567</c:v>
                </c:pt>
                <c:pt idx="28">
                  <c:v>404.10271683491567</c:v>
                </c:pt>
                <c:pt idx="29">
                  <c:v>404.10271683491567</c:v>
                </c:pt>
                <c:pt idx="30">
                  <c:v>592.74134557187517</c:v>
                </c:pt>
                <c:pt idx="31">
                  <c:v>592.74134557187517</c:v>
                </c:pt>
                <c:pt idx="32">
                  <c:v>592.74134557187517</c:v>
                </c:pt>
                <c:pt idx="33">
                  <c:v>592.74134557187517</c:v>
                </c:pt>
                <c:pt idx="34">
                  <c:v>592.74134557187517</c:v>
                </c:pt>
                <c:pt idx="35">
                  <c:v>592.74134557187517</c:v>
                </c:pt>
                <c:pt idx="36">
                  <c:v>592.74134557187517</c:v>
                </c:pt>
                <c:pt idx="37">
                  <c:v>592.74134557187517</c:v>
                </c:pt>
                <c:pt idx="38">
                  <c:v>592.74134557187517</c:v>
                </c:pt>
                <c:pt idx="39">
                  <c:v>592.74134557187517</c:v>
                </c:pt>
                <c:pt idx="40">
                  <c:v>592.74134557187517</c:v>
                </c:pt>
                <c:pt idx="41">
                  <c:v>592.74134557187517</c:v>
                </c:pt>
                <c:pt idx="42">
                  <c:v>592.74134557187517</c:v>
                </c:pt>
                <c:pt idx="43">
                  <c:v>592.74134557187517</c:v>
                </c:pt>
                <c:pt idx="44">
                  <c:v>592.74134557187517</c:v>
                </c:pt>
                <c:pt idx="45">
                  <c:v>592.74134557187517</c:v>
                </c:pt>
                <c:pt idx="46">
                  <c:v>592.74134557187517</c:v>
                </c:pt>
                <c:pt idx="47">
                  <c:v>592.74134557187517</c:v>
                </c:pt>
                <c:pt idx="48">
                  <c:v>592.74134557187517</c:v>
                </c:pt>
                <c:pt idx="49">
                  <c:v>592.74134557187517</c:v>
                </c:pt>
                <c:pt idx="50">
                  <c:v>592.74134557187517</c:v>
                </c:pt>
                <c:pt idx="51">
                  <c:v>592.74134557187517</c:v>
                </c:pt>
                <c:pt idx="52">
                  <c:v>592.74134557187517</c:v>
                </c:pt>
                <c:pt idx="53">
                  <c:v>592.74134557187517</c:v>
                </c:pt>
                <c:pt idx="54">
                  <c:v>592.74134557187517</c:v>
                </c:pt>
                <c:pt idx="55">
                  <c:v>592.74134557187517</c:v>
                </c:pt>
                <c:pt idx="56">
                  <c:v>592.74134557187517</c:v>
                </c:pt>
                <c:pt idx="57">
                  <c:v>592.74134557187517</c:v>
                </c:pt>
                <c:pt idx="58">
                  <c:v>592.74134557187517</c:v>
                </c:pt>
                <c:pt idx="59">
                  <c:v>592.74134557187517</c:v>
                </c:pt>
                <c:pt idx="60">
                  <c:v>650.76615659936988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DA-45D2-9B08-CA4C5B3DD567}"/>
            </c:ext>
          </c:extLst>
        </c:ser>
        <c:ser>
          <c:idx val="5"/>
          <c:order val="5"/>
          <c:tx>
            <c:strRef>
              <c:f>Graphes!$AG$52</c:f>
              <c:strCache>
                <c:ptCount val="1"/>
                <c:pt idx="0">
                  <c:v>Advanced biogenic-GWP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Graphes!$AG$53:$AG$113</c:f>
              <c:numCache>
                <c:formatCode>0.00</c:formatCode>
                <c:ptCount val="61"/>
                <c:pt idx="0">
                  <c:v>-490.83959465693795</c:v>
                </c:pt>
                <c:pt idx="1">
                  <c:v>-490.83959465693795</c:v>
                </c:pt>
                <c:pt idx="2">
                  <c:v>-490.83959465693795</c:v>
                </c:pt>
                <c:pt idx="3">
                  <c:v>-490.83959465693795</c:v>
                </c:pt>
                <c:pt idx="4">
                  <c:v>-490.83959465693795</c:v>
                </c:pt>
                <c:pt idx="5">
                  <c:v>-490.83959465693795</c:v>
                </c:pt>
                <c:pt idx="6">
                  <c:v>-490.83959465693795</c:v>
                </c:pt>
                <c:pt idx="7">
                  <c:v>-490.83959465693795</c:v>
                </c:pt>
                <c:pt idx="8">
                  <c:v>-490.83959465693795</c:v>
                </c:pt>
                <c:pt idx="9">
                  <c:v>-490.83959465693795</c:v>
                </c:pt>
                <c:pt idx="10">
                  <c:v>-490.83959465693795</c:v>
                </c:pt>
                <c:pt idx="11">
                  <c:v>-490.83959465693795</c:v>
                </c:pt>
                <c:pt idx="12">
                  <c:v>-490.83959465693795</c:v>
                </c:pt>
                <c:pt idx="13">
                  <c:v>-490.83959465693795</c:v>
                </c:pt>
                <c:pt idx="14">
                  <c:v>-490.83959465693795</c:v>
                </c:pt>
                <c:pt idx="15">
                  <c:v>-490.83959465693795</c:v>
                </c:pt>
                <c:pt idx="16">
                  <c:v>-490.83959465693795</c:v>
                </c:pt>
                <c:pt idx="17">
                  <c:v>-490.83959465693795</c:v>
                </c:pt>
                <c:pt idx="18">
                  <c:v>-490.83959465693795</c:v>
                </c:pt>
                <c:pt idx="19">
                  <c:v>-490.83959465693795</c:v>
                </c:pt>
                <c:pt idx="20">
                  <c:v>-490.83959465693795</c:v>
                </c:pt>
                <c:pt idx="21">
                  <c:v>-490.83959465693795</c:v>
                </c:pt>
                <c:pt idx="22">
                  <c:v>-490.83959465693795</c:v>
                </c:pt>
                <c:pt idx="23">
                  <c:v>-490.83959465693795</c:v>
                </c:pt>
                <c:pt idx="24">
                  <c:v>-490.83959465693795</c:v>
                </c:pt>
                <c:pt idx="25">
                  <c:v>-490.83959465693795</c:v>
                </c:pt>
                <c:pt idx="26">
                  <c:v>-490.83959465693795</c:v>
                </c:pt>
                <c:pt idx="27">
                  <c:v>-490.83959465693795</c:v>
                </c:pt>
                <c:pt idx="28">
                  <c:v>-490.83959465693795</c:v>
                </c:pt>
                <c:pt idx="29">
                  <c:v>-490.83959465693795</c:v>
                </c:pt>
                <c:pt idx="30">
                  <c:v>-490.83959465693795</c:v>
                </c:pt>
                <c:pt idx="31">
                  <c:v>-490.83959465693795</c:v>
                </c:pt>
                <c:pt idx="32">
                  <c:v>-490.83959465693795</c:v>
                </c:pt>
                <c:pt idx="33">
                  <c:v>-490.83959465693795</c:v>
                </c:pt>
                <c:pt idx="34">
                  <c:v>-490.83959465693795</c:v>
                </c:pt>
                <c:pt idx="35">
                  <c:v>-490.83959465693795</c:v>
                </c:pt>
                <c:pt idx="36">
                  <c:v>-490.83959465693795</c:v>
                </c:pt>
                <c:pt idx="37">
                  <c:v>-490.83959465693795</c:v>
                </c:pt>
                <c:pt idx="38">
                  <c:v>-490.83959465693795</c:v>
                </c:pt>
                <c:pt idx="39">
                  <c:v>-490.83959465693795</c:v>
                </c:pt>
                <c:pt idx="40">
                  <c:v>-490.83959465693795</c:v>
                </c:pt>
                <c:pt idx="41">
                  <c:v>-490.83959465693795</c:v>
                </c:pt>
                <c:pt idx="42">
                  <c:v>-490.83959465693795</c:v>
                </c:pt>
                <c:pt idx="43">
                  <c:v>-490.83959465693795</c:v>
                </c:pt>
                <c:pt idx="44">
                  <c:v>-490.83959465693795</c:v>
                </c:pt>
                <c:pt idx="45">
                  <c:v>-490.83959465693795</c:v>
                </c:pt>
                <c:pt idx="46">
                  <c:v>-490.83959465693795</c:v>
                </c:pt>
                <c:pt idx="47">
                  <c:v>-490.83959465693795</c:v>
                </c:pt>
                <c:pt idx="48">
                  <c:v>-490.83959465693795</c:v>
                </c:pt>
                <c:pt idx="49">
                  <c:v>-490.83959465693795</c:v>
                </c:pt>
                <c:pt idx="50">
                  <c:v>-490.83959465693795</c:v>
                </c:pt>
                <c:pt idx="51">
                  <c:v>-490.83959465693795</c:v>
                </c:pt>
                <c:pt idx="52">
                  <c:v>-490.83959465693795</c:v>
                </c:pt>
                <c:pt idx="53">
                  <c:v>-490.83959465693795</c:v>
                </c:pt>
                <c:pt idx="54">
                  <c:v>-490.83959465693795</c:v>
                </c:pt>
                <c:pt idx="55">
                  <c:v>-490.83959465693795</c:v>
                </c:pt>
                <c:pt idx="56">
                  <c:v>-490.83959465693795</c:v>
                </c:pt>
                <c:pt idx="57">
                  <c:v>-490.83959465693795</c:v>
                </c:pt>
                <c:pt idx="58">
                  <c:v>-490.83959465693795</c:v>
                </c:pt>
                <c:pt idx="59">
                  <c:v>-490.83959465693795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DA-45D2-9B08-CA4C5B3DD567}"/>
            </c:ext>
          </c:extLst>
        </c:ser>
        <c:ser>
          <c:idx val="6"/>
          <c:order val="6"/>
          <c:tx>
            <c:strRef>
              <c:f>Graphes!$V$52</c:f>
              <c:strCache>
                <c:ptCount val="1"/>
                <c:pt idx="0">
                  <c:v>NET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Graphes!$V$53:$V$113</c:f>
              <c:numCache>
                <c:formatCode>0.00</c:formatCode>
                <c:ptCount val="61"/>
                <c:pt idx="0">
                  <c:v>601.59976880611566</c:v>
                </c:pt>
                <c:pt idx="1">
                  <c:v>601.59976880611566</c:v>
                </c:pt>
                <c:pt idx="2">
                  <c:v>601.59976880611566</c:v>
                </c:pt>
                <c:pt idx="3">
                  <c:v>601.59976880611566</c:v>
                </c:pt>
                <c:pt idx="4">
                  <c:v>601.59976880611566</c:v>
                </c:pt>
                <c:pt idx="5">
                  <c:v>601.59976880611566</c:v>
                </c:pt>
                <c:pt idx="6">
                  <c:v>601.59976880611566</c:v>
                </c:pt>
                <c:pt idx="7">
                  <c:v>601.59976880611566</c:v>
                </c:pt>
                <c:pt idx="8">
                  <c:v>601.59976880611566</c:v>
                </c:pt>
                <c:pt idx="9">
                  <c:v>601.59976880611566</c:v>
                </c:pt>
                <c:pt idx="10">
                  <c:v>601.59976880611566</c:v>
                </c:pt>
                <c:pt idx="11">
                  <c:v>601.59976880611566</c:v>
                </c:pt>
                <c:pt idx="12">
                  <c:v>601.59976880611566</c:v>
                </c:pt>
                <c:pt idx="13">
                  <c:v>601.59976880611566</c:v>
                </c:pt>
                <c:pt idx="14">
                  <c:v>601.59976880611566</c:v>
                </c:pt>
                <c:pt idx="15">
                  <c:v>601.59976880611566</c:v>
                </c:pt>
                <c:pt idx="16">
                  <c:v>601.59976880611566</c:v>
                </c:pt>
                <c:pt idx="17">
                  <c:v>601.59976880611566</c:v>
                </c:pt>
                <c:pt idx="18">
                  <c:v>601.59976880611566</c:v>
                </c:pt>
                <c:pt idx="19">
                  <c:v>601.59976880611566</c:v>
                </c:pt>
                <c:pt idx="20">
                  <c:v>601.59976880611566</c:v>
                </c:pt>
                <c:pt idx="21">
                  <c:v>601.59976880611566</c:v>
                </c:pt>
                <c:pt idx="22">
                  <c:v>601.59976880611566</c:v>
                </c:pt>
                <c:pt idx="23">
                  <c:v>601.59976880611566</c:v>
                </c:pt>
                <c:pt idx="24">
                  <c:v>601.59976880611566</c:v>
                </c:pt>
                <c:pt idx="25">
                  <c:v>601.59976880611566</c:v>
                </c:pt>
                <c:pt idx="26">
                  <c:v>601.59976880611566</c:v>
                </c:pt>
                <c:pt idx="27">
                  <c:v>601.59976880611566</c:v>
                </c:pt>
                <c:pt idx="28">
                  <c:v>601.59976880611566</c:v>
                </c:pt>
                <c:pt idx="29">
                  <c:v>601.59976880611566</c:v>
                </c:pt>
                <c:pt idx="30">
                  <c:v>837.23169010433878</c:v>
                </c:pt>
                <c:pt idx="31">
                  <c:v>837.23169010433878</c:v>
                </c:pt>
                <c:pt idx="32">
                  <c:v>837.23169010433878</c:v>
                </c:pt>
                <c:pt idx="33">
                  <c:v>837.23169010433878</c:v>
                </c:pt>
                <c:pt idx="34">
                  <c:v>837.23169010433878</c:v>
                </c:pt>
                <c:pt idx="35">
                  <c:v>837.23169010433878</c:v>
                </c:pt>
                <c:pt idx="36">
                  <c:v>837.23169010433878</c:v>
                </c:pt>
                <c:pt idx="37">
                  <c:v>837.23169010433878</c:v>
                </c:pt>
                <c:pt idx="38">
                  <c:v>837.23169010433878</c:v>
                </c:pt>
                <c:pt idx="39">
                  <c:v>837.23169010433878</c:v>
                </c:pt>
                <c:pt idx="40">
                  <c:v>837.23169010433878</c:v>
                </c:pt>
                <c:pt idx="41">
                  <c:v>837.23169010433878</c:v>
                </c:pt>
                <c:pt idx="42">
                  <c:v>837.23169010433878</c:v>
                </c:pt>
                <c:pt idx="43">
                  <c:v>837.23169010433878</c:v>
                </c:pt>
                <c:pt idx="44">
                  <c:v>837.23169010433878</c:v>
                </c:pt>
                <c:pt idx="45">
                  <c:v>837.23169010433878</c:v>
                </c:pt>
                <c:pt idx="46">
                  <c:v>837.23169010433878</c:v>
                </c:pt>
                <c:pt idx="47">
                  <c:v>837.23169010433878</c:v>
                </c:pt>
                <c:pt idx="48">
                  <c:v>837.23169010433878</c:v>
                </c:pt>
                <c:pt idx="49">
                  <c:v>837.23169010433878</c:v>
                </c:pt>
                <c:pt idx="50">
                  <c:v>837.23169010433878</c:v>
                </c:pt>
                <c:pt idx="51">
                  <c:v>837.23169010433878</c:v>
                </c:pt>
                <c:pt idx="52">
                  <c:v>837.23169010433878</c:v>
                </c:pt>
                <c:pt idx="53">
                  <c:v>837.23169010433878</c:v>
                </c:pt>
                <c:pt idx="54">
                  <c:v>837.23169010433878</c:v>
                </c:pt>
                <c:pt idx="55">
                  <c:v>837.23169010433878</c:v>
                </c:pt>
                <c:pt idx="56">
                  <c:v>837.23169010433878</c:v>
                </c:pt>
                <c:pt idx="57">
                  <c:v>837.23169010433878</c:v>
                </c:pt>
                <c:pt idx="58">
                  <c:v>837.23169010433878</c:v>
                </c:pt>
                <c:pt idx="59">
                  <c:v>837.23169010433878</c:v>
                </c:pt>
                <c:pt idx="60">
                  <c:v>939.09511221108937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DA-45D2-9B08-CA4C5B3DD567}"/>
            </c:ext>
          </c:extLst>
        </c:ser>
        <c:ser>
          <c:idx val="7"/>
          <c:order val="7"/>
          <c:tx>
            <c:strRef>
              <c:f>Graphes!$AB$52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Graphes!$AB$53:$AB$113</c:f>
              <c:numCache>
                <c:formatCode>0.00</c:formatCode>
                <c:ptCount val="61"/>
                <c:pt idx="0">
                  <c:v>340.27472095034278</c:v>
                </c:pt>
                <c:pt idx="1">
                  <c:v>340.27472095034278</c:v>
                </c:pt>
                <c:pt idx="2">
                  <c:v>340.27472095034278</c:v>
                </c:pt>
                <c:pt idx="3">
                  <c:v>340.27472095034278</c:v>
                </c:pt>
                <c:pt idx="4">
                  <c:v>340.27472095034278</c:v>
                </c:pt>
                <c:pt idx="5">
                  <c:v>340.27472095034278</c:v>
                </c:pt>
                <c:pt idx="6">
                  <c:v>340.27472095034278</c:v>
                </c:pt>
                <c:pt idx="7">
                  <c:v>340.27472095034278</c:v>
                </c:pt>
                <c:pt idx="8">
                  <c:v>340.27472095034278</c:v>
                </c:pt>
                <c:pt idx="9">
                  <c:v>340.27472095034278</c:v>
                </c:pt>
                <c:pt idx="10">
                  <c:v>340.27472095034278</c:v>
                </c:pt>
                <c:pt idx="11">
                  <c:v>340.27472095034278</c:v>
                </c:pt>
                <c:pt idx="12">
                  <c:v>340.27472095034278</c:v>
                </c:pt>
                <c:pt idx="13">
                  <c:v>340.27472095034278</c:v>
                </c:pt>
                <c:pt idx="14">
                  <c:v>340.27472095034278</c:v>
                </c:pt>
                <c:pt idx="15">
                  <c:v>340.27472095034278</c:v>
                </c:pt>
                <c:pt idx="16">
                  <c:v>340.27472095034278</c:v>
                </c:pt>
                <c:pt idx="17">
                  <c:v>340.27472095034278</c:v>
                </c:pt>
                <c:pt idx="18">
                  <c:v>340.27472095034278</c:v>
                </c:pt>
                <c:pt idx="19">
                  <c:v>340.27472095034278</c:v>
                </c:pt>
                <c:pt idx="20">
                  <c:v>340.27472095034278</c:v>
                </c:pt>
                <c:pt idx="21">
                  <c:v>340.27472095034278</c:v>
                </c:pt>
                <c:pt idx="22">
                  <c:v>340.27472095034278</c:v>
                </c:pt>
                <c:pt idx="23">
                  <c:v>340.27472095034278</c:v>
                </c:pt>
                <c:pt idx="24">
                  <c:v>340.27472095034278</c:v>
                </c:pt>
                <c:pt idx="25">
                  <c:v>340.27472095034278</c:v>
                </c:pt>
                <c:pt idx="26">
                  <c:v>340.27472095034278</c:v>
                </c:pt>
                <c:pt idx="27">
                  <c:v>340.27472095034278</c:v>
                </c:pt>
                <c:pt idx="28">
                  <c:v>340.27472095034278</c:v>
                </c:pt>
                <c:pt idx="29">
                  <c:v>340.27472095034278</c:v>
                </c:pt>
                <c:pt idx="30">
                  <c:v>600.10063699400257</c:v>
                </c:pt>
                <c:pt idx="31">
                  <c:v>600.10063699400257</c:v>
                </c:pt>
                <c:pt idx="32">
                  <c:v>600.10063699400257</c:v>
                </c:pt>
                <c:pt idx="33">
                  <c:v>600.10063699400257</c:v>
                </c:pt>
                <c:pt idx="34">
                  <c:v>600.10063699400257</c:v>
                </c:pt>
                <c:pt idx="35">
                  <c:v>600.10063699400257</c:v>
                </c:pt>
                <c:pt idx="36">
                  <c:v>600.10063699400257</c:v>
                </c:pt>
                <c:pt idx="37">
                  <c:v>600.10063699400257</c:v>
                </c:pt>
                <c:pt idx="38">
                  <c:v>600.10063699400257</c:v>
                </c:pt>
                <c:pt idx="39">
                  <c:v>600.10063699400257</c:v>
                </c:pt>
                <c:pt idx="40">
                  <c:v>600.10063699400257</c:v>
                </c:pt>
                <c:pt idx="41">
                  <c:v>600.10063699400257</c:v>
                </c:pt>
                <c:pt idx="42">
                  <c:v>600.10063699400257</c:v>
                </c:pt>
                <c:pt idx="43">
                  <c:v>600.10063699400257</c:v>
                </c:pt>
                <c:pt idx="44">
                  <c:v>600.10063699400257</c:v>
                </c:pt>
                <c:pt idx="45">
                  <c:v>600.10063699400257</c:v>
                </c:pt>
                <c:pt idx="46">
                  <c:v>600.10063699400257</c:v>
                </c:pt>
                <c:pt idx="47">
                  <c:v>600.10063699400257</c:v>
                </c:pt>
                <c:pt idx="48">
                  <c:v>600.10063699400257</c:v>
                </c:pt>
                <c:pt idx="49">
                  <c:v>600.10063699400257</c:v>
                </c:pt>
                <c:pt idx="50">
                  <c:v>600.10063699400257</c:v>
                </c:pt>
                <c:pt idx="51">
                  <c:v>600.10063699400257</c:v>
                </c:pt>
                <c:pt idx="52">
                  <c:v>600.10063699400257</c:v>
                </c:pt>
                <c:pt idx="53">
                  <c:v>600.10063699400257</c:v>
                </c:pt>
                <c:pt idx="54">
                  <c:v>600.10063699400257</c:v>
                </c:pt>
                <c:pt idx="55">
                  <c:v>600.10063699400257</c:v>
                </c:pt>
                <c:pt idx="56">
                  <c:v>600.10063699400257</c:v>
                </c:pt>
                <c:pt idx="57">
                  <c:v>600.10063699400257</c:v>
                </c:pt>
                <c:pt idx="58">
                  <c:v>600.10063699400257</c:v>
                </c:pt>
                <c:pt idx="59">
                  <c:v>600.10063699400257</c:v>
                </c:pt>
                <c:pt idx="60">
                  <c:v>853.42058109225104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DDA-45D2-9B08-CA4C5B3DD567}"/>
            </c:ext>
          </c:extLst>
        </c:ser>
        <c:ser>
          <c:idx val="8"/>
          <c:order val="8"/>
          <c:tx>
            <c:strRef>
              <c:f>Graphes!$AH$52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Graphes!$AH$53:$AH$113</c:f>
              <c:numCache>
                <c:formatCode>0.00</c:formatCode>
                <c:ptCount val="61"/>
                <c:pt idx="0">
                  <c:v>-86.736877822022279</c:v>
                </c:pt>
                <c:pt idx="1">
                  <c:v>-86.736877822022279</c:v>
                </c:pt>
                <c:pt idx="2">
                  <c:v>-86.736877822022279</c:v>
                </c:pt>
                <c:pt idx="3">
                  <c:v>-86.736877822022279</c:v>
                </c:pt>
                <c:pt idx="4">
                  <c:v>-86.736877822022279</c:v>
                </c:pt>
                <c:pt idx="5">
                  <c:v>-86.736877822022279</c:v>
                </c:pt>
                <c:pt idx="6">
                  <c:v>-86.736877822022279</c:v>
                </c:pt>
                <c:pt idx="7">
                  <c:v>-86.736877822022279</c:v>
                </c:pt>
                <c:pt idx="8">
                  <c:v>-86.736877822022279</c:v>
                </c:pt>
                <c:pt idx="9">
                  <c:v>-86.736877822022279</c:v>
                </c:pt>
                <c:pt idx="10">
                  <c:v>-86.736877822022279</c:v>
                </c:pt>
                <c:pt idx="11">
                  <c:v>-86.736877822022279</c:v>
                </c:pt>
                <c:pt idx="12">
                  <c:v>-86.736877822022279</c:v>
                </c:pt>
                <c:pt idx="13">
                  <c:v>-86.736877822022279</c:v>
                </c:pt>
                <c:pt idx="14">
                  <c:v>-86.736877822022279</c:v>
                </c:pt>
                <c:pt idx="15">
                  <c:v>-86.736877822022279</c:v>
                </c:pt>
                <c:pt idx="16">
                  <c:v>-86.736877822022279</c:v>
                </c:pt>
                <c:pt idx="17">
                  <c:v>-86.736877822022279</c:v>
                </c:pt>
                <c:pt idx="18">
                  <c:v>-86.736877822022279</c:v>
                </c:pt>
                <c:pt idx="19">
                  <c:v>-86.736877822022279</c:v>
                </c:pt>
                <c:pt idx="20">
                  <c:v>-86.736877822022279</c:v>
                </c:pt>
                <c:pt idx="21">
                  <c:v>-86.736877822022279</c:v>
                </c:pt>
                <c:pt idx="22">
                  <c:v>-86.736877822022279</c:v>
                </c:pt>
                <c:pt idx="23">
                  <c:v>-86.736877822022279</c:v>
                </c:pt>
                <c:pt idx="24">
                  <c:v>-86.736877822022279</c:v>
                </c:pt>
                <c:pt idx="25">
                  <c:v>-86.736877822022279</c:v>
                </c:pt>
                <c:pt idx="26">
                  <c:v>-86.736877822022279</c:v>
                </c:pt>
                <c:pt idx="27">
                  <c:v>-86.736877822022279</c:v>
                </c:pt>
                <c:pt idx="28">
                  <c:v>-86.736877822022279</c:v>
                </c:pt>
                <c:pt idx="29">
                  <c:v>-86.736877822022279</c:v>
                </c:pt>
                <c:pt idx="30">
                  <c:v>101.90175091493722</c:v>
                </c:pt>
                <c:pt idx="31">
                  <c:v>101.90175091493722</c:v>
                </c:pt>
                <c:pt idx="32">
                  <c:v>101.90175091493722</c:v>
                </c:pt>
                <c:pt idx="33">
                  <c:v>101.90175091493722</c:v>
                </c:pt>
                <c:pt idx="34">
                  <c:v>101.90175091493722</c:v>
                </c:pt>
                <c:pt idx="35">
                  <c:v>101.90175091493722</c:v>
                </c:pt>
                <c:pt idx="36">
                  <c:v>101.90175091493722</c:v>
                </c:pt>
                <c:pt idx="37">
                  <c:v>101.90175091493722</c:v>
                </c:pt>
                <c:pt idx="38">
                  <c:v>101.90175091493722</c:v>
                </c:pt>
                <c:pt idx="39">
                  <c:v>101.90175091493722</c:v>
                </c:pt>
                <c:pt idx="40">
                  <c:v>101.90175091493722</c:v>
                </c:pt>
                <c:pt idx="41">
                  <c:v>101.90175091493722</c:v>
                </c:pt>
                <c:pt idx="42">
                  <c:v>101.90175091493722</c:v>
                </c:pt>
                <c:pt idx="43">
                  <c:v>101.90175091493722</c:v>
                </c:pt>
                <c:pt idx="44">
                  <c:v>101.90175091493722</c:v>
                </c:pt>
                <c:pt idx="45">
                  <c:v>101.90175091493722</c:v>
                </c:pt>
                <c:pt idx="46">
                  <c:v>101.90175091493722</c:v>
                </c:pt>
                <c:pt idx="47">
                  <c:v>101.90175091493722</c:v>
                </c:pt>
                <c:pt idx="48">
                  <c:v>101.90175091493722</c:v>
                </c:pt>
                <c:pt idx="49">
                  <c:v>101.90175091493722</c:v>
                </c:pt>
                <c:pt idx="50">
                  <c:v>101.90175091493722</c:v>
                </c:pt>
                <c:pt idx="51">
                  <c:v>101.90175091493722</c:v>
                </c:pt>
                <c:pt idx="52">
                  <c:v>101.90175091493722</c:v>
                </c:pt>
                <c:pt idx="53">
                  <c:v>101.90175091493722</c:v>
                </c:pt>
                <c:pt idx="54">
                  <c:v>101.90175091493722</c:v>
                </c:pt>
                <c:pt idx="55">
                  <c:v>101.90175091493722</c:v>
                </c:pt>
                <c:pt idx="56">
                  <c:v>101.90175091493722</c:v>
                </c:pt>
                <c:pt idx="57">
                  <c:v>101.90175091493722</c:v>
                </c:pt>
                <c:pt idx="58">
                  <c:v>101.90175091493722</c:v>
                </c:pt>
                <c:pt idx="59">
                  <c:v>101.90175091493722</c:v>
                </c:pt>
                <c:pt idx="60">
                  <c:v>650.76615659936988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DDA-45D2-9B08-CA4C5B3DD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662671"/>
        <c:axId val="1902663503"/>
      </c:lineChart>
      <c:catAx>
        <c:axId val="19026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2663503"/>
        <c:crosses val="autoZero"/>
        <c:auto val="1"/>
        <c:lblAlgn val="ctr"/>
        <c:lblOffset val="100"/>
        <c:noMultiLvlLbl val="0"/>
      </c:catAx>
      <c:valAx>
        <c:axId val="190266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26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Graphes!$A$34</c:f>
              <c:strCache>
                <c:ptCount val="1"/>
                <c:pt idx="0">
                  <c:v>0/0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1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(Graphes!$C$34:$O$34,Graphes!$C$36:$O$36,Graphes!$C$38:$O$38,Graphes!$C$48:$O$48)</c:f>
              <c:numCache>
                <c:formatCode>0.00</c:formatCode>
                <c:ptCount val="52"/>
                <c:pt idx="0">
                  <c:v>614.60369066281544</c:v>
                </c:pt>
                <c:pt idx="6">
                  <c:v>521.56293818255449</c:v>
                </c:pt>
                <c:pt idx="12">
                  <c:v>404.10271683491567</c:v>
                </c:pt>
                <c:pt idx="13">
                  <c:v>235.63192129822312</c:v>
                </c:pt>
                <c:pt idx="19">
                  <c:v>259.8259160436599</c:v>
                </c:pt>
                <c:pt idx="25">
                  <c:v>188.63862873695948</c:v>
                </c:pt>
                <c:pt idx="26">
                  <c:v>88.859500250050758</c:v>
                </c:pt>
                <c:pt idx="32">
                  <c:v>72.031726866036664</c:v>
                </c:pt>
                <c:pt idx="38">
                  <c:v>58.024811027494707</c:v>
                </c:pt>
                <c:pt idx="39">
                  <c:v>939.09511221108937</c:v>
                </c:pt>
                <c:pt idx="45">
                  <c:v>853.42058109225104</c:v>
                </c:pt>
                <c:pt idx="51">
                  <c:v>650.76615659936988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22-4521-A3FA-4EC30B94C58C}"/>
            </c:ext>
          </c:extLst>
        </c:ser>
        <c:ser>
          <c:idx val="1"/>
          <c:order val="1"/>
          <c:tx>
            <c:strRef>
              <c:f>Graphes!$A$36</c:f>
              <c:strCache>
                <c:ptCount val="1"/>
                <c:pt idx="0">
                  <c:v>GWPbio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(Graphes!$C$40:$O$40,Graphes!$C$42:$O$42,Graphes!$C$45:$O$45,Graphes!$C$49:$O$49)</c:f>
              <c:numCache>
                <c:formatCode>0.00</c:formatCode>
                <c:ptCount val="52"/>
                <c:pt idx="0">
                  <c:v>601.59976880611566</c:v>
                </c:pt>
                <c:pt idx="6">
                  <c:v>340.27472095034278</c:v>
                </c:pt>
                <c:pt idx="12">
                  <c:v>-86.736877822022279</c:v>
                </c:pt>
                <c:pt idx="13">
                  <c:v>235.71393997147305</c:v>
                </c:pt>
                <c:pt idx="19">
                  <c:v>259.74035544758704</c:v>
                </c:pt>
                <c:pt idx="25">
                  <c:v>145.70367519815926</c:v>
                </c:pt>
                <c:pt idx="26">
                  <c:v>88.886349065918267</c:v>
                </c:pt>
                <c:pt idx="32">
                  <c:v>50.574205792110348</c:v>
                </c:pt>
                <c:pt idx="38">
                  <c:v>-44.730987703116213</c:v>
                </c:pt>
                <c:pt idx="39">
                  <c:v>926.20005784350701</c:v>
                </c:pt>
                <c:pt idx="45">
                  <c:v>650.58928219004008</c:v>
                </c:pt>
                <c:pt idx="51">
                  <c:v>14.235809673020768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22-4521-A3FA-4EC30B94C58C}"/>
            </c:ext>
          </c:extLst>
        </c:ser>
        <c:ser>
          <c:idx val="2"/>
          <c:order val="2"/>
          <c:tx>
            <c:strRef>
              <c:f>Graphes!$A$38</c:f>
              <c:strCache>
                <c:ptCount val="1"/>
                <c:pt idx="0">
                  <c:v>-1/+1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(Graphes!$C$41:$O$41,Graphes!$C$43:$O$43,Graphes!$C$46:$O$46,Graphes!$C$50:$O$50)</c:f>
              <c:numCache>
                <c:formatCode>0.00</c:formatCode>
                <c:ptCount val="52"/>
                <c:pt idx="0">
                  <c:v>601.59976880611566</c:v>
                </c:pt>
                <c:pt idx="6">
                  <c:v>340.27472095034278</c:v>
                </c:pt>
                <c:pt idx="12">
                  <c:v>-86.736877822022279</c:v>
                </c:pt>
                <c:pt idx="13">
                  <c:v>235.63192129822312</c:v>
                </c:pt>
                <c:pt idx="19">
                  <c:v>259.8259160436599</c:v>
                </c:pt>
                <c:pt idx="25">
                  <c:v>188.63862873695948</c:v>
                </c:pt>
                <c:pt idx="26">
                  <c:v>101.86342210675052</c:v>
                </c:pt>
                <c:pt idx="32">
                  <c:v>253.31994409824836</c:v>
                </c:pt>
                <c:pt idx="38">
                  <c:v>548.86440568443265</c:v>
                </c:pt>
                <c:pt idx="39">
                  <c:v>939.09511221108926</c:v>
                </c:pt>
                <c:pt idx="45">
                  <c:v>853.42058109225104</c:v>
                </c:pt>
                <c:pt idx="51">
                  <c:v>650.76615659936988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22-4521-A3FA-4EC30B94C58C}"/>
            </c:ext>
          </c:extLst>
        </c:ser>
        <c:ser>
          <c:idx val="3"/>
          <c:order val="3"/>
          <c:tx>
            <c:strRef>
              <c:f>Graphes!$A$39</c:f>
              <c:strCache>
                <c:ptCount val="1"/>
                <c:pt idx="0">
                  <c:v>-1/+0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noFill/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yVal>
            <c:numRef>
              <c:f>(Graphes!$C$41:$O$41,Graphes!$C$44:$O$44,Graphes!$C$47:$O$47,Graphes!$C$51:$O$51)</c:f>
              <c:numCache>
                <c:formatCode>0.00</c:formatCode>
                <c:ptCount val="52"/>
                <c:pt idx="0">
                  <c:v>601.59976880611566</c:v>
                </c:pt>
                <c:pt idx="6">
                  <c:v>340.27472095034278</c:v>
                </c:pt>
                <c:pt idx="12">
                  <c:v>-86.736877822022279</c:v>
                </c:pt>
                <c:pt idx="13">
                  <c:v>222.62799944152337</c:v>
                </c:pt>
                <c:pt idx="19">
                  <c:v>160.73754680319217</c:v>
                </c:pt>
                <c:pt idx="25">
                  <c:v>-68.435288757616462</c:v>
                </c:pt>
                <c:pt idx="26">
                  <c:v>88.859500250050758</c:v>
                </c:pt>
                <c:pt idx="32">
                  <c:v>72.031726866036664</c:v>
                </c:pt>
                <c:pt idx="38">
                  <c:v>58.024811027494707</c:v>
                </c:pt>
                <c:pt idx="39">
                  <c:v>913.08726849768982</c:v>
                </c:pt>
                <c:pt idx="45">
                  <c:v>573.04399461957166</c:v>
                </c:pt>
                <c:pt idx="51">
                  <c:v>-97.147355552144035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8E-453E-8B3E-779314305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28448"/>
        <c:axId val="1384326048"/>
      </c:scatterChart>
      <c:valAx>
        <c:axId val="13843284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384326048"/>
        <c:crosses val="autoZero"/>
        <c:crossBetween val="midCat"/>
      </c:valAx>
      <c:valAx>
        <c:axId val="13843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8432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9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Graphes!$U$5:$W$5</c:f>
              <c:numCache>
                <c:formatCode>0%</c:formatCode>
                <c:ptCount val="3"/>
                <c:pt idx="0">
                  <c:v>1.7074882955223022E-3</c:v>
                </c:pt>
                <c:pt idx="1">
                  <c:v>1.7644365395241969E-3</c:v>
                </c:pt>
                <c:pt idx="2">
                  <c:v>2.2122471741791942E-3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7-4340-8322-1575E0AE01B8}"/>
            </c:ext>
          </c:extLst>
        </c:ser>
        <c:ser>
          <c:idx val="10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Graphes!$U$6:$W$6</c:f>
              <c:numCache>
                <c:formatCode>0%</c:formatCode>
                <c:ptCount val="3"/>
                <c:pt idx="0">
                  <c:v>7.4073026918497362E-2</c:v>
                </c:pt>
                <c:pt idx="1">
                  <c:v>8.9154823705768688E-2</c:v>
                </c:pt>
                <c:pt idx="2">
                  <c:v>9.6941683706109616E-2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7-4340-8322-1575E0AE01B8}"/>
            </c:ext>
          </c:extLst>
        </c:ser>
        <c:ser>
          <c:idx val="11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Graphes!$U$7:$W$7</c:f>
              <c:numCache>
                <c:formatCode>0%</c:formatCode>
                <c:ptCount val="3"/>
                <c:pt idx="0">
                  <c:v>3.3181289961264397E-2</c:v>
                </c:pt>
                <c:pt idx="1">
                  <c:v>4.9336456302857261E-2</c:v>
                </c:pt>
                <c:pt idx="2">
                  <c:v>4.076697676355396E-2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7-4340-8322-1575E0AE01B8}"/>
            </c:ext>
          </c:extLst>
        </c:ser>
        <c:ser>
          <c:idx val="12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Graphes!$U$8:$W$8</c:f>
              <c:numCache>
                <c:formatCode>0%</c:formatCode>
                <c:ptCount val="3"/>
                <c:pt idx="0">
                  <c:v>4.6172318120355722E-2</c:v>
                </c:pt>
                <c:pt idx="1">
                  <c:v>5.648468322801057E-2</c:v>
                </c:pt>
                <c:pt idx="2">
                  <c:v>6.0229320808506299E-2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D7-4340-8322-1575E0AE01B8}"/>
            </c:ext>
          </c:extLst>
        </c:ser>
        <c:ser>
          <c:idx val="0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Graphes!$U$9:$W$9</c:f>
              <c:numCache>
                <c:formatCode>0%</c:formatCode>
                <c:ptCount val="3"/>
                <c:pt idx="0">
                  <c:v>7.0651876213536829E-2</c:v>
                </c:pt>
                <c:pt idx="1">
                  <c:v>1.7077467316830488E-2</c:v>
                </c:pt>
                <c:pt idx="2">
                  <c:v>4.2310341494308977E-2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E-41D0-8C68-09A2F25452A3}"/>
            </c:ext>
          </c:extLst>
        </c:ser>
        <c:ser>
          <c:idx val="1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Graphes!$U$10:$W$10</c:f>
              <c:numCache>
                <c:formatCode>0%</c:formatCode>
                <c:ptCount val="3"/>
                <c:pt idx="0">
                  <c:v>5.4859177268448751E-2</c:v>
                </c:pt>
                <c:pt idx="1">
                  <c:v>4.3967311145067203E-2</c:v>
                </c:pt>
                <c:pt idx="2">
                  <c:v>3.1763222008005701E-2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E-41D0-8C68-09A2F25452A3}"/>
            </c:ext>
          </c:extLst>
        </c:ser>
        <c:ser>
          <c:idx val="2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Graphes!$U$11:$W$11</c:f>
              <c:numCache>
                <c:formatCode>0%</c:formatCode>
                <c:ptCount val="3"/>
                <c:pt idx="0">
                  <c:v>7.6494709701739494E-2</c:v>
                </c:pt>
                <c:pt idx="1">
                  <c:v>8.111351747217585E-2</c:v>
                </c:pt>
                <c:pt idx="2">
                  <c:v>6.1214771479057961E-2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9E-41D0-8C68-09A2F25452A3}"/>
            </c:ext>
          </c:extLst>
        </c:ser>
        <c:ser>
          <c:idx val="3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Graphes!$U$12:$W$12</c:f>
              <c:numCache>
                <c:formatCode>0%</c:formatCode>
                <c:ptCount val="3"/>
                <c:pt idx="0">
                  <c:v>3.9216392084146325E-2</c:v>
                </c:pt>
                <c:pt idx="1">
                  <c:v>2.9432174765901945E-3</c:v>
                </c:pt>
                <c:pt idx="2">
                  <c:v>2.323217847123956E-2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9E-41D0-8C68-09A2F25452A3}"/>
            </c:ext>
          </c:extLst>
        </c:ser>
        <c:ser>
          <c:idx val="4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Graphes!$U$13:$W$13</c:f>
              <c:numCache>
                <c:formatCode>0%</c:formatCode>
                <c:ptCount val="3"/>
                <c:pt idx="0">
                  <c:v>6.214504767592384E-2</c:v>
                </c:pt>
                <c:pt idx="1">
                  <c:v>7.0744413924218541E-2</c:v>
                </c:pt>
                <c:pt idx="2">
                  <c:v>7.5452956596173293E-2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9E-41D0-8C68-09A2F25452A3}"/>
            </c:ext>
          </c:extLst>
        </c:ser>
        <c:ser>
          <c:idx val="5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Graphes!$U$14:$W$14</c:f>
              <c:numCache>
                <c:formatCode>0%</c:formatCode>
                <c:ptCount val="3"/>
                <c:pt idx="0">
                  <c:v>0.10915362910880094</c:v>
                </c:pt>
                <c:pt idx="1">
                  <c:v>0.12261227644457844</c:v>
                </c:pt>
                <c:pt idx="2">
                  <c:v>8.6744470369267551E-2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9E-41D0-8C68-09A2F25452A3}"/>
            </c:ext>
          </c:extLst>
        </c:ser>
        <c:ser>
          <c:idx val="6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Graphes!$U$15:$W$15</c:f>
              <c:numCache>
                <c:formatCode>0%</c:formatCode>
                <c:ptCount val="3"/>
                <c:pt idx="0">
                  <c:v>0.11629888947922691</c:v>
                </c:pt>
                <c:pt idx="1">
                  <c:v>0.10994421463245276</c:v>
                </c:pt>
                <c:pt idx="2">
                  <c:v>5.4793012732044753E-2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9E-41D0-8C68-09A2F25452A3}"/>
            </c:ext>
          </c:extLst>
        </c:ser>
        <c:ser>
          <c:idx val="7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Graphes!$U$16:$W$16</c:f>
              <c:numCache>
                <c:formatCode>0%</c:formatCode>
                <c:ptCount val="3"/>
                <c:pt idx="0">
                  <c:v>8.5455522702507114E-2</c:v>
                </c:pt>
                <c:pt idx="1">
                  <c:v>0.11671460383141516</c:v>
                </c:pt>
                <c:pt idx="2">
                  <c:v>0.12312446395984494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9E-41D0-8C68-09A2F25452A3}"/>
            </c:ext>
          </c:extLst>
        </c:ser>
        <c:ser>
          <c:idx val="8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Graphes!$C$4:$O$4</c:f>
              <c:strCache>
                <c:ptCount val="13"/>
                <c:pt idx="0">
                  <c:v>Standard</c:v>
                </c:pt>
                <c:pt idx="6">
                  <c:v>Realistic</c:v>
                </c:pt>
                <c:pt idx="12">
                  <c:v>Advanced</c:v>
                </c:pt>
              </c:strCache>
            </c:strRef>
          </c:cat>
          <c:val>
            <c:numRef>
              <c:f>Graphes!$U$17:$W$17</c:f>
              <c:numCache>
                <c:formatCode>0%</c:formatCode>
                <c:ptCount val="3"/>
                <c:pt idx="0">
                  <c:v>1.7132334677643548E-2</c:v>
                </c:pt>
                <c:pt idx="1">
                  <c:v>1.5851130284624006E-2</c:v>
                </c:pt>
                <c:pt idx="2">
                  <c:v>1.2836929464320726E-2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9E-41D0-8C68-09A2F25452A3}"/>
            </c:ext>
          </c:extLst>
        </c:ser>
        <c:ser>
          <c:idx val="13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Graphes!$U$18:$W$18</c:f>
              <c:numCache>
                <c:formatCode>0%</c:formatCode>
                <c:ptCount val="3"/>
                <c:pt idx="0">
                  <c:v>7.5802617295420401E-3</c:v>
                </c:pt>
                <c:pt idx="1">
                  <c:v>8.3097523447743498E-3</c:v>
                </c:pt>
                <c:pt idx="2">
                  <c:v>1.0418751670044911E-2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D7-4340-8322-1575E0AE01B8}"/>
            </c:ext>
          </c:extLst>
        </c:ser>
        <c:ser>
          <c:idx val="14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Graphes!$U$19:$W$19</c:f>
              <c:numCache>
                <c:formatCode>0%</c:formatCode>
                <c:ptCount val="3"/>
                <c:pt idx="0">
                  <c:v>0.20587803606284441</c:v>
                </c:pt>
                <c:pt idx="1">
                  <c:v>0.21398169535111231</c:v>
                </c:pt>
                <c:pt idx="2">
                  <c:v>0.27795867330334256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D7-4340-8322-1575E0AE0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018543"/>
        <c:axId val="390014703"/>
      </c:barChart>
      <c:catAx>
        <c:axId val="3900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0014703"/>
        <c:crosses val="autoZero"/>
        <c:auto val="1"/>
        <c:lblAlgn val="ctr"/>
        <c:lblOffset val="100"/>
        <c:noMultiLvlLbl val="0"/>
      </c:catAx>
      <c:valAx>
        <c:axId val="390014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001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Graphes!$X$5:$Z$5</c:f>
              <c:numCache>
                <c:formatCode>0.00</c:formatCode>
                <c:ptCount val="3"/>
                <c:pt idx="0">
                  <c:v>3.1499755131116164E-2</c:v>
                </c:pt>
                <c:pt idx="1">
                  <c:v>3.118115510896631E-2</c:v>
                </c:pt>
                <c:pt idx="2">
                  <c:v>2.9331951411633018E-2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7-4396-959D-D6C8CA89CD18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Graphes!$X$6:$Z$6</c:f>
              <c:numCache>
                <c:formatCode>0.00</c:formatCode>
                <c:ptCount val="3"/>
                <c:pt idx="0">
                  <c:v>1.3664996801863973</c:v>
                </c:pt>
                <c:pt idx="1">
                  <c:v>1.5755456908820136</c:v>
                </c:pt>
                <c:pt idx="2">
                  <c:v>1.2853395359334192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87-4396-959D-D6C8CA89CD18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Graphes!$X$7:$Z$7</c:f>
              <c:numCache>
                <c:formatCode>0.00</c:formatCode>
                <c:ptCount val="3"/>
                <c:pt idx="0">
                  <c:v>0.61212865204131606</c:v>
                </c:pt>
                <c:pt idx="1">
                  <c:v>0.87187476684254783</c:v>
                </c:pt>
                <c:pt idx="2">
                  <c:v>0.54052503516990724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87-4396-959D-D6C8CA89CD18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Graphes!$X$8:$Z$8</c:f>
              <c:numCache>
                <c:formatCode>0.00</c:formatCode>
                <c:ptCount val="3"/>
                <c:pt idx="0">
                  <c:v>0.85178722363207326</c:v>
                </c:pt>
                <c:pt idx="1">
                  <c:v>0.99819836506467463</c:v>
                </c:pt>
                <c:pt idx="2">
                  <c:v>0.79857419737296687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87-4396-959D-D6C8CA89CD18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Graphes!$X$9:$Z$9</c:f>
              <c:numCache>
                <c:formatCode>0.00</c:formatCode>
                <c:ptCount val="3"/>
                <c:pt idx="0">
                  <c:v>1.3033862698306691</c:v>
                </c:pt>
                <c:pt idx="1">
                  <c:v>0.30179331777950391</c:v>
                </c:pt>
                <c:pt idx="2">
                  <c:v>0.56098834497602357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87-4396-959D-D6C8CA89CD18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Graphes!$X$10:$Z$10</c:f>
              <c:numCache>
                <c:formatCode>0.00</c:formatCode>
                <c:ptCount val="3"/>
                <c:pt idx="0">
                  <c:v>1.0120424574401183</c:v>
                </c:pt>
                <c:pt idx="1">
                  <c:v>0.77699113446620105</c:v>
                </c:pt>
                <c:pt idx="2">
                  <c:v>0.42114520271063932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87-4396-959D-D6C8CA89CD18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Graphes!$X$11:$Z$11</c:f>
              <c:numCache>
                <c:formatCode>0.00</c:formatCode>
                <c:ptCount val="3"/>
                <c:pt idx="0">
                  <c:v>1.4111748998510998</c:v>
                </c:pt>
                <c:pt idx="1">
                  <c:v>1.4334395786293335</c:v>
                </c:pt>
                <c:pt idx="2">
                  <c:v>0.81164018363551327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87-4396-959D-D6C8CA89CD18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Graphes!$X$12:$Z$12</c:f>
              <c:numCache>
                <c:formatCode>0.00</c:formatCode>
                <c:ptCount val="3"/>
                <c:pt idx="0">
                  <c:v>0.72346425507917422</c:v>
                </c:pt>
                <c:pt idx="1">
                  <c:v>5.2012593596439033E-2</c:v>
                </c:pt>
                <c:pt idx="2">
                  <c:v>0.30803299832787473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87-4396-959D-D6C8CA89CD18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Graphes!$X$13:$Z$13</c:f>
              <c:numCache>
                <c:formatCode>0.00</c:formatCode>
                <c:ptCount val="3"/>
                <c:pt idx="0">
                  <c:v>1.1464522418903877</c:v>
                </c:pt>
                <c:pt idx="1">
                  <c:v>1.250196589251559</c:v>
                </c:pt>
                <c:pt idx="2">
                  <c:v>1.0004227748936612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87-4396-959D-D6C8CA89CD18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Graphes!$X$14:$Z$14</c:f>
              <c:numCache>
                <c:formatCode>0.00</c:formatCode>
                <c:ptCount val="3"/>
                <c:pt idx="0">
                  <c:v>2.013666856526334</c:v>
                </c:pt>
                <c:pt idx="1">
                  <c:v>2.166806413515348</c:v>
                </c:pt>
                <c:pt idx="2">
                  <c:v>1.1501357623129222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87-4396-959D-D6C8CA89CD18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Graphes!$X$15:$Z$15</c:f>
              <c:numCache>
                <c:formatCode>0.00</c:formatCode>
                <c:ptCount val="3"/>
                <c:pt idx="0">
                  <c:v>2.1454826661027266</c:v>
                </c:pt>
                <c:pt idx="1">
                  <c:v>1.9429361912400931</c:v>
                </c:pt>
                <c:pt idx="2">
                  <c:v>0.72649476329408669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87-4396-959D-D6C8CA89CD18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Graphes!$X$16:$Z$16</c:f>
              <c:numCache>
                <c:formatCode>0.00</c:formatCode>
                <c:ptCount val="3"/>
                <c:pt idx="0">
                  <c:v>1.5764840361070298</c:v>
                </c:pt>
                <c:pt idx="1">
                  <c:v>2.0625826341877351</c:v>
                </c:pt>
                <c:pt idx="2">
                  <c:v>1.6324942513684044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87-4396-959D-D6C8CA89CD18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Graphes!$X$17:$Z$17</c:f>
              <c:numCache>
                <c:formatCode>0.00</c:formatCode>
                <c:ptCount val="3"/>
                <c:pt idx="0">
                  <c:v>0.31605742105835299</c:v>
                </c:pt>
                <c:pt idx="1">
                  <c:v>0.28012146710052666</c:v>
                </c:pt>
                <c:pt idx="2">
                  <c:v>0.17020349069344831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87-4396-959D-D6C8CA89CD18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Graphes!$X$18:$Z$18</c:f>
              <c:numCache>
                <c:formatCode>0.00</c:formatCode>
                <c:ptCount val="3"/>
                <c:pt idx="0">
                  <c:v>0.13984071746582968</c:v>
                </c:pt>
                <c:pt idx="1">
                  <c:v>0.146850096886668</c:v>
                </c:pt>
                <c:pt idx="2">
                  <c:v>0.13814112696019815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787-4396-959D-D6C8CA89CD18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Graphes!$X$19:$Z$19</c:f>
              <c:numCache>
                <c:formatCode>0.00</c:formatCode>
                <c:ptCount val="3"/>
                <c:pt idx="0">
                  <c:v>3.7980393422673373</c:v>
                </c:pt>
                <c:pt idx="1">
                  <c:v>3.7814884716805128</c:v>
                </c:pt>
                <c:pt idx="2">
                  <c:v>3.685424664538508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787-4396-959D-D6C8CA89C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Graphes!$AG$5:$AI$5</c:f>
              <c:numCache>
                <c:formatCode>0.00</c:formatCode>
                <c:ptCount val="3"/>
                <c:pt idx="0">
                  <c:v>3.1499755131116164E-2</c:v>
                </c:pt>
                <c:pt idx="1">
                  <c:v>3.118115510896631E-2</c:v>
                </c:pt>
                <c:pt idx="2">
                  <c:v>2.9331951411633018E-2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FFC-9926-0335E595F55D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Graphes!$AG$6:$AI$6</c:f>
              <c:numCache>
                <c:formatCode>0.00</c:formatCode>
                <c:ptCount val="3"/>
                <c:pt idx="0">
                  <c:v>1.3664996801863973</c:v>
                </c:pt>
                <c:pt idx="1">
                  <c:v>1.5755456908820136</c:v>
                </c:pt>
                <c:pt idx="2">
                  <c:v>1.2853395359334192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FFC-9926-0335E595F55D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Graphes!$AG$7:$AI$7</c:f>
              <c:numCache>
                <c:formatCode>0.00</c:formatCode>
                <c:ptCount val="3"/>
                <c:pt idx="0">
                  <c:v>0.61212865204131606</c:v>
                </c:pt>
                <c:pt idx="1">
                  <c:v>0.87248203301965577</c:v>
                </c:pt>
                <c:pt idx="2">
                  <c:v>0.54052503516990724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1-4FFC-9926-0335E595F55D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Graphes!$AG$8:$AI$8</c:f>
              <c:numCache>
                <c:formatCode>0.00</c:formatCode>
                <c:ptCount val="3"/>
                <c:pt idx="0">
                  <c:v>0.85178722363207326</c:v>
                </c:pt>
                <c:pt idx="1">
                  <c:v>0.99819836506467463</c:v>
                </c:pt>
                <c:pt idx="2">
                  <c:v>0.79857419737296687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1-4FFC-9926-0335E595F55D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Graphes!$AG$9:$AI$9</c:f>
              <c:numCache>
                <c:formatCode>0.00</c:formatCode>
                <c:ptCount val="3"/>
                <c:pt idx="0">
                  <c:v>1.3034441656500895</c:v>
                </c:pt>
                <c:pt idx="1">
                  <c:v>0.25436889002064006</c:v>
                </c:pt>
                <c:pt idx="2">
                  <c:v>0.26075892013874485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11-4FFC-9926-0335E595F55D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Graphes!$AG$10:$AI$10</c:f>
              <c:numCache>
                <c:formatCode>0.00</c:formatCode>
                <c:ptCount val="3"/>
                <c:pt idx="0">
                  <c:v>1.0120424574401183</c:v>
                </c:pt>
                <c:pt idx="1">
                  <c:v>0.75193106723652348</c:v>
                </c:pt>
                <c:pt idx="2">
                  <c:v>-1.665472966962861E-2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11-4FFC-9926-0335E595F55D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Graphes!$AG$11:$AI$11</c:f>
              <c:numCache>
                <c:formatCode>0.00</c:formatCode>
                <c:ptCount val="3"/>
                <c:pt idx="0">
                  <c:v>1.4120943974741402</c:v>
                </c:pt>
                <c:pt idx="1">
                  <c:v>1.4349140112724612</c:v>
                </c:pt>
                <c:pt idx="2">
                  <c:v>0.81268428674362791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11-4FFC-9926-0335E595F55D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Graphes!$AG$12:$AI$12</c:f>
              <c:numCache>
                <c:formatCode>0.00</c:formatCode>
                <c:ptCount val="3"/>
                <c:pt idx="0">
                  <c:v>0.72349329561053966</c:v>
                </c:pt>
                <c:pt idx="1">
                  <c:v>4.9716108388483671E-2</c:v>
                </c:pt>
                <c:pt idx="2">
                  <c:v>0.10404023365532106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11-4FFC-9926-0335E595F55D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Graphes!$AG$13:$AI$13</c:f>
              <c:numCache>
                <c:formatCode>0.00</c:formatCode>
                <c:ptCount val="3"/>
                <c:pt idx="0">
                  <c:v>1.1464522418903877</c:v>
                </c:pt>
                <c:pt idx="1">
                  <c:v>1.2509909482123576</c:v>
                </c:pt>
                <c:pt idx="2">
                  <c:v>0.79260189773268108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1-4FFC-9926-0335E595F55D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Graphes!$AG$14:$AI$14</c:f>
              <c:numCache>
                <c:formatCode>0.00</c:formatCode>
                <c:ptCount val="3"/>
                <c:pt idx="0">
                  <c:v>2.0140011182345914</c:v>
                </c:pt>
                <c:pt idx="1">
                  <c:v>2.1205313265040071</c:v>
                </c:pt>
                <c:pt idx="2">
                  <c:v>1.0998948369817794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1-4FFC-9926-0335E595F55D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Graphes!$AG$15:$AI$15</c:f>
              <c:numCache>
                <c:formatCode>0.00</c:formatCode>
                <c:ptCount val="3"/>
                <c:pt idx="0">
                  <c:v>2.1455301674828968</c:v>
                </c:pt>
                <c:pt idx="1">
                  <c:v>1.7760948270872048</c:v>
                </c:pt>
                <c:pt idx="2">
                  <c:v>0.2870591367434554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11-4FFC-9926-0335E595F55D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Graphes!$AG$16:$AI$16</c:f>
              <c:numCache>
                <c:formatCode>0.00</c:formatCode>
                <c:ptCount val="3"/>
                <c:pt idx="0">
                  <c:v>1.5769140190651449</c:v>
                </c:pt>
                <c:pt idx="1">
                  <c:v>2.0657823557305246</c:v>
                </c:pt>
                <c:pt idx="2">
                  <c:v>1.5779604664440186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111-4FFC-9926-0335E595F55D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Graphes!$AG$17:$AI$17</c:f>
              <c:numCache>
                <c:formatCode>0.00</c:formatCode>
                <c:ptCount val="3"/>
                <c:pt idx="0">
                  <c:v>0.3146853288555348</c:v>
                </c:pt>
                <c:pt idx="1">
                  <c:v>0.20427425487123468</c:v>
                </c:pt>
                <c:pt idx="2">
                  <c:v>0.15057514544617645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11-4FFC-9926-0335E595F55D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Graphes!$AG$18:$AI$18</c:f>
              <c:numCache>
                <c:formatCode>0.00</c:formatCode>
                <c:ptCount val="3"/>
                <c:pt idx="0">
                  <c:v>0.13984210991273766</c:v>
                </c:pt>
                <c:pt idx="1">
                  <c:v>0.14689360992075715</c:v>
                </c:pt>
                <c:pt idx="2">
                  <c:v>0.13818205944641349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11-4FFC-9926-0335E595F55D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Graphes!$AG$19:$AI$19</c:f>
              <c:numCache>
                <c:formatCode>0.00</c:formatCode>
                <c:ptCount val="3"/>
                <c:pt idx="0">
                  <c:v>3.7980393422673373</c:v>
                </c:pt>
                <c:pt idx="1">
                  <c:v>3.7814884716805128</c:v>
                </c:pt>
                <c:pt idx="2">
                  <c:v>3.685424664538508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111-4FFC-9926-0335E595F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Graphes!$AA$5:$AC$5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4-49E1-A567-E561C6B8B1E2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Graphes!$AA$6:$AC$6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F4-49E1-A567-E561C6B8B1E2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Graphes!$AA$7:$AC$7</c:f>
              <c:numCache>
                <c:formatCode>0.0</c:formatCode>
                <c:ptCount val="3"/>
                <c:pt idx="0" formatCode="0.00">
                  <c:v>0</c:v>
                </c:pt>
                <c:pt idx="1">
                  <c:v>-7.1274851993859398E-2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F4-49E1-A567-E561C6B8B1E2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Graphes!$AA$8:$AC$8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F4-49E1-A567-E561C6B8B1E2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Graphes!$AA$9:$AC$9</c:f>
              <c:numCache>
                <c:formatCode>0.0</c:formatCode>
                <c:ptCount val="3"/>
                <c:pt idx="0" formatCode="0.00">
                  <c:v>-5.7895819420328565E-3</c:v>
                </c:pt>
                <c:pt idx="1">
                  <c:v>-0.37417837580705576</c:v>
                </c:pt>
                <c:pt idx="2">
                  <c:v>-1.1547285570664565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F4-49E1-A567-E561C6B8B1E2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Graphes!$AA$10:$AC$10</c:f>
              <c:numCache>
                <c:formatCode>0.0</c:formatCode>
                <c:ptCount val="3"/>
                <c:pt idx="0" formatCode="0.00">
                  <c:v>0</c:v>
                </c:pt>
                <c:pt idx="1">
                  <c:v>-0.7371592892399903</c:v>
                </c:pt>
                <c:pt idx="2">
                  <c:v>-1.9034779668707302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F4-49E1-A567-E561C6B8B1E2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Graphes!$AA$11:$AC$11</c:f>
              <c:numCache>
                <c:formatCode>0.0</c:formatCode>
                <c:ptCount val="3"/>
                <c:pt idx="0" formatCode="0.00">
                  <c:v>-9.1949762304043045E-2</c:v>
                </c:pt>
                <c:pt idx="1">
                  <c:v>-0.14744326431276916</c:v>
                </c:pt>
                <c:pt idx="2">
                  <c:v>-0.19003211799653597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F4-49E1-A567-E561C6B8B1E2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Graphes!$AA$12:$AC$12</c:f>
              <c:numCache>
                <c:formatCode>0.0</c:formatCode>
                <c:ptCount val="3"/>
                <c:pt idx="0" formatCode="0.00">
                  <c:v>-1.7596624890551027E-2</c:v>
                </c:pt>
                <c:pt idx="1">
                  <c:v>-8.8326354152129249E-3</c:v>
                </c:pt>
                <c:pt idx="2">
                  <c:v>-0.87647037159874519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F4-49E1-A567-E561C6B8B1E2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Graphes!$AA$13:$AC$13</c:f>
              <c:numCache>
                <c:formatCode>0.0</c:formatCode>
                <c:ptCount val="3"/>
                <c:pt idx="0" formatCode="0.00">
                  <c:v>0</c:v>
                </c:pt>
                <c:pt idx="1">
                  <c:v>-7.9435896079857196E-2</c:v>
                </c:pt>
                <c:pt idx="2">
                  <c:v>-0.90356903113469589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F4-49E1-A567-E561C6B8B1E2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Graphes!$AA$14:$AC$14</c:f>
              <c:numCache>
                <c:formatCode>0.0</c:formatCode>
                <c:ptCount val="3"/>
                <c:pt idx="0" formatCode="0.00">
                  <c:v>-3.3426170825727547E-2</c:v>
                </c:pt>
                <c:pt idx="1">
                  <c:v>-0.3232112036718745</c:v>
                </c:pt>
                <c:pt idx="2">
                  <c:v>-0.70720692589790379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F4-49E1-A567-E561C6B8B1E2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Graphes!$AA$15:$AC$15</c:f>
              <c:numCache>
                <c:formatCode>0.0</c:formatCode>
                <c:ptCount val="3"/>
                <c:pt idx="0" formatCode="0.00">
                  <c:v>-4.750138017007256E-3</c:v>
                </c:pt>
                <c:pt idx="1">
                  <c:v>-0.64169755443418575</c:v>
                </c:pt>
                <c:pt idx="2">
                  <c:v>-1.6901370251947356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F4-49E1-A567-E561C6B8B1E2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Graphes!$AA$16:$AC$16</c:f>
              <c:numCache>
                <c:formatCode>0.0</c:formatCode>
                <c:ptCount val="3"/>
                <c:pt idx="0" formatCode="0.00">
                  <c:v>-4.3479191091719466E-2</c:v>
                </c:pt>
                <c:pt idx="1">
                  <c:v>-0.31997215427895664</c:v>
                </c:pt>
                <c:pt idx="2">
                  <c:v>-0.55467960797184568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DF4-49E1-A567-E561C6B8B1E2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Graphes!$AA$17:$AC$17</c:f>
              <c:numCache>
                <c:formatCode>0.0</c:formatCode>
                <c:ptCount val="3"/>
                <c:pt idx="0" formatCode="0.00">
                  <c:v>-1.96013171831174E-2</c:v>
                </c:pt>
                <c:pt idx="1">
                  <c:v>-0.31391375856085146</c:v>
                </c:pt>
                <c:pt idx="2">
                  <c:v>-0.19626505859578325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F4-49E1-A567-E561C6B8B1E2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Graphes!$AA$18:$AC$18</c:f>
              <c:numCache>
                <c:formatCode>0.0</c:formatCode>
                <c:ptCount val="3"/>
                <c:pt idx="0" formatCode="0.00">
                  <c:v>-1.3924469079738209E-4</c:v>
                </c:pt>
                <c:pt idx="1">
                  <c:v>-4.3513034089156253E-3</c:v>
                </c:pt>
                <c:pt idx="2">
                  <c:v>-4.0932486215331043E-3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DF4-49E1-A567-E561C6B8B1E2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Graphes!$AA$19:$AC$19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DF4-49E1-A567-E561C6B8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in val="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Graphes!$AD$5:$AF$5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7-4C99-9700-6C2C167EA755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Graphes!$AD$6:$AF$6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7-4C99-9700-6C2C167EA755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Graphes!$AD$7:$AF$7</c:f>
              <c:numCache>
                <c:formatCode>0.0</c:formatCode>
                <c:ptCount val="3"/>
                <c:pt idx="0" formatCode="0.00">
                  <c:v>0</c:v>
                </c:pt>
                <c:pt idx="1">
                  <c:v>6.0726617710789397E-4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17-4C99-9700-6C2C167EA755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Graphes!$AD$8:$AF$8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7-4C99-9700-6C2C167EA755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Graphes!$AD$9:$AF$9</c:f>
              <c:numCache>
                <c:formatCode>0.0</c:formatCode>
                <c:ptCount val="3"/>
                <c:pt idx="0" formatCode="0.00">
                  <c:v>5.7895819420328561E-5</c:v>
                </c:pt>
                <c:pt idx="1">
                  <c:v>-4.7424427758863845E-2</c:v>
                </c:pt>
                <c:pt idx="2">
                  <c:v>-0.30022942483727871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17-4C99-9700-6C2C167EA755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Graphes!$AD$10:$AF$10</c:f>
              <c:numCache>
                <c:formatCode>0.0</c:formatCode>
                <c:ptCount val="3"/>
                <c:pt idx="0" formatCode="0.00">
                  <c:v>0</c:v>
                </c:pt>
                <c:pt idx="1">
                  <c:v>-2.5060067229677619E-2</c:v>
                </c:pt>
                <c:pt idx="2">
                  <c:v>-0.43779993238026793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17-4C99-9700-6C2C167EA755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Graphes!$AD$11:$AF$11</c:f>
              <c:numCache>
                <c:formatCode>0.0</c:formatCode>
                <c:ptCount val="3"/>
                <c:pt idx="0" formatCode="0.00">
                  <c:v>9.1949762304043047E-4</c:v>
                </c:pt>
                <c:pt idx="1">
                  <c:v>1.4744326431276914E-3</c:v>
                </c:pt>
                <c:pt idx="2">
                  <c:v>1.044103108114644E-3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17-4C99-9700-6C2C167EA755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Graphes!$AD$12:$AF$12</c:f>
              <c:numCache>
                <c:formatCode>0.0</c:formatCode>
                <c:ptCount val="3"/>
                <c:pt idx="0" formatCode="0.00">
                  <c:v>2.9040531365477934E-5</c:v>
                </c:pt>
                <c:pt idx="1">
                  <c:v>-2.2964852079553609E-3</c:v>
                </c:pt>
                <c:pt idx="2">
                  <c:v>-0.20399276467255367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17-4C99-9700-6C2C167EA755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Graphes!$AD$13:$AF$13</c:f>
              <c:numCache>
                <c:formatCode>0.0</c:formatCode>
                <c:ptCount val="3"/>
                <c:pt idx="0" formatCode="0.00">
                  <c:v>0</c:v>
                </c:pt>
                <c:pt idx="1">
                  <c:v>7.943589607985721E-4</c:v>
                </c:pt>
                <c:pt idx="2">
                  <c:v>-0.20782087716098008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17-4C99-9700-6C2C167EA755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Graphes!$AD$14:$AF$14</c:f>
              <c:numCache>
                <c:formatCode>0.0</c:formatCode>
                <c:ptCount val="3"/>
                <c:pt idx="0" formatCode="0.00">
                  <c:v>3.342617082572755E-4</c:v>
                </c:pt>
                <c:pt idx="1">
                  <c:v>-4.6275087011341018E-2</c:v>
                </c:pt>
                <c:pt idx="2">
                  <c:v>-5.0240925331142987E-2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17-4C99-9700-6C2C167EA755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Graphes!$AD$15:$AF$15</c:f>
              <c:numCache>
                <c:formatCode>0.0</c:formatCode>
                <c:ptCount val="3"/>
                <c:pt idx="0" formatCode="0.00">
                  <c:v>4.7501380170072558E-5</c:v>
                </c:pt>
                <c:pt idx="1">
                  <c:v>-0.16684136415288828</c:v>
                </c:pt>
                <c:pt idx="2">
                  <c:v>-0.43943562655063129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17-4C99-9700-6C2C167EA755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Graphes!$AD$16:$AF$16</c:f>
              <c:numCache>
                <c:formatCode>0.0</c:formatCode>
                <c:ptCount val="3"/>
                <c:pt idx="0" formatCode="0.00">
                  <c:v>4.2998295811505369E-4</c:v>
                </c:pt>
                <c:pt idx="1">
                  <c:v>3.1997215427895668E-3</c:v>
                </c:pt>
                <c:pt idx="2">
                  <c:v>-5.4533784924385847E-2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17-4C99-9700-6C2C167EA755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Graphes!$AD$17:$AF$17</c:f>
              <c:numCache>
                <c:formatCode>0.0</c:formatCode>
                <c:ptCount val="3"/>
                <c:pt idx="0" formatCode="0.00">
                  <c:v>-1.3720922028182181E-3</c:v>
                </c:pt>
                <c:pt idx="1">
                  <c:v>-7.5847212229291985E-2</c:v>
                </c:pt>
                <c:pt idx="2">
                  <c:v>-1.9628345247271858E-2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17-4C99-9700-6C2C167EA755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Graphes!$AD$18:$AF$18</c:f>
              <c:numCache>
                <c:formatCode>0.0</c:formatCode>
                <c:ptCount val="3"/>
                <c:pt idx="0" formatCode="0.00">
                  <c:v>1.3924469079738209E-6</c:v>
                </c:pt>
                <c:pt idx="1">
                  <c:v>4.351303408915625E-5</c:v>
                </c:pt>
                <c:pt idx="2">
                  <c:v>4.0932486215331039E-5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17-4C99-9700-6C2C167EA755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Graphes!$AD$19:$AF$19</c:f>
              <c:numCache>
                <c:formatCode>0.0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17-4C99-9700-6C2C167EA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in val="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Graphes!$AJ$5:$AL$5</c:f>
              <c:numCache>
                <c:formatCode>0.00</c:formatCode>
                <c:ptCount val="3"/>
                <c:pt idx="0">
                  <c:v>3.1499755131116164E-2</c:v>
                </c:pt>
                <c:pt idx="1">
                  <c:v>3.118115510896631E-2</c:v>
                </c:pt>
                <c:pt idx="2">
                  <c:v>2.9331951411633018E-2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F-4DFA-BA35-5662591CB984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Graphes!$AJ$6:$AL$6</c:f>
              <c:numCache>
                <c:formatCode>0.00</c:formatCode>
                <c:ptCount val="3"/>
                <c:pt idx="0">
                  <c:v>1.3664996801863973</c:v>
                </c:pt>
                <c:pt idx="1">
                  <c:v>1.5755456908820136</c:v>
                </c:pt>
                <c:pt idx="2">
                  <c:v>1.2853395359334192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F-4DFA-BA35-5662591CB984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Graphes!$AJ$7:$AL$7</c:f>
              <c:numCache>
                <c:formatCode>0.00</c:formatCode>
                <c:ptCount val="3"/>
                <c:pt idx="0">
                  <c:v>0.61212865204131606</c:v>
                </c:pt>
                <c:pt idx="1">
                  <c:v>0.80059991484868842</c:v>
                </c:pt>
                <c:pt idx="2">
                  <c:v>0.54052503516990724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F-4DFA-BA35-5662591CB984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Graphes!$AJ$8:$AL$8</c:f>
              <c:numCache>
                <c:formatCode>0.00</c:formatCode>
                <c:ptCount val="3"/>
                <c:pt idx="0">
                  <c:v>0.85178722363207326</c:v>
                </c:pt>
                <c:pt idx="1">
                  <c:v>0.99819836506467463</c:v>
                </c:pt>
                <c:pt idx="2">
                  <c:v>0.79857419737296687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F-4DFA-BA35-5662591CB984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Graphes!$AJ$9:$AL$9</c:f>
              <c:numCache>
                <c:formatCode>0.00</c:formatCode>
                <c:ptCount val="3"/>
                <c:pt idx="0">
                  <c:v>1.2975966878886362</c:v>
                </c:pt>
                <c:pt idx="1">
                  <c:v>-7.2385058027551852E-2</c:v>
                </c:pt>
                <c:pt idx="2">
                  <c:v>-0.59374021209043293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2F-4DFA-BA35-5662591CB984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Graphes!$AJ$10:$AL$10</c:f>
              <c:numCache>
                <c:formatCode>0.00</c:formatCode>
                <c:ptCount val="3"/>
                <c:pt idx="0">
                  <c:v>1.0120424574401183</c:v>
                </c:pt>
                <c:pt idx="1">
                  <c:v>3.9831845226210749E-2</c:v>
                </c:pt>
                <c:pt idx="2">
                  <c:v>-1.482332764160091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2F-4DFA-BA35-5662591CB984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Graphes!$AJ$11:$AL$11</c:f>
              <c:numCache>
                <c:formatCode>0.00</c:formatCode>
                <c:ptCount val="3"/>
                <c:pt idx="0">
                  <c:v>1.3192251375470567</c:v>
                </c:pt>
                <c:pt idx="1">
                  <c:v>1.2859963143165642</c:v>
                </c:pt>
                <c:pt idx="2">
                  <c:v>0.6216080656389773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2F-4DFA-BA35-5662591CB984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Graphes!$AJ$12:$AL$12</c:f>
              <c:numCache>
                <c:formatCode>0.00</c:formatCode>
                <c:ptCount val="3"/>
                <c:pt idx="0">
                  <c:v>0.7058676301886232</c:v>
                </c:pt>
                <c:pt idx="1">
                  <c:v>4.3179958181226108E-2</c:v>
                </c:pt>
                <c:pt idx="2">
                  <c:v>-0.56843737327087052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2F-4DFA-BA35-5662591CB984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Graphes!$AJ$13:$AL$13</c:f>
              <c:numCache>
                <c:formatCode>0.00</c:formatCode>
                <c:ptCount val="3"/>
                <c:pt idx="0">
                  <c:v>1.1464522418903877</c:v>
                </c:pt>
                <c:pt idx="1">
                  <c:v>1.1707606931717018</c:v>
                </c:pt>
                <c:pt idx="2">
                  <c:v>9.6853743758965272E-2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2F-4DFA-BA35-5662591CB984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Graphes!$AJ$14:$AL$14</c:f>
              <c:numCache>
                <c:formatCode>0.00</c:formatCode>
                <c:ptCount val="3"/>
                <c:pt idx="0">
                  <c:v>1.9802406857006065</c:v>
                </c:pt>
                <c:pt idx="1">
                  <c:v>1.8435952098434734</c:v>
                </c:pt>
                <c:pt idx="2">
                  <c:v>0.44292883641501846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2F-4DFA-BA35-5662591CB984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Graphes!$AJ$15:$AL$15</c:f>
              <c:numCache>
                <c:formatCode>0.00</c:formatCode>
                <c:ptCount val="3"/>
                <c:pt idx="0">
                  <c:v>2.1407325280857195</c:v>
                </c:pt>
                <c:pt idx="1">
                  <c:v>1.3012386368059072</c:v>
                </c:pt>
                <c:pt idx="2">
                  <c:v>-0.96364226190064894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2F-4DFA-BA35-5662591CB984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Graphes!$AJ$16:$AL$16</c:f>
              <c:numCache>
                <c:formatCode>0.00</c:formatCode>
                <c:ptCount val="3"/>
                <c:pt idx="0">
                  <c:v>1.5330048450153104</c:v>
                </c:pt>
                <c:pt idx="1">
                  <c:v>1.7426104799087785</c:v>
                </c:pt>
                <c:pt idx="2">
                  <c:v>1.0778146433965587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2F-4DFA-BA35-5662591CB984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Graphes!$AJ$17:$AL$17</c:f>
              <c:numCache>
                <c:formatCode>0.00</c:formatCode>
                <c:ptCount val="3"/>
                <c:pt idx="0">
                  <c:v>0.29645610387523558</c:v>
                </c:pt>
                <c:pt idx="1">
                  <c:v>-3.3792291460324808E-2</c:v>
                </c:pt>
                <c:pt idx="2">
                  <c:v>-2.6061567902334937E-2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2F-4DFA-BA35-5662591CB984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Graphes!$AJ$18:$AL$18</c:f>
              <c:numCache>
                <c:formatCode>0.00</c:formatCode>
                <c:ptCount val="3"/>
                <c:pt idx="0">
                  <c:v>0.13970147277503231</c:v>
                </c:pt>
                <c:pt idx="1">
                  <c:v>0.14249879347775238</c:v>
                </c:pt>
                <c:pt idx="2">
                  <c:v>0.13404787833866505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2F-4DFA-BA35-5662591CB984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(Graphes!$C$4,Graphes!$I$4,Graphes!$O$4)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Graphes!$AJ$19:$AL$19</c:f>
              <c:numCache>
                <c:formatCode>0.00</c:formatCode>
                <c:ptCount val="3"/>
                <c:pt idx="0">
                  <c:v>3.7980393422673373</c:v>
                </c:pt>
                <c:pt idx="1">
                  <c:v>3.7814884716805128</c:v>
                </c:pt>
                <c:pt idx="2">
                  <c:v>3.685424664538508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2F-4DFA-BA35-5662591CB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0"/>
          <c:order val="0"/>
          <c:tx>
            <c:strRef>
              <c:f>Graphes!$B$5</c:f>
              <c:strCache>
                <c:ptCount val="1"/>
                <c:pt idx="0">
                  <c:v>Fouilles B06 / B07.02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(Graphes!$AA$5,Graphes!$AD$5,Graphes!$AB$5,Graphes!$AE$5,Graphes!$AC$5,Graphes!$AF$5)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9-409E-9C44-D14C871A05EC}"/>
            </c:ext>
          </c:extLst>
        </c:ser>
        <c:ser>
          <c:idx val="11"/>
          <c:order val="1"/>
          <c:tx>
            <c:strRef>
              <c:f>Graphes!$B$6</c:f>
              <c:strCache>
                <c:ptCount val="1"/>
                <c:pt idx="0">
                  <c:v>Fondations, radiers [C01]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(Graphes!$AA$6,Graphes!$AD$6,Graphes!$AB$6,Graphes!$AE$6,Graphes!$AC$6,Graphes!$AF$6)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09-409E-9C44-D14C871A05EC}"/>
            </c:ext>
          </c:extLst>
        </c:ser>
        <c:ser>
          <c:idx val="2"/>
          <c:order val="2"/>
          <c:tx>
            <c:strRef>
              <c:f>Graphes!$B$7</c:f>
              <c:strCache>
                <c:ptCount val="1"/>
                <c:pt idx="0">
                  <c:v>Parois extérieures souterraines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(Graphes!$AA$7,Graphes!$AD$7,Graphes!$AB$7,Graphes!$AE$7,Graphes!$AC$7,Graphes!$AF$7)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-7.1274851993859398E-2</c:v>
                </c:pt>
                <c:pt idx="3" formatCode="0.0">
                  <c:v>6.0726617710789397E-4</c:v>
                </c:pt>
                <c:pt idx="4" formatCode="0.0">
                  <c:v>0</c:v>
                </c:pt>
                <c:pt idx="5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09-409E-9C44-D14C871A05EC}"/>
            </c:ext>
          </c:extLst>
        </c:ser>
        <c:ser>
          <c:idx val="3"/>
          <c:order val="3"/>
          <c:tx>
            <c:strRef>
              <c:f>Graphes!$B$8</c:f>
              <c:strCache>
                <c:ptCount val="1"/>
                <c:pt idx="0">
                  <c:v>Toitures souterraines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(Graphes!$AA$8,Graphes!$AD$8,Graphes!$AB$8,Graphes!$AE$8,Graphes!$AC$8,Graphes!$AF$8)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09-409E-9C44-D14C871A05EC}"/>
            </c:ext>
          </c:extLst>
        </c:ser>
        <c:ser>
          <c:idx val="4"/>
          <c:order val="4"/>
          <c:tx>
            <c:strRef>
              <c:f>Graphes!$B$9</c:f>
              <c:strCache>
                <c:ptCount val="1"/>
                <c:pt idx="0">
                  <c:v>Parois extérieures hors terrain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(Graphes!$AA$9,Graphes!$AD$9,Graphes!$AB$9,Graphes!$AE$9,Graphes!$AC$9,Graphes!$AF$9)</c:f>
              <c:numCache>
                <c:formatCode>0.00</c:formatCode>
                <c:ptCount val="6"/>
                <c:pt idx="0">
                  <c:v>-5.7895819420328565E-3</c:v>
                </c:pt>
                <c:pt idx="1">
                  <c:v>5.7895819420328561E-5</c:v>
                </c:pt>
                <c:pt idx="2" formatCode="0.0">
                  <c:v>-0.37417837580705576</c:v>
                </c:pt>
                <c:pt idx="3" formatCode="0.0">
                  <c:v>-4.7424427758863845E-2</c:v>
                </c:pt>
                <c:pt idx="4" formatCode="0.0">
                  <c:v>-1.1547285570664565</c:v>
                </c:pt>
                <c:pt idx="5" formatCode="0.0">
                  <c:v>-0.30022942483727871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09-409E-9C44-D14C871A05EC}"/>
            </c:ext>
          </c:extLst>
        </c:ser>
        <c:ser>
          <c:idx val="5"/>
          <c:order val="5"/>
          <c:tx>
            <c:strRef>
              <c:f>Graphes!$B$10</c:f>
              <c:strCache>
                <c:ptCount val="1"/>
                <c:pt idx="0">
                  <c:v>Revetements de facades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(Graphes!$AA$10,Graphes!$AD$10,Graphes!$AB$10,Graphes!$AE$10,Graphes!$AC$10,Graphes!$AF$10)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-0.7371592892399903</c:v>
                </c:pt>
                <c:pt idx="3" formatCode="0.0">
                  <c:v>-2.5060067229677619E-2</c:v>
                </c:pt>
                <c:pt idx="4" formatCode="0.0">
                  <c:v>-1.9034779668707302</c:v>
                </c:pt>
                <c:pt idx="5" formatCode="0.0">
                  <c:v>-0.43779993238026793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09-409E-9C44-D14C871A05EC}"/>
            </c:ext>
          </c:extLst>
        </c:ser>
        <c:ser>
          <c:idx val="6"/>
          <c:order val="6"/>
          <c:tx>
            <c:strRef>
              <c:f>Graphes!$B$11</c:f>
              <c:strCache>
                <c:ptCount val="1"/>
                <c:pt idx="0">
                  <c:v>Fenetres et portes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(Graphes!$AA$11,Graphes!$AD$11,Graphes!$AB$11,Graphes!$AE$11,Graphes!$AC$11,Graphes!$AF$11)</c:f>
              <c:numCache>
                <c:formatCode>0.00</c:formatCode>
                <c:ptCount val="6"/>
                <c:pt idx="0">
                  <c:v>-9.1949762304043045E-2</c:v>
                </c:pt>
                <c:pt idx="1">
                  <c:v>9.1949762304043047E-4</c:v>
                </c:pt>
                <c:pt idx="2" formatCode="0.0">
                  <c:v>-0.14744326431276916</c:v>
                </c:pt>
                <c:pt idx="3" formatCode="0.0">
                  <c:v>1.4744326431276914E-3</c:v>
                </c:pt>
                <c:pt idx="4" formatCode="0.0">
                  <c:v>-0.19003211799653597</c:v>
                </c:pt>
                <c:pt idx="5" formatCode="0.0">
                  <c:v>1.044103108114644E-3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09-409E-9C44-D14C871A05EC}"/>
            </c:ext>
          </c:extLst>
        </c:ser>
        <c:ser>
          <c:idx val="7"/>
          <c:order val="7"/>
          <c:tx>
            <c:strRef>
              <c:f>Graphes!$B$12</c:f>
              <c:strCache>
                <c:ptCount val="1"/>
                <c:pt idx="0">
                  <c:v>Toitures (structure porteuse)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(Graphes!$AA$12,Graphes!$AD$12,Graphes!$AB$12,Graphes!$AE$12,Graphes!$AC$12,Graphes!$AF$12)</c:f>
              <c:numCache>
                <c:formatCode>0.00</c:formatCode>
                <c:ptCount val="6"/>
                <c:pt idx="0">
                  <c:v>-1.7596624890551027E-2</c:v>
                </c:pt>
                <c:pt idx="1">
                  <c:v>2.9040531365477934E-5</c:v>
                </c:pt>
                <c:pt idx="2" formatCode="0.0">
                  <c:v>-8.8326354152129249E-3</c:v>
                </c:pt>
                <c:pt idx="3" formatCode="0.0">
                  <c:v>-2.2964852079553609E-3</c:v>
                </c:pt>
                <c:pt idx="4" formatCode="0.0">
                  <c:v>-0.87647037159874519</c:v>
                </c:pt>
                <c:pt idx="5" formatCode="0.0">
                  <c:v>-0.20399276467255367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09-409E-9C44-D14C871A05EC}"/>
            </c:ext>
          </c:extLst>
        </c:ser>
        <c:ser>
          <c:idx val="8"/>
          <c:order val="8"/>
          <c:tx>
            <c:strRef>
              <c:f>Graphes!$B$13</c:f>
              <c:strCache>
                <c:ptCount val="1"/>
                <c:pt idx="0">
                  <c:v>Couvertures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(Graphes!$AA$13,Graphes!$AD$13,Graphes!$AB$13,Graphes!$AE$13,Graphes!$AC$13,Graphes!$AF$13)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-7.9435896079857196E-2</c:v>
                </c:pt>
                <c:pt idx="3" formatCode="0.0">
                  <c:v>7.943589607985721E-4</c:v>
                </c:pt>
                <c:pt idx="4" formatCode="0.0">
                  <c:v>-0.90356903113469589</c:v>
                </c:pt>
                <c:pt idx="5" formatCode="0.0">
                  <c:v>-0.20782087716098008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09-409E-9C44-D14C871A05EC}"/>
            </c:ext>
          </c:extLst>
        </c:ser>
        <c:ser>
          <c:idx val="12"/>
          <c:order val="9"/>
          <c:tx>
            <c:strRef>
              <c:f>Graphes!$B$14</c:f>
              <c:strCache>
                <c:ptCount val="1"/>
                <c:pt idx="0">
                  <c:v>Parois intérieures, revetements de parois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(Graphes!$AA$14,Graphes!$AD$14,Graphes!$AB$14,Graphes!$AE$14,Graphes!$AC$14,Graphes!$AF$14)</c:f>
              <c:numCache>
                <c:formatCode>0.00</c:formatCode>
                <c:ptCount val="6"/>
                <c:pt idx="0">
                  <c:v>-3.3426170825727547E-2</c:v>
                </c:pt>
                <c:pt idx="1">
                  <c:v>3.342617082572755E-4</c:v>
                </c:pt>
                <c:pt idx="2" formatCode="0.0">
                  <c:v>-0.3232112036718745</c:v>
                </c:pt>
                <c:pt idx="3" formatCode="0.0">
                  <c:v>-4.6275087011341018E-2</c:v>
                </c:pt>
                <c:pt idx="4" formatCode="0.0">
                  <c:v>-0.70720692589790379</c:v>
                </c:pt>
                <c:pt idx="5" formatCode="0.0">
                  <c:v>-5.0240925331142987E-2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09-409E-9C44-D14C871A05EC}"/>
            </c:ext>
          </c:extLst>
        </c:ser>
        <c:ser>
          <c:idx val="13"/>
          <c:order val="10"/>
          <c:tx>
            <c:strRef>
              <c:f>Graphes!$B$15</c:f>
              <c:strCache>
                <c:ptCount val="1"/>
                <c:pt idx="0">
                  <c:v>Planchers internes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(Graphes!$AA$15,Graphes!$AD$15,Graphes!$AB$15,Graphes!$AE$15,Graphes!$AC$15,Graphes!$AF$15)</c:f>
              <c:numCache>
                <c:formatCode>0.00</c:formatCode>
                <c:ptCount val="6"/>
                <c:pt idx="0">
                  <c:v>-4.750138017007256E-3</c:v>
                </c:pt>
                <c:pt idx="1">
                  <c:v>4.7501380170072558E-5</c:v>
                </c:pt>
                <c:pt idx="2" formatCode="0.0">
                  <c:v>-0.64169755443418575</c:v>
                </c:pt>
                <c:pt idx="3" formatCode="0.0">
                  <c:v>-0.16684136415288828</c:v>
                </c:pt>
                <c:pt idx="4" formatCode="0.0">
                  <c:v>-1.6901370251947356</c:v>
                </c:pt>
                <c:pt idx="5" formatCode="0.0">
                  <c:v>-0.43943562655063129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09-409E-9C44-D14C871A05EC}"/>
            </c:ext>
          </c:extLst>
        </c:ser>
        <c:ser>
          <c:idx val="0"/>
          <c:order val="11"/>
          <c:tx>
            <c:strRef>
              <c:f>Graphes!$B$16</c:f>
              <c:strCache>
                <c:ptCount val="1"/>
                <c:pt idx="0">
                  <c:v>Revetements de sols et de plafonds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(Graphes!$AA$16,Graphes!$AD$16,Graphes!$AB$16,Graphes!$AE$16,Graphes!$AC$16,Graphes!$AF$16)</c:f>
              <c:numCache>
                <c:formatCode>0.00</c:formatCode>
                <c:ptCount val="6"/>
                <c:pt idx="0">
                  <c:v>-4.3479191091719466E-2</c:v>
                </c:pt>
                <c:pt idx="1">
                  <c:v>4.2998295811505369E-4</c:v>
                </c:pt>
                <c:pt idx="2" formatCode="0.0">
                  <c:v>-0.31997215427895664</c:v>
                </c:pt>
                <c:pt idx="3" formatCode="0.0">
                  <c:v>3.1997215427895668E-3</c:v>
                </c:pt>
                <c:pt idx="4" formatCode="0.0">
                  <c:v>-0.55467960797184568</c:v>
                </c:pt>
                <c:pt idx="5" formatCode="0.0">
                  <c:v>-5.4533784924385847E-2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09-409E-9C44-D14C871A05EC}"/>
            </c:ext>
          </c:extLst>
        </c:ser>
        <c:ser>
          <c:idx val="14"/>
          <c:order val="12"/>
          <c:tx>
            <c:strRef>
              <c:f>Graphes!$B$17</c:f>
              <c:strCache>
                <c:ptCount val="1"/>
                <c:pt idx="0">
                  <c:v>Balcons, avant-toits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(Graphes!$AA$17,Graphes!$AD$17,Graphes!$AB$17,Graphes!$AE$17,Graphes!$AC$17,Graphes!$AF$17)</c:f>
              <c:numCache>
                <c:formatCode>0.00</c:formatCode>
                <c:ptCount val="6"/>
                <c:pt idx="0">
                  <c:v>-1.96013171831174E-2</c:v>
                </c:pt>
                <c:pt idx="1">
                  <c:v>-1.3720922028182181E-3</c:v>
                </c:pt>
                <c:pt idx="2" formatCode="0.0">
                  <c:v>-0.31391375856085146</c:v>
                </c:pt>
                <c:pt idx="3" formatCode="0.0">
                  <c:v>-7.5847212229291985E-2</c:v>
                </c:pt>
                <c:pt idx="4" formatCode="0.0">
                  <c:v>-0.19626505859578325</c:v>
                </c:pt>
                <c:pt idx="5" formatCode="0.0">
                  <c:v>-1.9628345247271858E-2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9-409E-9C44-D14C871A05EC}"/>
            </c:ext>
          </c:extLst>
        </c:ser>
        <c:ser>
          <c:idx val="15"/>
          <c:order val="13"/>
          <c:tx>
            <c:strRef>
              <c:f>Graphes!$B$18</c:f>
              <c:strCache>
                <c:ptCount val="1"/>
                <c:pt idx="0">
                  <c:v>Escaliers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(Graphes!$AA$18,Graphes!$AD$18,Graphes!$AB$18,Graphes!$AE$18,Graphes!$AC$18,Graphes!$AF$18)</c:f>
              <c:numCache>
                <c:formatCode>0.00</c:formatCode>
                <c:ptCount val="6"/>
                <c:pt idx="0">
                  <c:v>-1.3924469079738209E-4</c:v>
                </c:pt>
                <c:pt idx="1">
                  <c:v>1.3924469079738209E-6</c:v>
                </c:pt>
                <c:pt idx="2" formatCode="0.0">
                  <c:v>-4.3513034089156253E-3</c:v>
                </c:pt>
                <c:pt idx="3" formatCode="0.0">
                  <c:v>4.351303408915625E-5</c:v>
                </c:pt>
                <c:pt idx="4" formatCode="0.0">
                  <c:v>-4.0932486215331043E-3</c:v>
                </c:pt>
                <c:pt idx="5" formatCode="0.0">
                  <c:v>4.0932486215331039E-5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09-409E-9C44-D14C871A05EC}"/>
            </c:ext>
          </c:extLst>
        </c:ser>
        <c:ser>
          <c:idx val="1"/>
          <c:order val="14"/>
          <c:tx>
            <c:strRef>
              <c:f>Graphes!$B$19</c:f>
              <c:strCache>
                <c:ptCount val="1"/>
                <c:pt idx="0">
                  <c:v>Installations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Graphes!$X$4:$AC$4</c:f>
              <c:strCache>
                <c:ptCount val="6"/>
                <c:pt idx="0">
                  <c:v>Standard</c:v>
                </c:pt>
                <c:pt idx="1">
                  <c:v>Réaliste</c:v>
                </c:pt>
                <c:pt idx="2">
                  <c:v>Engagé</c:v>
                </c:pt>
                <c:pt idx="3">
                  <c:v>Standard</c:v>
                </c:pt>
                <c:pt idx="4">
                  <c:v>Réaliste</c:v>
                </c:pt>
                <c:pt idx="5">
                  <c:v>Engagé</c:v>
                </c:pt>
              </c:strCache>
            </c:strRef>
          </c:cat>
          <c:val>
            <c:numRef>
              <c:f>(Graphes!$AA$19,Graphes!$AD$19,Graphes!$AB$19,Graphes!$AE$19,Graphes!$AC$19,Graphes!$AF$19)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09-409E-9C44-D14C871A0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69072"/>
        <c:axId val="98868240"/>
      </c:barChart>
      <c:catAx>
        <c:axId val="9886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98868240"/>
        <c:crosses val="autoZero"/>
        <c:auto val="1"/>
        <c:lblAlgn val="ctr"/>
        <c:lblOffset val="100"/>
        <c:noMultiLvlLbl val="0"/>
      </c:catAx>
      <c:valAx>
        <c:axId val="98868240"/>
        <c:scaling>
          <c:orientation val="minMax"/>
          <c:max val="0.5"/>
          <c:min val="-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  <a:r>
                  <a:rPr lang="fr-CH"/>
                  <a:t>.year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869072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Graphes_BIO!$B$4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(Graphes_BIO!$F$4,Graphes_BIO!$F$8,Graphes_BIO!$F$12)</c:f>
              <c:numCache>
                <c:formatCode>0.00</c:formatCode>
                <c:ptCount val="3"/>
                <c:pt idx="0">
                  <c:v>0</c:v>
                </c:pt>
                <c:pt idx="1">
                  <c:v>-82.199847991743979</c:v>
                </c:pt>
                <c:pt idx="2">
                  <c:v>-231.76526564335367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7-4BA4-BE3E-632EE1445C87}"/>
            </c:ext>
          </c:extLst>
        </c:ser>
        <c:ser>
          <c:idx val="1"/>
          <c:order val="1"/>
          <c:tx>
            <c:strRef>
              <c:f>Graphes_BIO!$B$5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(Graphes_BIO!$F$5,Graphes_BIO!$F$9,Graphes_BIO!$F$13)</c:f>
              <c:numCache>
                <c:formatCode>0.00</c:formatCode>
                <c:ptCount val="3"/>
                <c:pt idx="0">
                  <c:v>0</c:v>
                </c:pt>
                <c:pt idx="1">
                  <c:v>-38.584131420638585</c:v>
                </c:pt>
                <c:pt idx="2">
                  <c:v>-189.03110375053549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7-4BA4-BE3E-632EE1445C87}"/>
            </c:ext>
          </c:extLst>
        </c:ser>
        <c:ser>
          <c:idx val="2"/>
          <c:order val="2"/>
          <c:tx>
            <c:strRef>
              <c:f>Graphes_BIO!$B$6</c:f>
              <c:strCache>
                <c:ptCount val="1"/>
                <c:pt idx="0">
                  <c:v>Finishings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(Graphes_BIO!$F$6,Graphes_BIO!$F$10,Graphes_BIO!$F$14)</c:f>
              <c:numCache>
                <c:formatCode>0.00</c:formatCode>
                <c:ptCount val="3"/>
                <c:pt idx="0">
                  <c:v>-13.003921856699758</c:v>
                </c:pt>
                <c:pt idx="1">
                  <c:v>-60.504237819829157</c:v>
                </c:pt>
                <c:pt idx="2">
                  <c:v>-70.043225263048811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7-4BA4-BE3E-632EE1445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1755823"/>
        <c:axId val="1131756303"/>
      </c:barChart>
      <c:scatterChart>
        <c:scatterStyle val="lineMarker"/>
        <c:varyColors val="0"/>
        <c:ser>
          <c:idx val="3"/>
          <c:order val="3"/>
          <c:tx>
            <c:v>Structure_BIO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(Graphes_BIO!$G$4,Graphes_BIO!$G$8,Graphes_BIO!$G$12)</c:f>
              <c:numCache>
                <c:formatCode>0.00</c:formatCode>
                <c:ptCount val="3"/>
                <c:pt idx="0">
                  <c:v>0</c:v>
                </c:pt>
                <c:pt idx="1">
                  <c:v>-21.371960477853435</c:v>
                </c:pt>
                <c:pt idx="2">
                  <c:v>-59.82084519181074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F7-4BA4-BE3E-632EE1445C87}"/>
            </c:ext>
          </c:extLst>
        </c:ser>
        <c:ser>
          <c:idx val="5"/>
          <c:order val="4"/>
          <c:tx>
            <c:v>Insulation_bio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(Graphes_BIO!$I$5,Graphes_BIO!$I$9,Graphes_BIO!$I$13)</c:f>
              <c:numCache>
                <c:formatCode>0.00</c:formatCode>
                <c:ptCount val="3"/>
                <c:pt idx="0">
                  <c:v>0</c:v>
                </c:pt>
                <c:pt idx="1">
                  <c:v>-83.868421041258088</c:v>
                </c:pt>
                <c:pt idx="2">
                  <c:v>-272.3698693583047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F7-4BA4-BE3E-632EE1445C87}"/>
            </c:ext>
          </c:extLst>
        </c:ser>
        <c:ser>
          <c:idx val="6"/>
          <c:order val="5"/>
          <c:tx>
            <c:v>Finishing_bio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(Graphes_BIO!$K$6,Graphes_BIO!$K$10,Graphes_BIO!$K$14)</c:f>
              <c:numCache>
                <c:formatCode>0.00</c:formatCode>
                <c:ptCount val="3"/>
                <c:pt idx="0">
                  <c:v>2.6848815867503661E-2</c:v>
                </c:pt>
                <c:pt idx="1">
                  <c:v>-119.20096695894134</c:v>
                </c:pt>
                <c:pt idx="2">
                  <c:v>-423.12671921773835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F7-4BA4-BE3E-632EE1445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972719"/>
        <c:axId val="1853961199"/>
      </c:scatterChart>
      <c:catAx>
        <c:axId val="113175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1756303"/>
        <c:crosses val="autoZero"/>
        <c:auto val="1"/>
        <c:lblAlgn val="ctr"/>
        <c:lblOffset val="100"/>
        <c:noMultiLvlLbl val="0"/>
      </c:catAx>
      <c:valAx>
        <c:axId val="11317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1755823"/>
        <c:crosses val="autoZero"/>
        <c:crossBetween val="between"/>
      </c:valAx>
      <c:valAx>
        <c:axId val="1853961199"/>
        <c:scaling>
          <c:orientation val="minMax"/>
          <c:min val="-60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3972719"/>
        <c:crosses val="max"/>
        <c:crossBetween val="midCat"/>
      </c:valAx>
      <c:valAx>
        <c:axId val="1853972719"/>
        <c:scaling>
          <c:orientation val="minMax"/>
        </c:scaling>
        <c:delete val="1"/>
        <c:axPos val="b"/>
        <c:majorTickMark val="out"/>
        <c:minorTickMark val="none"/>
        <c:tickLblPos val="nextTo"/>
        <c:crossAx val="185396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Graphes_BIO!$B$4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(Graphes_BIO!$C$4,Graphes_BIO!$C$8,Graphes_BIO!$C$12,Graphes_BIO!$D$4,Graphes_BIO!$D$8,Graphes_BIO!$D$12,Graphes_BIO!$E$4,Graphes_BIO!$E$8,Graphes_BIO!$E$12)</c:f>
              <c:numCache>
                <c:formatCode>0.00</c:formatCode>
                <c:ptCount val="9"/>
                <c:pt idx="0">
                  <c:v>422.22867648145683</c:v>
                </c:pt>
                <c:pt idx="1">
                  <c:v>294.55890121152026</c:v>
                </c:pt>
                <c:pt idx="2">
                  <c:v>234.51122013287181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40.551974295890652</c:v>
                </c:pt>
                <c:pt idx="7">
                  <c:v>31.10878482294353</c:v>
                </c:pt>
                <c:pt idx="8">
                  <c:v>30.182075478835856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F-424D-B4B2-41B22893FA2E}"/>
            </c:ext>
          </c:extLst>
        </c:ser>
        <c:ser>
          <c:idx val="1"/>
          <c:order val="1"/>
          <c:tx>
            <c:strRef>
              <c:f>Graphes_BIO!$B$5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(Graphes_BIO!$C$5,Graphes_BIO!$C$9,Graphes_BIO!$C$13,Graphes_BIO!$D$5,Graphes_BIO!$D$9,Graphes_BIO!$D$13,Graphes_BIO!$E$5,Graphes_BIO!$E$9,Graphes_BIO!$E$13)</c:f>
              <c:numCache>
                <c:formatCode>0.00</c:formatCode>
                <c:ptCount val="9"/>
                <c:pt idx="0">
                  <c:v>33.891226410222167</c:v>
                </c:pt>
                <c:pt idx="1">
                  <c:v>47.2518204953615</c:v>
                </c:pt>
                <c:pt idx="2">
                  <c:v>30.506087077442896</c:v>
                </c:pt>
                <c:pt idx="3">
                  <c:v>55.846438945550055</c:v>
                </c:pt>
                <c:pt idx="4">
                  <c:v>59.459525252330273</c:v>
                </c:pt>
                <c:pt idx="5">
                  <c:v>29.286063015214964</c:v>
                </c:pt>
                <c:pt idx="6">
                  <c:v>21.95521253532791</c:v>
                </c:pt>
                <c:pt idx="7">
                  <c:v>12.677235483484274</c:v>
                </c:pt>
                <c:pt idx="8">
                  <c:v>0.53916043634177679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F-424D-B4B2-41B22893FA2E}"/>
            </c:ext>
          </c:extLst>
        </c:ser>
        <c:ser>
          <c:idx val="2"/>
          <c:order val="2"/>
          <c:tx>
            <c:strRef>
              <c:f>Graphes_BIO!$B$6</c:f>
              <c:strCache>
                <c:ptCount val="1"/>
                <c:pt idx="0">
                  <c:v>Finishings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(Graphes_BIO!$A$4,Graphes_BIO!$A$8,Graphes_BIO!$A$12)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(Graphes_BIO!$C$6,Graphes_BIO!$C$10,Graphes_BIO!$C$14,Graphes_BIO!$D$6,Graphes_BIO!$D$10,Graphes_BIO!$D$14,Graphes_BIO!$E$6,Graphes_BIO!$E$10,Graphes_BIO!$E$14)</c:f>
              <c:numCache>
                <c:formatCode>0.00</c:formatCode>
                <c:ptCount val="9"/>
                <c:pt idx="0">
                  <c:v>76.95077321256845</c:v>
                </c:pt>
                <c:pt idx="1">
                  <c:v>98.602465698915836</c:v>
                </c:pt>
                <c:pt idx="2">
                  <c:v>60.160180985655643</c:v>
                </c:pt>
                <c:pt idx="3">
                  <c:v>92.589834874822557</c:v>
                </c:pt>
                <c:pt idx="4">
                  <c:v>113.52917261632243</c:v>
                </c:pt>
                <c:pt idx="5">
                  <c:v>74.595726535972801</c:v>
                </c:pt>
                <c:pt idx="6">
                  <c:v>16.118423654351545</c:v>
                </c:pt>
                <c:pt idx="7">
                  <c:v>18.033217676596156</c:v>
                </c:pt>
                <c:pt idx="8">
                  <c:v>17.21530024809088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F-424D-B4B2-41B22893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1755823"/>
        <c:axId val="1131756303"/>
      </c:barChart>
      <c:catAx>
        <c:axId val="11317558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1756303"/>
        <c:crosses val="autoZero"/>
        <c:auto val="1"/>
        <c:lblAlgn val="ctr"/>
        <c:lblOffset val="100"/>
        <c:noMultiLvlLbl val="0"/>
      </c:catAx>
      <c:valAx>
        <c:axId val="11317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175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Intermediate</a:t>
            </a:r>
            <a:r>
              <a:rPr lang="en-US" baseline="0"/>
              <a:t> slabs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Component_Level!$B$5</c:f>
              <c:strCache>
                <c:ptCount val="1"/>
                <c:pt idx="0">
                  <c:v>Chape ciment 80 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Component_Level!$C$5:$G$5</c:f>
              <c:numCache>
                <c:formatCode>0.00</c:formatCode>
                <c:ptCount val="5"/>
                <c:pt idx="0">
                  <c:v>30.483982894795425</c:v>
                </c:pt>
                <c:pt idx="1">
                  <c:v>0</c:v>
                </c:pt>
                <c:pt idx="2">
                  <c:v>32.602575315660744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D-4362-8652-9D97CD959D0C}"/>
            </c:ext>
          </c:extLst>
        </c:ser>
        <c:ser>
          <c:idx val="1"/>
          <c:order val="1"/>
          <c:tx>
            <c:strRef>
              <c:f>Component_Level!$B$6</c:f>
              <c:strCache>
                <c:ptCount val="1"/>
                <c:pt idx="0">
                  <c:v>Chape chaux-chanvre 80mm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Component_Level!$C$6:$G$6</c:f>
              <c:numCache>
                <c:formatCode>0.00</c:formatCode>
                <c:ptCount val="5"/>
                <c:pt idx="4">
                  <c:v>21.514639904348901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D-4362-8652-9D97CD959D0C}"/>
            </c:ext>
          </c:extLst>
        </c:ser>
        <c:ser>
          <c:idx val="2"/>
          <c:order val="2"/>
          <c:tx>
            <c:strRef>
              <c:f>Component_Level!$B$7</c:f>
              <c:strCache>
                <c:ptCount val="1"/>
                <c:pt idx="0">
                  <c:v>Isolation thermique EPS 150 Sol 20mm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Component_Level!$C$7:$G$7</c:f>
              <c:numCache>
                <c:formatCode>0.00</c:formatCode>
                <c:ptCount val="5"/>
                <c:pt idx="0">
                  <c:v>6.6504008614932539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D-4362-8652-9D97CD959D0C}"/>
            </c:ext>
          </c:extLst>
        </c:ser>
        <c:ser>
          <c:idx val="3"/>
          <c:order val="3"/>
          <c:tx>
            <c:strRef>
              <c:f>Component_Level!$B$8</c:f>
              <c:strCache>
                <c:ptCount val="1"/>
                <c:pt idx="0">
                  <c:v>Isolation phonique Roll EPS-T 20mm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Component_Level!$C$8:$G$8</c:f>
              <c:numCache>
                <c:formatCode>0.00</c:formatCode>
                <c:ptCount val="5"/>
                <c:pt idx="0">
                  <c:v>3.9902405168959527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D-4362-8652-9D97CD959D0C}"/>
            </c:ext>
          </c:extLst>
        </c:ser>
        <c:ser>
          <c:idx val="4"/>
          <c:order val="4"/>
          <c:tx>
            <c:strRef>
              <c:f>Component_Level!$B$11</c:f>
              <c:strCache>
                <c:ptCount val="1"/>
                <c:pt idx="0">
                  <c:v>isolation thermique GUTEX thermosafe 40mm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Component_Level!$C$11:$G$11</c:f>
              <c:numCache>
                <c:formatCode>0.00</c:formatCode>
                <c:ptCount val="5"/>
                <c:pt idx="2">
                  <c:v>21.311202686709244</c:v>
                </c:pt>
                <c:pt idx="3">
                  <c:v>-6.9009832308675438</c:v>
                </c:pt>
                <c:pt idx="4">
                  <c:v>14.96327207364239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D-4362-8652-9D97CD959D0C}"/>
            </c:ext>
          </c:extLst>
        </c:ser>
        <c:ser>
          <c:idx val="5"/>
          <c:order val="5"/>
          <c:tx>
            <c:strRef>
              <c:f>Component_Level!$B$12</c:f>
              <c:strCache>
                <c:ptCount val="1"/>
                <c:pt idx="0">
                  <c:v>Isolation phonique GUTEX Thermofloor 30mm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Component_Level!$C$12:$G$12</c:f>
              <c:numCache>
                <c:formatCode>0.00</c:formatCode>
                <c:ptCount val="5"/>
                <c:pt idx="2">
                  <c:v>19.396389816858694</c:v>
                </c:pt>
                <c:pt idx="3">
                  <c:v>-6.2809294638725461</c:v>
                </c:pt>
                <c:pt idx="4">
                  <c:v>11.222454055231792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BD-4362-8652-9D97CD959D0C}"/>
            </c:ext>
          </c:extLst>
        </c:ser>
        <c:ser>
          <c:idx val="6"/>
          <c:order val="6"/>
          <c:tx>
            <c:strRef>
              <c:f>Component_Level!$B$13</c:f>
              <c:strCache>
                <c:ptCount val="1"/>
                <c:pt idx="0">
                  <c:v>isolation acoustique granulés type Köhnke 120mm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Component_Level!$C$13:$G$13</c:f>
              <c:numCache>
                <c:formatCode>0.00</c:formatCode>
                <c:ptCount val="5"/>
                <c:pt idx="4">
                  <c:v>2.8957486008042781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BD-4362-8652-9D97CD959D0C}"/>
            </c:ext>
          </c:extLst>
        </c:ser>
        <c:ser>
          <c:idx val="7"/>
          <c:order val="7"/>
          <c:tx>
            <c:strRef>
              <c:f>Component_Level!$B$14</c:f>
              <c:strCache>
                <c:ptCount val="1"/>
                <c:pt idx="0">
                  <c:v>Béton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Component_Level!$C$14:$G$14</c:f>
              <c:numCache>
                <c:formatCode>0.00</c:formatCode>
                <c:ptCount val="5"/>
                <c:pt idx="0">
                  <c:v>63.898703526111923</c:v>
                </c:pt>
                <c:pt idx="1">
                  <c:v>0</c:v>
                </c:pt>
                <c:pt idx="2">
                  <c:v>53.277061131310468</c:v>
                </c:pt>
                <c:pt idx="4">
                  <c:v>4.1165527963185609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BD-4362-8652-9D97CD959D0C}"/>
            </c:ext>
          </c:extLst>
        </c:ser>
        <c:ser>
          <c:idx val="8"/>
          <c:order val="8"/>
          <c:tx>
            <c:strRef>
              <c:f>Component_Level!$B$15</c:f>
              <c:strCache>
                <c:ptCount val="1"/>
                <c:pt idx="0">
                  <c:v>armature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Component_Level!$C$15:$G$15</c:f>
              <c:numCache>
                <c:formatCode>0.00</c:formatCode>
                <c:ptCount val="5"/>
                <c:pt idx="0">
                  <c:v>61.449885494857753</c:v>
                </c:pt>
                <c:pt idx="2">
                  <c:v>51.235300958550937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BD-4362-8652-9D97CD959D0C}"/>
            </c:ext>
          </c:extLst>
        </c:ser>
        <c:ser>
          <c:idx val="9"/>
          <c:order val="9"/>
          <c:tx>
            <c:strRef>
              <c:f>Component_Level!$B$16</c:f>
              <c:strCache>
                <c:ptCount val="1"/>
                <c:pt idx="0">
                  <c:v>Plâtre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Component_Level!$C$16:$G$16</c:f>
              <c:numCache>
                <c:formatCode>0.00</c:formatCode>
                <c:ptCount val="5"/>
                <c:pt idx="0">
                  <c:v>3.3803709451938908</c:v>
                </c:pt>
                <c:pt idx="1">
                  <c:v>-0.28500828102043535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BD-4362-8652-9D97CD959D0C}"/>
            </c:ext>
          </c:extLst>
        </c:ser>
        <c:ser>
          <c:idx val="10"/>
          <c:order val="10"/>
          <c:tx>
            <c:strRef>
              <c:f>Component_Level!$B$17</c:f>
              <c:strCache>
                <c:ptCount val="1"/>
                <c:pt idx="0">
                  <c:v>BLC 100mm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Component_Level!$C$17:$G$17</c:f>
              <c:numCache>
                <c:formatCode>General</c:formatCode>
                <c:ptCount val="5"/>
                <c:pt idx="2" formatCode="0.00">
                  <c:v>12.063809384544193</c:v>
                </c:pt>
                <c:pt idx="3" formatCode="0.00">
                  <c:v>-38.501853266051143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BD-4362-8652-9D97CD959D0C}"/>
            </c:ext>
          </c:extLst>
        </c:ser>
        <c:ser>
          <c:idx val="11"/>
          <c:order val="11"/>
          <c:tx>
            <c:strRef>
              <c:f>Component_Level!$B$18</c:f>
              <c:strCache>
                <c:ptCount val="1"/>
                <c:pt idx="0">
                  <c:v>Membrure CLT 120mm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Component_Level!$C$18:$G$18</c:f>
              <c:numCache>
                <c:formatCode>General</c:formatCode>
                <c:ptCount val="5"/>
                <c:pt idx="4" formatCode="0.00">
                  <c:v>3.8810723104348899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BD-4362-8652-9D97CD959D0C}"/>
            </c:ext>
          </c:extLst>
        </c:ser>
        <c:ser>
          <c:idx val="12"/>
          <c:order val="12"/>
          <c:tx>
            <c:strRef>
              <c:f>Component_Level!$B$19</c:f>
              <c:strCache>
                <c:ptCount val="1"/>
                <c:pt idx="0">
                  <c:v>panneau tri-pli 60mm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Component_Level!$C$19:$G$19</c:f>
              <c:numCache>
                <c:formatCode>General</c:formatCode>
                <c:ptCount val="5"/>
                <c:pt idx="4" formatCode="0.00">
                  <c:v>9.496203354960409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BD-4362-8652-9D97CD959D0C}"/>
            </c:ext>
          </c:extLst>
        </c:ser>
        <c:ser>
          <c:idx val="13"/>
          <c:order val="13"/>
          <c:tx>
            <c:strRef>
              <c:f>Component_Level!$B$20</c:f>
              <c:strCache>
                <c:ptCount val="1"/>
                <c:pt idx="0">
                  <c:v>Panneau CLT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Component_Level!$C$20:$G$20</c:f>
              <c:numCache>
                <c:formatCode>General</c:formatCode>
                <c:ptCount val="5"/>
                <c:pt idx="4" formatCode="0.00">
                  <c:v>9.1720214771361057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BD-4362-8652-9D97CD959D0C}"/>
            </c:ext>
          </c:extLst>
        </c:ser>
        <c:ser>
          <c:idx val="14"/>
          <c:order val="14"/>
          <c:tx>
            <c:strRef>
              <c:f>Component_Level!$B$21</c:f>
              <c:strCache>
                <c:ptCount val="1"/>
                <c:pt idx="0">
                  <c:v>Parquet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Component_Level!$C$21:$G$21</c:f>
              <c:numCache>
                <c:formatCode>0.00</c:formatCode>
                <c:ptCount val="5"/>
                <c:pt idx="0">
                  <c:v>4.9791416232580916</c:v>
                </c:pt>
                <c:pt idx="1">
                  <c:v>-2.5798977486903221</c:v>
                </c:pt>
                <c:pt idx="2">
                  <c:v>11.556417884136533</c:v>
                </c:pt>
                <c:pt idx="3">
                  <c:v>-5.9878546822091474</c:v>
                </c:pt>
                <c:pt idx="4">
                  <c:v>11.541872227519589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BD-4362-8652-9D97CD959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Exterior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Component_Level!$B$34</c:f>
              <c:strCache>
                <c:ptCount val="1"/>
                <c:pt idx="0">
                  <c:v>Crépis 15mm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Component_Level!$C$34:$G$34</c:f>
              <c:numCache>
                <c:formatCode>0.00</c:formatCode>
                <c:ptCount val="5"/>
                <c:pt idx="0">
                  <c:v>9.6344446148323755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3-483A-BDF5-480792F1924D}"/>
            </c:ext>
          </c:extLst>
        </c:ser>
        <c:ser>
          <c:idx val="1"/>
          <c:order val="1"/>
          <c:tx>
            <c:strRef>
              <c:f>Component_Level!$B$35</c:f>
              <c:strCache>
                <c:ptCount val="1"/>
                <c:pt idx="0">
                  <c:v>Isolation EPS RF3 300mm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Component_Level!$C$35:$G$35</c:f>
              <c:numCache>
                <c:formatCode>0.00</c:formatCode>
                <c:ptCount val="5"/>
                <c:pt idx="0">
                  <c:v>43.991659810337921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3-483A-BDF5-480792F1924D}"/>
            </c:ext>
          </c:extLst>
        </c:ser>
        <c:ser>
          <c:idx val="2"/>
          <c:order val="2"/>
          <c:tx>
            <c:strRef>
              <c:f>Component_Level!$B$38</c:f>
              <c:strCache>
                <c:ptCount val="1"/>
                <c:pt idx="0">
                  <c:v>tavillonage 30mm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Component_Level!$C$38:$G$38</c:f>
              <c:numCache>
                <c:formatCode>General</c:formatCode>
                <c:ptCount val="5"/>
                <c:pt idx="2" formatCode="0.00">
                  <c:v>2.9445973914193164</c:v>
                </c:pt>
                <c:pt idx="3" formatCode="0.00">
                  <c:v>-12.440936517485289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3-483A-BDF5-480792F1924D}"/>
            </c:ext>
          </c:extLst>
        </c:ser>
        <c:ser>
          <c:idx val="3"/>
          <c:order val="3"/>
          <c:tx>
            <c:strRef>
              <c:f>Component_Level!$B$39</c:f>
              <c:strCache>
                <c:ptCount val="1"/>
                <c:pt idx="0">
                  <c:v>lattage 60mm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Component_Level!$C$39:$G$39</c:f>
              <c:numCache>
                <c:formatCode>General</c:formatCode>
                <c:ptCount val="5"/>
                <c:pt idx="2" formatCode="0.00">
                  <c:v>2.2090439759511691</c:v>
                </c:pt>
                <c:pt idx="3" formatCode="0.00">
                  <c:v>-5.6360133602168307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3-483A-BDF5-480792F1924D}"/>
            </c:ext>
          </c:extLst>
        </c:ser>
        <c:ser>
          <c:idx val="4"/>
          <c:order val="4"/>
          <c:tx>
            <c:strRef>
              <c:f>Component_Level!$B$40</c:f>
              <c:strCache>
                <c:ptCount val="1"/>
                <c:pt idx="0">
                  <c:v>isolation fibre de bois 60mm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Component_Level!$C$40:$G$40</c:f>
              <c:numCache>
                <c:formatCode>General</c:formatCode>
                <c:ptCount val="5"/>
                <c:pt idx="2" formatCode="0.00">
                  <c:v>17.551191439148543</c:v>
                </c:pt>
                <c:pt idx="3" formatCode="0.00">
                  <c:v>-16.581080672528152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83-483A-BDF5-480792F1924D}"/>
            </c:ext>
          </c:extLst>
        </c:ser>
        <c:ser>
          <c:idx val="5"/>
          <c:order val="5"/>
          <c:tx>
            <c:strRef>
              <c:f>Component_Level!$B$41</c:f>
              <c:strCache>
                <c:ptCount val="1"/>
                <c:pt idx="0">
                  <c:v>Gramitherm 300mm (dans ossature)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Component_Level!$C$41:$G$41</c:f>
              <c:numCache>
                <c:formatCode>General</c:formatCode>
                <c:ptCount val="5"/>
                <c:pt idx="2" formatCode="0.00">
                  <c:v>4.4224991075560256</c:v>
                </c:pt>
                <c:pt idx="3" formatCode="0.00">
                  <c:v>-8.1079150305193792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83-483A-BDF5-480792F1924D}"/>
            </c:ext>
          </c:extLst>
        </c:ser>
        <c:ser>
          <c:idx val="6"/>
          <c:order val="6"/>
          <c:tx>
            <c:strRef>
              <c:f>Component_Level!#REF!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83-483A-BDF5-480792F1924D}"/>
            </c:ext>
          </c:extLst>
        </c:ser>
        <c:ser>
          <c:idx val="7"/>
          <c:order val="7"/>
          <c:tx>
            <c:strRef>
              <c:f>Component_Level!$B$43</c:f>
              <c:strCache>
                <c:ptCount val="1"/>
                <c:pt idx="0">
                  <c:v>Fermacell 15mm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Component_Level!$C$43:$G$43</c:f>
              <c:numCache>
                <c:formatCode>General</c:formatCode>
                <c:ptCount val="5"/>
                <c:pt idx="2" formatCode="0.00">
                  <c:v>14.460685833278244</c:v>
                </c:pt>
                <c:pt idx="3" formatCode="0.00">
                  <c:v>-1.4636117736497651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83-483A-BDF5-480792F1924D}"/>
            </c:ext>
          </c:extLst>
        </c:ser>
        <c:ser>
          <c:idx val="8"/>
          <c:order val="8"/>
          <c:tx>
            <c:strRef>
              <c:f>Component_Level!$B$44</c:f>
              <c:strCache>
                <c:ptCount val="1"/>
                <c:pt idx="0">
                  <c:v>Botte de paille 2x350mm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Component_Level!$C$44:$G$44</c:f>
              <c:numCache>
                <c:formatCode>General</c:formatCode>
                <c:ptCount val="5"/>
                <c:pt idx="4" formatCode="0.00">
                  <c:v>22.108181840512412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83-483A-BDF5-480792F1924D}"/>
            </c:ext>
          </c:extLst>
        </c:ser>
        <c:ser>
          <c:idx val="9"/>
          <c:order val="9"/>
          <c:tx>
            <c:strRef>
              <c:f>Component_Level!$B$45</c:f>
              <c:strCache>
                <c:ptCount val="1"/>
                <c:pt idx="0">
                  <c:v>Enduit minéral extérieur 40mm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Component_Level!$C$45:$G$45</c:f>
              <c:numCache>
                <c:formatCode>General</c:formatCode>
                <c:ptCount val="5"/>
                <c:pt idx="4" formatCode="0.00">
                  <c:v>3.1605303221259486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83-483A-BDF5-480792F1924D}"/>
            </c:ext>
          </c:extLst>
        </c:ser>
        <c:ser>
          <c:idx val="10"/>
          <c:order val="10"/>
          <c:tx>
            <c:strRef>
              <c:f>Component_Level!$B$46</c:f>
              <c:strCache>
                <c:ptCount val="1"/>
                <c:pt idx="0">
                  <c:v>Mur béton 200mm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Component_Level!$C$46:$G$46</c:f>
              <c:numCache>
                <c:formatCode>0.00</c:formatCode>
                <c:ptCount val="5"/>
                <c:pt idx="0">
                  <c:v>37.765195650238198</c:v>
                </c:pt>
                <c:pt idx="2">
                  <c:v>4.3608286860139707</c:v>
                </c:pt>
                <c:pt idx="4">
                  <c:v>5.6723881824965803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83-483A-BDF5-480792F1924D}"/>
            </c:ext>
          </c:extLst>
        </c:ser>
        <c:ser>
          <c:idx val="11"/>
          <c:order val="11"/>
          <c:tx>
            <c:strRef>
              <c:f>Component_Level!$B$47</c:f>
              <c:strCache>
                <c:ptCount val="1"/>
                <c:pt idx="0">
                  <c:v>Armature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Component_Level!$C$47:$G$47</c:f>
              <c:numCache>
                <c:formatCode>0.00</c:formatCode>
                <c:ptCount val="5"/>
                <c:pt idx="0">
                  <c:v>36.317903499398952</c:v>
                </c:pt>
                <c:pt idx="2">
                  <c:v>4.1937067362993323</c:v>
                </c:pt>
                <c:pt idx="4">
                  <c:v>5.4550027631524394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383-483A-BDF5-480792F1924D}"/>
            </c:ext>
          </c:extLst>
        </c:ser>
        <c:ser>
          <c:idx val="12"/>
          <c:order val="12"/>
          <c:tx>
            <c:strRef>
              <c:f>Component_Level!$B$48</c:f>
              <c:strCache>
                <c:ptCount val="1"/>
                <c:pt idx="0">
                  <c:v>Plâtre 10mm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Component_Level!$C$48:$G$48</c:f>
              <c:numCache>
                <c:formatCode>0.00</c:formatCode>
                <c:ptCount val="5"/>
                <c:pt idx="0">
                  <c:v>4.120077040203018</c:v>
                </c:pt>
                <c:pt idx="1">
                  <c:v>-0.34737491652197139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83-483A-BDF5-480792F1924D}"/>
            </c:ext>
          </c:extLst>
        </c:ser>
        <c:ser>
          <c:idx val="13"/>
          <c:order val="13"/>
          <c:tx>
            <c:strRef>
              <c:f>Component_Level!$B$49</c:f>
              <c:strCache>
                <c:ptCount val="1"/>
                <c:pt idx="0">
                  <c:v>Ossature 300mm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Component_Level!$C$49:$G$49</c:f>
              <c:numCache>
                <c:formatCode>General</c:formatCode>
                <c:ptCount val="5"/>
                <c:pt idx="2" formatCode="0.00">
                  <c:v>3.2825954972697824</c:v>
                </c:pt>
                <c:pt idx="3" formatCode="0.00">
                  <c:v>-15.153831823891055</c:v>
                </c:pt>
                <c:pt idx="4" formatCode="0.00">
                  <c:v>10.583953548774925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83-483A-BDF5-480792F1924D}"/>
            </c:ext>
          </c:extLst>
        </c:ser>
        <c:ser>
          <c:idx val="14"/>
          <c:order val="14"/>
          <c:tx>
            <c:strRef>
              <c:f>Component_Level!$B$50</c:f>
              <c:strCache>
                <c:ptCount val="1"/>
                <c:pt idx="0">
                  <c:v>Panneau bois OSB 15mm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Component_Level!$C$50:$G$50</c:f>
              <c:numCache>
                <c:formatCode>General</c:formatCode>
                <c:ptCount val="5"/>
                <c:pt idx="2" formatCode="0.00">
                  <c:v>6.270468147187148</c:v>
                </c:pt>
                <c:pt idx="3" formatCode="0.00">
                  <c:v>-7.2968707245322912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83-483A-BDF5-480792F1924D}"/>
            </c:ext>
          </c:extLst>
        </c:ser>
        <c:ser>
          <c:idx val="16"/>
          <c:order val="15"/>
          <c:tx>
            <c:strRef>
              <c:f>Component_Level!$B$51</c:f>
              <c:strCache>
                <c:ptCount val="1"/>
                <c:pt idx="0">
                  <c:v>Biogenic content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Component_Level!$C$51:$G$51</c:f>
              <c:numCache>
                <c:formatCode>0.00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0-9383-483A-BDF5-480792F19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Component_Level!$B$65</c:f>
              <c:strCache>
                <c:ptCount val="1"/>
                <c:pt idx="0">
                  <c:v>(PV) + substrat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Component_Level!$C$65:$G$65</c:f>
              <c:numCache>
                <c:formatCode>0.00</c:formatCode>
                <c:ptCount val="5"/>
                <c:pt idx="0">
                  <c:v>1.0184374582609856</c:v>
                </c:pt>
                <c:pt idx="1">
                  <c:v>0</c:v>
                </c:pt>
                <c:pt idx="2">
                  <c:v>1.0578118595888146</c:v>
                </c:pt>
                <c:pt idx="3">
                  <c:v>0</c:v>
                </c:pt>
                <c:pt idx="4">
                  <c:v>1.3675867397703245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6-4CBE-9A79-BC78046D0B1D}"/>
            </c:ext>
          </c:extLst>
        </c:ser>
        <c:ser>
          <c:idx val="1"/>
          <c:order val="1"/>
          <c:tx>
            <c:strRef>
              <c:f>Component_Level!$B$66</c:f>
              <c:strCache>
                <c:ptCount val="1"/>
                <c:pt idx="0">
                  <c:v>Natte filtrante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Component_Level!$C$66:$G$66</c:f>
              <c:numCache>
                <c:formatCode>0.00</c:formatCode>
                <c:ptCount val="5"/>
                <c:pt idx="0">
                  <c:v>0.40066615466809136</c:v>
                </c:pt>
                <c:pt idx="1">
                  <c:v>0</c:v>
                </c:pt>
                <c:pt idx="2">
                  <c:v>0.4161565412837972</c:v>
                </c:pt>
                <c:pt idx="3">
                  <c:v>0</c:v>
                </c:pt>
                <c:pt idx="4">
                  <c:v>0.53802589030305548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6-4CBE-9A79-BC78046D0B1D}"/>
            </c:ext>
          </c:extLst>
        </c:ser>
        <c:ser>
          <c:idx val="2"/>
          <c:order val="2"/>
          <c:tx>
            <c:strRef>
              <c:f>Component_Level!$B$67</c:f>
              <c:strCache>
                <c:ptCount val="1"/>
                <c:pt idx="0">
                  <c:v>Natte drainante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Component_Level!$C$67:$G$67</c:f>
              <c:numCache>
                <c:formatCode>0.00</c:formatCode>
                <c:ptCount val="5"/>
                <c:pt idx="0">
                  <c:v>2.3581532656604782</c:v>
                </c:pt>
                <c:pt idx="1">
                  <c:v>0</c:v>
                </c:pt>
                <c:pt idx="2">
                  <c:v>2.4493231969326374</c:v>
                </c:pt>
                <c:pt idx="3">
                  <c:v>0</c:v>
                </c:pt>
                <c:pt idx="4">
                  <c:v>3.1665951701836574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6-4CBE-9A79-BC78046D0B1D}"/>
            </c:ext>
          </c:extLst>
        </c:ser>
        <c:ser>
          <c:idx val="3"/>
          <c:order val="3"/>
          <c:tx>
            <c:strRef>
              <c:f>Component_Level!$B$68</c:f>
              <c:strCache>
                <c:ptCount val="1"/>
                <c:pt idx="0">
                  <c:v>Natte protectrice absorbante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Component_Level!$C$68:$G$68</c:f>
              <c:numCache>
                <c:formatCode>0.00</c:formatCode>
                <c:ptCount val="5"/>
                <c:pt idx="0">
                  <c:v>1.9356834179244022</c:v>
                </c:pt>
                <c:pt idx="1">
                  <c:v>0</c:v>
                </c:pt>
                <c:pt idx="2">
                  <c:v>2.0105199973557211</c:v>
                </c:pt>
                <c:pt idx="3">
                  <c:v>0</c:v>
                </c:pt>
                <c:pt idx="4">
                  <c:v>2.5992906616641096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6-4CBE-9A79-BC78046D0B1D}"/>
            </c:ext>
          </c:extLst>
        </c:ser>
        <c:ser>
          <c:idx val="4"/>
          <c:order val="4"/>
          <c:tx>
            <c:strRef>
              <c:f>Component_Level!$B$69</c:f>
              <c:strCache>
                <c:ptCount val="1"/>
                <c:pt idx="0">
                  <c:v>lé anti-racine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Component_Level!$C$69:$G$69</c:f>
              <c:numCache>
                <c:formatCode>0.00</c:formatCode>
                <c:ptCount val="5"/>
                <c:pt idx="0">
                  <c:v>4.8079938560170961</c:v>
                </c:pt>
                <c:pt idx="1">
                  <c:v>0</c:v>
                </c:pt>
                <c:pt idx="2">
                  <c:v>4.9938784954055659</c:v>
                </c:pt>
                <c:pt idx="3">
                  <c:v>0</c:v>
                </c:pt>
                <c:pt idx="4">
                  <c:v>6.4563106836366648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46-4CBE-9A79-BC78046D0B1D}"/>
            </c:ext>
          </c:extLst>
        </c:ser>
        <c:ser>
          <c:idx val="5"/>
          <c:order val="5"/>
          <c:tx>
            <c:strRef>
              <c:f>Component_Level!$B$70</c:f>
              <c:strCache>
                <c:ptCount val="1"/>
                <c:pt idx="0">
                  <c:v>Etanchéité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Component_Level!$C$70:$G$70</c:f>
              <c:numCache>
                <c:formatCode>0.00</c:formatCode>
                <c:ptCount val="5"/>
                <c:pt idx="0">
                  <c:v>12.860787224522506</c:v>
                </c:pt>
                <c:pt idx="1">
                  <c:v>0</c:v>
                </c:pt>
                <c:pt idx="2">
                  <c:v>13.358005579427513</c:v>
                </c:pt>
                <c:pt idx="3">
                  <c:v>0</c:v>
                </c:pt>
                <c:pt idx="4">
                  <c:v>17.26983029600763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46-4CBE-9A79-BC78046D0B1D}"/>
            </c:ext>
          </c:extLst>
        </c:ser>
        <c:ser>
          <c:idx val="6"/>
          <c:order val="6"/>
          <c:tx>
            <c:strRef>
              <c:f>Component_Level!$B$71</c:f>
              <c:strCache>
                <c:ptCount val="1"/>
                <c:pt idx="0">
                  <c:v>Isolation EPS Lambdaroof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Component_Level!$C$71:$G$71</c:f>
              <c:numCache>
                <c:formatCode>0.00</c:formatCode>
                <c:ptCount val="5"/>
                <c:pt idx="0">
                  <c:v>37.373766194737549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46-4CBE-9A79-BC78046D0B1D}"/>
            </c:ext>
          </c:extLst>
        </c:ser>
        <c:ser>
          <c:idx val="7"/>
          <c:order val="7"/>
          <c:tx>
            <c:strRef>
              <c:f>Component_Level!$B$72</c:f>
              <c:strCache>
                <c:ptCount val="1"/>
                <c:pt idx="0">
                  <c:v>Etanchéité provisoire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Component_Level!$C$72:$G$72</c:f>
              <c:numCache>
                <c:formatCode>0.00</c:formatCode>
                <c:ptCount val="5"/>
                <c:pt idx="0">
                  <c:v>0.13986044143181514</c:v>
                </c:pt>
                <c:pt idx="1">
                  <c:v>0</c:v>
                </c:pt>
                <c:pt idx="2">
                  <c:v>0.14526766708534408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46-4CBE-9A79-BC78046D0B1D}"/>
            </c:ext>
          </c:extLst>
        </c:ser>
        <c:ser>
          <c:idx val="8"/>
          <c:order val="8"/>
          <c:tx>
            <c:strRef>
              <c:f>Component_Level!$B$73</c:f>
              <c:strCache>
                <c:ptCount val="1"/>
                <c:pt idx="0">
                  <c:v>Isolation PIR Premium 120-240mm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Component_Level!$C$73:$G$73</c:f>
              <c:numCache>
                <c:formatCode>General</c:formatCode>
                <c:ptCount val="5"/>
                <c:pt idx="2" formatCode="0.00">
                  <c:v>38.998706947841605</c:v>
                </c:pt>
                <c:pt idx="3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46-4CBE-9A79-BC78046D0B1D}"/>
            </c:ext>
          </c:extLst>
        </c:ser>
        <c:ser>
          <c:idx val="9"/>
          <c:order val="9"/>
          <c:tx>
            <c:strRef>
              <c:f>Component_Level!$B$74</c:f>
              <c:strCache>
                <c:ptCount val="1"/>
                <c:pt idx="0">
                  <c:v>Botte de paille 700mm (257.58)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Component_Level!$C$74:$G$74</c:f>
              <c:numCache>
                <c:formatCode>General</c:formatCode>
                <c:ptCount val="5"/>
                <c:pt idx="4" formatCode="0.00">
                  <c:v>10.49461501181543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46-4CBE-9A79-BC78046D0B1D}"/>
            </c:ext>
          </c:extLst>
        </c:ser>
        <c:ser>
          <c:idx val="10"/>
          <c:order val="10"/>
          <c:tx>
            <c:strRef>
              <c:f>Component_Level!$B$75</c:f>
              <c:strCache>
                <c:ptCount val="1"/>
                <c:pt idx="0">
                  <c:v>OSB 15mm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Component_Level!$C$75:$G$75</c:f>
              <c:numCache>
                <c:formatCode>General</c:formatCode>
                <c:ptCount val="5"/>
                <c:pt idx="2" formatCode="0.00">
                  <c:v>4.0957304158127839</c:v>
                </c:pt>
                <c:pt idx="3" formatCode="0.00">
                  <c:v>-4.766153764791432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046-4CBE-9A79-BC78046D0B1D}"/>
            </c:ext>
          </c:extLst>
        </c:ser>
        <c:ser>
          <c:idx val="11"/>
          <c:order val="11"/>
          <c:tx>
            <c:strRef>
              <c:f>Component_Level!$B$76</c:f>
              <c:strCache>
                <c:ptCount val="1"/>
                <c:pt idx="0">
                  <c:v>Dalle béton 240mm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Component_Level!$C$76:$G$76</c:f>
              <c:numCache>
                <c:formatCode>0.00</c:formatCode>
                <c:ptCount val="5"/>
                <c:pt idx="0">
                  <c:v>20.968071190062773</c:v>
                </c:pt>
                <c:pt idx="1">
                  <c:v>0</c:v>
                </c:pt>
                <c:pt idx="2">
                  <c:v>1.5062133932703112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046-4CBE-9A79-BC78046D0B1D}"/>
            </c:ext>
          </c:extLst>
        </c:ser>
        <c:ser>
          <c:idx val="12"/>
          <c:order val="12"/>
          <c:tx>
            <c:strRef>
              <c:f>Component_Level!$B$77</c:f>
              <c:strCache>
                <c:ptCount val="1"/>
                <c:pt idx="0">
                  <c:v>Armature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Component_Level!$C$77:$G$77</c:f>
              <c:numCache>
                <c:formatCode>0.00</c:formatCode>
                <c:ptCount val="5"/>
                <c:pt idx="0">
                  <c:v>20.164502604514492</c:v>
                </c:pt>
                <c:pt idx="1">
                  <c:v>0</c:v>
                </c:pt>
                <c:pt idx="2">
                  <c:v>1.4484901170093212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46-4CBE-9A79-BC78046D0B1D}"/>
            </c:ext>
          </c:extLst>
        </c:ser>
        <c:ser>
          <c:idx val="13"/>
          <c:order val="13"/>
          <c:tx>
            <c:strRef>
              <c:f>Component_Level!$B$78</c:f>
              <c:strCache>
                <c:ptCount val="1"/>
                <c:pt idx="0">
                  <c:v>Plâtre 10mm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Component_Level!$C$78:$G$78</c:f>
              <c:numCache>
                <c:formatCode>0.00</c:formatCode>
                <c:ptCount val="5"/>
                <c:pt idx="0">
                  <c:v>2.0666298138996479</c:v>
                </c:pt>
                <c:pt idx="1">
                  <c:v>-0.1742431881928676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046-4CBE-9A79-BC78046D0B1D}"/>
            </c:ext>
          </c:extLst>
        </c:ser>
        <c:ser>
          <c:idx val="14"/>
          <c:order val="14"/>
          <c:tx>
            <c:strRef>
              <c:f>Component_Level!$B$79</c:f>
              <c:strCache>
                <c:ptCount val="1"/>
                <c:pt idx="0">
                  <c:v>Dalle BLC massive 180mm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Component_Level!$C$79:$G$79</c:f>
              <c:numCache>
                <c:formatCode>General</c:formatCode>
                <c:ptCount val="5"/>
                <c:pt idx="2" formatCode="0.00">
                  <c:v>0.16605210550670985</c:v>
                </c:pt>
                <c:pt idx="3" formatCode="0.00">
                  <c:v>-0.5299581249127755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046-4CBE-9A79-BC78046D0B1D}"/>
            </c:ext>
          </c:extLst>
        </c:ser>
        <c:ser>
          <c:idx val="15"/>
          <c:order val="15"/>
          <c:tx>
            <c:strRef>
              <c:f>Component_Level!$B$80</c:f>
              <c:strCache>
                <c:ptCount val="1"/>
                <c:pt idx="0">
                  <c:v>Panneau CLT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Component_Level!$C$80:$G$80</c:f>
              <c:numCache>
                <c:formatCode>General</c:formatCode>
                <c:ptCount val="5"/>
                <c:pt idx="4" formatCode="0.00">
                  <c:v>4.2773236287881922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046-4CBE-9A79-BC78046D0B1D}"/>
            </c:ext>
          </c:extLst>
        </c:ser>
        <c:ser>
          <c:idx val="16"/>
          <c:order val="16"/>
          <c:tx>
            <c:strRef>
              <c:f>Component_Level!$B$81</c:f>
              <c:strCache>
                <c:ptCount val="1"/>
                <c:pt idx="0">
                  <c:v>panneau tri-pli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Component_Level!$C$81:$G$81</c:f>
              <c:numCache>
                <c:formatCode>General</c:formatCode>
                <c:ptCount val="5"/>
                <c:pt idx="4" formatCode="0.00">
                  <c:v>6.9193585568591685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046-4CBE-9A79-BC78046D0B1D}"/>
            </c:ext>
          </c:extLst>
        </c:ser>
        <c:ser>
          <c:idx val="17"/>
          <c:order val="17"/>
          <c:tx>
            <c:strRef>
              <c:f>Component_Level!$B$82</c:f>
              <c:strCache>
                <c:ptCount val="1"/>
                <c:pt idx="0">
                  <c:v>Lattage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Component_Level!$C$82:$G$82</c:f>
              <c:numCache>
                <c:formatCode>General</c:formatCode>
                <c:ptCount val="5"/>
                <c:pt idx="4" formatCode="0.00">
                  <c:v>2.0807862758592099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046-4CBE-9A79-BC78046D0B1D}"/>
            </c:ext>
          </c:extLst>
        </c:ser>
        <c:ser>
          <c:idx val="18"/>
          <c:order val="18"/>
          <c:tx>
            <c:strRef>
              <c:f>Component_Level!$B$83</c:f>
              <c:strCache>
                <c:ptCount val="1"/>
                <c:pt idx="0">
                  <c:v>Biogenic content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Component_Level!$C$83:$G$83</c:f>
              <c:numCache>
                <c:formatCode>0.00</c:formatCode>
                <c:ptCount val="5"/>
                <c:pt idx="0">
                  <c:v>-1.0557974934330616</c:v>
                </c:pt>
                <c:pt idx="2">
                  <c:v>-5.2961118897042079</c:v>
                </c:pt>
                <c:pt idx="4">
                  <c:v>-106.80236416400646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046-4CBE-9A79-BC78046D0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1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Component_Level!$B$99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Component_Level!$C$99:$G$99</c:f>
              <c:numCache>
                <c:formatCode>0.00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F663-4C4B-820F-184EAD7CF241}"/>
            </c:ext>
          </c:extLst>
        </c:ser>
        <c:ser>
          <c:idx val="1"/>
          <c:order val="1"/>
          <c:tx>
            <c:strRef>
              <c:f>Component_Level!$B$100</c:f>
              <c:strCache>
                <c:ptCount val="1"/>
                <c:pt idx="0">
                  <c:v>Plaque de plâtre cartonnée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Component_Level!$C$100:$G$100</c:f>
              <c:numCache>
                <c:formatCode>0.00</c:formatCode>
                <c:ptCount val="5"/>
                <c:pt idx="0">
                  <c:v>2.0864333190864159</c:v>
                </c:pt>
                <c:pt idx="1">
                  <c:v>-0.17591287565112859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3-4C4B-820F-184EAD7CF241}"/>
            </c:ext>
          </c:extLst>
        </c:ser>
        <c:ser>
          <c:idx val="2"/>
          <c:order val="2"/>
          <c:tx>
            <c:strRef>
              <c:f>Component_Level!$B$101</c:f>
              <c:strCache>
                <c:ptCount val="1"/>
                <c:pt idx="0">
                  <c:v>Béton pour bâtiment (sans armature)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Component_Level!$C$101:$G$101</c:f>
              <c:numCache>
                <c:formatCode>0.00</c:formatCode>
                <c:ptCount val="5"/>
                <c:pt idx="0">
                  <c:v>17.640831654868435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3-4C4B-820F-184EAD7CF241}"/>
            </c:ext>
          </c:extLst>
        </c:ser>
        <c:ser>
          <c:idx val="3"/>
          <c:order val="3"/>
          <c:tx>
            <c:strRef>
              <c:f>Component_Level!$B$102</c:f>
              <c:strCache>
                <c:ptCount val="1"/>
                <c:pt idx="0">
                  <c:v>Acier d'armature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Component_Level!$C$102:$G$102</c:f>
              <c:numCache>
                <c:formatCode>0.00</c:formatCode>
                <c:ptCount val="5"/>
                <c:pt idx="0">
                  <c:v>16.964774328836647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63-4C4B-820F-184EAD7CF241}"/>
            </c:ext>
          </c:extLst>
        </c:ser>
        <c:ser>
          <c:idx val="4"/>
          <c:order val="4"/>
          <c:tx>
            <c:strRef>
              <c:f>Component_Level!$B$103</c:f>
              <c:strCache>
                <c:ptCount val="1"/>
                <c:pt idx="0">
                  <c:v>Plaque de plâtre cartonnée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Component_Level!$C$103:$G$103</c:f>
              <c:numCache>
                <c:formatCode>0.00</c:formatCode>
                <c:ptCount val="5"/>
                <c:pt idx="0">
                  <c:v>2.0864333190864159</c:v>
                </c:pt>
                <c:pt idx="1">
                  <c:v>-0.17591287565112859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63-4C4B-820F-184EAD7CF241}"/>
            </c:ext>
          </c:extLst>
        </c:ser>
        <c:ser>
          <c:idx val="5"/>
          <c:order val="5"/>
          <c:tx>
            <c:strRef>
              <c:f>Component_Level!$B$104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Component_Level!$C$104:$G$104</c:f>
              <c:numCache>
                <c:formatCode>0.00</c:formatCode>
                <c:ptCount val="5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63-4C4B-820F-184EAD7CF241}"/>
            </c:ext>
          </c:extLst>
        </c:ser>
        <c:ser>
          <c:idx val="6"/>
          <c:order val="6"/>
          <c:tx>
            <c:strRef>
              <c:f>Component_Level!$B$105</c:f>
              <c:strCache>
                <c:ptCount val="1"/>
                <c:pt idx="0">
                  <c:v>Dalle en céramique/grès, 9 mm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Component_Level!$C$105:$G$105</c:f>
              <c:numCache>
                <c:formatCode>0.00</c:formatCode>
                <c:ptCount val="5"/>
                <c:pt idx="0">
                  <c:v>0.6400995058100708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63-4C4B-820F-184EAD7CF241}"/>
            </c:ext>
          </c:extLst>
        </c:ser>
        <c:ser>
          <c:idx val="7"/>
          <c:order val="7"/>
          <c:tx>
            <c:strRef>
              <c:f>Component_Level!$B$106</c:f>
              <c:strCache>
                <c:ptCount val="1"/>
                <c:pt idx="0">
                  <c:v>Dalle en céramique/grès, 9 mm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Component_Level!$C$106:$G$106</c:f>
              <c:numCache>
                <c:formatCode>0.00</c:formatCode>
                <c:ptCount val="5"/>
                <c:pt idx="0">
                  <c:v>14.006174034993991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63-4C4B-820F-184EAD7CF241}"/>
            </c:ext>
          </c:extLst>
        </c:ser>
        <c:ser>
          <c:idx val="8"/>
          <c:order val="8"/>
          <c:tx>
            <c:strRef>
              <c:f>Component_Level!$B$107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Component_Level!$C$107:$G$107</c:f>
              <c:numCache>
                <c:formatCode>0.00</c:formatCode>
                <c:ptCount val="5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63-4C4B-820F-184EAD7CF241}"/>
            </c:ext>
          </c:extLst>
        </c:ser>
        <c:ser>
          <c:idx val="9"/>
          <c:order val="9"/>
          <c:tx>
            <c:strRef>
              <c:f>Component_Level!$B$108</c:f>
              <c:strCache>
                <c:ptCount val="1"/>
                <c:pt idx="0">
                  <c:v>Béton pour bâtiment (sans armature)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Component_Level!$C$4:$G$4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Component_Level!$C$108:$G$108</c:f>
              <c:numCache>
                <c:formatCode>0.00</c:formatCode>
                <c:ptCount val="5"/>
                <c:pt idx="0">
                  <c:v>6.327490873068875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63-4C4B-820F-184EAD7C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1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kgCO2eq/m2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Intermediate</a:t>
            </a:r>
            <a:r>
              <a:rPr lang="en-US" baseline="0"/>
              <a:t> slabs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Component_Level!$I$5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(Component_Level!$J$4,Component_Level!$L$4,Component_Level!$N$4)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(Component_Level!$J$5,Component_Level!$L$5,Component_Level!$N$5)</c:f>
              <c:numCache>
                <c:formatCode>0.00</c:formatCode>
                <c:ptCount val="3"/>
                <c:pt idx="0">
                  <c:v>125.34858902096968</c:v>
                </c:pt>
                <c:pt idx="1">
                  <c:v>116.57617147440558</c:v>
                </c:pt>
                <c:pt idx="2">
                  <c:v>26.665849938849966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63-4B7F-ABDD-CE84D81FEEFD}"/>
            </c:ext>
          </c:extLst>
        </c:ser>
        <c:ser>
          <c:idx val="0"/>
          <c:order val="1"/>
          <c:tx>
            <c:strRef>
              <c:f>Component_Level!$I$6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(Component_Level!$J$4,Component_Level!$L$4,Component_Level!$N$4)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(Component_Level!$J$6,Component_Level!$L$6,Component_Level!$N$6)</c:f>
              <c:numCache>
                <c:formatCode>0.00</c:formatCode>
                <c:ptCount val="3"/>
                <c:pt idx="0">
                  <c:v>34.912536676906633</c:v>
                </c:pt>
                <c:pt idx="1">
                  <c:v>67.392036070699561</c:v>
                </c:pt>
                <c:pt idx="2">
                  <c:v>29.081474729678458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63-4B7F-ABDD-CE84D81FEEFD}"/>
            </c:ext>
          </c:extLst>
        </c:ser>
        <c:ser>
          <c:idx val="1"/>
          <c:order val="2"/>
          <c:tx>
            <c:strRef>
              <c:f>Component_Level!$I$7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(Component_Level!$J$4,Component_Level!$L$4,Component_Level!$N$4)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(Component_Level!$J$7,Component_Level!$L$7,Component_Level!$N$7)</c:f>
              <c:numCache>
                <c:formatCode>0.00</c:formatCode>
                <c:ptCount val="3"/>
                <c:pt idx="0">
                  <c:v>63.056876434709054</c:v>
                </c:pt>
                <c:pt idx="1">
                  <c:v>51.728978435909312</c:v>
                </c:pt>
                <c:pt idx="2">
                  <c:v>38.517801050238376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A63-4B7F-ABDD-CE84D81FE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Component_Level!$I$5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(Component_Level!$J$32,Component_Level!$L$32,Component_Level!$N$32)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(Component_Level!$J$33,Component_Level!$L$33,Component_Level!$N$33)</c:f>
              <c:numCache>
                <c:formatCode>0.00</c:formatCode>
                <c:ptCount val="3"/>
                <c:pt idx="0">
                  <c:v>74.08309914963715</c:v>
                </c:pt>
                <c:pt idx="1">
                  <c:v>18.107599066770234</c:v>
                </c:pt>
                <c:pt idx="2">
                  <c:v>21.711344494423944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B-44E2-A956-EA07E2343DE0}"/>
            </c:ext>
          </c:extLst>
        </c:ser>
        <c:ser>
          <c:idx val="0"/>
          <c:order val="1"/>
          <c:tx>
            <c:strRef>
              <c:f>Component_Level!$I$6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(Component_Level!$J$32,Component_Level!$L$32,Component_Level!$N$32)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(Component_Level!$J$34,Component_Level!$L$34,Component_Level!$N$34)</c:f>
              <c:numCache>
                <c:formatCode>0.00</c:formatCode>
                <c:ptCount val="3"/>
                <c:pt idx="0">
                  <c:v>50.403699712835582</c:v>
                </c:pt>
                <c:pt idx="1">
                  <c:v>27.005140867323327</c:v>
                </c:pt>
                <c:pt idx="2">
                  <c:v>22.108181840512412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3B-44E2-A956-EA07E2343DE0}"/>
            </c:ext>
          </c:extLst>
        </c:ser>
        <c:ser>
          <c:idx val="1"/>
          <c:order val="2"/>
          <c:tx>
            <c:strRef>
              <c:f>Component_Level!$I$7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(Component_Level!$J$32,Component_Level!$L$32,Component_Level!$N$32)</c:f>
              <c:strCache>
                <c:ptCount val="3"/>
                <c:pt idx="0">
                  <c:v>Standard</c:v>
                </c:pt>
                <c:pt idx="1">
                  <c:v>Realistic</c:v>
                </c:pt>
                <c:pt idx="2">
                  <c:v>Advanced</c:v>
                </c:pt>
              </c:strCache>
            </c:strRef>
          </c:cat>
          <c:val>
            <c:numRef>
              <c:f>(Component_Level!$J$35,Component_Level!$L$35,Component_Level!$N$35)</c:f>
              <c:numCache>
                <c:formatCode>0.00</c:formatCode>
                <c:ptCount val="3"/>
                <c:pt idx="0">
                  <c:v>14.438924773774541</c:v>
                </c:pt>
                <c:pt idx="1">
                  <c:v>19.614327200648731</c:v>
                </c:pt>
                <c:pt idx="2">
                  <c:v>3.1605303221259486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3B-44E2-A956-EA07E2343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Component_Level!$I$5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Component_Level!$J$64:$N$64</c:f>
              <c:numCache>
                <c:formatCode>0.00</c:formatCode>
                <c:ptCount val="5"/>
                <c:pt idx="0">
                  <c:v>41.132573794577269</c:v>
                </c:pt>
                <c:pt idx="1">
                  <c:v>0</c:v>
                </c:pt>
                <c:pt idx="2">
                  <c:v>7.2164860315991257</c:v>
                </c:pt>
                <c:pt idx="3">
                  <c:v>-5.2961118897042079</c:v>
                </c:pt>
                <c:pt idx="4">
                  <c:v>13.277468461506572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E-4286-9623-3CE7CC9D463E}"/>
            </c:ext>
          </c:extLst>
        </c:ser>
        <c:ser>
          <c:idx val="0"/>
          <c:order val="1"/>
          <c:tx>
            <c:strRef>
              <c:f>Component_Level!$I$6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Component_Level!$J$65:$N$65</c:f>
              <c:numCache>
                <c:formatCode>0.00</c:formatCode>
                <c:ptCount val="5"/>
                <c:pt idx="0">
                  <c:v>37.373766194737549</c:v>
                </c:pt>
                <c:pt idx="1">
                  <c:v>0</c:v>
                </c:pt>
                <c:pt idx="2">
                  <c:v>38.998706947841605</c:v>
                </c:pt>
                <c:pt idx="3">
                  <c:v>0</c:v>
                </c:pt>
                <c:pt idx="4">
                  <c:v>10.49461501181543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E-4286-9623-3CE7CC9D463E}"/>
            </c:ext>
          </c:extLst>
        </c:ser>
        <c:ser>
          <c:idx val="1"/>
          <c:order val="2"/>
          <c:tx>
            <c:strRef>
              <c:f>Component_Level!$I$7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Component_Level!$J$66:$N$66</c:f>
              <c:numCache>
                <c:formatCode>0.00</c:formatCode>
                <c:ptCount val="5"/>
                <c:pt idx="0">
                  <c:v>25.588211632385022</c:v>
                </c:pt>
                <c:pt idx="1">
                  <c:v>-0.1742431881928676</c:v>
                </c:pt>
                <c:pt idx="2">
                  <c:v>24.430963337079394</c:v>
                </c:pt>
                <c:pt idx="3">
                  <c:v>0</c:v>
                </c:pt>
                <c:pt idx="4">
                  <c:v>31.397639441565442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E-4286-9623-3CE7CC9D4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4"/>
          <c:order val="0"/>
          <c:tx>
            <c:strRef>
              <c:f>Component_Level!$I$5</c:f>
              <c:strCache>
                <c:ptCount val="1"/>
                <c:pt idx="0">
                  <c:v>Structure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Component_Level!$J$98:$N$98</c:f>
              <c:numCache>
                <c:formatCode>0.0</c:formatCode>
                <c:ptCount val="5"/>
                <c:pt idx="0">
                  <c:v>79.963217131917546</c:v>
                </c:pt>
                <c:pt idx="1">
                  <c:v>0</c:v>
                </c:pt>
                <c:pt idx="2">
                  <c:v>44.559787901985409</c:v>
                </c:pt>
                <c:pt idx="3">
                  <c:v>-11.001599788457725</c:v>
                </c:pt>
                <c:pt idx="4">
                  <c:v>42.788135929273253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C-4C0F-A0A9-E6CF4313028D}"/>
            </c:ext>
          </c:extLst>
        </c:ser>
        <c:ser>
          <c:idx val="0"/>
          <c:order val="1"/>
          <c:tx>
            <c:strRef>
              <c:f>Component_Level!$I$6</c:f>
              <c:strCache>
                <c:ptCount val="1"/>
                <c:pt idx="0">
                  <c:v>Insulation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Component_Level!$J$99:$N$99</c:f>
              <c:numCache>
                <c:formatCode>0.0</c:formatCode>
                <c:ptCount val="5"/>
                <c:pt idx="0">
                  <c:v>2.1860596700948305</c:v>
                </c:pt>
                <c:pt idx="1">
                  <c:v>0</c:v>
                </c:pt>
                <c:pt idx="2">
                  <c:v>7.8916843606795801</c:v>
                </c:pt>
                <c:pt idx="3">
                  <c:v>0</c:v>
                </c:pt>
                <c:pt idx="4">
                  <c:v>5.6573785817337594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6C-4C0F-A0A9-E6CF4313028D}"/>
            </c:ext>
          </c:extLst>
        </c:ser>
        <c:ser>
          <c:idx val="1"/>
          <c:order val="2"/>
          <c:tx>
            <c:strRef>
              <c:f>Component_Level!$I$7</c:f>
              <c:strCache>
                <c:ptCount val="1"/>
                <c:pt idx="0">
                  <c:v>Finishing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Component_Level!$J$4:$N$4</c:f>
              <c:strCache>
                <c:ptCount val="5"/>
                <c:pt idx="0">
                  <c:v>Standard</c:v>
                </c:pt>
                <c:pt idx="2">
                  <c:v>Realistic</c:v>
                </c:pt>
                <c:pt idx="4">
                  <c:v>Advanced</c:v>
                </c:pt>
              </c:strCache>
            </c:strRef>
          </c:cat>
          <c:val>
            <c:numRef>
              <c:f>Component_Level!$J$100:$N$100</c:f>
              <c:numCache>
                <c:formatCode>0.0</c:formatCode>
                <c:ptCount val="5"/>
                <c:pt idx="0">
                  <c:v>33.037078243812836</c:v>
                </c:pt>
                <c:pt idx="1">
                  <c:v>-2.0055702495436529</c:v>
                </c:pt>
                <c:pt idx="2">
                  <c:v>77.556912548255895</c:v>
                </c:pt>
                <c:pt idx="3">
                  <c:v>-8.3910724318547416</c:v>
                </c:pt>
                <c:pt idx="4">
                  <c:v>20.562631227768332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6C-4C0F-A0A9-E6CF4313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Intermediate</a:t>
            </a:r>
            <a:r>
              <a:rPr lang="en-US" baseline="0"/>
              <a:t> slabs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Component_Level!$I$12</c:f>
              <c:strCache>
                <c:ptCount val="1"/>
                <c:pt idx="0">
                  <c:v>Structure_BIO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(Component_Level!$K$5,Component_Level!$M$5,Component_Level!$O$5)</c:f>
              <c:numCache>
                <c:formatCode>0.00</c:formatCode>
                <c:ptCount val="3"/>
                <c:pt idx="0">
                  <c:v>0</c:v>
                </c:pt>
                <c:pt idx="1">
                  <c:v>-38.501853266051143</c:v>
                </c:pt>
                <c:pt idx="2">
                  <c:v>-101.40822151168413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C-416B-ADB6-F1656F7E8BB3}"/>
            </c:ext>
          </c:extLst>
        </c:ser>
        <c:ser>
          <c:idx val="3"/>
          <c:order val="1"/>
          <c:tx>
            <c:strRef>
              <c:f>Component_Level!$I$13</c:f>
              <c:strCache>
                <c:ptCount val="1"/>
                <c:pt idx="0">
                  <c:v>Insulation_BIO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(Component_Level!$K$6,Component_Level!$M$6,Component_Level!$O$6)</c:f>
              <c:numCache>
                <c:formatCode>0.00</c:formatCode>
                <c:ptCount val="3"/>
                <c:pt idx="0">
                  <c:v>0</c:v>
                </c:pt>
                <c:pt idx="1">
                  <c:v>-13.18191269474009</c:v>
                </c:pt>
                <c:pt idx="2">
                  <c:v>-12.253445234443017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C-416B-ADB6-F1656F7E8BB3}"/>
            </c:ext>
          </c:extLst>
        </c:ser>
        <c:ser>
          <c:idx val="4"/>
          <c:order val="2"/>
          <c:tx>
            <c:strRef>
              <c:f>Component_Level!$I$14</c:f>
              <c:strCache>
                <c:ptCount val="1"/>
                <c:pt idx="0">
                  <c:v>Finishing_BIO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(Component_Level!$K$7,Component_Level!$M$7,Component_Level!$O$7)</c:f>
              <c:numCache>
                <c:formatCode>0.00</c:formatCode>
                <c:ptCount val="3"/>
                <c:pt idx="0">
                  <c:v>-2.8937597465236031</c:v>
                </c:pt>
                <c:pt idx="1">
                  <c:v>-6.0164165619973113</c:v>
                </c:pt>
                <c:pt idx="2">
                  <c:v>-14.883921766648701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C-416B-ADB6-F1656F7E8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 walls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Component_Level!$I$12</c:f>
              <c:strCache>
                <c:ptCount val="1"/>
                <c:pt idx="0">
                  <c:v>Structure_BIO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(Component_Level!$K$33,Component_Level!$M$33,Component_Level!$O$33)</c:f>
              <c:numCache>
                <c:formatCode>0.00</c:formatCode>
                <c:ptCount val="3"/>
                <c:pt idx="0">
                  <c:v>0</c:v>
                </c:pt>
                <c:pt idx="1">
                  <c:v>-22.450702548423347</c:v>
                </c:pt>
                <c:pt idx="2">
                  <c:v>-28.44154986664455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BB-455B-B1D5-1D98F3DB059C}"/>
            </c:ext>
          </c:extLst>
        </c:ser>
        <c:ser>
          <c:idx val="3"/>
          <c:order val="1"/>
          <c:tx>
            <c:strRef>
              <c:f>Component_Level!$I$13</c:f>
              <c:strCache>
                <c:ptCount val="1"/>
                <c:pt idx="0">
                  <c:v>Insulation_BIO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(Component_Level!$K$34,Component_Level!$M$34,Component_Level!$O$34)</c:f>
              <c:numCache>
                <c:formatCode>0.00</c:formatCode>
                <c:ptCount val="3"/>
                <c:pt idx="0">
                  <c:v>0</c:v>
                </c:pt>
                <c:pt idx="1">
                  <c:v>-24.688995703047532</c:v>
                </c:pt>
                <c:pt idx="2">
                  <c:v>-114.20867801224381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BB-455B-B1D5-1D98F3DB059C}"/>
            </c:ext>
          </c:extLst>
        </c:ser>
        <c:ser>
          <c:idx val="4"/>
          <c:order val="2"/>
          <c:tx>
            <c:strRef>
              <c:f>Component_Level!$I$14</c:f>
              <c:strCache>
                <c:ptCount val="1"/>
                <c:pt idx="0">
                  <c:v>Finishing_BIO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val>
            <c:numRef>
              <c:f>(Component_Level!$K$35,Component_Level!$M$35,Component_Level!$O$35)</c:f>
              <c:numCache>
                <c:formatCode>0.00</c:formatCode>
                <c:ptCount val="3"/>
                <c:pt idx="0">
                  <c:v>-0.34737491652197139</c:v>
                </c:pt>
                <c:pt idx="1">
                  <c:v>-19.540561651351886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BB-455B-B1D5-1D98F3DB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6861823"/>
        <c:axId val="1456852703"/>
      </c:barChart>
      <c:catAx>
        <c:axId val="145686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52703"/>
        <c:crosses val="autoZero"/>
        <c:auto val="1"/>
        <c:lblAlgn val="ctr"/>
        <c:lblOffset val="100"/>
        <c:noMultiLvlLbl val="0"/>
      </c:catAx>
      <c:valAx>
        <c:axId val="1456852703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</a:t>
                </a:r>
                <a:r>
                  <a:rPr lang="fr-CH" baseline="-25000"/>
                  <a:t>2eq</a:t>
                </a:r>
                <a:r>
                  <a:rPr lang="fr-CH"/>
                  <a:t>/m</a:t>
                </a:r>
                <a:r>
                  <a:rPr lang="fr-CH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6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Graphs_Materials!$C$3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Graphs_Materials!$C$4:$C$7</c:f>
              <c:numCache>
                <c:formatCode>0</c:formatCode>
                <c:ptCount val="4"/>
                <c:pt idx="0">
                  <c:v>1984784.08</c:v>
                </c:pt>
                <c:pt idx="1">
                  <c:v>127327.58999999998</c:v>
                </c:pt>
                <c:pt idx="2">
                  <c:v>1292.38744</c:v>
                </c:pt>
                <c:pt idx="3">
                  <c:v>126526.549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C-4F28-9792-36A6EB7D5C95}"/>
            </c:ext>
          </c:extLst>
        </c:ser>
        <c:ser>
          <c:idx val="1"/>
          <c:order val="1"/>
          <c:tx>
            <c:strRef>
              <c:f>Graphs_Materials!$D$3</c:f>
              <c:strCache>
                <c:ptCount val="1"/>
                <c:pt idx="0">
                  <c:v>Realistic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Graphs_Materials!$D$4:$D$7</c:f>
              <c:numCache>
                <c:formatCode>0</c:formatCode>
                <c:ptCount val="4"/>
                <c:pt idx="0">
                  <c:v>1317456.0999999999</c:v>
                </c:pt>
                <c:pt idx="1">
                  <c:v>83806.200000000012</c:v>
                </c:pt>
                <c:pt idx="2">
                  <c:v>18952.350299999998</c:v>
                </c:pt>
                <c:pt idx="3">
                  <c:v>15796.056199999999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4C-4F28-9792-36A6EB7D5C95}"/>
            </c:ext>
          </c:extLst>
        </c:ser>
        <c:ser>
          <c:idx val="2"/>
          <c:order val="2"/>
          <c:tx>
            <c:strRef>
              <c:f>Graphs_Materials!$E$3</c:f>
              <c:strCache>
                <c:ptCount val="1"/>
                <c:pt idx="0">
                  <c:v>Advanced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Graphs_Materials!$E$4:$E$7</c:f>
              <c:numCache>
                <c:formatCode>0</c:formatCode>
                <c:ptCount val="4"/>
                <c:pt idx="0">
                  <c:v>936456.49999999988</c:v>
                </c:pt>
                <c:pt idx="1">
                  <c:v>58600.799999999996</c:v>
                </c:pt>
                <c:pt idx="2">
                  <c:v>131367.375</c:v>
                </c:pt>
                <c:pt idx="3">
                  <c:v>234703.55549999996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4C-4F28-9792-36A6EB7D5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9719983"/>
        <c:axId val="1429745903"/>
      </c:barChart>
      <c:catAx>
        <c:axId val="14297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9745903"/>
        <c:crosses val="autoZero"/>
        <c:auto val="1"/>
        <c:lblAlgn val="ctr"/>
        <c:lblOffset val="100"/>
        <c:noMultiLvlLbl val="0"/>
      </c:catAx>
      <c:valAx>
        <c:axId val="14297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97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Graphs_Materials!$C$3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Graphs_Materials!$C$4:$C$7</c:f>
              <c:numCache>
                <c:formatCode>0</c:formatCode>
                <c:ptCount val="4"/>
                <c:pt idx="0">
                  <c:v>1984784.08</c:v>
                </c:pt>
                <c:pt idx="1">
                  <c:v>127327.58999999998</c:v>
                </c:pt>
                <c:pt idx="2">
                  <c:v>1292.38744</c:v>
                </c:pt>
                <c:pt idx="3">
                  <c:v>126526.549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0-46DA-A2B6-CED35ABCB2F3}"/>
            </c:ext>
          </c:extLst>
        </c:ser>
        <c:ser>
          <c:idx val="1"/>
          <c:order val="1"/>
          <c:tx>
            <c:strRef>
              <c:f>Graphs_Materials!$D$3</c:f>
              <c:strCache>
                <c:ptCount val="1"/>
                <c:pt idx="0">
                  <c:v>Realistic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Graphs_Materials!$D$4:$D$7</c:f>
              <c:numCache>
                <c:formatCode>0</c:formatCode>
                <c:ptCount val="4"/>
                <c:pt idx="0">
                  <c:v>1317456.0999999999</c:v>
                </c:pt>
                <c:pt idx="1">
                  <c:v>83806.200000000012</c:v>
                </c:pt>
                <c:pt idx="2">
                  <c:v>18952.350299999998</c:v>
                </c:pt>
                <c:pt idx="3">
                  <c:v>15796.056199999999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0-46DA-A2B6-CED35ABCB2F3}"/>
            </c:ext>
          </c:extLst>
        </c:ser>
        <c:ser>
          <c:idx val="2"/>
          <c:order val="2"/>
          <c:tx>
            <c:strRef>
              <c:f>Graphs_Materials!$E$3</c:f>
              <c:strCache>
                <c:ptCount val="1"/>
                <c:pt idx="0">
                  <c:v>Advanced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Graphs_Materials!$B$4:$B$7</c:f>
              <c:strCache>
                <c:ptCount val="4"/>
                <c:pt idx="0">
                  <c:v>Concrete</c:v>
                </c:pt>
                <c:pt idx="1">
                  <c:v>Rebars</c:v>
                </c:pt>
                <c:pt idx="2">
                  <c:v>Wood</c:v>
                </c:pt>
                <c:pt idx="3">
                  <c:v>Insulation</c:v>
                </c:pt>
              </c:strCache>
            </c:strRef>
          </c:cat>
          <c:val>
            <c:numRef>
              <c:f>Graphs_Materials!$E$4:$E$7</c:f>
              <c:numCache>
                <c:formatCode>0</c:formatCode>
                <c:ptCount val="4"/>
                <c:pt idx="0">
                  <c:v>936456.49999999988</c:v>
                </c:pt>
                <c:pt idx="1">
                  <c:v>58600.799999999996</c:v>
                </c:pt>
                <c:pt idx="2">
                  <c:v>131367.375</c:v>
                </c:pt>
                <c:pt idx="3">
                  <c:v>234703.55549999996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90-46DA-A2B6-CED35ABCB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9719983"/>
        <c:axId val="1429745903"/>
      </c:barChart>
      <c:catAx>
        <c:axId val="14297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9745903"/>
        <c:crosses val="autoZero"/>
        <c:auto val="1"/>
        <c:lblAlgn val="ctr"/>
        <c:lblOffset val="100"/>
        <c:noMultiLvlLbl val="0"/>
      </c:catAx>
      <c:valAx>
        <c:axId val="1429745903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97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'Baumaterialien Matériaux'!$Y$11:$Y$34</c:f>
              <c:numCache>
                <c:formatCode>0</c:formatCode>
                <c:ptCount val="24"/>
                <c:pt idx="0">
                  <c:v>911</c:v>
                </c:pt>
                <c:pt idx="1">
                  <c:v>872</c:v>
                </c:pt>
                <c:pt idx="2">
                  <c:v>620</c:v>
                </c:pt>
                <c:pt idx="3">
                  <c:v>140</c:v>
                </c:pt>
                <c:pt idx="4">
                  <c:v>276</c:v>
                </c:pt>
                <c:pt idx="5">
                  <c:v>193</c:v>
                </c:pt>
                <c:pt idx="6">
                  <c:v>208</c:v>
                </c:pt>
                <c:pt idx="7">
                  <c:v>497</c:v>
                </c:pt>
                <c:pt idx="8">
                  <c:v>957</c:v>
                </c:pt>
                <c:pt idx="9">
                  <c:v>170</c:v>
                </c:pt>
                <c:pt idx="10">
                  <c:v>96.3</c:v>
                </c:pt>
                <c:pt idx="11">
                  <c:v>190</c:v>
                </c:pt>
                <c:pt idx="12">
                  <c:v>35.4</c:v>
                </c:pt>
                <c:pt idx="13">
                  <c:v>184</c:v>
                </c:pt>
                <c:pt idx="14">
                  <c:v>275</c:v>
                </c:pt>
                <c:pt idx="15">
                  <c:v>428</c:v>
                </c:pt>
                <c:pt idx="16">
                  <c:v>91</c:v>
                </c:pt>
                <c:pt idx="17">
                  <c:v>115</c:v>
                </c:pt>
                <c:pt idx="18">
                  <c:v>6.82</c:v>
                </c:pt>
                <c:pt idx="19">
                  <c:v>32.9</c:v>
                </c:pt>
                <c:pt idx="20">
                  <c:v>5.1599999999999997E-3</c:v>
                </c:pt>
                <c:pt idx="21">
                  <c:v>6.0299999999999998E-3</c:v>
                </c:pt>
                <c:pt idx="22">
                  <c:v>7.0000000000000001E-3</c:v>
                </c:pt>
                <c:pt idx="23">
                  <c:v>8.0499999999999999E-3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4-432B-BC97-F2691D06B8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'Baumaterialien Matériaux'!$AF$11:$AF$34</c:f>
              <c:numCache>
                <c:formatCode>0</c:formatCode>
                <c:ptCount val="24"/>
                <c:pt idx="0">
                  <c:v>210</c:v>
                </c:pt>
                <c:pt idx="1">
                  <c:v>195</c:v>
                </c:pt>
                <c:pt idx="2">
                  <c:v>140</c:v>
                </c:pt>
                <c:pt idx="3">
                  <c:v>31</c:v>
                </c:pt>
                <c:pt idx="4">
                  <c:v>78.400000000000006</c:v>
                </c:pt>
                <c:pt idx="5">
                  <c:v>55.8</c:v>
                </c:pt>
                <c:pt idx="6">
                  <c:v>56.7</c:v>
                </c:pt>
                <c:pt idx="7">
                  <c:v>125</c:v>
                </c:pt>
                <c:pt idx="8">
                  <c:v>226</c:v>
                </c:pt>
                <c:pt idx="9">
                  <c:v>52.5</c:v>
                </c:pt>
                <c:pt idx="10">
                  <c:v>29.4</c:v>
                </c:pt>
                <c:pt idx="11">
                  <c:v>59.6</c:v>
                </c:pt>
                <c:pt idx="12">
                  <c:v>9.51</c:v>
                </c:pt>
                <c:pt idx="13">
                  <c:v>41.8</c:v>
                </c:pt>
                <c:pt idx="14">
                  <c:v>62.4</c:v>
                </c:pt>
                <c:pt idx="15">
                  <c:v>96.9</c:v>
                </c:pt>
                <c:pt idx="16">
                  <c:v>19.5</c:v>
                </c:pt>
                <c:pt idx="17">
                  <c:v>24.8</c:v>
                </c:pt>
                <c:pt idx="18">
                  <c:v>1.71</c:v>
                </c:pt>
                <c:pt idx="19">
                  <c:v>7.44</c:v>
                </c:pt>
                <c:pt idx="20">
                  <c:v>1.8799999999999999E-3</c:v>
                </c:pt>
                <c:pt idx="21">
                  <c:v>2.2000000000000001E-3</c:v>
                </c:pt>
                <c:pt idx="22">
                  <c:v>2.5500000000000002E-3</c:v>
                </c:pt>
                <c:pt idx="23">
                  <c:v>2.9299999999999999E-3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4-432B-BC97-F2691D0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88479"/>
        <c:axId val="950787647"/>
      </c:barChart>
      <c:catAx>
        <c:axId val="95078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7647"/>
        <c:crosses val="autoZero"/>
        <c:auto val="1"/>
        <c:lblAlgn val="ctr"/>
        <c:lblOffset val="100"/>
        <c:noMultiLvlLbl val="0"/>
      </c:catAx>
      <c:valAx>
        <c:axId val="950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sunburst" uniqueId="{B631D940-2CC6-4BD9-A682-0AC013707D33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670202</xdr:colOff>
      <xdr:row>8</xdr:row>
      <xdr:rowOff>111371</xdr:rowOff>
    </xdr:from>
    <xdr:to>
      <xdr:col>4</xdr:col>
      <xdr:colOff>207238</xdr:colOff>
      <xdr:row>21</xdr:row>
      <xdr:rowOff>168227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DF8B77D-FF5A-4B3B-AA39-B223E9A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540" y="1776048"/>
          <a:ext cx="4196959" cy="26552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16</xdr:col>
      <xdr:colOff>632460</xdr:colOff>
      <xdr:row>41</xdr:row>
      <xdr:rowOff>130628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B805FB8-6CEF-4AA3-859A-2EB729E9F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1135380</xdr:colOff>
      <xdr:row>25</xdr:row>
      <xdr:rowOff>30480</xdr:rowOff>
    </xdr:from>
    <xdr:to>
      <xdr:col>4</xdr:col>
      <xdr:colOff>22860</xdr:colOff>
      <xdr:row>25</xdr:row>
      <xdr:rowOff>30480</xdr:rowOff>
    </xdr:to>
    <xdr:cxnSp macro="">
      <xdr:nvCxnSpPr>
        <xdr:cNvPr id="4" name="Connecteur droit 3">
          <a:extLst>
            <a:ext uri="{FF2B5EF4-FFF2-40B4-BE49-F238E27FC236}">
              <a16:creationId xmlns:a16="http://schemas.microsoft.com/office/drawing/2014/main" id="{EB6C73F7-3825-4F99-BD17-DF3CBFDC95F9}"/>
            </a:ext>
          </a:extLst>
        </xdr:cNvPr>
        <xdr:cNvCxnSpPr/>
      </xdr:nvCxnSpPr>
      <xdr:spPr>
        <a:xfrm>
          <a:off x="1988820" y="3939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731520</xdr:colOff>
      <xdr:row>24</xdr:row>
      <xdr:rowOff>0</xdr:rowOff>
    </xdr:from>
    <xdr:ext cx="470642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EDC36005-AF6E-47CF-B70A-695E6912F8E2}"/>
            </a:ext>
          </a:extLst>
        </xdr:cNvPr>
        <xdr:cNvSpPr txBox="1"/>
      </xdr:nvSpPr>
      <xdr:spPr>
        <a:xfrm>
          <a:off x="3771900" y="3710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  <xdr:twoCellAnchor>
    <xdr:from>
      <xdr:col>1</xdr:col>
      <xdr:colOff>1150620</xdr:colOff>
      <xdr:row>27</xdr:row>
      <xdr:rowOff>160020</xdr:rowOff>
    </xdr:from>
    <xdr:to>
      <xdr:col>4</xdr:col>
      <xdr:colOff>38100</xdr:colOff>
      <xdr:row>27</xdr:row>
      <xdr:rowOff>160020</xdr:rowOff>
    </xdr:to>
    <xdr:cxnSp macro="">
      <xdr:nvCxnSpPr>
        <xdr:cNvPr id="7" name="Connecteur droit 6">
          <a:extLst>
            <a:ext uri="{FF2B5EF4-FFF2-40B4-BE49-F238E27FC236}">
              <a16:creationId xmlns:a16="http://schemas.microsoft.com/office/drawing/2014/main" id="{74F5210D-372E-428A-9A23-925F138F4F97}"/>
            </a:ext>
          </a:extLst>
        </xdr:cNvPr>
        <xdr:cNvCxnSpPr/>
      </xdr:nvCxnSpPr>
      <xdr:spPr>
        <a:xfrm>
          <a:off x="2004060" y="446532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26</xdr:row>
      <xdr:rowOff>129540</xdr:rowOff>
    </xdr:from>
    <xdr:ext cx="470642" cy="264560"/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492DC77E-2404-4F48-96AF-4AC56C460657}"/>
            </a:ext>
          </a:extLst>
        </xdr:cNvPr>
        <xdr:cNvSpPr txBox="1"/>
      </xdr:nvSpPr>
      <xdr:spPr>
        <a:xfrm>
          <a:off x="3787140" y="423672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2030</a:t>
          </a:r>
        </a:p>
      </xdr:txBody>
    </xdr:sp>
    <xdr:clientData/>
  </xdr:oneCellAnchor>
  <xdr:twoCellAnchor>
    <xdr:from>
      <xdr:col>1</xdr:col>
      <xdr:colOff>1158240</xdr:colOff>
      <xdr:row>30</xdr:row>
      <xdr:rowOff>38100</xdr:rowOff>
    </xdr:from>
    <xdr:to>
      <xdr:col>4</xdr:col>
      <xdr:colOff>45720</xdr:colOff>
      <xdr:row>30</xdr:row>
      <xdr:rowOff>38100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4EF2CA85-5318-4738-97D5-31079E4EE578}"/>
            </a:ext>
          </a:extLst>
        </xdr:cNvPr>
        <xdr:cNvCxnSpPr/>
      </xdr:nvCxnSpPr>
      <xdr:spPr>
        <a:xfrm>
          <a:off x="2011680" y="493776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754380</xdr:colOff>
      <xdr:row>29</xdr:row>
      <xdr:rowOff>7620</xdr:rowOff>
    </xdr:from>
    <xdr:ext cx="470642" cy="264560"/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A69E9067-574C-486F-BD12-A8D6FE76A1A1}"/>
            </a:ext>
          </a:extLst>
        </xdr:cNvPr>
        <xdr:cNvSpPr txBox="1"/>
      </xdr:nvSpPr>
      <xdr:spPr>
        <a:xfrm>
          <a:off x="3794760" y="470916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2040</a:t>
          </a:r>
        </a:p>
      </xdr:txBody>
    </xdr:sp>
    <xdr:clientData/>
  </xdr:oneCellAnchor>
  <xdr:twoCellAnchor>
    <xdr:from>
      <xdr:col>1</xdr:col>
      <xdr:colOff>1150620</xdr:colOff>
      <xdr:row>32</xdr:row>
      <xdr:rowOff>38100</xdr:rowOff>
    </xdr:from>
    <xdr:to>
      <xdr:col>4</xdr:col>
      <xdr:colOff>38100</xdr:colOff>
      <xdr:row>32</xdr:row>
      <xdr:rowOff>38100</xdr:rowOff>
    </xdr:to>
    <xdr:cxnSp macro="">
      <xdr:nvCxnSpPr>
        <xdr:cNvPr id="11" name="Connecteur droit 10">
          <a:extLst>
            <a:ext uri="{FF2B5EF4-FFF2-40B4-BE49-F238E27FC236}">
              <a16:creationId xmlns:a16="http://schemas.microsoft.com/office/drawing/2014/main" id="{6DE2A530-D764-480B-B6AD-E7925354EB51}"/>
            </a:ext>
          </a:extLst>
        </xdr:cNvPr>
        <xdr:cNvCxnSpPr/>
      </xdr:nvCxnSpPr>
      <xdr:spPr>
        <a:xfrm>
          <a:off x="2004060" y="533400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31</xdr:row>
      <xdr:rowOff>7620</xdr:rowOff>
    </xdr:from>
    <xdr:ext cx="470642" cy="264560"/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68036ACB-7DFA-4A71-808D-992217485008}"/>
            </a:ext>
          </a:extLst>
        </xdr:cNvPr>
        <xdr:cNvSpPr txBox="1"/>
      </xdr:nvSpPr>
      <xdr:spPr>
        <a:xfrm>
          <a:off x="3787140" y="510540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76200</xdr:colOff>
      <xdr:row>34</xdr:row>
      <xdr:rowOff>152400</xdr:rowOff>
    </xdr:from>
    <xdr:to>
      <xdr:col>7</xdr:col>
      <xdr:colOff>967740</xdr:colOff>
      <xdr:row>34</xdr:row>
      <xdr:rowOff>152400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7D2E7B54-6CE3-4700-A293-F77F08851A41}"/>
            </a:ext>
          </a:extLst>
        </xdr:cNvPr>
        <xdr:cNvCxnSpPr/>
      </xdr:nvCxnSpPr>
      <xdr:spPr>
        <a:xfrm>
          <a:off x="4480560" y="5844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312420</xdr:colOff>
      <xdr:row>33</xdr:row>
      <xdr:rowOff>121920</xdr:rowOff>
    </xdr:from>
    <xdr:ext cx="470642" cy="264560"/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84724F7B-84F3-4687-A59A-5AC8827EF41E}"/>
            </a:ext>
          </a:extLst>
        </xdr:cNvPr>
        <xdr:cNvSpPr txBox="1"/>
      </xdr:nvSpPr>
      <xdr:spPr>
        <a:xfrm>
          <a:off x="6263640" y="5615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59615</xdr:colOff>
      <xdr:row>33</xdr:row>
      <xdr:rowOff>185569</xdr:rowOff>
    </xdr:from>
    <xdr:to>
      <xdr:col>7</xdr:col>
      <xdr:colOff>951155</xdr:colOff>
      <xdr:row>33</xdr:row>
      <xdr:rowOff>185569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C12AD16C-B8EB-4C30-BCCC-7378AFD9AD77}"/>
            </a:ext>
          </a:extLst>
        </xdr:cNvPr>
        <xdr:cNvCxnSpPr/>
      </xdr:nvCxnSpPr>
      <xdr:spPr>
        <a:xfrm>
          <a:off x="4461286" y="5671969"/>
          <a:ext cx="2442434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304800</xdr:colOff>
      <xdr:row>32</xdr:row>
      <xdr:rowOff>182880</xdr:rowOff>
    </xdr:from>
    <xdr:ext cx="470642" cy="264560"/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1B5E8D93-8D3A-45A3-9384-DEDC85B92519}"/>
            </a:ext>
          </a:extLst>
        </xdr:cNvPr>
        <xdr:cNvSpPr txBox="1"/>
      </xdr:nvSpPr>
      <xdr:spPr>
        <a:xfrm>
          <a:off x="6256020" y="547878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1077686</xdr:colOff>
      <xdr:row>258</xdr:row>
      <xdr:rowOff>76200</xdr:rowOff>
    </xdr:from>
    <xdr:to>
      <xdr:col>38</xdr:col>
      <xdr:colOff>32657</xdr:colOff>
      <xdr:row>283</xdr:row>
      <xdr:rowOff>87086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79F47B2-D549-391C-D67A-8389819F5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235526</xdr:colOff>
      <xdr:row>10</xdr:row>
      <xdr:rowOff>13855</xdr:rowOff>
    </xdr:from>
    <xdr:to>
      <xdr:col>8</xdr:col>
      <xdr:colOff>803562</xdr:colOff>
      <xdr:row>60</xdr:row>
      <xdr:rowOff>166254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BAB9EAEE-4292-41F4-B219-7F2DB3C53B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526" y="223405"/>
              <a:ext cx="10426411" cy="11325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80828</xdr:colOff>
      <xdr:row>1</xdr:row>
      <xdr:rowOff>127090</xdr:rowOff>
    </xdr:from>
    <xdr:to>
      <xdr:col>24</xdr:col>
      <xdr:colOff>662395</xdr:colOff>
      <xdr:row>40</xdr:row>
      <xdr:rowOff>192950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6EBD650-0DEA-49C8-9B1A-84467E42C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734786</xdr:colOff>
      <xdr:row>40</xdr:row>
      <xdr:rowOff>81642</xdr:rowOff>
    </xdr:from>
    <xdr:to>
      <xdr:col>22</xdr:col>
      <xdr:colOff>476521</xdr:colOff>
      <xdr:row>79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A563B43-E7C6-49B8-BAC3-F13D2F781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54</xdr:row>
      <xdr:rowOff>30480</xdr:rowOff>
    </xdr:from>
    <xdr:to>
      <xdr:col>3</xdr:col>
      <xdr:colOff>2479593</xdr:colOff>
      <xdr:row>86</xdr:row>
      <xdr:rowOff>136353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F57E95B-4EDA-47AE-87BF-F902E7C6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11056620"/>
          <a:ext cx="57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86</xdr:row>
      <xdr:rowOff>83820</xdr:rowOff>
    </xdr:from>
    <xdr:to>
      <xdr:col>3</xdr:col>
      <xdr:colOff>2460543</xdr:colOff>
      <xdr:row>105</xdr:row>
      <xdr:rowOff>22396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66CD8C1-1F53-4209-8401-C85E3D34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" y="17449800"/>
          <a:ext cx="5733333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2567940</xdr:colOff>
      <xdr:row>54</xdr:row>
      <xdr:rowOff>38100</xdr:rowOff>
    </xdr:from>
    <xdr:to>
      <xdr:col>5</xdr:col>
      <xdr:colOff>2873412</xdr:colOff>
      <xdr:row>72</xdr:row>
      <xdr:rowOff>172992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92498F1-14A0-475F-8619-62F73785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8460" y="11064240"/>
          <a:ext cx="6065520" cy="369152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73</xdr:row>
      <xdr:rowOff>0</xdr:rowOff>
    </xdr:from>
    <xdr:to>
      <xdr:col>5</xdr:col>
      <xdr:colOff>2878597</xdr:colOff>
      <xdr:row>92</xdr:row>
      <xdr:rowOff>57149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4E5CE0B-5B93-4076-9511-EDF43C68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9420" y="14790420"/>
          <a:ext cx="6015460" cy="381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736552</xdr:colOff>
      <xdr:row>1</xdr:row>
      <xdr:rowOff>533135</xdr:rowOff>
    </xdr:from>
    <xdr:to>
      <xdr:col>25</xdr:col>
      <xdr:colOff>577781</xdr:colOff>
      <xdr:row>40</xdr:row>
      <xdr:rowOff>78389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8D79903-B138-415B-8176-DC017FED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425" y="740953"/>
          <a:ext cx="11865070" cy="76224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0</xdr:rowOff>
    </xdr:from>
    <xdr:to>
      <xdr:col>3</xdr:col>
      <xdr:colOff>2683885</xdr:colOff>
      <xdr:row>135</xdr:row>
      <xdr:rowOff>115277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D348422-D9DA-4AB6-ADD0-6998C76D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51343"/>
          <a:ext cx="8609524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21771</xdr:rowOff>
    </xdr:from>
    <xdr:to>
      <xdr:col>3</xdr:col>
      <xdr:colOff>2573410</xdr:colOff>
      <xdr:row>149</xdr:row>
      <xdr:rowOff>92782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73FF226-AAF8-4793-9B10-055DC370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8485714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43543</xdr:rowOff>
    </xdr:from>
    <xdr:to>
      <xdr:col>3</xdr:col>
      <xdr:colOff>2613408</xdr:colOff>
      <xdr:row>172</xdr:row>
      <xdr:rowOff>116534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6DE9BB-07BA-4B3E-BB6C-FAE0256E8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68372"/>
          <a:ext cx="8542857" cy="3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27</xdr:row>
      <xdr:rowOff>0</xdr:rowOff>
    </xdr:from>
    <xdr:to>
      <xdr:col>2</xdr:col>
      <xdr:colOff>3372252</xdr:colOff>
      <xdr:row>39</xdr:row>
      <xdr:rowOff>133874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8124761-C116-4375-A92A-DA830048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686926"/>
          <a:ext cx="7162800" cy="227549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3609473</xdr:colOff>
      <xdr:row>25</xdr:row>
      <xdr:rowOff>104273</xdr:rowOff>
    </xdr:from>
    <xdr:to>
      <xdr:col>10</xdr:col>
      <xdr:colOff>745957</xdr:colOff>
      <xdr:row>48</xdr:row>
      <xdr:rowOff>93885</xdr:rowOff>
    </xdr:to>
    <xdr:pic>
      <xdr:nvPicPr>
        <xdr:cNvPr id="3" name="Image 2" descr="Palplanches - Techniques concurrentes">
          <a:extLst>
            <a:ext uri="{FF2B5EF4-FFF2-40B4-BE49-F238E27FC236}">
              <a16:creationId xmlns:a16="http://schemas.microsoft.com/office/drawing/2014/main" id="{D6E80CC3-08DA-4915-89B8-5F928C45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452" y="3481136"/>
          <a:ext cx="4580021" cy="409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898357</xdr:colOff>
      <xdr:row>25</xdr:row>
      <xdr:rowOff>112295</xdr:rowOff>
    </xdr:from>
    <xdr:to>
      <xdr:col>18</xdr:col>
      <xdr:colOff>331169</xdr:colOff>
      <xdr:row>49</xdr:row>
      <xdr:rowOff>121313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5A9FF0-3DCF-4100-9D67-942799A1D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3873" y="3489158"/>
          <a:ext cx="4550243" cy="429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747577</xdr:colOff>
      <xdr:row>0</xdr:row>
      <xdr:rowOff>154304</xdr:rowOff>
    </xdr:from>
    <xdr:to>
      <xdr:col>22</xdr:col>
      <xdr:colOff>485502</xdr:colOff>
      <xdr:row>40</xdr:row>
      <xdr:rowOff>16057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12C60B7-2142-4F23-8BB5-32A8F28B7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734786</xdr:colOff>
      <xdr:row>40</xdr:row>
      <xdr:rowOff>81642</xdr:rowOff>
    </xdr:from>
    <xdr:to>
      <xdr:col>22</xdr:col>
      <xdr:colOff>476521</xdr:colOff>
      <xdr:row>87</xdr:row>
      <xdr:rowOff>137978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8E10C85-1046-4A45-839E-0D47B47A6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747577</xdr:colOff>
      <xdr:row>0</xdr:row>
      <xdr:rowOff>154304</xdr:rowOff>
    </xdr:from>
    <xdr:to>
      <xdr:col>22</xdr:col>
      <xdr:colOff>485502</xdr:colOff>
      <xdr:row>40</xdr:row>
      <xdr:rowOff>16057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759F7A4-C6E8-48F2-A117-E7BE7A610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713014</xdr:colOff>
      <xdr:row>41</xdr:row>
      <xdr:rowOff>5442</xdr:rowOff>
    </xdr:from>
    <xdr:to>
      <xdr:col>22</xdr:col>
      <xdr:colOff>454749</xdr:colOff>
      <xdr:row>88</xdr:row>
      <xdr:rowOff>61778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5F40CEA-E0F6-4456-874D-BA0BF90D5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131670</xdr:colOff>
      <xdr:row>42</xdr:row>
      <xdr:rowOff>132731</xdr:rowOff>
    </xdr:from>
    <xdr:to>
      <xdr:col>29</xdr:col>
      <xdr:colOff>318919</xdr:colOff>
      <xdr:row>70</xdr:row>
      <xdr:rowOff>153220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035E9B7-F21C-4878-92A0-5D71863EE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315496</xdr:colOff>
      <xdr:row>62</xdr:row>
      <xdr:rowOff>126355</xdr:rowOff>
    </xdr:from>
    <xdr:to>
      <xdr:col>37</xdr:col>
      <xdr:colOff>303439</xdr:colOff>
      <xdr:row>91</xdr:row>
      <xdr:rowOff>58509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398DE93-076E-4F3B-9F2A-F7E5F3D6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336097</xdr:colOff>
      <xdr:row>64</xdr:row>
      <xdr:rowOff>55292</xdr:rowOff>
    </xdr:from>
    <xdr:to>
      <xdr:col>47</xdr:col>
      <xdr:colOff>523874</xdr:colOff>
      <xdr:row>97</xdr:row>
      <xdr:rowOff>119062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65C139D-6A34-3607-1D66-9053C853C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446569</xdr:colOff>
      <xdr:row>2</xdr:row>
      <xdr:rowOff>171621</xdr:rowOff>
    </xdr:from>
    <xdr:to>
      <xdr:col>47</xdr:col>
      <xdr:colOff>333769</xdr:colOff>
      <xdr:row>17</xdr:row>
      <xdr:rowOff>114943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B84F1BA7-EACB-13F1-9B79-0575EDBD5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606194</xdr:colOff>
      <xdr:row>19</xdr:row>
      <xdr:rowOff>186316</xdr:rowOff>
    </xdr:from>
    <xdr:to>
      <xdr:col>33</xdr:col>
      <xdr:colOff>521103</xdr:colOff>
      <xdr:row>33</xdr:row>
      <xdr:rowOff>185661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77AF93EC-8681-4435-AB03-75B2B8712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85437</xdr:colOff>
      <xdr:row>34</xdr:row>
      <xdr:rowOff>60256</xdr:rowOff>
    </xdr:from>
    <xdr:to>
      <xdr:col>32</xdr:col>
      <xdr:colOff>826077</xdr:colOff>
      <xdr:row>48</xdr:row>
      <xdr:rowOff>144350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C35B911-CC1B-48B4-ADC6-EDFD2271E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211397</xdr:colOff>
      <xdr:row>19</xdr:row>
      <xdr:rowOff>88793</xdr:rowOff>
    </xdr:from>
    <xdr:to>
      <xdr:col>30</xdr:col>
      <xdr:colOff>118598</xdr:colOff>
      <xdr:row>33</xdr:row>
      <xdr:rowOff>159529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9AD741BF-8FAA-4F48-B489-DFDFA9CA6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92876</xdr:colOff>
      <xdr:row>35</xdr:row>
      <xdr:rowOff>81817</xdr:rowOff>
    </xdr:from>
    <xdr:to>
      <xdr:col>29</xdr:col>
      <xdr:colOff>832142</xdr:colOff>
      <xdr:row>49</xdr:row>
      <xdr:rowOff>165145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8B394B2A-B9FB-40AA-BAA3-79BC5DEB7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381000</xdr:colOff>
      <xdr:row>34</xdr:row>
      <xdr:rowOff>13606</xdr:rowOff>
    </xdr:from>
    <xdr:to>
      <xdr:col>37</xdr:col>
      <xdr:colOff>282487</xdr:colOff>
      <xdr:row>48</xdr:row>
      <xdr:rowOff>90675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6E276CB0-EF6C-41F3-9570-70541B78F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380504</xdr:colOff>
      <xdr:row>20</xdr:row>
      <xdr:rowOff>32656</xdr:rowOff>
    </xdr:from>
    <xdr:to>
      <xdr:col>23</xdr:col>
      <xdr:colOff>295413</xdr:colOff>
      <xdr:row>33</xdr:row>
      <xdr:rowOff>31020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DB362E4-017D-462B-81CD-3464A2ADD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421005</xdr:colOff>
      <xdr:row>17</xdr:row>
      <xdr:rowOff>36195</xdr:rowOff>
    </xdr:from>
    <xdr:to>
      <xdr:col>11</xdr:col>
      <xdr:colOff>725805</xdr:colOff>
      <xdr:row>31</xdr:row>
      <xdr:rowOff>9525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E17FFB-8D4B-113E-F0AD-1CDEB0C05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6</xdr:col>
      <xdr:colOff>304800</xdr:colOff>
      <xdr:row>30</xdr:row>
      <xdr:rowOff>173355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CF8E964-7489-4B84-929A-B9FF809C9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135529</xdr:colOff>
      <xdr:row>1</xdr:row>
      <xdr:rowOff>45720</xdr:rowOff>
    </xdr:from>
    <xdr:to>
      <xdr:col>38</xdr:col>
      <xdr:colOff>573679</xdr:colOff>
      <xdr:row>28</xdr:row>
      <xdr:rowOff>119743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BAB16EA-4E0F-C615-837B-1FEA7719E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94707</xdr:colOff>
      <xdr:row>29</xdr:row>
      <xdr:rowOff>186146</xdr:rowOff>
    </xdr:from>
    <xdr:to>
      <xdr:col>38</xdr:col>
      <xdr:colOff>532857</xdr:colOff>
      <xdr:row>60</xdr:row>
      <xdr:rowOff>21771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6C4D972-4024-40E3-94FD-6C8B6011B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97971</xdr:colOff>
      <xdr:row>60</xdr:row>
      <xdr:rowOff>32657</xdr:rowOff>
    </xdr:from>
    <xdr:to>
      <xdr:col>39</xdr:col>
      <xdr:colOff>751113</xdr:colOff>
      <xdr:row>94</xdr:row>
      <xdr:rowOff>76200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5A59214-5F22-40AF-84B2-42C193613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742950</xdr:colOff>
      <xdr:row>95</xdr:row>
      <xdr:rowOff>111580</xdr:rowOff>
    </xdr:from>
    <xdr:to>
      <xdr:col>39</xdr:col>
      <xdr:colOff>547007</xdr:colOff>
      <xdr:row>129</xdr:row>
      <xdr:rowOff>155123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18F7E56-F832-4245-955D-08295A204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315685</xdr:colOff>
      <xdr:row>1</xdr:row>
      <xdr:rowOff>108858</xdr:rowOff>
    </xdr:from>
    <xdr:to>
      <xdr:col>19</xdr:col>
      <xdr:colOff>159343</xdr:colOff>
      <xdr:row>18</xdr:row>
      <xdr:rowOff>78515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B5CFBBB6-9E53-4B68-B1C3-19F30EF4B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348343</xdr:colOff>
      <xdr:row>29</xdr:row>
      <xdr:rowOff>108857</xdr:rowOff>
    </xdr:from>
    <xdr:to>
      <xdr:col>19</xdr:col>
      <xdr:colOff>192001</xdr:colOff>
      <xdr:row>46</xdr:row>
      <xdr:rowOff>78514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97B850E-B8A7-4770-A497-49581B9C8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391886</xdr:colOff>
      <xdr:row>60</xdr:row>
      <xdr:rowOff>130629</xdr:rowOff>
    </xdr:from>
    <xdr:to>
      <xdr:col>19</xdr:col>
      <xdr:colOff>235544</xdr:colOff>
      <xdr:row>75</xdr:row>
      <xdr:rowOff>100286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2AE2A5DA-C79F-4CFB-A675-0E28A1B59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92</xdr:row>
      <xdr:rowOff>0</xdr:rowOff>
    </xdr:from>
    <xdr:to>
      <xdr:col>18</xdr:col>
      <xdr:colOff>692743</xdr:colOff>
      <xdr:row>106</xdr:row>
      <xdr:rowOff>165600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172EF63E-9E91-4383-A4A7-862D6B416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54429</xdr:colOff>
      <xdr:row>2</xdr:row>
      <xdr:rowOff>10886</xdr:rowOff>
    </xdr:from>
    <xdr:to>
      <xdr:col>22</xdr:col>
      <xdr:colOff>747173</xdr:colOff>
      <xdr:row>18</xdr:row>
      <xdr:rowOff>176486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73B0568-8064-4517-8867-E198F975D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30</xdr:row>
      <xdr:rowOff>0</xdr:rowOff>
    </xdr:from>
    <xdr:to>
      <xdr:col>23</xdr:col>
      <xdr:colOff>692744</xdr:colOff>
      <xdr:row>46</xdr:row>
      <xdr:rowOff>165600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945712C2-C571-46D1-845A-CE55DFC0F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110490</xdr:colOff>
      <xdr:row>1</xdr:row>
      <xdr:rowOff>26670</xdr:rowOff>
    </xdr:from>
    <xdr:to>
      <xdr:col>12</xdr:col>
      <xdr:colOff>415290</xdr:colOff>
      <xdr:row>14</xdr:row>
      <xdr:rowOff>194310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CF2DE3E-A805-5DEC-CACB-6E1728337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118110</xdr:colOff>
      <xdr:row>15</xdr:row>
      <xdr:rowOff>24765</xdr:rowOff>
    </xdr:from>
    <xdr:to>
      <xdr:col>12</xdr:col>
      <xdr:colOff>436245</xdr:colOff>
      <xdr:row>28</xdr:row>
      <xdr:rowOff>194310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DB76335-2F4E-4262-8FBA-25F104C23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175278</xdr:colOff>
      <xdr:row>1</xdr:row>
      <xdr:rowOff>15511</xdr:rowOff>
    </xdr:from>
    <xdr:to>
      <xdr:col>21</xdr:col>
      <xdr:colOff>251007</xdr:colOff>
      <xdr:row>10</xdr:row>
      <xdr:rowOff>388743</xdr:rowOff>
    </xdr:to>
    <xdr:pic>
      <xdr:nvPicPr>
        <xdr:cNvPr id="2" name="Image 1" descr="Le Radier, un système de fondation avec beaucoup de préjugés">
          <a:extLst>
            <a:ext uri="{FF2B5EF4-FFF2-40B4-BE49-F238E27FC236}">
              <a16:creationId xmlns:a16="http://schemas.microsoft.com/office/drawing/2014/main" id="{339214E8-9375-43E8-B1D8-C1A8CFCE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8707" y="723082"/>
          <a:ext cx="3405396" cy="2573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154779</xdr:colOff>
      <xdr:row>7</xdr:row>
      <xdr:rowOff>40317</xdr:rowOff>
    </xdr:from>
    <xdr:to>
      <xdr:col>21</xdr:col>
      <xdr:colOff>223661</xdr:colOff>
      <xdr:row>24</xdr:row>
      <xdr:rowOff>3749</xdr:rowOff>
    </xdr:to>
    <xdr:pic>
      <xdr:nvPicPr>
        <xdr:cNvPr id="3" name="Image 2" descr="Radier thermique Jackon avec XPS">
          <a:extLst>
            <a:ext uri="{FF2B5EF4-FFF2-40B4-BE49-F238E27FC236}">
              <a16:creationId xmlns:a16="http://schemas.microsoft.com/office/drawing/2014/main" id="{C0C265E0-F64F-412F-8996-84CE509D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0194" y="2373209"/>
          <a:ext cx="3398236" cy="199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39338</xdr:colOff>
      <xdr:row>24</xdr:row>
      <xdr:rowOff>174988</xdr:rowOff>
    </xdr:from>
    <xdr:to>
      <xdr:col>22</xdr:col>
      <xdr:colOff>129810</xdr:colOff>
      <xdr:row>36</xdr:row>
      <xdr:rowOff>117291</xdr:rowOff>
    </xdr:to>
    <xdr:pic>
      <xdr:nvPicPr>
        <xdr:cNvPr id="4" name="Image 3" descr="Keller als weiße Wanne">
          <a:extLst>
            <a:ext uri="{FF2B5EF4-FFF2-40B4-BE49-F238E27FC236}">
              <a16:creationId xmlns:a16="http://schemas.microsoft.com/office/drawing/2014/main" id="{33C80598-254F-4D5A-A265-C4678B2B2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2767" y="5971631"/>
          <a:ext cx="4233031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243840</xdr:colOff>
      <xdr:row>14</xdr:row>
      <xdr:rowOff>45720</xdr:rowOff>
    </xdr:from>
    <xdr:to>
      <xdr:col>40</xdr:col>
      <xdr:colOff>662940</xdr:colOff>
      <xdr:row>29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93D2098-D49F-4602-80D7-DB24DE1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BOB_materiau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umaterialien Matériaux"/>
      <sheetName val="Gebäudetechnik Technique du bât"/>
      <sheetName val="Transporte Transports"/>
      <sheetName val="Energie Energie"/>
      <sheetName val="categorie Materiau"/>
    </sheetNames>
    <sheetDataSet>
      <sheetData sheetId="0">
        <row r="1">
          <cell r="A1"/>
          <cell r="AK1"/>
          <cell r="AL1"/>
        </row>
        <row r="2">
          <cell r="A2"/>
        </row>
        <row r="3">
          <cell r="A3"/>
        </row>
        <row r="4">
          <cell r="A4" t="str">
            <v>ID-Nummer</v>
          </cell>
        </row>
        <row r="5">
          <cell r="A5" t="str">
            <v>No d'identi-fication</v>
          </cell>
        </row>
        <row r="6">
          <cell r="A6"/>
        </row>
        <row r="7">
          <cell r="A7"/>
        </row>
        <row r="8">
          <cell r="A8"/>
        </row>
        <row r="9">
          <cell r="A9"/>
          <cell r="AK9" t="str">
            <v>Materiau</v>
          </cell>
          <cell r="AL9" t="str">
            <v>quantité [kg/m2]</v>
          </cell>
        </row>
        <row r="10">
          <cell r="A10">
            <v>0</v>
          </cell>
        </row>
        <row r="11">
          <cell r="A11" t="str">
            <v>00.001</v>
          </cell>
          <cell r="AK11" t="str">
            <v>concrete</v>
          </cell>
        </row>
        <row r="12">
          <cell r="A12" t="str">
            <v>00.002</v>
          </cell>
          <cell r="AK12" t="str">
            <v>concrete</v>
          </cell>
        </row>
        <row r="13">
          <cell r="A13" t="str">
            <v>00.003</v>
          </cell>
          <cell r="AK13" t="str">
            <v>concrete</v>
          </cell>
        </row>
        <row r="14">
          <cell r="A14" t="str">
            <v>00.004</v>
          </cell>
          <cell r="AK14" t="str">
            <v>concrete</v>
          </cell>
        </row>
        <row r="15">
          <cell r="A15" t="str">
            <v>00.005</v>
          </cell>
          <cell r="AK15" t="str">
            <v>concrete</v>
          </cell>
        </row>
        <row r="16">
          <cell r="A16" t="str">
            <v>00.006</v>
          </cell>
          <cell r="AK16" t="str">
            <v>concrete</v>
          </cell>
        </row>
        <row r="17">
          <cell r="A17" t="str">
            <v>00.007</v>
          </cell>
          <cell r="AK17" t="str">
            <v>concrete</v>
          </cell>
        </row>
        <row r="18">
          <cell r="A18" t="str">
            <v>00.008</v>
          </cell>
          <cell r="AK18" t="str">
            <v>concrete</v>
          </cell>
        </row>
        <row r="19">
          <cell r="A19" t="str">
            <v>00.009</v>
          </cell>
          <cell r="AK19" t="str">
            <v>concrete</v>
          </cell>
        </row>
        <row r="20">
          <cell r="A20" t="str">
            <v>00.010</v>
          </cell>
          <cell r="AK20" t="str">
            <v>concrete</v>
          </cell>
        </row>
        <row r="21">
          <cell r="A21" t="str">
            <v>00.011</v>
          </cell>
          <cell r="AK21" t="str">
            <v>concrete</v>
          </cell>
        </row>
        <row r="22">
          <cell r="A22" t="str">
            <v>00.012</v>
          </cell>
          <cell r="AK22" t="str">
            <v>concrete</v>
          </cell>
        </row>
        <row r="23">
          <cell r="A23" t="str">
            <v>00.013</v>
          </cell>
          <cell r="AK23" t="str">
            <v>concrete</v>
          </cell>
        </row>
        <row r="24">
          <cell r="A24" t="str">
            <v>00.014</v>
          </cell>
          <cell r="AK24" t="str">
            <v>concrete</v>
          </cell>
        </row>
        <row r="25">
          <cell r="A25" t="str">
            <v>00.015</v>
          </cell>
          <cell r="AK25" t="str">
            <v>concrete</v>
          </cell>
        </row>
        <row r="26">
          <cell r="A26" t="str">
            <v>00.016</v>
          </cell>
          <cell r="AK26" t="str">
            <v>concrete</v>
          </cell>
        </row>
        <row r="27">
          <cell r="A27" t="str">
            <v>00.017</v>
          </cell>
          <cell r="AK27" t="str">
            <v>metal</v>
          </cell>
        </row>
        <row r="28">
          <cell r="A28" t="str">
            <v>00.018</v>
          </cell>
          <cell r="AK28" t="str">
            <v>metal</v>
          </cell>
        </row>
        <row r="29">
          <cell r="A29" t="str">
            <v>00.019</v>
          </cell>
          <cell r="AK29" t="str">
            <v>concrete</v>
          </cell>
        </row>
        <row r="30">
          <cell r="A30" t="str">
            <v>00.020</v>
          </cell>
          <cell r="AK30" t="str">
            <v>concrete</v>
          </cell>
        </row>
        <row r="31">
          <cell r="A31" t="str">
            <v>00.021</v>
          </cell>
          <cell r="AK31" t="str">
            <v>autre</v>
          </cell>
        </row>
        <row r="32">
          <cell r="A32" t="str">
            <v>00.022</v>
          </cell>
          <cell r="AK32" t="str">
            <v>autre</v>
          </cell>
        </row>
        <row r="33">
          <cell r="A33" t="str">
            <v>00.023</v>
          </cell>
          <cell r="AK33" t="str">
            <v>autre</v>
          </cell>
        </row>
        <row r="34">
          <cell r="A34" t="str">
            <v>00.024</v>
          </cell>
          <cell r="AK34" t="str">
            <v>autre</v>
          </cell>
        </row>
        <row r="35">
          <cell r="A35" t="str">
            <v>01</v>
          </cell>
          <cell r="AL35"/>
        </row>
        <row r="36">
          <cell r="A36">
            <v>1.0009999999999999</v>
          </cell>
          <cell r="AK36" t="str">
            <v>concrete</v>
          </cell>
          <cell r="AL36"/>
        </row>
        <row r="37">
          <cell r="A37">
            <v>1.0019999999999998</v>
          </cell>
          <cell r="AK37" t="str">
            <v>concrete</v>
          </cell>
          <cell r="AL37"/>
        </row>
        <row r="38">
          <cell r="A38">
            <v>1.0029999999999997</v>
          </cell>
          <cell r="AK38" t="str">
            <v>concrete</v>
          </cell>
          <cell r="AL38"/>
        </row>
        <row r="39">
          <cell r="A39">
            <v>1.0039999999999996</v>
          </cell>
          <cell r="AK39" t="str">
            <v>concrete</v>
          </cell>
          <cell r="AL39"/>
        </row>
        <row r="40">
          <cell r="A40" t="str">
            <v>01.041</v>
          </cell>
          <cell r="AK40" t="str">
            <v>concrete</v>
          </cell>
        </row>
        <row r="41">
          <cell r="A41" t="str">
            <v>01.042</v>
          </cell>
          <cell r="AK41" t="str">
            <v>concrete</v>
          </cell>
        </row>
        <row r="42">
          <cell r="A42" t="str">
            <v>01.043</v>
          </cell>
          <cell r="AK42" t="str">
            <v>autre</v>
          </cell>
        </row>
        <row r="43">
          <cell r="A43" t="str">
            <v>01.043.01</v>
          </cell>
          <cell r="AK43" t="str">
            <v>autre</v>
          </cell>
        </row>
        <row r="44">
          <cell r="A44" t="str">
            <v>02</v>
          </cell>
        </row>
        <row r="45">
          <cell r="A45" t="str">
            <v>02.001</v>
          </cell>
          <cell r="AK45" t="str">
            <v>stone</v>
          </cell>
        </row>
        <row r="46">
          <cell r="A46" t="str">
            <v>02.001.01</v>
          </cell>
          <cell r="AK46" t="str">
            <v>stone</v>
          </cell>
        </row>
        <row r="47">
          <cell r="A47" t="str">
            <v>02.002</v>
          </cell>
          <cell r="AK47" t="str">
            <v>stone</v>
          </cell>
        </row>
        <row r="48">
          <cell r="A48" t="str">
            <v>02.002.01</v>
          </cell>
          <cell r="AK48" t="str">
            <v>stone</v>
          </cell>
        </row>
        <row r="49">
          <cell r="A49" t="str">
            <v>02.002.02</v>
          </cell>
          <cell r="AK49" t="str">
            <v>stone</v>
          </cell>
        </row>
        <row r="50">
          <cell r="A50" t="str">
            <v>02.003</v>
          </cell>
          <cell r="AK50" t="str">
            <v>stone</v>
          </cell>
        </row>
        <row r="51">
          <cell r="A51" t="str">
            <v>02.004</v>
          </cell>
          <cell r="AK51" t="str">
            <v>stone</v>
          </cell>
        </row>
        <row r="52">
          <cell r="A52" t="str">
            <v>02.005</v>
          </cell>
          <cell r="AK52" t="str">
            <v>stone</v>
          </cell>
        </row>
        <row r="53">
          <cell r="A53" t="str">
            <v>02.006</v>
          </cell>
          <cell r="AK53" t="str">
            <v>concrete</v>
          </cell>
        </row>
        <row r="54">
          <cell r="A54" t="str">
            <v>02.007</v>
          </cell>
          <cell r="AK54" t="str">
            <v>concrete</v>
          </cell>
        </row>
        <row r="55">
          <cell r="A55" t="str">
            <v>02.007.01</v>
          </cell>
          <cell r="AK55" t="str">
            <v>autre</v>
          </cell>
        </row>
        <row r="56">
          <cell r="A56" t="str">
            <v>02.007.02</v>
          </cell>
          <cell r="AK56" t="str">
            <v>vegetal_fiber</v>
          </cell>
        </row>
        <row r="57">
          <cell r="A57" t="str">
            <v>03</v>
          </cell>
        </row>
        <row r="58">
          <cell r="A58" t="str">
            <v>03.021</v>
          </cell>
          <cell r="AK58" t="str">
            <v>concrete</v>
          </cell>
        </row>
        <row r="59">
          <cell r="A59" t="str">
            <v>03.001</v>
          </cell>
          <cell r="AK59" t="str">
            <v>concrete</v>
          </cell>
        </row>
        <row r="60">
          <cell r="A60" t="str">
            <v>03.002</v>
          </cell>
          <cell r="AK60" t="str">
            <v>concrete</v>
          </cell>
        </row>
        <row r="61">
          <cell r="A61" t="str">
            <v>03.003</v>
          </cell>
          <cell r="AK61" t="str">
            <v>concrete</v>
          </cell>
        </row>
        <row r="62">
          <cell r="A62" t="str">
            <v>03.004</v>
          </cell>
          <cell r="AK62" t="str">
            <v>concrete</v>
          </cell>
        </row>
        <row r="63">
          <cell r="A63" t="str">
            <v>03.005</v>
          </cell>
          <cell r="AK63" t="str">
            <v>glass</v>
          </cell>
        </row>
        <row r="64">
          <cell r="A64" t="str">
            <v>03.006</v>
          </cell>
          <cell r="AK64" t="str">
            <v>glass</v>
          </cell>
        </row>
        <row r="65">
          <cell r="A65" t="str">
            <v>03.007</v>
          </cell>
          <cell r="AK65" t="str">
            <v>gypsum</v>
          </cell>
        </row>
        <row r="66">
          <cell r="A66" t="str">
            <v>03.008</v>
          </cell>
          <cell r="AK66" t="str">
            <v>gypsum</v>
          </cell>
        </row>
        <row r="67">
          <cell r="A67" t="str">
            <v>03.016</v>
          </cell>
          <cell r="AK67" t="str">
            <v>gypsum</v>
          </cell>
        </row>
        <row r="68">
          <cell r="A68" t="str">
            <v>03.009</v>
          </cell>
          <cell r="AK68" t="str">
            <v>stone</v>
          </cell>
        </row>
        <row r="69">
          <cell r="A69" t="str">
            <v>03.017</v>
          </cell>
          <cell r="AK69" t="str">
            <v>stone</v>
          </cell>
        </row>
        <row r="70">
          <cell r="A70" t="str">
            <v>03.010</v>
          </cell>
          <cell r="AK70" t="str">
            <v>stone</v>
          </cell>
        </row>
        <row r="71">
          <cell r="A71" t="str">
            <v>03.011</v>
          </cell>
          <cell r="AK71" t="str">
            <v>stone</v>
          </cell>
        </row>
        <row r="72">
          <cell r="A72" t="str">
            <v>03.022</v>
          </cell>
          <cell r="AK72" t="str">
            <v>stone</v>
          </cell>
        </row>
        <row r="73">
          <cell r="A73" t="str">
            <v>03.012</v>
          </cell>
          <cell r="AK73" t="str">
            <v>stone</v>
          </cell>
        </row>
        <row r="74">
          <cell r="A74" t="str">
            <v>03.013</v>
          </cell>
          <cell r="AK74" t="str">
            <v>stone</v>
          </cell>
        </row>
        <row r="75">
          <cell r="A75" t="str">
            <v>03.014</v>
          </cell>
          <cell r="AK75" t="str">
            <v>stone</v>
          </cell>
        </row>
        <row r="76">
          <cell r="A76" t="str">
            <v>03.020</v>
          </cell>
          <cell r="AK76" t="str">
            <v>autre</v>
          </cell>
        </row>
        <row r="77">
          <cell r="A77" t="str">
            <v>03.015</v>
          </cell>
          <cell r="AK77" t="str">
            <v>autre</v>
          </cell>
        </row>
        <row r="78">
          <cell r="A78" t="str">
            <v>04</v>
          </cell>
        </row>
        <row r="79">
          <cell r="A79" t="str">
            <v>04.008</v>
          </cell>
          <cell r="AK79" t="str">
            <v>autre</v>
          </cell>
        </row>
        <row r="80">
          <cell r="A80" t="str">
            <v>04.010</v>
          </cell>
          <cell r="AK80" t="str">
            <v>autre</v>
          </cell>
        </row>
        <row r="81">
          <cell r="A81" t="str">
            <v>04.002</v>
          </cell>
          <cell r="AK81" t="str">
            <v>autre</v>
          </cell>
        </row>
        <row r="82">
          <cell r="A82" t="str">
            <v>04.017</v>
          </cell>
          <cell r="AK82" t="str">
            <v>autre</v>
          </cell>
        </row>
        <row r="83">
          <cell r="A83">
            <v>4.0010000000000003</v>
          </cell>
          <cell r="AK83" t="str">
            <v>autre</v>
          </cell>
        </row>
        <row r="84">
          <cell r="A84">
            <v>4.0030000000000001</v>
          </cell>
          <cell r="AK84" t="str">
            <v>autre</v>
          </cell>
        </row>
        <row r="85">
          <cell r="A85" t="str">
            <v>04.013</v>
          </cell>
          <cell r="AK85" t="str">
            <v>autre</v>
          </cell>
        </row>
        <row r="86">
          <cell r="A86" t="str">
            <v>04.004</v>
          </cell>
          <cell r="AK86" t="str">
            <v>autre</v>
          </cell>
        </row>
        <row r="87">
          <cell r="A87" t="str">
            <v>04.015</v>
          </cell>
          <cell r="AK87" t="str">
            <v>autre</v>
          </cell>
        </row>
        <row r="88">
          <cell r="A88" t="str">
            <v>04.011</v>
          </cell>
          <cell r="AK88" t="str">
            <v>autre</v>
          </cell>
        </row>
        <row r="89">
          <cell r="A89" t="str">
            <v>04.012</v>
          </cell>
          <cell r="AK89" t="str">
            <v>autre</v>
          </cell>
        </row>
        <row r="90">
          <cell r="A90" t="str">
            <v>04.016</v>
          </cell>
          <cell r="AK90" t="str">
            <v>autre</v>
          </cell>
        </row>
        <row r="91">
          <cell r="A91" t="str">
            <v>04.005</v>
          </cell>
          <cell r="AK91" t="str">
            <v>autre</v>
          </cell>
        </row>
        <row r="92">
          <cell r="A92" t="str">
            <v>04.006</v>
          </cell>
          <cell r="AK92" t="str">
            <v>concrete</v>
          </cell>
        </row>
        <row r="93">
          <cell r="A93" t="str">
            <v>04.007</v>
          </cell>
          <cell r="AK93" t="str">
            <v>oil_product</v>
          </cell>
        </row>
        <row r="94">
          <cell r="A94" t="str">
            <v>04.014</v>
          </cell>
          <cell r="AK94" t="str">
            <v>concrete</v>
          </cell>
        </row>
        <row r="95">
          <cell r="A95">
            <v>4.0090000000000003</v>
          </cell>
          <cell r="AK95" t="str">
            <v>concrete</v>
          </cell>
        </row>
        <row r="96">
          <cell r="A96" t="str">
            <v>05</v>
          </cell>
        </row>
        <row r="97">
          <cell r="A97" t="str">
            <v>05.008</v>
          </cell>
          <cell r="AK97" t="str">
            <v>metal</v>
          </cell>
        </row>
        <row r="98">
          <cell r="A98" t="str">
            <v>05.022</v>
          </cell>
          <cell r="AK98" t="str">
            <v>metal</v>
          </cell>
        </row>
        <row r="99">
          <cell r="A99" t="str">
            <v>05.023</v>
          </cell>
          <cell r="AK99" t="str">
            <v>autre</v>
          </cell>
        </row>
        <row r="100">
          <cell r="A100" t="str">
            <v>05.025</v>
          </cell>
          <cell r="AK100" t="str">
            <v>stone</v>
          </cell>
        </row>
        <row r="101">
          <cell r="A101" t="str">
            <v>05.024</v>
          </cell>
          <cell r="AK101" t="str">
            <v>glass</v>
          </cell>
        </row>
        <row r="102">
          <cell r="A102" t="str">
            <v>05.004</v>
          </cell>
          <cell r="AK102" t="str">
            <v>metal</v>
          </cell>
        </row>
        <row r="103">
          <cell r="A103" t="str">
            <v>05.004.01</v>
          </cell>
          <cell r="AK103" t="str">
            <v>metal</v>
          </cell>
        </row>
        <row r="104">
          <cell r="A104" t="str">
            <v>05.005</v>
          </cell>
          <cell r="AK104" t="str">
            <v>timber</v>
          </cell>
          <cell r="AL104">
            <v>17</v>
          </cell>
        </row>
        <row r="105">
          <cell r="A105" t="str">
            <v>05.005.01</v>
          </cell>
          <cell r="AK105" t="str">
            <v>timber</v>
          </cell>
        </row>
        <row r="106">
          <cell r="A106" t="str">
            <v>05.006</v>
          </cell>
          <cell r="AK106" t="str">
            <v>timber</v>
          </cell>
          <cell r="AL106">
            <v>20</v>
          </cell>
        </row>
        <row r="107">
          <cell r="A107" t="str">
            <v>05.006.01</v>
          </cell>
          <cell r="AK107" t="str">
            <v>timber</v>
          </cell>
        </row>
        <row r="108">
          <cell r="A108" t="str">
            <v>05.007</v>
          </cell>
          <cell r="AK108" t="str">
            <v>oil_product</v>
          </cell>
          <cell r="AL108">
            <v>94.5</v>
          </cell>
        </row>
        <row r="109">
          <cell r="A109" t="str">
            <v>05.001</v>
          </cell>
          <cell r="AK109" t="str">
            <v>glass</v>
          </cell>
          <cell r="AL109">
            <v>30.3</v>
          </cell>
        </row>
        <row r="110">
          <cell r="A110" t="str">
            <v>05.009</v>
          </cell>
          <cell r="AK110" t="str">
            <v>glass</v>
          </cell>
          <cell r="AL110">
            <v>30.3</v>
          </cell>
        </row>
        <row r="111">
          <cell r="A111" t="str">
            <v>05.010</v>
          </cell>
          <cell r="AK111" t="str">
            <v>glass</v>
          </cell>
          <cell r="AL111">
            <v>30.3</v>
          </cell>
        </row>
        <row r="112">
          <cell r="A112" t="str">
            <v>05.002</v>
          </cell>
          <cell r="AK112" t="str">
            <v>glass</v>
          </cell>
          <cell r="AL112">
            <v>50.5</v>
          </cell>
        </row>
        <row r="113">
          <cell r="A113" t="str">
            <v>05.011</v>
          </cell>
          <cell r="AK113" t="str">
            <v>glass</v>
          </cell>
          <cell r="AL113">
            <v>50.5</v>
          </cell>
        </row>
        <row r="114">
          <cell r="A114" t="str">
            <v>05.003</v>
          </cell>
          <cell r="AK114" t="str">
            <v>glass</v>
          </cell>
          <cell r="AL114">
            <v>44.8</v>
          </cell>
        </row>
        <row r="115">
          <cell r="A115" t="str">
            <v>05.012</v>
          </cell>
          <cell r="AK115" t="str">
            <v>glass</v>
          </cell>
          <cell r="AL115">
            <v>44.8</v>
          </cell>
        </row>
        <row r="116">
          <cell r="A116" t="str">
            <v>05.013</v>
          </cell>
          <cell r="AK116" t="str">
            <v>glass</v>
          </cell>
          <cell r="AL116">
            <v>45.2</v>
          </cell>
        </row>
        <row r="117">
          <cell r="A117" t="str">
            <v>05.014</v>
          </cell>
          <cell r="AK117" t="str">
            <v>glass</v>
          </cell>
          <cell r="AL117">
            <v>45.2</v>
          </cell>
        </row>
        <row r="118">
          <cell r="A118" t="str">
            <v>05.015</v>
          </cell>
          <cell r="AK118" t="str">
            <v>glass</v>
          </cell>
          <cell r="AL118">
            <v>65.5</v>
          </cell>
        </row>
        <row r="119">
          <cell r="A119" t="str">
            <v>05.016</v>
          </cell>
          <cell r="AK119" t="str">
            <v>glass</v>
          </cell>
          <cell r="AL119">
            <v>65.5</v>
          </cell>
        </row>
        <row r="120">
          <cell r="A120" t="str">
            <v>05.020</v>
          </cell>
          <cell r="AK120" t="str">
            <v>autre</v>
          </cell>
          <cell r="AL120">
            <v>6.3</v>
          </cell>
        </row>
        <row r="121">
          <cell r="A121" t="str">
            <v>05.021</v>
          </cell>
          <cell r="AK121" t="str">
            <v>autre</v>
          </cell>
          <cell r="AL121">
            <v>14.4</v>
          </cell>
        </row>
        <row r="122">
          <cell r="A122" t="str">
            <v>05.026</v>
          </cell>
          <cell r="AK122" t="str">
            <v>oil_product</v>
          </cell>
          <cell r="AL122">
            <v>15</v>
          </cell>
        </row>
        <row r="123">
          <cell r="A123" t="str">
            <v>05.027</v>
          </cell>
          <cell r="AK123" t="str">
            <v>autre</v>
          </cell>
          <cell r="AL123">
            <v>17.8</v>
          </cell>
        </row>
        <row r="124">
          <cell r="A124" t="str">
            <v>05.018</v>
          </cell>
          <cell r="AK124" t="str">
            <v>autre</v>
          </cell>
          <cell r="AL124">
            <v>8</v>
          </cell>
        </row>
        <row r="125">
          <cell r="A125" t="str">
            <v>05.017</v>
          </cell>
          <cell r="AK125" t="str">
            <v>autre</v>
          </cell>
          <cell r="AL125">
            <v>8</v>
          </cell>
        </row>
        <row r="126">
          <cell r="A126" t="str">
            <v>05.019</v>
          </cell>
          <cell r="AK126" t="str">
            <v>autre</v>
          </cell>
          <cell r="AL126">
            <v>8</v>
          </cell>
        </row>
        <row r="127">
          <cell r="A127" t="str">
            <v>06</v>
          </cell>
        </row>
        <row r="128">
          <cell r="A128" t="str">
            <v>06.001</v>
          </cell>
          <cell r="AK128" t="str">
            <v>metal</v>
          </cell>
        </row>
        <row r="129">
          <cell r="A129" t="str">
            <v>06.002</v>
          </cell>
          <cell r="AK129" t="str">
            <v>metal</v>
          </cell>
        </row>
        <row r="130">
          <cell r="A130" t="str">
            <v>06.002.01</v>
          </cell>
          <cell r="AK130" t="str">
            <v>metal</v>
          </cell>
        </row>
        <row r="131">
          <cell r="A131" t="str">
            <v>06.003</v>
          </cell>
          <cell r="AK131" t="str">
            <v>metal</v>
          </cell>
        </row>
        <row r="132">
          <cell r="A132" t="str">
            <v>06.014</v>
          </cell>
          <cell r="AK132" t="str">
            <v>metal</v>
          </cell>
        </row>
        <row r="133">
          <cell r="A133" t="str">
            <v>06.004</v>
          </cell>
          <cell r="AK133" t="str">
            <v>metal</v>
          </cell>
        </row>
        <row r="134">
          <cell r="A134" t="str">
            <v>06.005</v>
          </cell>
          <cell r="AK134" t="str">
            <v>metal</v>
          </cell>
        </row>
        <row r="135">
          <cell r="A135" t="str">
            <v>06.006</v>
          </cell>
          <cell r="AK135" t="str">
            <v>metal</v>
          </cell>
        </row>
        <row r="136">
          <cell r="A136" t="str">
            <v>06.007</v>
          </cell>
          <cell r="AK136" t="str">
            <v>metal</v>
          </cell>
        </row>
        <row r="137">
          <cell r="A137" t="str">
            <v>06.008</v>
          </cell>
          <cell r="AK137" t="str">
            <v>metal</v>
          </cell>
        </row>
        <row r="138">
          <cell r="A138" t="str">
            <v>06.009</v>
          </cell>
          <cell r="AK138" t="str">
            <v>metal</v>
          </cell>
        </row>
        <row r="139">
          <cell r="A139" t="str">
            <v>06.010</v>
          </cell>
          <cell r="AK139" t="str">
            <v>metal</v>
          </cell>
        </row>
        <row r="140">
          <cell r="A140" t="str">
            <v>06.011</v>
          </cell>
          <cell r="AK140" t="str">
            <v>metal</v>
          </cell>
        </row>
        <row r="141">
          <cell r="A141" t="str">
            <v>06.012</v>
          </cell>
          <cell r="AK141" t="str">
            <v>metal</v>
          </cell>
        </row>
        <row r="142">
          <cell r="A142" t="str">
            <v>06.013</v>
          </cell>
          <cell r="AK142" t="str">
            <v>metal</v>
          </cell>
        </row>
        <row r="143">
          <cell r="A143" t="str">
            <v>07</v>
          </cell>
        </row>
        <row r="144">
          <cell r="A144" t="str">
            <v>07.001</v>
          </cell>
          <cell r="AK144" t="str">
            <v>timber</v>
          </cell>
        </row>
        <row r="145">
          <cell r="A145" t="str">
            <v>07.021</v>
          </cell>
          <cell r="AK145" t="str">
            <v>timber</v>
          </cell>
        </row>
        <row r="146">
          <cell r="A146" t="str">
            <v>07.003</v>
          </cell>
          <cell r="AK146" t="str">
            <v>timber</v>
          </cell>
        </row>
        <row r="147">
          <cell r="A147" t="str">
            <v>07.003.01</v>
          </cell>
          <cell r="AK147" t="str">
            <v>timber</v>
          </cell>
        </row>
        <row r="148">
          <cell r="A148" t="str">
            <v>07.002</v>
          </cell>
          <cell r="AK148" t="str">
            <v>timber</v>
          </cell>
        </row>
        <row r="149">
          <cell r="A149" t="str">
            <v>07.002.01</v>
          </cell>
          <cell r="AK149" t="str">
            <v>timber</v>
          </cell>
        </row>
        <row r="150">
          <cell r="A150" t="str">
            <v>07.020</v>
          </cell>
          <cell r="AK150" t="str">
            <v>timber</v>
          </cell>
        </row>
        <row r="151">
          <cell r="A151" t="str">
            <v>07.020.01</v>
          </cell>
          <cell r="AK151" t="str">
            <v>timber</v>
          </cell>
        </row>
        <row r="152">
          <cell r="A152" t="str">
            <v>07.022</v>
          </cell>
          <cell r="AK152" t="str">
            <v>timber</v>
          </cell>
        </row>
        <row r="153">
          <cell r="A153" t="str">
            <v>07.004</v>
          </cell>
          <cell r="AK153" t="str">
            <v>timber</v>
          </cell>
        </row>
        <row r="154">
          <cell r="A154" t="str">
            <v>07.005</v>
          </cell>
          <cell r="AK154" t="str">
            <v>timber</v>
          </cell>
        </row>
        <row r="155">
          <cell r="A155" t="str">
            <v>07.023</v>
          </cell>
          <cell r="AK155" t="str">
            <v>timber</v>
          </cell>
        </row>
        <row r="156">
          <cell r="A156" t="str">
            <v>07.008</v>
          </cell>
          <cell r="AK156" t="str">
            <v>timber</v>
          </cell>
        </row>
        <row r="157">
          <cell r="A157" t="str">
            <v>07.008.01</v>
          </cell>
          <cell r="AK157" t="str">
            <v>timber</v>
          </cell>
        </row>
        <row r="158">
          <cell r="A158" t="str">
            <v>07.007</v>
          </cell>
          <cell r="AK158" t="str">
            <v>timber</v>
          </cell>
        </row>
        <row r="159">
          <cell r="A159" t="str">
            <v>07.007.01</v>
          </cell>
          <cell r="AK159" t="str">
            <v>timber</v>
          </cell>
        </row>
        <row r="160">
          <cell r="A160" t="str">
            <v>07.006</v>
          </cell>
          <cell r="AK160" t="str">
            <v>timber</v>
          </cell>
        </row>
        <row r="161">
          <cell r="A161" t="str">
            <v>07.006.01</v>
          </cell>
          <cell r="AK161" t="str">
            <v>timber</v>
          </cell>
        </row>
        <row r="162">
          <cell r="A162" t="str">
            <v>07.011</v>
          </cell>
          <cell r="AK162" t="str">
            <v>timber</v>
          </cell>
        </row>
        <row r="163">
          <cell r="A163" t="str">
            <v>07.011.01</v>
          </cell>
          <cell r="AK163" t="str">
            <v>timber</v>
          </cell>
        </row>
        <row r="164">
          <cell r="A164" t="str">
            <v>07.011.02</v>
          </cell>
          <cell r="AK164" t="str">
            <v>timber</v>
          </cell>
        </row>
        <row r="165">
          <cell r="A165" t="str">
            <v>07.010</v>
          </cell>
          <cell r="AK165" t="str">
            <v>timber</v>
          </cell>
        </row>
        <row r="166">
          <cell r="A166" t="str">
            <v>07.010.01</v>
          </cell>
          <cell r="AK166" t="str">
            <v>timber</v>
          </cell>
        </row>
        <row r="167">
          <cell r="A167" t="str">
            <v>07.009</v>
          </cell>
          <cell r="AK167" t="str">
            <v>timber</v>
          </cell>
        </row>
        <row r="168">
          <cell r="A168" t="str">
            <v>07.009.01</v>
          </cell>
          <cell r="AK168" t="str">
            <v>timber</v>
          </cell>
        </row>
        <row r="169">
          <cell r="A169" t="str">
            <v>07.012</v>
          </cell>
          <cell r="AK169" t="str">
            <v>timber</v>
          </cell>
        </row>
        <row r="170">
          <cell r="A170" t="str">
            <v>07.013</v>
          </cell>
          <cell r="AK170" t="str">
            <v>timber</v>
          </cell>
        </row>
        <row r="171">
          <cell r="A171" t="str">
            <v>07.024</v>
          </cell>
          <cell r="AK171" t="str">
            <v>timber</v>
          </cell>
        </row>
        <row r="172">
          <cell r="A172" t="str">
            <v>07.015</v>
          </cell>
          <cell r="AK172" t="str">
            <v>timber</v>
          </cell>
        </row>
        <row r="173">
          <cell r="A173" t="str">
            <v>07.016</v>
          </cell>
          <cell r="AK173" t="str">
            <v>timber</v>
          </cell>
        </row>
        <row r="174">
          <cell r="A174" t="str">
            <v>07.014</v>
          </cell>
          <cell r="AK174" t="str">
            <v>timber</v>
          </cell>
        </row>
        <row r="175">
          <cell r="A175" t="str">
            <v>07.018</v>
          </cell>
          <cell r="AK175" t="str">
            <v>timber</v>
          </cell>
        </row>
        <row r="176">
          <cell r="A176" t="str">
            <v>07.017</v>
          </cell>
          <cell r="AK176" t="str">
            <v>timber</v>
          </cell>
        </row>
        <row r="177">
          <cell r="A177" t="str">
            <v>07.019</v>
          </cell>
          <cell r="AK177" t="str">
            <v>timber</v>
          </cell>
        </row>
        <row r="178">
          <cell r="A178" t="str">
            <v>07.019.01</v>
          </cell>
          <cell r="AK178" t="str">
            <v>timber</v>
          </cell>
        </row>
        <row r="179">
          <cell r="A179" t="str">
            <v>08</v>
          </cell>
        </row>
        <row r="180">
          <cell r="A180" t="str">
            <v>08.001</v>
          </cell>
          <cell r="AK180" t="str">
            <v>autre</v>
          </cell>
        </row>
        <row r="181">
          <cell r="A181" t="str">
            <v>08.002</v>
          </cell>
          <cell r="AK181" t="str">
            <v>autre</v>
          </cell>
        </row>
        <row r="182">
          <cell r="A182" t="str">
            <v>08.003</v>
          </cell>
          <cell r="AK182" t="str">
            <v>autre</v>
          </cell>
        </row>
        <row r="183">
          <cell r="A183" t="str">
            <v>08.004</v>
          </cell>
          <cell r="AK183" t="str">
            <v>autre</v>
          </cell>
        </row>
        <row r="184">
          <cell r="A184" t="str">
            <v>08.005</v>
          </cell>
          <cell r="AK184" t="str">
            <v>autre</v>
          </cell>
        </row>
        <row r="185">
          <cell r="A185" t="str">
            <v>09</v>
          </cell>
        </row>
        <row r="186">
          <cell r="A186" t="str">
            <v>09.001</v>
          </cell>
          <cell r="AK186" t="str">
            <v>oil_product</v>
          </cell>
        </row>
        <row r="187">
          <cell r="A187" t="str">
            <v>09.002</v>
          </cell>
          <cell r="AK187" t="str">
            <v>oil_product</v>
          </cell>
        </row>
        <row r="188">
          <cell r="A188" t="str">
            <v>09.003</v>
          </cell>
          <cell r="AK188" t="str">
            <v>oil_product</v>
          </cell>
        </row>
        <row r="189">
          <cell r="A189" t="str">
            <v>09.003.11</v>
          </cell>
          <cell r="AK189" t="str">
            <v>oil_product</v>
          </cell>
        </row>
        <row r="190">
          <cell r="A190" t="str">
            <v>09.003.01</v>
          </cell>
          <cell r="AK190" t="str">
            <v>oil_product</v>
          </cell>
        </row>
        <row r="191">
          <cell r="A191" t="str">
            <v>09.003.02</v>
          </cell>
          <cell r="AK191" t="str">
            <v>oil_product</v>
          </cell>
        </row>
        <row r="192">
          <cell r="A192" t="str">
            <v>09.003.03</v>
          </cell>
          <cell r="AK192" t="str">
            <v>oil_product</v>
          </cell>
        </row>
        <row r="193">
          <cell r="A193" t="str">
            <v>09.003.04</v>
          </cell>
          <cell r="AK193" t="str">
            <v>oil_product</v>
          </cell>
        </row>
        <row r="194">
          <cell r="A194" t="str">
            <v>09.003.05</v>
          </cell>
          <cell r="AK194" t="str">
            <v>oil_product</v>
          </cell>
        </row>
        <row r="195">
          <cell r="A195" t="str">
            <v>09.003.06</v>
          </cell>
          <cell r="AK195" t="str">
            <v>oil_product</v>
          </cell>
        </row>
        <row r="196">
          <cell r="A196" t="str">
            <v>09.003.07</v>
          </cell>
          <cell r="AK196" t="str">
            <v>oil_product</v>
          </cell>
        </row>
        <row r="197">
          <cell r="A197" t="str">
            <v>09.003.08</v>
          </cell>
          <cell r="AK197" t="str">
            <v>oil_product</v>
          </cell>
        </row>
        <row r="198">
          <cell r="A198" t="str">
            <v>09.003.09</v>
          </cell>
          <cell r="AK198" t="str">
            <v>oil_product</v>
          </cell>
        </row>
        <row r="199">
          <cell r="A199" t="str">
            <v>09.003.10</v>
          </cell>
          <cell r="AK199" t="str">
            <v>oil_product</v>
          </cell>
        </row>
        <row r="200">
          <cell r="A200" t="str">
            <v>09.004</v>
          </cell>
          <cell r="AK200" t="str">
            <v>oil_product</v>
          </cell>
        </row>
        <row r="201">
          <cell r="A201" t="str">
            <v>09.005</v>
          </cell>
          <cell r="AK201" t="str">
            <v>oil_product</v>
          </cell>
        </row>
        <row r="202">
          <cell r="A202" t="str">
            <v>09.006</v>
          </cell>
          <cell r="AK202" t="str">
            <v>autre</v>
          </cell>
        </row>
        <row r="203">
          <cell r="A203" t="str">
            <v>09.007</v>
          </cell>
          <cell r="AK203" t="str">
            <v>oil_product</v>
          </cell>
        </row>
        <row r="204">
          <cell r="A204" t="str">
            <v>09.008</v>
          </cell>
          <cell r="AK204" t="str">
            <v>oil_product</v>
          </cell>
        </row>
        <row r="205">
          <cell r="A205" t="str">
            <v>10</v>
          </cell>
        </row>
        <row r="206">
          <cell r="A206" t="str">
            <v>10.014</v>
          </cell>
          <cell r="AK206" t="str">
            <v>oil_product</v>
          </cell>
        </row>
        <row r="207">
          <cell r="A207" t="str">
            <v>10.012</v>
          </cell>
          <cell r="AK207" t="str">
            <v>oil_product</v>
          </cell>
        </row>
        <row r="208">
          <cell r="A208" t="str">
            <v>10.011</v>
          </cell>
          <cell r="AK208" t="str">
            <v>oil_product</v>
          </cell>
        </row>
        <row r="209">
          <cell r="A209" t="str">
            <v>10.016</v>
          </cell>
          <cell r="AK209" t="str">
            <v>vegetal_fiber</v>
          </cell>
        </row>
        <row r="210">
          <cell r="A210" t="str">
            <v>10.016.01</v>
          </cell>
          <cell r="AK210" t="str">
            <v>vegetal_fiber</v>
          </cell>
        </row>
        <row r="211">
          <cell r="A211" t="str">
            <v>10.017</v>
          </cell>
          <cell r="AK211" t="str">
            <v>vegetal_fiber</v>
          </cell>
        </row>
        <row r="212">
          <cell r="A212" t="str">
            <v>10.017.01</v>
          </cell>
          <cell r="AK212" t="str">
            <v>vegetal_fiber</v>
          </cell>
        </row>
        <row r="213">
          <cell r="A213" t="str">
            <v>10.001</v>
          </cell>
          <cell r="AK213" t="str">
            <v>mineral_fiber</v>
          </cell>
        </row>
        <row r="214">
          <cell r="A214" t="str">
            <v>10.001.01</v>
          </cell>
          <cell r="AK214" t="str">
            <v>mineral_fiber</v>
          </cell>
        </row>
        <row r="215">
          <cell r="A215" t="str">
            <v>10.001.03</v>
          </cell>
          <cell r="AK215" t="str">
            <v>mineral_fiber</v>
          </cell>
        </row>
        <row r="216">
          <cell r="A216" t="str">
            <v>10.001.02</v>
          </cell>
          <cell r="AK216" t="str">
            <v>mineral_fiber</v>
          </cell>
        </row>
        <row r="217">
          <cell r="A217" t="str">
            <v>10.002</v>
          </cell>
          <cell r="AK217" t="str">
            <v>vegetal_fiber</v>
          </cell>
        </row>
        <row r="218">
          <cell r="A218" t="str">
            <v>10.003</v>
          </cell>
          <cell r="AK218" t="str">
            <v>oil_product</v>
          </cell>
        </row>
        <row r="219">
          <cell r="A219" t="str">
            <v>10.004</v>
          </cell>
          <cell r="AK219" t="str">
            <v>oil_product</v>
          </cell>
        </row>
        <row r="220">
          <cell r="A220" t="str">
            <v>10.004.01</v>
          </cell>
          <cell r="AK220" t="str">
            <v>oil_product</v>
          </cell>
        </row>
        <row r="221">
          <cell r="A221" t="str">
            <v>10.004.02</v>
          </cell>
          <cell r="AK221" t="str">
            <v>oil_product</v>
          </cell>
        </row>
        <row r="222">
          <cell r="A222" t="str">
            <v>10.004.03</v>
          </cell>
          <cell r="AK222" t="str">
            <v>oil_product</v>
          </cell>
        </row>
        <row r="223">
          <cell r="A223" t="str">
            <v>10.005</v>
          </cell>
          <cell r="AK223" t="str">
            <v>oil_product</v>
          </cell>
        </row>
        <row r="224">
          <cell r="A224" t="str">
            <v>10.005.01</v>
          </cell>
          <cell r="AK224" t="str">
            <v>oil_product</v>
          </cell>
        </row>
        <row r="225">
          <cell r="A225" t="str">
            <v>10.006</v>
          </cell>
          <cell r="AK225" t="str">
            <v>oil_product</v>
          </cell>
        </row>
        <row r="226">
          <cell r="A226" t="str">
            <v>10.006.01</v>
          </cell>
          <cell r="AK226" t="str">
            <v>oil_product</v>
          </cell>
        </row>
        <row r="227">
          <cell r="A227" t="str">
            <v>10.007</v>
          </cell>
          <cell r="AK227" t="str">
            <v>autre</v>
          </cell>
        </row>
        <row r="228">
          <cell r="A228" t="str">
            <v>10.007.01</v>
          </cell>
          <cell r="AK228" t="str">
            <v>autre</v>
          </cell>
        </row>
        <row r="229">
          <cell r="A229" t="str">
            <v>10.013</v>
          </cell>
          <cell r="AK229" t="str">
            <v>autre</v>
          </cell>
        </row>
        <row r="230">
          <cell r="A230" t="str">
            <v>10.013.01</v>
          </cell>
          <cell r="AK230" t="str">
            <v>autre</v>
          </cell>
        </row>
        <row r="231">
          <cell r="A231" t="str">
            <v>10.008</v>
          </cell>
          <cell r="AK231" t="str">
            <v>mineral_fiber</v>
          </cell>
        </row>
        <row r="232">
          <cell r="A232" t="str">
            <v>10.008.01</v>
          </cell>
          <cell r="AK232" t="str">
            <v>mineral_fiber</v>
          </cell>
        </row>
        <row r="233">
          <cell r="A233">
            <v>10.015000000000001</v>
          </cell>
          <cell r="AK233" t="str">
            <v>vegetal_fiber</v>
          </cell>
        </row>
        <row r="234">
          <cell r="A234" t="str">
            <v>10.009</v>
          </cell>
          <cell r="AK234" t="str">
            <v>vegetal_fiber</v>
          </cell>
        </row>
        <row r="235">
          <cell r="A235" t="str">
            <v>10.009.01</v>
          </cell>
          <cell r="AK235" t="str">
            <v>vegetal_fiber</v>
          </cell>
        </row>
        <row r="236">
          <cell r="A236" t="str">
            <v>10.010</v>
          </cell>
          <cell r="AK236" t="str">
            <v>vegetal_fiber</v>
          </cell>
        </row>
        <row r="237">
          <cell r="A237" t="str">
            <v>10.010.01</v>
          </cell>
          <cell r="AK237" t="str">
            <v>vegetal_fiber</v>
          </cell>
        </row>
        <row r="238">
          <cell r="A238" t="str">
            <v>10.111</v>
          </cell>
          <cell r="AK238" t="str">
            <v>vegetal_fiber</v>
          </cell>
        </row>
        <row r="239">
          <cell r="A239" t="str">
            <v>10.112</v>
          </cell>
          <cell r="AK239" t="str">
            <v>vegetal_fiber</v>
          </cell>
        </row>
        <row r="240">
          <cell r="A240" t="str">
            <v>11</v>
          </cell>
        </row>
        <row r="241">
          <cell r="A241" t="str">
            <v>11.001</v>
          </cell>
          <cell r="AK241" t="str">
            <v>oil_product</v>
          </cell>
          <cell r="AL241">
            <v>4.55</v>
          </cell>
        </row>
        <row r="242">
          <cell r="A242" t="str">
            <v>11.002</v>
          </cell>
          <cell r="AK242" t="str">
            <v>oil_product</v>
          </cell>
          <cell r="AL242">
            <v>3.6</v>
          </cell>
        </row>
        <row r="243">
          <cell r="A243" t="str">
            <v>11.003</v>
          </cell>
          <cell r="AK243" t="str">
            <v>autre</v>
          </cell>
          <cell r="AL243">
            <v>8.25</v>
          </cell>
        </row>
        <row r="244">
          <cell r="A244" t="str">
            <v>11.004</v>
          </cell>
          <cell r="AK244" t="str">
            <v>autre</v>
          </cell>
          <cell r="AL244">
            <v>63.3</v>
          </cell>
        </row>
        <row r="245">
          <cell r="A245" t="str">
            <v>11.005</v>
          </cell>
          <cell r="AK245" t="str">
            <v>concrete</v>
          </cell>
          <cell r="AL245">
            <v>57.8</v>
          </cell>
        </row>
        <row r="246">
          <cell r="A246" t="str">
            <v>11.006</v>
          </cell>
          <cell r="AK246" t="str">
            <v>concrete</v>
          </cell>
          <cell r="AL246">
            <v>73.5</v>
          </cell>
        </row>
        <row r="247">
          <cell r="A247" t="str">
            <v>11.007</v>
          </cell>
          <cell r="AK247" t="str">
            <v>autre</v>
          </cell>
          <cell r="AL247">
            <v>3.36</v>
          </cell>
        </row>
        <row r="248">
          <cell r="A248" t="str">
            <v>11.008</v>
          </cell>
          <cell r="AK248" t="str">
            <v>stone</v>
          </cell>
          <cell r="AL248">
            <v>18</v>
          </cell>
        </row>
        <row r="249">
          <cell r="A249" t="str">
            <v>11.009</v>
          </cell>
          <cell r="AK249" t="str">
            <v>timber</v>
          </cell>
          <cell r="AL249">
            <v>7.8</v>
          </cell>
        </row>
        <row r="250">
          <cell r="A250" t="str">
            <v>11.010</v>
          </cell>
          <cell r="AK250" t="str">
            <v>timber</v>
          </cell>
          <cell r="AL250">
            <v>2.7</v>
          </cell>
        </row>
        <row r="251">
          <cell r="A251" t="str">
            <v>11.011</v>
          </cell>
          <cell r="AK251" t="str">
            <v>timber</v>
          </cell>
          <cell r="AL251">
            <v>2.7</v>
          </cell>
        </row>
        <row r="252">
          <cell r="A252" t="str">
            <v>11.012</v>
          </cell>
          <cell r="AK252" t="str">
            <v>stone</v>
          </cell>
          <cell r="AL252">
            <v>21.5</v>
          </cell>
        </row>
        <row r="253">
          <cell r="A253" t="str">
            <v>11.013</v>
          </cell>
          <cell r="AK253" t="str">
            <v>timber</v>
          </cell>
          <cell r="AL253">
            <v>8.5</v>
          </cell>
        </row>
        <row r="254">
          <cell r="A254" t="str">
            <v>11.014</v>
          </cell>
          <cell r="AK254" t="str">
            <v>autre</v>
          </cell>
          <cell r="AL254">
            <v>2.9</v>
          </cell>
        </row>
        <row r="255">
          <cell r="A255" t="str">
            <v>11.015</v>
          </cell>
          <cell r="AK255" t="str">
            <v>stone</v>
          </cell>
          <cell r="AL255">
            <v>40.5</v>
          </cell>
        </row>
        <row r="256">
          <cell r="A256" t="str">
            <v>11.015.01</v>
          </cell>
          <cell r="AK256" t="str">
            <v>stone</v>
          </cell>
          <cell r="AL256">
            <v>40.5</v>
          </cell>
        </row>
        <row r="257">
          <cell r="A257" t="str">
            <v>11.015.02</v>
          </cell>
          <cell r="AK257" t="str">
            <v>stone</v>
          </cell>
          <cell r="AL257">
            <v>40.5</v>
          </cell>
        </row>
        <row r="258">
          <cell r="A258" t="str">
            <v>11.015.03</v>
          </cell>
          <cell r="AK258" t="str">
            <v>stone</v>
          </cell>
          <cell r="AL258">
            <v>40.5</v>
          </cell>
        </row>
        <row r="259">
          <cell r="A259" t="str">
            <v>11.016</v>
          </cell>
          <cell r="AK259" t="str">
            <v>stone</v>
          </cell>
          <cell r="AL259">
            <v>40.5</v>
          </cell>
        </row>
        <row r="260">
          <cell r="A260" t="str">
            <v>11.017</v>
          </cell>
          <cell r="AK260" t="str">
            <v>stone</v>
          </cell>
          <cell r="AL260">
            <v>40.5</v>
          </cell>
        </row>
        <row r="261">
          <cell r="A261" t="str">
            <v>11.018</v>
          </cell>
          <cell r="AK261" t="str">
            <v>timber</v>
          </cell>
          <cell r="AL261">
            <v>6.1</v>
          </cell>
        </row>
        <row r="262">
          <cell r="A262" t="str">
            <v>11.019</v>
          </cell>
          <cell r="AK262" t="str">
            <v>timber</v>
          </cell>
          <cell r="AL262">
            <v>7.9</v>
          </cell>
        </row>
        <row r="263">
          <cell r="A263" t="str">
            <v>11.020</v>
          </cell>
          <cell r="AK263" t="str">
            <v>timber</v>
          </cell>
          <cell r="AL263">
            <v>5.6</v>
          </cell>
        </row>
        <row r="264">
          <cell r="A264" t="str">
            <v>11.021</v>
          </cell>
          <cell r="AK264" t="str">
            <v>oil_product</v>
          </cell>
          <cell r="AL264">
            <v>3.1</v>
          </cell>
        </row>
        <row r="265">
          <cell r="A265" t="str">
            <v>11.022</v>
          </cell>
          <cell r="AK265" t="str">
            <v>autre</v>
          </cell>
          <cell r="AL265">
            <v>22</v>
          </cell>
        </row>
        <row r="266">
          <cell r="A266" t="str">
            <v>11.023</v>
          </cell>
          <cell r="AK266" t="str">
            <v>oil_product</v>
          </cell>
          <cell r="AL266">
            <v>3.4</v>
          </cell>
        </row>
        <row r="267">
          <cell r="A267" t="str">
            <v>11.024</v>
          </cell>
          <cell r="AK267" t="str">
            <v>oil_product</v>
          </cell>
          <cell r="AL267">
            <v>2.1</v>
          </cell>
        </row>
        <row r="268">
          <cell r="A268" t="str">
            <v>11.025</v>
          </cell>
          <cell r="AK268" t="str">
            <v>autre</v>
          </cell>
          <cell r="AL268">
            <v>1.3</v>
          </cell>
        </row>
        <row r="269">
          <cell r="A269" t="str">
            <v>11.026</v>
          </cell>
          <cell r="AK269" t="str">
            <v>vegetal_fiber</v>
          </cell>
          <cell r="AL269">
            <v>2.7</v>
          </cell>
        </row>
        <row r="270">
          <cell r="A270" t="str">
            <v>11.027</v>
          </cell>
          <cell r="AK270" t="str">
            <v>autre</v>
          </cell>
          <cell r="AL270">
            <v>95</v>
          </cell>
        </row>
        <row r="271">
          <cell r="A271" t="str">
            <v>12</v>
          </cell>
        </row>
        <row r="272">
          <cell r="A272">
            <v>12.005000000000001</v>
          </cell>
          <cell r="AK272" t="str">
            <v>metal</v>
          </cell>
          <cell r="AL272">
            <v>15.5</v>
          </cell>
        </row>
        <row r="273">
          <cell r="A273">
            <v>12.006</v>
          </cell>
          <cell r="AK273" t="str">
            <v>metal</v>
          </cell>
          <cell r="AL273">
            <v>21.4</v>
          </cell>
        </row>
        <row r="274">
          <cell r="A274">
            <v>12.007999999999999</v>
          </cell>
          <cell r="AK274" t="str">
            <v>timber</v>
          </cell>
          <cell r="AL274">
            <v>40.299999999999997</v>
          </cell>
        </row>
        <row r="275">
          <cell r="A275" t="str">
            <v>12.001</v>
          </cell>
          <cell r="AK275" t="str">
            <v>timber</v>
          </cell>
          <cell r="AL275">
            <v>40.299999999999997</v>
          </cell>
        </row>
        <row r="276">
          <cell r="A276" t="str">
            <v>12.002</v>
          </cell>
          <cell r="AK276" t="str">
            <v>timber</v>
          </cell>
        </row>
        <row r="277">
          <cell r="A277">
            <v>12.007</v>
          </cell>
          <cell r="AK277" t="str">
            <v>metal</v>
          </cell>
        </row>
        <row r="278">
          <cell r="A278">
            <v>12.009</v>
          </cell>
          <cell r="AK278" t="str">
            <v>timber</v>
          </cell>
          <cell r="AL278">
            <v>41.6</v>
          </cell>
        </row>
        <row r="279">
          <cell r="A279">
            <v>12.012</v>
          </cell>
          <cell r="AK279" t="str">
            <v>timber</v>
          </cell>
        </row>
        <row r="280">
          <cell r="A280" t="str">
            <v>12.004</v>
          </cell>
          <cell r="AK280" t="str">
            <v>glass</v>
          </cell>
        </row>
        <row r="281">
          <cell r="A281">
            <v>12.010999999999999</v>
          </cell>
          <cell r="AK281" t="str">
            <v>glass</v>
          </cell>
        </row>
        <row r="282">
          <cell r="A282" t="str">
            <v>12.003</v>
          </cell>
          <cell r="AK282" t="str">
            <v>timber</v>
          </cell>
          <cell r="AL282">
            <v>29.5</v>
          </cell>
        </row>
        <row r="283">
          <cell r="A283" t="str">
            <v>12.010</v>
          </cell>
          <cell r="AK283" t="str">
            <v>timber</v>
          </cell>
        </row>
        <row r="284">
          <cell r="A284" t="str">
            <v>13</v>
          </cell>
        </row>
        <row r="285">
          <cell r="A285" t="str">
            <v>13.001</v>
          </cell>
          <cell r="AK285" t="str">
            <v>oil_product</v>
          </cell>
        </row>
        <row r="286">
          <cell r="A286" t="str">
            <v>13.005</v>
          </cell>
          <cell r="AK286" t="str">
            <v>autre</v>
          </cell>
        </row>
        <row r="287">
          <cell r="A287" t="str">
            <v>13.002</v>
          </cell>
          <cell r="AK287" t="str">
            <v>oil_product</v>
          </cell>
        </row>
        <row r="288">
          <cell r="A288" t="str">
            <v>13.003</v>
          </cell>
          <cell r="AK288" t="str">
            <v>oil_product</v>
          </cell>
        </row>
        <row r="289">
          <cell r="A289" t="str">
            <v>13.004</v>
          </cell>
          <cell r="AK289" t="str">
            <v>oil_product</v>
          </cell>
        </row>
        <row r="290">
          <cell r="A290" t="str">
            <v>14</v>
          </cell>
        </row>
        <row r="291">
          <cell r="A291" t="str">
            <v>14.002</v>
          </cell>
          <cell r="AK291" t="str">
            <v>autre</v>
          </cell>
          <cell r="AL291">
            <v>0.3</v>
          </cell>
        </row>
        <row r="292">
          <cell r="A292" t="str">
            <v>14.001</v>
          </cell>
          <cell r="AK292" t="str">
            <v>autre</v>
          </cell>
          <cell r="AL292">
            <v>0.3</v>
          </cell>
        </row>
        <row r="293">
          <cell r="A293" t="str">
            <v>14.003</v>
          </cell>
          <cell r="AK293" t="str">
            <v>autre</v>
          </cell>
          <cell r="AL293">
            <v>0.25</v>
          </cell>
        </row>
        <row r="294">
          <cell r="A294" t="str">
            <v>14.004</v>
          </cell>
          <cell r="AK294" t="str">
            <v>metal</v>
          </cell>
        </row>
        <row r="295">
          <cell r="A295" t="str">
            <v>14.005</v>
          </cell>
          <cell r="AK295" t="str">
            <v>metal</v>
          </cell>
        </row>
        <row r="296">
          <cell r="A296" t="str">
            <v>14.006</v>
          </cell>
          <cell r="AK296" t="str">
            <v>metal</v>
          </cell>
        </row>
        <row r="297">
          <cell r="A297" t="str">
            <v>14.007</v>
          </cell>
          <cell r="AK297" t="str">
            <v>metal</v>
          </cell>
        </row>
        <row r="298">
          <cell r="A298" t="str">
            <v>14.008</v>
          </cell>
          <cell r="AK298" t="str">
            <v>metal</v>
          </cell>
        </row>
        <row r="299">
          <cell r="A299" t="str">
            <v>15</v>
          </cell>
        </row>
        <row r="300">
          <cell r="A300" t="str">
            <v>15.001</v>
          </cell>
          <cell r="AK300" t="str">
            <v>oil_product</v>
          </cell>
        </row>
        <row r="301">
          <cell r="A301" t="str">
            <v>15.002</v>
          </cell>
          <cell r="AK301" t="str">
            <v>oil_product</v>
          </cell>
        </row>
        <row r="302">
          <cell r="A302" t="str">
            <v>15.003</v>
          </cell>
          <cell r="AK302" t="str">
            <v>oil_product</v>
          </cell>
        </row>
        <row r="303">
          <cell r="A303" t="str">
            <v>15.004</v>
          </cell>
          <cell r="AK303" t="str">
            <v>oil_product</v>
          </cell>
        </row>
        <row r="304">
          <cell r="A304" t="str">
            <v>15.005</v>
          </cell>
          <cell r="AK304" t="str">
            <v>oil_product</v>
          </cell>
        </row>
        <row r="305">
          <cell r="A305">
            <v>21</v>
          </cell>
          <cell r="AK305"/>
        </row>
        <row r="306">
          <cell r="A306" t="str">
            <v>21.001</v>
          </cell>
          <cell r="AK306" t="str">
            <v>autre</v>
          </cell>
        </row>
        <row r="307">
          <cell r="A307" t="str">
            <v>21.002</v>
          </cell>
          <cell r="AK307" t="str">
            <v>metal</v>
          </cell>
        </row>
        <row r="308">
          <cell r="A308" t="str">
            <v>21.003</v>
          </cell>
          <cell r="AK308" t="str">
            <v>metal</v>
          </cell>
        </row>
        <row r="309">
          <cell r="A309" t="str">
            <v>21.004</v>
          </cell>
          <cell r="AK309" t="str">
            <v>autre</v>
          </cell>
        </row>
        <row r="310">
          <cell r="A310" t="str">
            <v>21.005</v>
          </cell>
          <cell r="AK310" t="str">
            <v>oil_product</v>
          </cell>
        </row>
        <row r="311">
          <cell r="A311" t="str">
            <v>21.006</v>
          </cell>
          <cell r="AK311" t="str">
            <v>timber</v>
          </cell>
        </row>
        <row r="312">
          <cell r="A312" t="str">
            <v>21.007</v>
          </cell>
          <cell r="AK312" t="str">
            <v>stone</v>
          </cell>
        </row>
        <row r="313">
          <cell r="A313" t="str">
            <v>21.008</v>
          </cell>
          <cell r="AK313" t="str">
            <v>autre</v>
          </cell>
        </row>
        <row r="314">
          <cell r="A314" t="str">
            <v>21.009</v>
          </cell>
          <cell r="AK314" t="str">
            <v>timber</v>
          </cell>
        </row>
        <row r="315">
          <cell r="A315" t="str">
            <v>21.010</v>
          </cell>
          <cell r="AK315" t="str">
            <v>metal</v>
          </cell>
        </row>
        <row r="316">
          <cell r="A316" t="str">
            <v>21.011</v>
          </cell>
          <cell r="AK316" t="str">
            <v>timber</v>
          </cell>
        </row>
        <row r="317">
          <cell r="A317" t="str">
            <v>21.012</v>
          </cell>
          <cell r="AK317" t="str">
            <v>metal</v>
          </cell>
        </row>
        <row r="318">
          <cell r="A318" t="str">
            <v>21.013</v>
          </cell>
          <cell r="AK318" t="str">
            <v>autre</v>
          </cell>
        </row>
        <row r="319">
          <cell r="AK319"/>
        </row>
        <row r="320">
          <cell r="AK320"/>
        </row>
        <row r="321">
          <cell r="A321" t="str">
            <v>31.001</v>
          </cell>
          <cell r="AK321" t="str">
            <v>equipment</v>
          </cell>
        </row>
        <row r="322">
          <cell r="A322" t="str">
            <v>31.002</v>
          </cell>
          <cell r="AK322" t="str">
            <v>equipment</v>
          </cell>
        </row>
        <row r="323">
          <cell r="A323" t="str">
            <v>31.003</v>
          </cell>
          <cell r="AK323" t="str">
            <v>equipment</v>
          </cell>
        </row>
        <row r="324">
          <cell r="A324" t="str">
            <v>31.027</v>
          </cell>
          <cell r="AK324" t="str">
            <v>equipment</v>
          </cell>
        </row>
        <row r="325">
          <cell r="A325" t="str">
            <v>31.021</v>
          </cell>
          <cell r="AK325" t="str">
            <v>equipment</v>
          </cell>
        </row>
        <row r="326">
          <cell r="A326" t="str">
            <v>31.022</v>
          </cell>
          <cell r="AK326" t="str">
            <v>equipment</v>
          </cell>
        </row>
        <row r="327">
          <cell r="A327" t="str">
            <v>31.023</v>
          </cell>
          <cell r="AK327" t="str">
            <v>equipment</v>
          </cell>
        </row>
        <row r="328">
          <cell r="A328" t="str">
            <v>31.024</v>
          </cell>
          <cell r="AK328" t="str">
            <v>equipment</v>
          </cell>
        </row>
        <row r="329">
          <cell r="A329" t="str">
            <v>31.025</v>
          </cell>
          <cell r="AK329" t="str">
            <v>equipment</v>
          </cell>
        </row>
        <row r="330">
          <cell r="A330" t="str">
            <v>31.015</v>
          </cell>
          <cell r="AK330" t="str">
            <v>equipment</v>
          </cell>
        </row>
        <row r="331">
          <cell r="A331" t="str">
            <v>31.016</v>
          </cell>
          <cell r="AK331" t="str">
            <v>equipment</v>
          </cell>
        </row>
        <row r="332">
          <cell r="A332" t="str">
            <v>31.026</v>
          </cell>
          <cell r="AK332" t="str">
            <v>equipment</v>
          </cell>
        </row>
        <row r="333">
          <cell r="A333" t="str">
            <v>31.017</v>
          </cell>
          <cell r="AK333" t="str">
            <v>equipment</v>
          </cell>
        </row>
        <row r="334">
          <cell r="A334" t="str">
            <v>31.018</v>
          </cell>
          <cell r="AK334" t="str">
            <v>equipment</v>
          </cell>
        </row>
        <row r="335">
          <cell r="A335" t="str">
            <v>31.019</v>
          </cell>
          <cell r="AK335" t="str">
            <v>equipment</v>
          </cell>
        </row>
        <row r="336">
          <cell r="A336" t="str">
            <v>31.020</v>
          </cell>
          <cell r="AK336" t="str">
            <v>equipment</v>
          </cell>
        </row>
        <row r="337">
          <cell r="A337" t="str">
            <v>31.007</v>
          </cell>
          <cell r="AK337" t="str">
            <v>equipment</v>
          </cell>
        </row>
        <row r="338">
          <cell r="A338" t="str">
            <v>31.008</v>
          </cell>
          <cell r="AK338" t="str">
            <v>equipment</v>
          </cell>
        </row>
        <row r="339">
          <cell r="A339" t="str">
            <v>31.009</v>
          </cell>
          <cell r="AK339" t="str">
            <v>equipment</v>
          </cell>
        </row>
        <row r="340">
          <cell r="A340" t="str">
            <v>31.010</v>
          </cell>
          <cell r="AK340" t="str">
            <v>equipment</v>
          </cell>
        </row>
        <row r="341">
          <cell r="A341" t="str">
            <v>31.028</v>
          </cell>
          <cell r="AK341" t="str">
            <v>equipment</v>
          </cell>
        </row>
        <row r="342">
          <cell r="A342" t="str">
            <v>31.029</v>
          </cell>
          <cell r="AK342" t="str">
            <v>equipment</v>
          </cell>
        </row>
        <row r="343">
          <cell r="A343" t="str">
            <v>32</v>
          </cell>
          <cell r="AK343" t="str">
            <v>equipment</v>
          </cell>
        </row>
        <row r="344">
          <cell r="A344" t="str">
            <v>32.011</v>
          </cell>
          <cell r="AK344" t="str">
            <v>equipment</v>
          </cell>
        </row>
        <row r="345">
          <cell r="A345" t="str">
            <v>32.005</v>
          </cell>
          <cell r="AK345" t="str">
            <v>equipment</v>
          </cell>
        </row>
        <row r="346">
          <cell r="A346" t="str">
            <v>32.006</v>
          </cell>
          <cell r="AK346" t="str">
            <v>equipment</v>
          </cell>
        </row>
        <row r="347">
          <cell r="A347" t="str">
            <v>32.007</v>
          </cell>
          <cell r="AK347" t="str">
            <v>equipment</v>
          </cell>
        </row>
        <row r="348">
          <cell r="A348" t="str">
            <v>32.012</v>
          </cell>
          <cell r="AK348" t="str">
            <v>equipment</v>
          </cell>
        </row>
        <row r="349">
          <cell r="A349" t="str">
            <v>32.001</v>
          </cell>
          <cell r="AK349" t="str">
            <v>equipment</v>
          </cell>
        </row>
        <row r="350">
          <cell r="A350" t="str">
            <v>32.002</v>
          </cell>
          <cell r="AK350" t="str">
            <v>equipment</v>
          </cell>
        </row>
        <row r="351">
          <cell r="A351" t="str">
            <v>32.003</v>
          </cell>
          <cell r="AK351" t="str">
            <v>equipment</v>
          </cell>
        </row>
        <row r="352">
          <cell r="A352" t="str">
            <v>32.004</v>
          </cell>
          <cell r="AK352" t="str">
            <v>equipment</v>
          </cell>
        </row>
        <row r="353">
          <cell r="A353" t="str">
            <v>32.008</v>
          </cell>
          <cell r="AK353" t="str">
            <v>equipment</v>
          </cell>
        </row>
        <row r="354">
          <cell r="A354" t="str">
            <v>32.009</v>
          </cell>
          <cell r="AK354" t="str">
            <v>equipment</v>
          </cell>
        </row>
        <row r="355">
          <cell r="A355" t="str">
            <v>32.010</v>
          </cell>
          <cell r="AK355" t="str">
            <v>equipment</v>
          </cell>
        </row>
        <row r="356">
          <cell r="A356" t="str">
            <v>33</v>
          </cell>
          <cell r="AK356" t="str">
            <v>equipment</v>
          </cell>
        </row>
        <row r="357">
          <cell r="A357" t="str">
            <v>33.001</v>
          </cell>
          <cell r="AK357" t="str">
            <v>equipment</v>
          </cell>
        </row>
        <row r="358">
          <cell r="A358" t="str">
            <v>33.002</v>
          </cell>
          <cell r="AK358" t="str">
            <v>equipment</v>
          </cell>
        </row>
        <row r="359">
          <cell r="A359" t="str">
            <v>33.003</v>
          </cell>
          <cell r="AK359" t="str">
            <v>equipment</v>
          </cell>
        </row>
        <row r="360">
          <cell r="A360" t="str">
            <v>34</v>
          </cell>
          <cell r="AK360" t="str">
            <v>equipment</v>
          </cell>
        </row>
        <row r="361">
          <cell r="A361" t="str">
            <v>34.001</v>
          </cell>
          <cell r="AK361" t="str">
            <v>equipment</v>
          </cell>
        </row>
        <row r="362">
          <cell r="A362" t="str">
            <v>34.002</v>
          </cell>
          <cell r="AK362" t="str">
            <v>equipment</v>
          </cell>
        </row>
        <row r="363">
          <cell r="A363" t="str">
            <v>34.024</v>
          </cell>
          <cell r="AK363" t="str">
            <v>equipment</v>
          </cell>
        </row>
        <row r="364">
          <cell r="A364" t="str">
            <v>34.025</v>
          </cell>
          <cell r="AK364" t="str">
            <v>equipment</v>
          </cell>
        </row>
        <row r="365">
          <cell r="A365" t="str">
            <v>34.026</v>
          </cell>
          <cell r="AK365" t="str">
            <v>equipment</v>
          </cell>
        </row>
        <row r="366">
          <cell r="A366" t="str">
            <v>34.027</v>
          </cell>
          <cell r="AK366" t="str">
            <v>equipment</v>
          </cell>
        </row>
        <row r="367">
          <cell r="A367" t="str">
            <v>34.027.01</v>
          </cell>
          <cell r="AK367" t="str">
            <v>equipment</v>
          </cell>
        </row>
        <row r="368">
          <cell r="A368" t="str">
            <v>34.027.02</v>
          </cell>
          <cell r="AK368" t="str">
            <v>equipment</v>
          </cell>
        </row>
        <row r="369">
          <cell r="A369" t="str">
            <v>34.027.03</v>
          </cell>
          <cell r="AK369" t="str">
            <v>equipment</v>
          </cell>
        </row>
        <row r="370">
          <cell r="A370" t="str">
            <v>34.027.04</v>
          </cell>
          <cell r="AK370" t="str">
            <v>equipment</v>
          </cell>
        </row>
        <row r="371">
          <cell r="A371" t="str">
            <v>34.027.05</v>
          </cell>
          <cell r="AK371" t="str">
            <v>equipment</v>
          </cell>
        </row>
        <row r="372">
          <cell r="A372" t="str">
            <v>34.027.06</v>
          </cell>
          <cell r="AK372" t="str">
            <v>equipment</v>
          </cell>
        </row>
        <row r="373">
          <cell r="A373" t="str">
            <v>34.027.07</v>
          </cell>
          <cell r="AK373" t="str">
            <v>equipment</v>
          </cell>
        </row>
        <row r="374">
          <cell r="A374" t="str">
            <v>34.027.08</v>
          </cell>
          <cell r="AK374" t="str">
            <v>equipment</v>
          </cell>
        </row>
        <row r="375">
          <cell r="A375" t="str">
            <v>34.027.09</v>
          </cell>
          <cell r="AK375" t="str">
            <v>equipment</v>
          </cell>
        </row>
        <row r="376">
          <cell r="A376" t="str">
            <v>34.027.10</v>
          </cell>
          <cell r="AK376" t="str">
            <v>equipment</v>
          </cell>
        </row>
        <row r="377">
          <cell r="A377" t="str">
            <v>34.027.11</v>
          </cell>
          <cell r="AK377" t="str">
            <v>equipment</v>
          </cell>
        </row>
        <row r="378">
          <cell r="A378" t="str">
            <v>34.027.12</v>
          </cell>
          <cell r="AK378" t="str">
            <v>equipment</v>
          </cell>
        </row>
        <row r="379">
          <cell r="A379" t="str">
            <v>34.027.13</v>
          </cell>
          <cell r="AK379" t="str">
            <v>equipment</v>
          </cell>
        </row>
        <row r="380">
          <cell r="A380" t="str">
            <v>34.028</v>
          </cell>
          <cell r="AK380" t="str">
            <v>equipment</v>
          </cell>
        </row>
        <row r="381">
          <cell r="A381" t="str">
            <v>34.029</v>
          </cell>
          <cell r="AK381" t="str">
            <v>equipment</v>
          </cell>
        </row>
        <row r="382">
          <cell r="A382" t="str">
            <v>34.030</v>
          </cell>
          <cell r="AK382" t="str">
            <v>equipment</v>
          </cell>
        </row>
        <row r="383">
          <cell r="A383" t="str">
            <v>34.031</v>
          </cell>
          <cell r="AK383" t="str">
            <v>equipment</v>
          </cell>
        </row>
        <row r="384">
          <cell r="A384" t="str">
            <v>34.032</v>
          </cell>
          <cell r="AK384" t="str">
            <v>equipment</v>
          </cell>
        </row>
        <row r="385">
          <cell r="A385" t="str">
            <v>34.033</v>
          </cell>
          <cell r="AK385" t="str">
            <v>equipment</v>
          </cell>
        </row>
        <row r="386">
          <cell r="A386" t="str">
            <v>34.034</v>
          </cell>
          <cell r="AK386" t="str">
            <v>equipment</v>
          </cell>
        </row>
        <row r="387">
          <cell r="A387" t="str">
            <v>34.035</v>
          </cell>
          <cell r="AK387" t="str">
            <v>equipment</v>
          </cell>
        </row>
        <row r="388">
          <cell r="A388" t="str">
            <v>34.036</v>
          </cell>
          <cell r="AK388" t="str">
            <v>equipment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4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treeze.ch/projects/case-studies/building-and-construction/climat-1" TargetMode="External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3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2C08-7230-4125-8461-7FA47E5D7DE3}">
  <dimension ref="B3:D10"/>
  <sheetViews>
    <sheetView workbookViewId="0">
      <selection activeCell="C11" sqref="C11"/>
    </sheetView>
  </sheetViews>
  <sheetFormatPr baseColWidth="10" defaultColWidth="11" defaultRowHeight="15.75"/>
  <sheetData>
    <row r="3" spans="2:4">
      <c r="B3" t="s">
        <v>0</v>
      </c>
    </row>
    <row r="5" spans="2:4">
      <c r="B5" t="s">
        <v>1</v>
      </c>
    </row>
    <row r="7" spans="2:4" ht="18.600000000000001" customHeight="1">
      <c r="B7" t="s">
        <v>2</v>
      </c>
      <c r="D7" s="382"/>
    </row>
    <row r="8" spans="2:4">
      <c r="C8" t="s">
        <v>3</v>
      </c>
    </row>
    <row r="9" spans="2:4">
      <c r="C9" t="s">
        <v>4</v>
      </c>
    </row>
    <row r="10" spans="2:4">
      <c r="C10" t="s">
        <v>5</v>
      </c>
    </row>
  </sheetData>
  <customSheetViews>
    <customSheetView guid="{B32447E2-AB5B-4CBB-881B-FF11349CA4D6}" state="hidden">
      <selection activeCell="A15" sqref="A15"/>
      <pageMargins left="0" right="0" top="0" bottom="0" header="0" footer="0"/>
      <pageSetup paperSize="9" orientation="portrait" r:id="rId1"/>
    </customSheetView>
    <customSheetView guid="{9FA74287-E657-475B-BF4B-3C8C757714AE}" state="hidden">
      <selection activeCell="A15" sqref="A15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3075-22DF-4F8D-AF24-1A192DFDC348}">
  <dimension ref="B2:J45"/>
  <sheetViews>
    <sheetView zoomScaleNormal="100" workbookViewId="0">
      <selection activeCell="I19" sqref="I19"/>
    </sheetView>
  </sheetViews>
  <sheetFormatPr baseColWidth="10" defaultColWidth="11" defaultRowHeight="15.75"/>
  <cols>
    <col min="1" max="1" width="2.625" customWidth="1"/>
    <col min="2" max="2" width="15.875" customWidth="1"/>
    <col min="3" max="3" width="30" customWidth="1"/>
    <col min="4" max="5" width="14" customWidth="1"/>
    <col min="6" max="6" width="14.125" customWidth="1"/>
    <col min="7" max="8" width="5.25" customWidth="1"/>
    <col min="10" max="10" width="8.75" customWidth="1"/>
  </cols>
  <sheetData>
    <row r="2" spans="2:10" ht="21">
      <c r="B2" s="508" t="s">
        <v>6</v>
      </c>
      <c r="F2" s="508" t="s">
        <v>7</v>
      </c>
    </row>
    <row r="3" spans="2:10" ht="16.5" thickBot="1">
      <c r="F3" t="s">
        <v>8</v>
      </c>
      <c r="G3" s="615">
        <f ca="1">Standard!M249</f>
        <v>1106.8803884765978</v>
      </c>
      <c r="H3" s="622"/>
      <c r="I3" t="s">
        <v>9</v>
      </c>
    </row>
    <row r="4" spans="2:10">
      <c r="C4" s="617" t="s">
        <v>10</v>
      </c>
      <c r="D4" s="618">
        <v>3</v>
      </c>
    </row>
    <row r="5" spans="2:10">
      <c r="C5" s="619"/>
      <c r="D5" s="513"/>
    </row>
    <row r="6" spans="2:10">
      <c r="C6" s="619" t="s">
        <v>11</v>
      </c>
      <c r="D6" s="616">
        <v>0.4</v>
      </c>
      <c r="E6" t="s">
        <v>12</v>
      </c>
      <c r="F6" t="s">
        <v>13</v>
      </c>
      <c r="J6" s="615"/>
    </row>
    <row r="7" spans="2:10">
      <c r="C7" s="619" t="s">
        <v>14</v>
      </c>
      <c r="D7" s="616">
        <v>0.4</v>
      </c>
      <c r="E7" t="s">
        <v>12</v>
      </c>
    </row>
    <row r="8" spans="2:10" ht="16.5" thickBot="1">
      <c r="C8" s="620" t="s">
        <v>15</v>
      </c>
      <c r="D8" s="621">
        <v>0.2</v>
      </c>
      <c r="H8" s="615">
        <f ca="1">MAX('List of materials_st'!A4:A32)</f>
        <v>254.92230663817287</v>
      </c>
      <c r="I8" t="s">
        <v>9</v>
      </c>
      <c r="J8" t="str">
        <f ca="1">VLOOKUP(H8,'List of materials_st'!A4:B32,2,FALSE)</f>
        <v>Béton pour bâtiment (sans armature)</v>
      </c>
    </row>
    <row r="24" spans="2:5" ht="21.75" thickBot="1">
      <c r="B24" s="508" t="s">
        <v>16</v>
      </c>
    </row>
    <row r="25" spans="2:5">
      <c r="B25" s="518" t="s">
        <v>17</v>
      </c>
      <c r="C25" s="509"/>
      <c r="D25" s="511"/>
      <c r="E25" s="510"/>
    </row>
    <row r="26" spans="2:5">
      <c r="B26" s="519" t="str">
        <f>BillQuantities!D4</f>
        <v>Excavations</v>
      </c>
      <c r="C26" s="517">
        <f>BillQuantities!J4</f>
        <v>2802.8</v>
      </c>
      <c r="D26" s="522" t="str">
        <f>BillQuantities!C26</f>
        <v>C04.01</v>
      </c>
      <c r="E26" s="513"/>
    </row>
    <row r="27" spans="2:5">
      <c r="B27" s="519" t="str">
        <f>BillQuantities!D5</f>
        <v xml:space="preserve">Enceintes de fouilles </v>
      </c>
      <c r="C27" s="516">
        <f>BillQuantities!J5</f>
        <v>549.46898001616069</v>
      </c>
      <c r="D27" s="523" t="str">
        <f>BillQuantities!D27</f>
        <v>Rez</v>
      </c>
      <c r="E27" s="524">
        <f>BillQuantities!J27</f>
        <v>364</v>
      </c>
    </row>
    <row r="28" spans="2:5">
      <c r="B28" s="519" t="str">
        <f>BillQuantities!D6</f>
        <v>Pieux de fondation</v>
      </c>
      <c r="C28" s="516">
        <f>BillQuantities!J6</f>
        <v>364</v>
      </c>
      <c r="D28" s="523" t="str">
        <f>BillQuantities!D28</f>
        <v>Hors-terrain</v>
      </c>
      <c r="E28" s="524">
        <f>BillQuantities!J28</f>
        <v>1092</v>
      </c>
    </row>
    <row r="29" spans="2:5">
      <c r="B29" s="520" t="str">
        <f>BillQuantities!C7</f>
        <v>C01</v>
      </c>
      <c r="C29" s="516">
        <f>BillQuantities!J8</f>
        <v>364</v>
      </c>
      <c r="D29" s="523" t="str">
        <f>BillQuantities!D29</f>
        <v>Sous-sol</v>
      </c>
      <c r="E29" s="524">
        <f>BillQuantities!J29</f>
        <v>364</v>
      </c>
    </row>
    <row r="30" spans="2:5">
      <c r="B30" s="520" t="str">
        <f>BillQuantities!C9</f>
        <v>C02.01 (A) / E01</v>
      </c>
      <c r="C30" s="516">
        <f>BillQuantities!J10</f>
        <v>457.89081668013387</v>
      </c>
      <c r="D30" s="522" t="str">
        <f>BillQuantities!C30</f>
        <v>G02 / G04</v>
      </c>
      <c r="E30" s="513"/>
    </row>
    <row r="31" spans="2:5">
      <c r="B31" s="520" t="str">
        <f>BillQuantities!C11</f>
        <v>C04.04 / F01.01</v>
      </c>
      <c r="C31" s="516">
        <f>BillQuantities!J12</f>
        <v>0</v>
      </c>
      <c r="D31" s="523" t="str">
        <f>BillQuantities!D31</f>
        <v>Rez</v>
      </c>
      <c r="E31" s="524">
        <f>BillQuantities!J31</f>
        <v>364</v>
      </c>
    </row>
    <row r="32" spans="2:5">
      <c r="B32" s="520" t="str">
        <f>BillQuantities!C13</f>
        <v>C02.01 (B)</v>
      </c>
      <c r="C32" s="516">
        <f>BillQuantities!J14</f>
        <v>1019.2</v>
      </c>
      <c r="D32" s="523" t="str">
        <f>BillQuantities!D32</f>
        <v>Isolant contre terre</v>
      </c>
      <c r="E32" s="524">
        <f>BillQuantities!J32</f>
        <v>364</v>
      </c>
    </row>
    <row r="33" spans="2:5">
      <c r="B33" s="520" t="str">
        <f>BillQuantities!C15</f>
        <v>E02</v>
      </c>
      <c r="C33" s="516">
        <f>BillQuantities!J16</f>
        <v>1019.2</v>
      </c>
      <c r="D33" s="523" t="str">
        <f>BillQuantities!D33</f>
        <v>Hors-terrain</v>
      </c>
      <c r="E33" s="524">
        <f>BillQuantities!J33</f>
        <v>1092</v>
      </c>
    </row>
    <row r="34" spans="2:5">
      <c r="B34" s="520" t="str">
        <f>BillQuantities!C17</f>
        <v>E03 / F02</v>
      </c>
      <c r="C34" s="516">
        <f>BillQuantities!J18</f>
        <v>436.8</v>
      </c>
      <c r="D34" s="523" t="str">
        <f>BillQuantities!D34</f>
        <v>Sous-sol</v>
      </c>
      <c r="E34" s="524">
        <f>BillQuantities!J34</f>
        <v>364</v>
      </c>
    </row>
    <row r="35" spans="2:5">
      <c r="B35" s="520" t="str">
        <f>BillQuantities!C19</f>
        <v>C04.04 / C04.05</v>
      </c>
      <c r="C35" s="516">
        <f>BillQuantities!J20</f>
        <v>364</v>
      </c>
      <c r="D35" s="522" t="str">
        <f>BillQuantities!C35</f>
        <v>C04.08</v>
      </c>
      <c r="E35" s="524">
        <f>BillQuantities!J36</f>
        <v>291.2</v>
      </c>
    </row>
    <row r="36" spans="2:5">
      <c r="B36" s="520" t="str">
        <f>BillQuantities!C21</f>
        <v>F01.02 / F01.03</v>
      </c>
      <c r="C36" s="516">
        <f>BillQuantities!J22</f>
        <v>364</v>
      </c>
      <c r="D36" s="523" t="str">
        <f>BillQuantities!B37</f>
        <v>Installations HLKS D01 / 05 / 07 / 08</v>
      </c>
      <c r="E36" s="524">
        <f>BillQuantities!J38</f>
        <v>1456</v>
      </c>
    </row>
    <row r="37" spans="2:5">
      <c r="B37" s="520" t="str">
        <f>BillQuantities!C23</f>
        <v>C02.02 / G03</v>
      </c>
      <c r="C37" s="515"/>
      <c r="D37" s="523" t="str">
        <f>BillQuantities!D39</f>
        <v>Installation photovoltaique (1 m2 = 0.14 kWp)</v>
      </c>
      <c r="E37" s="525">
        <f>BillQuantities!J39</f>
        <v>14.000000000000002</v>
      </c>
    </row>
    <row r="38" spans="2:5">
      <c r="B38" s="519" t="str">
        <f>BillQuantities!D24</f>
        <v>Porteuse</v>
      </c>
      <c r="C38" s="516">
        <f>BillQuantities!J24</f>
        <v>582.4</v>
      </c>
      <c r="D38" s="523" t="str">
        <f>BillQuantities!D44</f>
        <v>Capteurs solaires</v>
      </c>
      <c r="E38" s="524">
        <f>BillQuantities!J44</f>
        <v>0</v>
      </c>
    </row>
    <row r="39" spans="2:5" ht="16.5" thickBot="1">
      <c r="B39" s="521" t="str">
        <f>BillQuantities!D25</f>
        <v>Non porteuse</v>
      </c>
      <c r="C39" s="526">
        <f>BillQuantities!J25</f>
        <v>582.4</v>
      </c>
      <c r="D39" s="512"/>
      <c r="E39" s="514"/>
    </row>
    <row r="41" spans="2:5">
      <c r="B41" t="s">
        <v>18</v>
      </c>
    </row>
    <row r="42" spans="2:5" ht="15.6" customHeight="1">
      <c r="B42" s="1119" t="s">
        <v>19</v>
      </c>
      <c r="C42" s="1119"/>
      <c r="D42" s="1119"/>
      <c r="E42" s="1119"/>
    </row>
    <row r="43" spans="2:5">
      <c r="B43" s="1119"/>
      <c r="C43" s="1119"/>
      <c r="D43" s="1119"/>
      <c r="E43" s="1119"/>
    </row>
    <row r="44" spans="2:5">
      <c r="B44" s="1119"/>
      <c r="C44" s="1119"/>
      <c r="D44" s="1119"/>
      <c r="E44" s="1119"/>
    </row>
    <row r="45" spans="2:5">
      <c r="B45" s="1119"/>
      <c r="C45" s="1119"/>
      <c r="D45" s="1119"/>
      <c r="E45" s="1119"/>
    </row>
  </sheetData>
  <customSheetViews>
    <customSheetView guid="{B32447E2-AB5B-4CBB-881B-FF11349CA4D6}" showPageBreaks="1" printArea="1" view="pageLayout">
      <selection activeCell="F14" sqref="F14"/>
      <pageMargins left="0" right="0" top="0" bottom="0" header="0" footer="0"/>
      <pageSetup paperSize="9" orientation="landscape" r:id="rId1"/>
    </customSheetView>
    <customSheetView guid="{9FA74287-E657-475B-BF4B-3C8C757714AE}" showPageBreaks="1" printArea="1">
      <selection sqref="A1:L31"/>
      <pageMargins left="0" right="0" top="0" bottom="0" header="0" footer="0"/>
      <pageSetup paperSize="9" orientation="landscape" r:id="rId2"/>
    </customSheetView>
  </customSheetViews>
  <mergeCells count="1">
    <mergeCell ref="B42:E45"/>
  </mergeCell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A8BA-91EA-42AF-929A-6EF5549355FB}">
  <sheetPr>
    <pageSetUpPr autoPageBreaks="0" fitToPage="1"/>
  </sheetPr>
  <dimension ref="A2:Q16"/>
  <sheetViews>
    <sheetView zoomScale="85" zoomScaleNormal="85" workbookViewId="0">
      <selection activeCell="R14" sqref="R14"/>
    </sheetView>
  </sheetViews>
  <sheetFormatPr baseColWidth="10" defaultColWidth="11.25" defaultRowHeight="15.75" outlineLevelRow="1"/>
  <cols>
    <col min="1" max="1" width="11.25" style="410"/>
    <col min="2" max="2" width="28.75" style="410" bestFit="1" customWidth="1"/>
    <col min="3" max="3" width="10.375" style="410" customWidth="1"/>
    <col min="4" max="4" width="7.5" style="410" customWidth="1"/>
    <col min="5" max="5" width="8.25" style="410" customWidth="1"/>
    <col min="6" max="6" width="7.375" style="410" customWidth="1"/>
    <col min="7" max="7" width="4.75" style="410" customWidth="1"/>
    <col min="8" max="8" width="21.75" style="410" customWidth="1"/>
    <col min="9" max="9" width="24.125" style="410" bestFit="1" customWidth="1"/>
    <col min="10" max="10" width="14.75" style="410" customWidth="1"/>
    <col min="11" max="11" width="11.25" style="410"/>
    <col min="12" max="12" width="21.75" style="410" customWidth="1"/>
    <col min="13" max="14" width="11.25" style="410"/>
    <col min="15" max="15" width="12.125" style="410" customWidth="1"/>
    <col min="16" max="16384" width="11.25" style="410"/>
  </cols>
  <sheetData>
    <row r="2" spans="1:17" ht="16.5" thickBot="1">
      <c r="P2" s="410" t="s">
        <v>20</v>
      </c>
      <c r="Q2" s="410" t="s">
        <v>21</v>
      </c>
    </row>
    <row r="3" spans="1:17" ht="21">
      <c r="B3" s="420" t="s">
        <v>22</v>
      </c>
      <c r="C3" s="411"/>
      <c r="D3" s="411"/>
      <c r="E3" s="795" t="s">
        <v>23</v>
      </c>
      <c r="H3" s="420" t="s">
        <v>24</v>
      </c>
      <c r="I3" s="411"/>
      <c r="J3" s="412"/>
      <c r="L3" s="420" t="s">
        <v>25</v>
      </c>
      <c r="M3" s="411"/>
      <c r="N3" s="411"/>
      <c r="O3" s="412"/>
    </row>
    <row r="4" spans="1:17" ht="18.75">
      <c r="B4" s="421" t="s">
        <v>26</v>
      </c>
      <c r="C4" t="s">
        <v>27</v>
      </c>
      <c r="E4" s="790"/>
      <c r="H4" s="497" t="s">
        <v>28</v>
      </c>
      <c r="J4" s="414"/>
      <c r="L4" s="667" t="s">
        <v>29</v>
      </c>
      <c r="M4">
        <v>100</v>
      </c>
      <c r="N4" s="802">
        <f>M4*0.14</f>
        <v>14.000000000000002</v>
      </c>
      <c r="O4" s="811">
        <f>BillQuantities!J22*0.8</f>
        <v>291.2</v>
      </c>
      <c r="P4" s="809" t="s">
        <v>30</v>
      </c>
    </row>
    <row r="5" spans="1:17">
      <c r="B5" s="499" t="s">
        <v>31</v>
      </c>
      <c r="C5" s="504">
        <v>4</v>
      </c>
      <c r="D5" s="788"/>
      <c r="E5" s="791">
        <f>E6/C5</f>
        <v>3.5546875</v>
      </c>
      <c r="H5" s="421" t="s">
        <v>32</v>
      </c>
      <c r="I5" t="s">
        <v>33</v>
      </c>
      <c r="J5" s="691"/>
      <c r="L5" s="667" t="s">
        <v>34</v>
      </c>
      <c r="M5" s="422" t="s">
        <v>35</v>
      </c>
      <c r="N5">
        <f>0.5*C6</f>
        <v>728</v>
      </c>
      <c r="O5" s="414" t="s">
        <v>36</v>
      </c>
      <c r="P5" s="410" t="s">
        <v>30</v>
      </c>
      <c r="Q5" s="410" t="s">
        <v>37</v>
      </c>
    </row>
    <row r="6" spans="1:17">
      <c r="B6" s="502" t="s">
        <v>38</v>
      </c>
      <c r="C6" s="505">
        <v>1456</v>
      </c>
      <c r="D6" s="789" t="s">
        <v>39</v>
      </c>
      <c r="E6" s="791">
        <f>C6/102.4</f>
        <v>14.21875</v>
      </c>
      <c r="H6" s="421" t="s">
        <v>40</v>
      </c>
      <c r="I6" t="s">
        <v>41</v>
      </c>
      <c r="J6" s="691"/>
      <c r="L6" s="421" t="s">
        <v>42</v>
      </c>
      <c r="M6">
        <v>0</v>
      </c>
      <c r="N6" s="410" t="s">
        <v>39</v>
      </c>
      <c r="O6" s="810">
        <f>(Exploitation!B45*60%*Inputs!C6)/Exploitation!M39</f>
        <v>40.767999999999994</v>
      </c>
      <c r="P6" s="410" t="s">
        <v>30</v>
      </c>
      <c r="Q6" s="410" t="s">
        <v>43</v>
      </c>
    </row>
    <row r="7" spans="1:17">
      <c r="B7" s="499" t="s">
        <v>44</v>
      </c>
      <c r="C7" s="501">
        <v>1.5</v>
      </c>
      <c r="D7" s="787" t="s">
        <v>45</v>
      </c>
      <c r="E7" s="792">
        <f>((SQRT(Graphes_Background!C3)*4*Inputs!C5*Imprimer!D4)+(Graphes_Background!C3*2))/Inputs!C6</f>
        <v>1.1289709020331509</v>
      </c>
      <c r="H7" s="421" t="s">
        <v>28</v>
      </c>
      <c r="I7" t="s">
        <v>46</v>
      </c>
      <c r="J7" s="691"/>
      <c r="L7" s="421" t="s">
        <v>47</v>
      </c>
      <c r="M7" t="s">
        <v>48</v>
      </c>
      <c r="N7" s="464"/>
      <c r="O7" s="414"/>
      <c r="P7" s="464" t="s">
        <v>49</v>
      </c>
      <c r="Q7" s="464" t="s">
        <v>50</v>
      </c>
    </row>
    <row r="8" spans="1:17">
      <c r="B8" s="502" t="s">
        <v>4</v>
      </c>
      <c r="C8" s="503">
        <v>0.3</v>
      </c>
      <c r="D8" s="789" t="s">
        <v>51</v>
      </c>
      <c r="E8" s="793"/>
      <c r="F8" s="464"/>
      <c r="H8" s="413"/>
      <c r="J8" s="691"/>
      <c r="L8" s="803" t="s">
        <v>52</v>
      </c>
      <c r="O8" s="414"/>
    </row>
    <row r="9" spans="1:17" ht="18.75">
      <c r="A9" s="464"/>
      <c r="B9" s="499" t="s">
        <v>53</v>
      </c>
      <c r="C9" s="500">
        <f>E9*C10</f>
        <v>728</v>
      </c>
      <c r="D9" s="788" t="s">
        <v>39</v>
      </c>
      <c r="E9" s="790">
        <f>Graphes_Background!C3</f>
        <v>364</v>
      </c>
      <c r="H9" s="497" t="s">
        <v>54</v>
      </c>
      <c r="J9" s="691"/>
      <c r="L9" s="803" t="s">
        <v>55</v>
      </c>
      <c r="O9" s="414"/>
    </row>
    <row r="10" spans="1:17" ht="16.5" thickBot="1">
      <c r="B10" s="498" t="s">
        <v>56</v>
      </c>
      <c r="C10" s="801">
        <v>2</v>
      </c>
      <c r="D10" s="480"/>
      <c r="E10" s="794">
        <f>(C9/28)/E6</f>
        <v>1.8285714285714285</v>
      </c>
      <c r="F10" s="464"/>
      <c r="H10" s="498" t="s">
        <v>57</v>
      </c>
      <c r="I10" s="506" t="s">
        <v>58</v>
      </c>
      <c r="J10" s="693" t="s">
        <v>59</v>
      </c>
      <c r="L10" s="804" t="s">
        <v>60</v>
      </c>
      <c r="M10" s="480"/>
      <c r="N10" s="480"/>
      <c r="O10" s="417"/>
    </row>
    <row r="11" spans="1:17" outlineLevel="1">
      <c r="H11" s="413" t="s">
        <v>61</v>
      </c>
      <c r="J11" s="414"/>
      <c r="L11" s="695"/>
      <c r="M11" s="411"/>
      <c r="N11" s="411"/>
      <c r="O11" s="412"/>
    </row>
    <row r="12" spans="1:17" outlineLevel="1">
      <c r="H12" s="413" t="s">
        <v>62</v>
      </c>
      <c r="J12" s="414"/>
      <c r="L12" s="413" t="s">
        <v>63</v>
      </c>
      <c r="N12" s="410" t="s">
        <v>64</v>
      </c>
      <c r="O12" s="414"/>
    </row>
    <row r="13" spans="1:17" outlineLevel="1">
      <c r="H13" s="413" t="s">
        <v>65</v>
      </c>
      <c r="J13" s="690" t="s">
        <v>66</v>
      </c>
      <c r="L13" s="413"/>
      <c r="O13" s="414"/>
    </row>
    <row r="14" spans="1:17" ht="16.5" outlineLevel="1" thickBot="1">
      <c r="B14" s="727" t="s">
        <v>67</v>
      </c>
      <c r="C14" s="423"/>
      <c r="H14" s="413" t="s">
        <v>68</v>
      </c>
      <c r="J14" s="692" t="s">
        <v>69</v>
      </c>
      <c r="L14" s="413" t="s">
        <v>70</v>
      </c>
      <c r="N14" s="410" t="s">
        <v>71</v>
      </c>
      <c r="O14" s="414"/>
    </row>
    <row r="15" spans="1:17" outlineLevel="1">
      <c r="B15" s="410" t="s">
        <v>72</v>
      </c>
      <c r="H15" s="413" t="s">
        <v>73</v>
      </c>
      <c r="J15" s="414"/>
      <c r="L15" s="413"/>
      <c r="O15" s="414"/>
    </row>
    <row r="16" spans="1:17" ht="16.5" outlineLevel="1" thickBot="1">
      <c r="H16" s="416" t="s">
        <v>74</v>
      </c>
      <c r="I16" s="480"/>
      <c r="J16" s="417"/>
      <c r="L16" s="416"/>
      <c r="M16" s="480"/>
      <c r="N16" s="480" t="s">
        <v>75</v>
      </c>
      <c r="O16" s="417"/>
      <c r="P16" s="410" t="s">
        <v>76</v>
      </c>
    </row>
  </sheetData>
  <customSheetViews>
    <customSheetView guid="{B32447E2-AB5B-4CBB-881B-FF11349CA4D6}" scale="85" hiddenRows="1">
      <selection activeCell="O48" sqref="O48"/>
      <pageMargins left="0" right="0" top="0" bottom="0" header="0" footer="0"/>
      <pageSetup paperSize="9" orientation="portrait" r:id="rId1"/>
    </customSheetView>
    <customSheetView guid="{9FA74287-E657-475B-BF4B-3C8C757714AE}" scale="85" hiddenRows="1">
      <selection activeCell="O48" sqref="O48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scale="55" orientation="landscape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AD5C11E-7D4F-4ADF-960E-ACA06D575ABC}">
          <x14:formula1>
            <xm:f>Graphes_Background!$F$4:$F$5</xm:f>
          </x14:formula1>
          <xm:sqref>I10</xm:sqref>
        </x14:dataValidation>
        <x14:dataValidation type="list" allowBlank="1" showInputMessage="1" showErrorMessage="1" xr:uid="{5549B6BE-719C-4043-8274-3C330B33D960}">
          <x14:formula1>
            <xm:f>Graphes_Background!$G$4:$G$5</xm:f>
          </x14:formula1>
          <xm:sqref>I7</xm:sqref>
        </x14:dataValidation>
        <x14:dataValidation type="list" allowBlank="1" showInputMessage="1" showErrorMessage="1" xr:uid="{B73A2DDB-7EAA-4C87-9109-C6D4C4864363}">
          <x14:formula1>
            <xm:f>Graphes_Background!$I$4:$I$5</xm:f>
          </x14:formula1>
          <xm:sqref>I6</xm:sqref>
        </x14:dataValidation>
        <x14:dataValidation type="list" allowBlank="1" showInputMessage="1" showErrorMessage="1" xr:uid="{FB7B1A16-2645-41B0-9D71-A620E84157A3}">
          <x14:formula1>
            <xm:f>Graphes_Background!$H$4:$H$5</xm:f>
          </x14:formula1>
          <xm:sqref>I5</xm:sqref>
        </x14:dataValidation>
        <x14:dataValidation type="list" allowBlank="1" showInputMessage="1" showErrorMessage="1" xr:uid="{4E044706-A231-46FF-A45B-9E707A30E077}">
          <x14:formula1>
            <xm:f>Graphes_Background!$L$4:$L$5</xm:f>
          </x14:formula1>
          <xm:sqref>J13</xm:sqref>
        </x14:dataValidation>
        <x14:dataValidation type="list" allowBlank="1" showInputMessage="1" showErrorMessage="1" xr:uid="{8FD21D03-6352-4D81-941B-AE5870402692}">
          <x14:formula1>
            <xm:f>Graphes_Background!$N$4:$N$5</xm:f>
          </x14:formula1>
          <xm:sqref>C4</xm:sqref>
        </x14:dataValidation>
        <x14:dataValidation type="list" allowBlank="1" showInputMessage="1" showErrorMessage="1" xr:uid="{B8BA22A2-10B9-414C-93CA-5A85369232A1}">
          <x14:formula1>
            <xm:f>Graphes_Background!$P$4:$P$5</xm:f>
          </x14:formula1>
          <xm:sqref>M5</xm:sqref>
        </x14:dataValidation>
        <x14:dataValidation type="list" allowBlank="1" showInputMessage="1" showErrorMessage="1" xr:uid="{BC325E4B-DD02-434E-A46A-902E470D63C4}">
          <x14:formula1>
            <xm:f>Graphes_Background!$L$8:$L$9</xm:f>
          </x14:formula1>
          <xm:sqref>J14</xm:sqref>
        </x14:dataValidation>
        <x14:dataValidation type="list" allowBlank="1" showInputMessage="1" showErrorMessage="1" xr:uid="{4F9C3F15-D7FF-4768-A484-87D413E1172B}">
          <x14:formula1>
            <xm:f>Graphes_Background!$R$4:$R$5</xm:f>
          </x14:formula1>
          <xm:sqref>M7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F6E0-73D0-4637-92FF-532AB49E6F3C}">
  <dimension ref="A1:M37"/>
  <sheetViews>
    <sheetView workbookViewId="0">
      <selection activeCell="F11" sqref="F11"/>
    </sheetView>
  </sheetViews>
  <sheetFormatPr baseColWidth="10" defaultRowHeight="15.75"/>
  <cols>
    <col min="2" max="2" width="37.125" customWidth="1"/>
    <col min="3" max="3" width="12.125" bestFit="1" customWidth="1"/>
  </cols>
  <sheetData>
    <row r="1" spans="1:13">
      <c r="C1" t="s">
        <v>293</v>
      </c>
      <c r="D1" t="s">
        <v>548</v>
      </c>
      <c r="E1" t="s">
        <v>549</v>
      </c>
      <c r="F1" t="s">
        <v>3479</v>
      </c>
      <c r="H1" t="s">
        <v>3436</v>
      </c>
      <c r="I1" t="s">
        <v>3480</v>
      </c>
    </row>
    <row r="2" spans="1:13">
      <c r="A2" s="1083" t="s">
        <v>3437</v>
      </c>
      <c r="B2" s="1084" t="s">
        <v>3438</v>
      </c>
      <c r="C2" s="422">
        <f xml:space="preserve"> Standard!J6</f>
        <v>2423</v>
      </c>
      <c r="D2" s="422">
        <f xml:space="preserve"> Réaliste!J6</f>
        <v>2423</v>
      </c>
      <c r="E2" s="422">
        <f>Engagé!J6</f>
        <v>2423</v>
      </c>
      <c r="F2" s="1113">
        <f>C2/H2</f>
        <v>1.0507390299029167</v>
      </c>
      <c r="H2">
        <f>I2*Standard!G$1</f>
        <v>2305.9959999999942</v>
      </c>
      <c r="I2" s="422">
        <v>2.5666666666666602</v>
      </c>
    </row>
    <row r="3" spans="1:13">
      <c r="A3" t="s">
        <v>3439</v>
      </c>
      <c r="B3" s="1084" t="s">
        <v>3440</v>
      </c>
      <c r="C3" s="422">
        <f xml:space="preserve"> Standard!J23</f>
        <v>281.22000000000003</v>
      </c>
      <c r="D3" s="422">
        <f xml:space="preserve"> Réaliste!J23+Réaliste!J34</f>
        <v>378.42999999999995</v>
      </c>
      <c r="E3" s="422">
        <f>Engagé!J23</f>
        <v>329.42</v>
      </c>
      <c r="F3" s="1113">
        <f t="shared" ref="F3:F17" si="0">C3/H3</f>
        <v>0.73264058799455034</v>
      </c>
      <c r="H3">
        <f>I3*Standard!G$1</f>
        <v>383.84441786085137</v>
      </c>
      <c r="I3" s="422">
        <v>0.42723433714087899</v>
      </c>
    </row>
    <row r="4" spans="1:13">
      <c r="A4" s="1083" t="s">
        <v>3441</v>
      </c>
      <c r="B4" s="1084" t="s">
        <v>3442</v>
      </c>
      <c r="C4" s="422">
        <f xml:space="preserve"> Standard!J12</f>
        <v>530.5</v>
      </c>
      <c r="D4" s="422">
        <f xml:space="preserve"> Réaliste!J12</f>
        <v>530.5</v>
      </c>
      <c r="E4" s="422">
        <f>Engagé!J12</f>
        <v>548.14</v>
      </c>
      <c r="F4" s="1113">
        <f t="shared" si="0"/>
        <v>1.7714037665286515</v>
      </c>
      <c r="H4">
        <f>I4*Standard!G$1</f>
        <v>299.47999999999968</v>
      </c>
      <c r="I4" s="422">
        <v>0.33333333333333298</v>
      </c>
    </row>
    <row r="5" spans="1:13">
      <c r="A5" s="615" t="s">
        <v>3443</v>
      </c>
      <c r="B5" s="1084" t="s">
        <v>3347</v>
      </c>
      <c r="C5" s="615">
        <f>Standard!J46+Standard!J50+Standard!J54</f>
        <v>603.1099999999999</v>
      </c>
      <c r="D5" s="615">
        <f>Réaliste!J51+Réaliste!J54+Réaliste!J58</f>
        <v>489.47999999999996</v>
      </c>
      <c r="E5" s="615">
        <f>Engagé!J51+Engagé!J54+Engagé!J58</f>
        <v>582.5</v>
      </c>
      <c r="F5" s="1113">
        <f t="shared" si="0"/>
        <v>1.2360386428892305</v>
      </c>
      <c r="H5">
        <f>I5*Standard!G$1</f>
        <v>487.93781931464139</v>
      </c>
      <c r="I5" s="615">
        <v>0.54309449636552398</v>
      </c>
    </row>
    <row r="6" spans="1:13">
      <c r="A6" s="615" t="s">
        <v>3444</v>
      </c>
      <c r="B6" s="1084" t="s">
        <v>176</v>
      </c>
      <c r="C6" s="615">
        <f xml:space="preserve"> Standard!J82</f>
        <v>134.07999999999998</v>
      </c>
      <c r="D6" s="615">
        <f xml:space="preserve"> Réaliste!J88</f>
        <v>134.07999999999998</v>
      </c>
      <c r="E6" s="615">
        <f>Engagé!J88</f>
        <v>134.07999999999998</v>
      </c>
      <c r="F6" s="1113">
        <f t="shared" si="0"/>
        <v>1.2937340481856774</v>
      </c>
      <c r="H6">
        <f>I6*Standard!G$1</f>
        <v>103.63799282242957</v>
      </c>
      <c r="I6" s="615">
        <v>0.115353271028037</v>
      </c>
    </row>
    <row r="7" spans="1:13">
      <c r="A7" s="615" t="s">
        <v>3445</v>
      </c>
      <c r="B7" s="1084" t="s">
        <v>3348</v>
      </c>
      <c r="C7" s="615">
        <f xml:space="preserve"> Standard!J91</f>
        <v>279.05</v>
      </c>
      <c r="D7" s="615">
        <f xml:space="preserve"> Réaliste!J97</f>
        <v>292.8</v>
      </c>
      <c r="E7" s="675">
        <f>Engagé!J108</f>
        <v>402.41</v>
      </c>
      <c r="F7" s="1113">
        <f t="shared" si="0"/>
        <v>1.0243217238647471</v>
      </c>
      <c r="H7">
        <f>I7*Standard!G$1</f>
        <v>272.42417445482801</v>
      </c>
      <c r="I7" s="615">
        <v>0.30321910695742399</v>
      </c>
    </row>
    <row r="8" spans="1:13">
      <c r="A8" s="615" t="s">
        <v>3446</v>
      </c>
      <c r="B8" s="1084" t="s">
        <v>3447</v>
      </c>
      <c r="C8" s="615">
        <f xml:space="preserve"> Standard!G1</f>
        <v>898.44</v>
      </c>
      <c r="D8" s="615">
        <f xml:space="preserve"> Réaliste!G1</f>
        <v>907.62</v>
      </c>
      <c r="E8" s="615">
        <f>Engagé!G1</f>
        <v>964.84</v>
      </c>
      <c r="F8" s="1113">
        <f t="shared" si="0"/>
        <v>1</v>
      </c>
      <c r="H8">
        <f>I8*Standard!G$1</f>
        <v>898.44</v>
      </c>
      <c r="I8" s="615">
        <v>1</v>
      </c>
    </row>
    <row r="9" spans="1:13">
      <c r="A9" s="615" t="s">
        <v>3448</v>
      </c>
      <c r="B9" s="1084" t="s">
        <v>3449</v>
      </c>
      <c r="C9" s="615">
        <f>Standard!J148</f>
        <v>238.73</v>
      </c>
      <c r="D9" s="615">
        <f>Réaliste!J160</f>
        <v>264.32</v>
      </c>
      <c r="E9" s="615">
        <f>Engagé!J159</f>
        <v>287.85000000000002</v>
      </c>
      <c r="F9" s="1113">
        <f t="shared" si="0"/>
        <v>0.87631723754965429</v>
      </c>
      <c r="H9">
        <f>I9*Standard!G$1</f>
        <v>272.42417445482801</v>
      </c>
      <c r="I9" s="615">
        <v>0.30321910695742399</v>
      </c>
    </row>
    <row r="10" spans="1:13">
      <c r="A10" s="615" t="s">
        <v>3450</v>
      </c>
      <c r="B10" s="1084" t="s">
        <v>3451</v>
      </c>
      <c r="C10" s="615">
        <f>Standard!J204+Standard!J209</f>
        <v>114.51</v>
      </c>
      <c r="D10" s="615">
        <f xml:space="preserve"> Réaliste!J216+Réaliste!J222</f>
        <v>119.49</v>
      </c>
      <c r="E10" s="615">
        <f>Engagé!J214+Engagé!J220</f>
        <v>89.88</v>
      </c>
      <c r="F10" s="1113">
        <f t="shared" si="0"/>
        <v>0.63727127020168284</v>
      </c>
      <c r="H10">
        <f>I10*Standard!G$1</f>
        <v>179.68800000000002</v>
      </c>
      <c r="I10" s="615">
        <v>0.2</v>
      </c>
    </row>
    <row r="11" spans="1:13">
      <c r="A11" t="s">
        <v>3452</v>
      </c>
      <c r="B11" s="1084" t="s">
        <v>3453</v>
      </c>
      <c r="C11" s="615">
        <f>Standard!J34+Standard!J41</f>
        <v>232.17000000000002</v>
      </c>
      <c r="D11" s="615">
        <f>Réaliste!J39+Réaliste!J46</f>
        <v>228.9</v>
      </c>
      <c r="E11" s="615">
        <f>Engagé!J39+Engagé!J46</f>
        <v>215.93</v>
      </c>
      <c r="F11" s="1114" t="e">
        <f t="shared" si="0"/>
        <v>#DIV/0!</v>
      </c>
      <c r="H11">
        <f>I11*Standard!G$1</f>
        <v>0</v>
      </c>
      <c r="I11" s="615">
        <v>0</v>
      </c>
    </row>
    <row r="12" spans="1:13">
      <c r="A12" s="615" t="s">
        <v>3454</v>
      </c>
      <c r="B12" s="1084" t="s">
        <v>3455</v>
      </c>
      <c r="C12" s="675">
        <f>Standard!J136</f>
        <v>174.15600000000001</v>
      </c>
      <c r="D12" s="1085">
        <f>Réaliste!J148+Réaliste!J153</f>
        <v>194.47200000000001</v>
      </c>
      <c r="E12" s="1085">
        <f>Engagé!J147+Engagé!J152</f>
        <v>194.47200000000001</v>
      </c>
      <c r="F12" s="1113">
        <f t="shared" si="0"/>
        <v>0.48460665152931748</v>
      </c>
      <c r="H12">
        <f>I12*Standard!G$1</f>
        <v>359.37600000000003</v>
      </c>
      <c r="I12" s="615">
        <v>0.4</v>
      </c>
    </row>
    <row r="13" spans="1:13">
      <c r="A13" s="615" t="s">
        <v>3456</v>
      </c>
      <c r="B13" s="1084" t="s">
        <v>3457</v>
      </c>
      <c r="C13" s="615">
        <f>Standard!J113+Standard!J121+Standard!J125+Standard!J130+Standard!J133</f>
        <v>597.56399999999996</v>
      </c>
      <c r="D13" s="615">
        <f>Réaliste!J120+Réaliste!J125+Réaliste!J133+Réaliste!J137+Réaliste!J142+Réaliste!J145</f>
        <v>673.11</v>
      </c>
      <c r="E13" s="615">
        <f>Engagé!J121+Engagé!J125+Engagé!J132+Engagé!J136+Engagé!J141+Engagé!J144</f>
        <v>673.11</v>
      </c>
      <c r="F13" s="1113">
        <f t="shared" si="0"/>
        <v>1.6627821557366098</v>
      </c>
      <c r="H13">
        <f>I13*Standard!G$1</f>
        <v>359.37600000000003</v>
      </c>
      <c r="I13" s="615">
        <v>0.4</v>
      </c>
    </row>
    <row r="14" spans="1:13">
      <c r="A14" s="615" t="s">
        <v>3458</v>
      </c>
      <c r="B14" s="1084" t="s">
        <v>3459</v>
      </c>
      <c r="C14" s="615">
        <f>Standard!J157</f>
        <v>456.44</v>
      </c>
      <c r="D14" s="615">
        <f xml:space="preserve"> Réaliste!J169</f>
        <v>486.76</v>
      </c>
      <c r="E14" s="615">
        <f>Engagé!J168</f>
        <v>461.96</v>
      </c>
      <c r="F14" s="1113">
        <f t="shared" si="0"/>
        <v>0.76205422732736827</v>
      </c>
      <c r="H14">
        <f>I14*Standard!G$1</f>
        <v>598.95999999999935</v>
      </c>
      <c r="I14" s="615">
        <v>0.66666666666666596</v>
      </c>
    </row>
    <row r="15" spans="1:13">
      <c r="A15" s="615" t="s">
        <v>3460</v>
      </c>
      <c r="B15" s="1084" t="s">
        <v>3461</v>
      </c>
      <c r="C15" s="615">
        <f>Standard!J176+Standard!J187</f>
        <v>695.17</v>
      </c>
      <c r="D15" s="615">
        <f>Réaliste!J188+Réaliste!J199</f>
        <v>751.07999999999993</v>
      </c>
      <c r="E15" s="615">
        <f>Engagé!J187+Engagé!J198</f>
        <v>749.81</v>
      </c>
      <c r="F15" s="1113">
        <f t="shared" si="0"/>
        <v>0.79777671018058738</v>
      </c>
      <c r="H15">
        <f>I15*Standard!G$1</f>
        <v>871.38417445482833</v>
      </c>
      <c r="I15" s="615">
        <v>0.96988577362409101</v>
      </c>
    </row>
    <row r="16" spans="1:13" s="674" customFormat="1">
      <c r="A16" s="675" t="s">
        <v>3462</v>
      </c>
      <c r="C16" s="675">
        <f>Standard!J166</f>
        <v>0</v>
      </c>
      <c r="D16" s="675">
        <f>Réaliste!J178</f>
        <v>0</v>
      </c>
      <c r="E16" s="675">
        <f>Engagé!J177</f>
        <v>0</v>
      </c>
      <c r="F16" s="1113">
        <f t="shared" si="0"/>
        <v>0</v>
      </c>
      <c r="H16">
        <f>I16*Standard!G$1</f>
        <v>299.47999999999968</v>
      </c>
      <c r="I16" s="675">
        <v>0.33333333333333298</v>
      </c>
      <c r="M16"/>
    </row>
    <row r="17" spans="1:9">
      <c r="A17" t="s">
        <v>3463</v>
      </c>
      <c r="B17" s="1084" t="s">
        <v>3464</v>
      </c>
      <c r="C17" s="615">
        <f>Standard!J220+Standard!J227</f>
        <v>22.380000000000003</v>
      </c>
      <c r="D17" s="615">
        <f>Réaliste!J234+Réaliste!J241</f>
        <v>22.380000000000003</v>
      </c>
      <c r="E17" s="615">
        <f>Engagé!J233+Engagé!J240</f>
        <v>22.380000000000003</v>
      </c>
      <c r="F17" s="1113">
        <f t="shared" si="0"/>
        <v>1.0903717959614887</v>
      </c>
      <c r="H17">
        <f>I17*Standard!G$1</f>
        <v>20.525109034267842</v>
      </c>
      <c r="I17" s="615">
        <v>2.28452751817237E-2</v>
      </c>
    </row>
    <row r="18" spans="1:9">
      <c r="I18" s="615"/>
    </row>
    <row r="19" spans="1:9">
      <c r="C19" s="615"/>
      <c r="D19" s="615"/>
      <c r="E19" s="615"/>
    </row>
    <row r="20" spans="1:9">
      <c r="C20" s="615"/>
      <c r="D20" s="615"/>
      <c r="E20" s="615"/>
    </row>
    <row r="21" spans="1:9">
      <c r="A21" t="s">
        <v>3465</v>
      </c>
      <c r="C21" s="615">
        <f>Standard!N249</f>
        <v>614.60369066281544</v>
      </c>
      <c r="D21" s="615">
        <f>Réaliste!N263</f>
        <v>521.56293818255449</v>
      </c>
      <c r="E21" s="615">
        <f>Engagé!N262</f>
        <v>404.10271683491567</v>
      </c>
    </row>
    <row r="22" spans="1:9">
      <c r="A22" t="s">
        <v>3466</v>
      </c>
      <c r="C22" s="615">
        <f ca="1">Standard!P249</f>
        <v>235.63192129822312</v>
      </c>
      <c r="D22" s="615">
        <f ca="1">Réaliste!P263</f>
        <v>259.8259160436599</v>
      </c>
      <c r="E22" s="615">
        <f ca="1">Engagé!P262</f>
        <v>188.63862873695948</v>
      </c>
    </row>
    <row r="23" spans="1:9">
      <c r="A23" t="s">
        <v>3467</v>
      </c>
      <c r="C23" s="615">
        <f>Standard!Q249</f>
        <v>88.859500250050758</v>
      </c>
      <c r="D23" s="615">
        <f>Réaliste!Q263</f>
        <v>72.031726866036664</v>
      </c>
      <c r="E23" s="615">
        <f>Engagé!Q262</f>
        <v>58.024811027494707</v>
      </c>
    </row>
    <row r="25" spans="1:9">
      <c r="A25" t="s">
        <v>3465</v>
      </c>
      <c r="B25" t="s">
        <v>3436</v>
      </c>
      <c r="C25" s="1086">
        <v>597.64533723657996</v>
      </c>
      <c r="D25" s="1086">
        <v>522.77829244473799</v>
      </c>
      <c r="E25" s="1086">
        <v>434.31324470048702</v>
      </c>
    </row>
    <row r="26" spans="1:9">
      <c r="A26" t="s">
        <v>3466</v>
      </c>
      <c r="B26" t="s">
        <v>3436</v>
      </c>
      <c r="C26" s="1086">
        <v>240.837872129971</v>
      </c>
      <c r="D26" s="1086">
        <v>243.78522670720099</v>
      </c>
      <c r="E26" s="1087">
        <v>199.719960534005</v>
      </c>
    </row>
    <row r="27" spans="1:9">
      <c r="A27" t="s">
        <v>3467</v>
      </c>
      <c r="B27" t="s">
        <v>3436</v>
      </c>
      <c r="C27" s="1086">
        <v>86.363846158980607</v>
      </c>
      <c r="D27" s="1086">
        <v>64.075208111551504</v>
      </c>
      <c r="E27" s="1086">
        <v>51.032560605478402</v>
      </c>
    </row>
    <row r="29" spans="1:9">
      <c r="C29" s="1088">
        <f>C21-C25</f>
        <v>16.958353426235476</v>
      </c>
      <c r="D29" s="1088">
        <f t="shared" ref="D29:E29" si="1">D21-D25</f>
        <v>-1.2153542621834958</v>
      </c>
      <c r="E29" s="1088">
        <f t="shared" si="1"/>
        <v>-30.210527865571351</v>
      </c>
    </row>
    <row r="30" spans="1:9">
      <c r="B30" t="s">
        <v>3468</v>
      </c>
      <c r="C30" s="1088">
        <f t="shared" ref="C30:E31" ca="1" si="2">C22-C26</f>
        <v>-5.2059508317478844</v>
      </c>
      <c r="D30" s="1088">
        <f t="shared" ca="1" si="2"/>
        <v>16.040689336458911</v>
      </c>
      <c r="E30" s="1088">
        <f t="shared" ca="1" si="2"/>
        <v>-11.081331797045522</v>
      </c>
    </row>
    <row r="31" spans="1:9">
      <c r="C31" s="1088">
        <f t="shared" si="2"/>
        <v>2.4956540910701506</v>
      </c>
      <c r="D31" s="1088">
        <f t="shared" si="2"/>
        <v>7.9565187544851597</v>
      </c>
      <c r="E31" s="1088">
        <f t="shared" si="2"/>
        <v>6.9922504220163049</v>
      </c>
    </row>
    <row r="33" spans="2:5">
      <c r="B33" t="s">
        <v>3468</v>
      </c>
      <c r="C33" s="670">
        <f>(C21-C25)/C25</f>
        <v>2.8375279400067423E-2</v>
      </c>
      <c r="D33" s="670">
        <f t="shared" ref="D33:E33" si="3">(D21-D25)/D25</f>
        <v>-2.3247986378699321E-3</v>
      </c>
      <c r="E33" s="670">
        <f t="shared" si="3"/>
        <v>-6.9559305948418096E-2</v>
      </c>
    </row>
    <row r="34" spans="2:5">
      <c r="C34" s="670">
        <f t="shared" ref="C34:E35" ca="1" si="4">(C22-C26)/C26</f>
        <v>-2.1615997457984645E-2</v>
      </c>
      <c r="D34" s="670">
        <f t="shared" ca="1" si="4"/>
        <v>6.5798447072121527E-2</v>
      </c>
      <c r="E34" s="670">
        <f t="shared" ca="1" si="4"/>
        <v>-5.5484348021182274E-2</v>
      </c>
    </row>
    <row r="35" spans="2:5">
      <c r="C35" s="670">
        <f t="shared" si="4"/>
        <v>2.8896977173481733E-2</v>
      </c>
      <c r="D35" s="670">
        <f t="shared" si="4"/>
        <v>0.12417468454621773</v>
      </c>
      <c r="E35" s="670">
        <f t="shared" si="4"/>
        <v>0.13701547284824425</v>
      </c>
    </row>
    <row r="37" spans="2:5">
      <c r="C37" s="1088"/>
      <c r="D37" s="1088"/>
      <c r="E37" s="108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F759-913F-4C4A-A017-8D19E580682A}">
  <sheetPr>
    <pageSetUpPr autoPageBreaks="0" fitToPage="1"/>
  </sheetPr>
  <dimension ref="A1:BS1040"/>
  <sheetViews>
    <sheetView zoomScale="70" zoomScaleNormal="70" zoomScalePageLayoutView="55" workbookViewId="0">
      <pane xSplit="11" ySplit="3" topLeftCell="Z232" activePane="bottomRight" state="frozen"/>
      <selection pane="topRight" activeCell="L1" sqref="L1"/>
      <selection pane="bottomLeft" activeCell="A4" sqref="A4"/>
      <selection pane="bottomRight" activeCell="AD43" sqref="AD43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hidden="1" customWidth="1"/>
    <col min="6" max="6" width="41.25" style="638" customWidth="1"/>
    <col min="7" max="7" width="47.375" style="638" customWidth="1"/>
    <col min="8" max="8" width="9.75" style="638" customWidth="1"/>
    <col min="9" max="9" width="6.75" style="638" customWidth="1"/>
    <col min="10" max="10" width="11.25" style="638" customWidth="1"/>
    <col min="11" max="13" width="11.25" style="638"/>
    <col min="14" max="18" width="11.25" style="638" customWidth="1"/>
    <col min="19" max="19" width="16" style="638" customWidth="1"/>
    <col min="20" max="20" width="13.125" style="638" customWidth="1"/>
    <col min="21" max="26" width="11.25" style="638" customWidth="1"/>
    <col min="27" max="27" width="34.25" style="647" customWidth="1"/>
    <col min="31" max="32" width="12.375" customWidth="1"/>
    <col min="33" max="34" width="12.5" customWidth="1"/>
    <col min="35" max="35" width="12.125" style="1091" bestFit="1" customWidth="1"/>
    <col min="36" max="70" width="11.25" style="638" customWidth="1"/>
    <col min="71" max="16384" width="11.25" style="638"/>
  </cols>
  <sheetData>
    <row r="1" spans="1:70" ht="34.15" customHeight="1" thickBot="1">
      <c r="A1" s="638" t="s">
        <v>3432</v>
      </c>
      <c r="B1" s="1082">
        <f>J12+J46+J50+J54+J82+J91</f>
        <v>1546.74</v>
      </c>
      <c r="C1" s="638">
        <f>B1/G1</f>
        <v>1.7215840790703887</v>
      </c>
      <c r="D1" s="638">
        <f>149.7/(1334.2-299.7-298.5)</f>
        <v>0.20339673913043477</v>
      </c>
      <c r="F1" s="674" t="s">
        <v>77</v>
      </c>
      <c r="G1" s="876">
        <v>898.44</v>
      </c>
      <c r="I1" s="874"/>
      <c r="Z1" s="646" t="s">
        <v>92</v>
      </c>
      <c r="AA1" s="647" t="s">
        <v>3469</v>
      </c>
      <c r="AB1" s="1089" t="s">
        <v>3470</v>
      </c>
      <c r="AC1" s="1089" t="s">
        <v>3478</v>
      </c>
      <c r="AD1" s="1089" t="s">
        <v>3471</v>
      </c>
      <c r="AE1" s="1089" t="s">
        <v>3472</v>
      </c>
      <c r="AF1" s="1089" t="s">
        <v>3484</v>
      </c>
      <c r="AG1" s="1089" t="s">
        <v>3473</v>
      </c>
      <c r="AH1" s="1089" t="s">
        <v>3485</v>
      </c>
      <c r="AI1" s="1089" t="s">
        <v>3474</v>
      </c>
    </row>
    <row r="2" spans="1:70" ht="8.25" customHeight="1">
      <c r="A2" s="656"/>
      <c r="L2" s="638">
        <v>60</v>
      </c>
      <c r="Z2" s="647"/>
      <c r="AB2" s="647"/>
      <c r="AC2" s="647"/>
      <c r="AD2" s="647"/>
      <c r="AE2" s="647" t="s">
        <v>3475</v>
      </c>
      <c r="AF2" s="647" t="s">
        <v>3475</v>
      </c>
      <c r="AG2" s="647" t="s">
        <v>3475</v>
      </c>
      <c r="AH2" s="647" t="s">
        <v>3475</v>
      </c>
      <c r="AI2" s="647" t="s">
        <v>3475</v>
      </c>
      <c r="AN2" s="1046" t="s">
        <v>3407</v>
      </c>
      <c r="AO2" s="1047"/>
      <c r="AP2" s="1047"/>
      <c r="AQ2" s="1047"/>
      <c r="AR2" s="1048"/>
      <c r="AS2" s="1046" t="s">
        <v>3388</v>
      </c>
      <c r="AT2" s="1047"/>
      <c r="AU2" s="1047"/>
      <c r="AV2" s="1047"/>
      <c r="AW2" s="1048"/>
      <c r="AX2" s="1046" t="s">
        <v>3417</v>
      </c>
      <c r="AY2" s="1047"/>
      <c r="AZ2" s="1047"/>
      <c r="BA2" s="1047"/>
      <c r="BB2" s="1048"/>
      <c r="BC2" s="1046" t="s">
        <v>145</v>
      </c>
      <c r="BD2" s="1047"/>
      <c r="BE2" s="1047"/>
      <c r="BF2" s="1048"/>
      <c r="BG2" s="1046" t="s">
        <v>3407</v>
      </c>
      <c r="BH2" s="1047" t="s">
        <v>3388</v>
      </c>
      <c r="BI2" s="1048" t="s">
        <v>3417</v>
      </c>
      <c r="BJ2" s="638" t="s">
        <v>3423</v>
      </c>
      <c r="BK2" s="1046" t="s">
        <v>3407</v>
      </c>
      <c r="BL2" s="1047" t="s">
        <v>3388</v>
      </c>
      <c r="BM2" s="1048" t="s">
        <v>3417</v>
      </c>
    </row>
    <row r="3" spans="1:70" ht="78.75">
      <c r="B3" s="644" t="s">
        <v>82</v>
      </c>
      <c r="C3" s="644" t="s">
        <v>83</v>
      </c>
      <c r="D3" s="639" t="s">
        <v>84</v>
      </c>
      <c r="E3" s="639" t="s">
        <v>85</v>
      </c>
      <c r="F3" s="644" t="s">
        <v>86</v>
      </c>
      <c r="G3" s="639" t="s">
        <v>87</v>
      </c>
      <c r="H3" s="639" t="s">
        <v>88</v>
      </c>
      <c r="I3" s="640" t="s">
        <v>89</v>
      </c>
      <c r="J3" s="644" t="s">
        <v>90</v>
      </c>
      <c r="K3" s="646" t="s">
        <v>91</v>
      </c>
      <c r="L3" s="646" t="s">
        <v>92</v>
      </c>
      <c r="M3" s="646" t="s">
        <v>93</v>
      </c>
      <c r="N3" s="1042" t="s">
        <v>2945</v>
      </c>
      <c r="O3" s="1042" t="s">
        <v>3481</v>
      </c>
      <c r="P3" s="1042" t="s">
        <v>2946</v>
      </c>
      <c r="Q3" s="1042" t="s">
        <v>2947</v>
      </c>
      <c r="R3" s="1042" t="s">
        <v>3482</v>
      </c>
      <c r="S3" s="1042" t="s">
        <v>2948</v>
      </c>
      <c r="T3" s="1042" t="s">
        <v>94</v>
      </c>
      <c r="U3" s="638" t="s">
        <v>3334</v>
      </c>
      <c r="V3" s="638" t="s">
        <v>3341</v>
      </c>
      <c r="W3" s="638" t="s">
        <v>3342</v>
      </c>
      <c r="AA3" s="1025"/>
      <c r="AB3" s="1090"/>
      <c r="AC3" s="1090"/>
      <c r="AD3" s="1090"/>
      <c r="AE3" s="1090"/>
      <c r="AF3" s="1090"/>
      <c r="AG3" s="1090"/>
      <c r="AH3" s="1090"/>
      <c r="AI3" s="1090"/>
      <c r="AJ3" s="1042" t="s">
        <v>3334</v>
      </c>
      <c r="AK3" s="1042" t="s">
        <v>3341</v>
      </c>
      <c r="AL3" s="1042" t="s">
        <v>3342</v>
      </c>
      <c r="AM3" s="1043" t="s">
        <v>3425</v>
      </c>
      <c r="AN3" s="1049" t="s">
        <v>2945</v>
      </c>
      <c r="AO3" s="1042" t="s">
        <v>2946</v>
      </c>
      <c r="AP3" s="1042" t="s">
        <v>2947</v>
      </c>
      <c r="AQ3" s="1042" t="s">
        <v>2948</v>
      </c>
      <c r="AR3" s="1050" t="s">
        <v>94</v>
      </c>
      <c r="AS3" s="1049" t="s">
        <v>2945</v>
      </c>
      <c r="AT3" s="1042" t="s">
        <v>2946</v>
      </c>
      <c r="AU3" s="1042" t="s">
        <v>2947</v>
      </c>
      <c r="AV3" s="1042" t="s">
        <v>2948</v>
      </c>
      <c r="AW3" s="1050" t="s">
        <v>94</v>
      </c>
      <c r="AX3" s="1049" t="s">
        <v>2945</v>
      </c>
      <c r="AY3" s="1042" t="s">
        <v>2946</v>
      </c>
      <c r="AZ3" s="1042" t="s">
        <v>2947</v>
      </c>
      <c r="BA3" s="1042" t="s">
        <v>2948</v>
      </c>
      <c r="BB3" s="1050" t="s">
        <v>94</v>
      </c>
      <c r="BC3" s="1049" t="s">
        <v>2945</v>
      </c>
      <c r="BD3" s="1042" t="s">
        <v>2946</v>
      </c>
      <c r="BE3" s="1042" t="s">
        <v>2947</v>
      </c>
      <c r="BF3" s="1050" t="s">
        <v>2948</v>
      </c>
      <c r="BG3" s="1049" t="s">
        <v>202</v>
      </c>
      <c r="BH3" s="1042" t="s">
        <v>202</v>
      </c>
      <c r="BI3" s="1050" t="s">
        <v>202</v>
      </c>
      <c r="BJ3" s="1062" t="s">
        <v>3424</v>
      </c>
      <c r="BK3" s="1049" t="s">
        <v>98</v>
      </c>
      <c r="BL3" s="1042"/>
      <c r="BM3" s="1050"/>
      <c r="BN3" s="638" t="s">
        <v>3381</v>
      </c>
      <c r="BO3" s="638" t="s">
        <v>3383</v>
      </c>
      <c r="BP3" s="638" t="s">
        <v>3382</v>
      </c>
      <c r="BR3" s="638">
        <v>2020</v>
      </c>
    </row>
    <row r="4" spans="1:70" ht="15.6" customHeight="1">
      <c r="B4" s="1107" t="s">
        <v>95</v>
      </c>
      <c r="C4" s="1097" t="s">
        <v>17</v>
      </c>
      <c r="D4" s="473" t="s">
        <v>96</v>
      </c>
      <c r="E4" s="473"/>
      <c r="F4" s="473"/>
      <c r="G4" s="473"/>
      <c r="H4" s="473"/>
      <c r="I4" s="462"/>
      <c r="J4" s="468"/>
      <c r="K4" s="652"/>
      <c r="L4" s="652"/>
      <c r="M4" s="653">
        <f>SUM(N4:Q4)</f>
        <v>1.8899853078669697</v>
      </c>
      <c r="N4" s="653">
        <f>N5+N7+N9</f>
        <v>1.181240817416856</v>
      </c>
      <c r="O4" s="653">
        <f>O5+O7+O9</f>
        <v>0.70874449045011367</v>
      </c>
      <c r="P4" s="653">
        <f t="shared" ref="P4:Q4" si="0">P5+P7+P9</f>
        <v>0</v>
      </c>
      <c r="Q4" s="653">
        <f t="shared" si="0"/>
        <v>0</v>
      </c>
      <c r="R4" s="653">
        <f t="shared" ref="R4" si="1">R5+R7+R9</f>
        <v>0</v>
      </c>
      <c r="S4" s="653"/>
      <c r="T4" s="666"/>
      <c r="V4" s="638">
        <f t="shared" ref="V4:V67" si="2">IF(L4=60, 0, T4)</f>
        <v>0</v>
      </c>
      <c r="W4" s="638">
        <f t="shared" ref="W4:W44" si="3">IF(L4=60, 0, S4)</f>
        <v>0</v>
      </c>
      <c r="AB4" s="1090"/>
      <c r="AC4" s="1090"/>
      <c r="AD4" s="1090"/>
      <c r="AE4" s="1090"/>
      <c r="AF4" s="1090"/>
      <c r="AG4" s="1090"/>
      <c r="AH4" s="1090"/>
      <c r="AI4" s="1090"/>
      <c r="AJ4" s="666"/>
      <c r="AK4" s="666"/>
      <c r="AL4" s="666"/>
      <c r="AM4" s="666"/>
      <c r="AN4" s="1051"/>
      <c r="AO4" s="666"/>
      <c r="AP4" s="666"/>
      <c r="AQ4" s="666"/>
      <c r="AR4" s="1052"/>
      <c r="AS4" s="1051"/>
      <c r="AT4" s="666"/>
      <c r="AU4" s="666"/>
      <c r="AV4" s="666"/>
      <c r="AW4" s="1052"/>
      <c r="AX4" s="1051"/>
      <c r="AY4" s="666"/>
      <c r="AZ4" s="666"/>
      <c r="BA4" s="666"/>
      <c r="BB4" s="1052"/>
      <c r="BC4" s="1051"/>
      <c r="BD4" s="666"/>
      <c r="BE4" s="666"/>
      <c r="BF4" s="1052"/>
      <c r="BG4" s="1051"/>
      <c r="BH4" s="666"/>
      <c r="BI4" s="1052"/>
      <c r="BJ4" s="666"/>
      <c r="BK4" s="1051"/>
      <c r="BL4" s="666"/>
      <c r="BM4" s="1052"/>
      <c r="BN4" s="1037"/>
      <c r="BO4" s="1037"/>
      <c r="BP4" s="1037"/>
      <c r="BQ4" s="1037"/>
      <c r="BR4" s="1037"/>
    </row>
    <row r="5" spans="1:70">
      <c r="B5" s="1108"/>
      <c r="C5" s="1099"/>
      <c r="D5" s="478" t="s">
        <v>97</v>
      </c>
      <c r="E5" s="479"/>
      <c r="F5" s="479"/>
      <c r="G5" s="479"/>
      <c r="H5" s="479"/>
      <c r="I5" s="459" t="s">
        <v>98</v>
      </c>
      <c r="J5" s="662"/>
      <c r="K5" s="663"/>
      <c r="L5" s="663"/>
      <c r="M5" s="664">
        <f>SUM(M6)</f>
        <v>1.8899853078669697</v>
      </c>
      <c r="N5" s="664">
        <f t="shared" ref="N5:S5" si="4">SUM(N6)</f>
        <v>1.181240817416856</v>
      </c>
      <c r="O5" s="664">
        <f t="shared" si="4"/>
        <v>0.70874449045011367</v>
      </c>
      <c r="P5" s="664">
        <f t="shared" si="4"/>
        <v>0</v>
      </c>
      <c r="Q5" s="664">
        <f t="shared" si="4"/>
        <v>0</v>
      </c>
      <c r="R5" s="664">
        <f t="shared" si="4"/>
        <v>0</v>
      </c>
      <c r="S5" s="664">
        <f t="shared" si="4"/>
        <v>0</v>
      </c>
      <c r="T5" s="878"/>
      <c r="V5" s="638">
        <f t="shared" si="2"/>
        <v>0</v>
      </c>
      <c r="W5" s="638">
        <f t="shared" si="3"/>
        <v>0</v>
      </c>
      <c r="AE5" s="1090"/>
      <c r="AF5" s="1090"/>
      <c r="AG5" s="1090"/>
      <c r="AH5" s="1090"/>
      <c r="AJ5" s="878"/>
      <c r="AK5" s="878"/>
      <c r="AL5" s="878"/>
      <c r="AM5" s="878"/>
      <c r="AN5" s="1053"/>
      <c r="AO5" s="878"/>
      <c r="AP5" s="878"/>
      <c r="AQ5" s="878"/>
      <c r="AR5" s="1054"/>
      <c r="AS5" s="1053"/>
      <c r="AT5" s="878"/>
      <c r="AU5" s="878"/>
      <c r="AV5" s="878"/>
      <c r="AW5" s="1054"/>
      <c r="AX5" s="1053"/>
      <c r="AY5" s="878"/>
      <c r="AZ5" s="878"/>
      <c r="BA5" s="878"/>
      <c r="BB5" s="1054"/>
      <c r="BC5" s="1053"/>
      <c r="BD5" s="878"/>
      <c r="BE5" s="878"/>
      <c r="BF5" s="1054"/>
      <c r="BG5" s="1053"/>
      <c r="BH5" s="878"/>
      <c r="BI5" s="1054"/>
      <c r="BJ5" s="878"/>
      <c r="BK5" s="1053"/>
      <c r="BL5" s="878"/>
      <c r="BM5" s="1054"/>
      <c r="BN5" s="1037"/>
      <c r="BO5" s="1037"/>
      <c r="BP5" s="1037"/>
      <c r="BQ5" s="1037"/>
      <c r="BR5" s="1037"/>
    </row>
    <row r="6" spans="1:70">
      <c r="B6" s="1108"/>
      <c r="C6" s="1099"/>
      <c r="D6" s="478"/>
      <c r="E6" s="478"/>
      <c r="F6" s="728" t="s">
        <v>344</v>
      </c>
      <c r="G6" s="860" t="str">
        <f>'Travaux préparatoires'!C3</f>
        <v>Excavations mécaniques, en moyenne</v>
      </c>
      <c r="H6" s="728" t="str">
        <f>'Travaux préparatoires'!D3</f>
        <v>62.001</v>
      </c>
      <c r="I6" s="888"/>
      <c r="J6" s="889">
        <v>2423</v>
      </c>
      <c r="K6" s="647"/>
      <c r="L6" s="647">
        <v>60</v>
      </c>
      <c r="M6" s="648">
        <f>SUM(N6:Q6)</f>
        <v>1.8899853078669697</v>
      </c>
      <c r="N6" s="720">
        <f>IFERROR(($J6*VLOOKUP($H6, 'Transporte Transports'!$A$11:$Z$83, 21,FALSE)),0)/$G$1</f>
        <v>1.181240817416856</v>
      </c>
      <c r="O6" s="720">
        <f>N6-(40%*N6)</f>
        <v>0.70874449045011367</v>
      </c>
      <c r="P6" s="720">
        <f>(N6+Q6)*($L$2/L6-1)</f>
        <v>0</v>
      </c>
      <c r="Q6" s="720">
        <f>IFERROR(($J6*VLOOKUP($H6, 'Baumaterialien Matériaux'!$A$11:$AD$318, 27,FALSE)),0)/$G$1</f>
        <v>0</v>
      </c>
      <c r="R6" s="720">
        <f>Q6-(40%*Q6)</f>
        <v>0</v>
      </c>
      <c r="S6" s="720"/>
      <c r="T6" s="720"/>
      <c r="V6" s="638">
        <f t="shared" si="2"/>
        <v>0</v>
      </c>
      <c r="W6" s="638">
        <f t="shared" si="3"/>
        <v>0</v>
      </c>
      <c r="X6" s="638" t="str">
        <f>IF(L6=$L$2, "Structure", IF(L6&gt;0,"Revêtement",0))</f>
        <v>Structure</v>
      </c>
      <c r="Z6" s="638">
        <f>L6</f>
        <v>60</v>
      </c>
      <c r="AA6" s="1083" t="s">
        <v>3437</v>
      </c>
      <c r="AB6" t="s">
        <v>3476</v>
      </c>
      <c r="AC6">
        <v>2000</v>
      </c>
      <c r="AD6" s="622" cm="1">
        <f t="array" ref="AD6">IFERROR(_xlfn.SWITCH(I6,"kg",1,"m3",AC6,AC6)*J6/(_xlfn.XLOOKUP(AA6,Métrés!A:A,Métrés!C:C,0)),0)</f>
        <v>2000</v>
      </c>
      <c r="AE6" s="1092">
        <f>IFERROR(N6*$G$1/(_xlfn.XLOOKUP($AA6,Métrés!$A:$A,Métrés!$C:$C,0)),0)</f>
        <v>0.43800000000000006</v>
      </c>
      <c r="AF6" s="1092">
        <f>IFERROR(O6*$G$1/(_xlfn.XLOOKUP($AA6,Métrés!$A:$A,Métrés!$C:$C,0)),0)</f>
        <v>0.26280000000000003</v>
      </c>
      <c r="AG6" s="1092">
        <f>IFERROR(Q6*$G$1/(_xlfn.XLOOKUP($AA6,Métrés!$A:$A,Métrés!$C:$C,0)),0)</f>
        <v>0</v>
      </c>
      <c r="AH6" s="1092">
        <f>IFERROR(R6*$G$1/(_xlfn.XLOOKUP($AA6,Métrés!$A:$A,Métrés!$C:$C,0)),0)</f>
        <v>0</v>
      </c>
      <c r="AI6" s="1092">
        <f>IFERROR(S6*$G$1/(_xlfn.XLOOKUP($AA6,Métrés!$A:$A,Métrés!$C:$C,0)),0)</f>
        <v>0</v>
      </c>
      <c r="AJ6" s="1022"/>
      <c r="AK6" s="638">
        <f>IF(L6=60, 0, T6)</f>
        <v>0</v>
      </c>
      <c r="AL6" s="638">
        <f>IF(L6=60, 0, S6)</f>
        <v>0</v>
      </c>
      <c r="AM6" s="638" t="str">
        <f>IF(L6=$L$2, "Structure", IF(L6&gt;0,"Revêtement",0))</f>
        <v>Structure</v>
      </c>
      <c r="AN6" s="1036">
        <f>IF(AM6="Structure",N6,0)</f>
        <v>1.181240817416856</v>
      </c>
      <c r="AO6" s="1037">
        <f>IF(AM6="Structure",P6,0)</f>
        <v>0</v>
      </c>
      <c r="AP6" s="1037">
        <f>IF(AM6="Structure",Q6,0)</f>
        <v>0</v>
      </c>
      <c r="AQ6" s="1038">
        <f>IF(AM6="Structure",S6,0)</f>
        <v>0</v>
      </c>
      <c r="AR6" s="1038">
        <f>IF(AM6="Structure",T6,0)</f>
        <v>0</v>
      </c>
      <c r="AS6" s="1036">
        <f>IF(AM6="Insulation",N6,0)</f>
        <v>0</v>
      </c>
      <c r="AT6" s="1037">
        <f>IF(AM6="Insulation",P6,0)</f>
        <v>0</v>
      </c>
      <c r="AU6" s="1037">
        <f>IF(AM6="Insulation",Q6,0)</f>
        <v>0</v>
      </c>
      <c r="AV6" s="1038">
        <f>IF(AM6="Insulation",S6,0)</f>
        <v>0</v>
      </c>
      <c r="AW6" s="1038">
        <f>IF(AM6="Insulation",T6,0)</f>
        <v>0</v>
      </c>
      <c r="AX6" s="1036">
        <f>IF(AM6="Revêtement",N6,0)</f>
        <v>0</v>
      </c>
      <c r="AY6" s="1037">
        <f>IF(AM6="Revêtement",P6,0)</f>
        <v>0</v>
      </c>
      <c r="AZ6" s="1037">
        <f>IF(AM6="Revêtement",Q6,0)</f>
        <v>0</v>
      </c>
      <c r="BA6" s="1037">
        <f>IF(AM6="Revêtement",S6,0)</f>
        <v>0</v>
      </c>
      <c r="BB6" s="1038">
        <f>IF(AM6="Revêtement",T6,0)</f>
        <v>0</v>
      </c>
      <c r="BC6" s="1036"/>
      <c r="BD6" s="1037"/>
      <c r="BE6" s="1037"/>
      <c r="BF6" s="1038"/>
      <c r="BG6" s="1036">
        <f>IF($AM6="Structure", IF($I6="kg",$J6,0), 0)</f>
        <v>0</v>
      </c>
      <c r="BH6" s="1037">
        <f>IF($AM6="Insulation", IF($I6="kg",$J6,0), 0)</f>
        <v>0</v>
      </c>
      <c r="BI6" s="1038">
        <f>IF($AM6="Revêtement", IF($I6="kg",$J6,0), 0)</f>
        <v>0</v>
      </c>
      <c r="BJ6" s="1037"/>
      <c r="BK6" s="1036">
        <f t="shared" ref="BK6:BK16" si="5">IFERROR(BG6/$BJ6,0)</f>
        <v>0</v>
      </c>
      <c r="BL6" s="1037">
        <f t="shared" ref="BL6:BL16" si="6">IFERROR(BH6/$BJ6,0)</f>
        <v>0</v>
      </c>
      <c r="BM6" s="1038">
        <f t="shared" ref="BM6:BM16" si="7">IFERROR(BI6/$BJ6,0)</f>
        <v>0</v>
      </c>
      <c r="BN6" s="1037">
        <f>IFERROR((J6*VLOOKUP(H6, 'Baumaterialien Matériaux'!$A$11:$AH$318, 33,FALSE)),0)/$G$1</f>
        <v>0</v>
      </c>
      <c r="BO6" s="1037">
        <f>(BN6+BP6)*($L$2/L6-1)</f>
        <v>0</v>
      </c>
      <c r="BP6" s="1037">
        <f>IFERROR((J6*VLOOKUP(H6, 'Baumaterialien Matériaux'!$A$11:$AH$318, 34,FALSE)),0)/$G$1</f>
        <v>0</v>
      </c>
      <c r="BQ6" s="1037" t="e">
        <f t="shared" ref="BQ6:BQ17" si="8">BP6/Q6</f>
        <v>#DIV/0!</v>
      </c>
      <c r="BR6" s="1037">
        <f>IFERROR((N6+Q6)*($L$2/L6-1),0)</f>
        <v>0</v>
      </c>
    </row>
    <row r="7" spans="1:70">
      <c r="B7" s="1108"/>
      <c r="C7" s="1099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2"/>
      <c r="K7" s="663"/>
      <c r="L7" s="663"/>
      <c r="M7" s="664">
        <f>SUM(M8)</f>
        <v>0</v>
      </c>
      <c r="N7" s="664">
        <f t="shared" ref="N7:S7" si="9">SUM(N8)</f>
        <v>0</v>
      </c>
      <c r="O7" s="664">
        <f t="shared" si="9"/>
        <v>0</v>
      </c>
      <c r="P7" s="664">
        <f t="shared" si="9"/>
        <v>0</v>
      </c>
      <c r="Q7" s="664">
        <f t="shared" si="9"/>
        <v>0</v>
      </c>
      <c r="R7" s="664">
        <f t="shared" si="9"/>
        <v>0</v>
      </c>
      <c r="S7" s="664">
        <f t="shared" si="9"/>
        <v>0</v>
      </c>
      <c r="T7" s="878"/>
      <c r="V7" s="638">
        <f t="shared" si="2"/>
        <v>0</v>
      </c>
      <c r="W7" s="638">
        <f t="shared" si="3"/>
        <v>0</v>
      </c>
      <c r="X7" s="638">
        <f t="shared" ref="X7:X95" si="10">IF(L7=$L$2, "Structure", IF(L7&gt;0,"Revêtement",0))</f>
        <v>0</v>
      </c>
      <c r="Z7" s="638">
        <f t="shared" ref="Z7:Z72" si="11">L7</f>
        <v>0</v>
      </c>
      <c r="AA7" s="664"/>
      <c r="AB7">
        <f>_xlfn.XLOOKUP($H7,'[1]Baumaterialien Matériaux'!$A:$A,'[1]Baumaterialien Matériaux'!AK:AK,0,0)</f>
        <v>0</v>
      </c>
      <c r="AD7" s="622" cm="1">
        <f t="array" ref="AD7">IFERROR(_xlfn.SWITCH(I7,"kg",1,"m3",AC7,AC7)*J7/(_xlfn.XLOOKUP(AA7,Métrés!A:A,Métrés!C:C,0)),0)</f>
        <v>0</v>
      </c>
      <c r="AE7" s="1092">
        <f>IFERROR(N7*$G$1/(_xlfn.XLOOKUP($AA7,Métrés!$A:$A,Métrés!$C:$C,0)),0)</f>
        <v>0</v>
      </c>
      <c r="AF7" s="1092">
        <f>IFERROR(O7*$G$1/(_xlfn.XLOOKUP($AA7,Métrés!$A:$A,Métrés!$C:$C,0)),0)</f>
        <v>0</v>
      </c>
      <c r="AG7" s="1092">
        <f>IFERROR(Q7*$G$1/(_xlfn.XLOOKUP($AA7,Métrés!$A:$A,Métrés!$C:$C,0)),0)</f>
        <v>0</v>
      </c>
      <c r="AH7" s="1092">
        <f>IFERROR(R7*$G$1/(_xlfn.XLOOKUP($AA7,Métrés!$A:$A,Métrés!$C:$C,0)),0)</f>
        <v>0</v>
      </c>
      <c r="AI7" s="1092">
        <f>IFERROR(S7*$G$1/(_xlfn.XLOOKUP($AA7,Métrés!$A:$A,Métrés!$C:$C,0)),0)</f>
        <v>0</v>
      </c>
      <c r="AJ7" s="878"/>
      <c r="AK7" s="878"/>
      <c r="AL7" s="878"/>
      <c r="AM7" s="878"/>
      <c r="AN7" s="1053"/>
      <c r="AO7" s="878"/>
      <c r="AP7" s="878"/>
      <c r="AQ7" s="878"/>
      <c r="AR7" s="1054"/>
      <c r="AS7" s="1053"/>
      <c r="AT7" s="878"/>
      <c r="AU7" s="878"/>
      <c r="AV7" s="878"/>
      <c r="AW7" s="1054"/>
      <c r="AX7" s="1053"/>
      <c r="AY7" s="878"/>
      <c r="AZ7" s="878"/>
      <c r="BA7" s="878"/>
      <c r="BB7" s="1054"/>
      <c r="BC7" s="1053"/>
      <c r="BD7" s="878"/>
      <c r="BE7" s="878"/>
      <c r="BF7" s="1054"/>
      <c r="BG7" s="1053"/>
      <c r="BH7" s="878"/>
      <c r="BI7" s="1054"/>
      <c r="BJ7" s="878"/>
      <c r="BK7" s="1053"/>
      <c r="BL7" s="878"/>
      <c r="BM7" s="1054"/>
      <c r="BN7" s="1037">
        <f>IFERROR((J7*VLOOKUP(H7, 'Baumaterialien Matériaux'!$A$11:$AH$318, 33,FALSE)),0)/$G$1</f>
        <v>0</v>
      </c>
      <c r="BO7" s="1037"/>
      <c r="BP7" s="1037">
        <f>IFERROR((J7*VLOOKUP(H7, 'Baumaterialien Matériaux'!$A$11:$AH$318, 34,FALSE)),0)/$G$1</f>
        <v>0</v>
      </c>
      <c r="BQ7" s="1037" t="e">
        <f t="shared" si="8"/>
        <v>#DIV/0!</v>
      </c>
      <c r="BR7" s="1037"/>
    </row>
    <row r="8" spans="1:70">
      <c r="B8" s="1108"/>
      <c r="C8" s="1099"/>
      <c r="D8" s="478"/>
      <c r="E8" s="478"/>
      <c r="F8" s="478"/>
      <c r="G8" s="478"/>
      <c r="H8" s="478"/>
      <c r="I8" s="641"/>
      <c r="J8" s="752"/>
      <c r="K8" s="647"/>
      <c r="L8" s="647">
        <v>60</v>
      </c>
      <c r="M8" s="648">
        <f>SUM(N8:Q8)</f>
        <v>0</v>
      </c>
      <c r="N8" s="720">
        <f>IFERROR(($J8*VLOOKUP($H8, 'Baumaterialien Matériaux'!$A$11:$AD$318, 26,FALSE)),0)/$G$1</f>
        <v>0</v>
      </c>
      <c r="O8" s="720">
        <f>N8-(40%*N8)</f>
        <v>0</v>
      </c>
      <c r="P8" s="720">
        <f>(N8+Q8)*($L$2/L8-1)</f>
        <v>0</v>
      </c>
      <c r="Q8" s="720">
        <f>IFERROR(($J8*VLOOKUP($H8, 'Baumaterialien Matériaux'!$A$11:$AD$318, 27,FALSE)),0)/$G$1</f>
        <v>0</v>
      </c>
      <c r="R8" s="720">
        <f>Q8-(40%*Q8)</f>
        <v>0</v>
      </c>
      <c r="S8" s="720"/>
      <c r="T8" s="720"/>
      <c r="V8" s="638">
        <f t="shared" si="2"/>
        <v>0</v>
      </c>
      <c r="W8" s="638">
        <f t="shared" si="3"/>
        <v>0</v>
      </c>
      <c r="X8" s="638" t="str">
        <f t="shared" si="10"/>
        <v>Structure</v>
      </c>
      <c r="Z8" s="638">
        <f t="shared" si="11"/>
        <v>60</v>
      </c>
      <c r="AA8" s="1083" t="s">
        <v>3437</v>
      </c>
      <c r="AB8">
        <f>_xlfn.XLOOKUP($H8,'[1]Baumaterialien Matériaux'!$A:$A,'[1]Baumaterialien Matériaux'!AK:AK,0,0)</f>
        <v>0</v>
      </c>
      <c r="AC8">
        <v>2000</v>
      </c>
      <c r="AD8" s="622" cm="1">
        <f t="array" ref="AD8">IFERROR(_xlfn.SWITCH(I8,"kg",1,"m3",AC8,AC8)*J8/(_xlfn.XLOOKUP(AA8,Métrés!A:A,Métrés!C:C,0)),0)</f>
        <v>0</v>
      </c>
      <c r="AE8" s="1092">
        <f>IFERROR(N8*$G$1/(_xlfn.XLOOKUP($AA8,Métrés!$A:$A,Métrés!$C:$C,0)),0)</f>
        <v>0</v>
      </c>
      <c r="AF8" s="1092">
        <f>IFERROR(O8*$G$1/(_xlfn.XLOOKUP($AA8,Métrés!$A:$A,Métrés!$C:$C,0)),0)</f>
        <v>0</v>
      </c>
      <c r="AG8" s="1092">
        <f>IFERROR(Q8*$G$1/(_xlfn.XLOOKUP($AA8,Métrés!$A:$A,Métrés!$C:$C,0)),0)</f>
        <v>0</v>
      </c>
      <c r="AH8" s="1092">
        <f>IFERROR(R8*$G$1/(_xlfn.XLOOKUP($AA8,Métrés!$A:$A,Métrés!$C:$C,0)),0)</f>
        <v>0</v>
      </c>
      <c r="AI8" s="1092">
        <f>IFERROR(S8*$G$1/(_xlfn.XLOOKUP($AA8,Métrés!$A:$A,Métrés!$C:$C,0)),0)</f>
        <v>0</v>
      </c>
      <c r="AJ8" s="1022"/>
      <c r="AK8" s="638">
        <f>IF(L8=60, 0, T8)</f>
        <v>0</v>
      </c>
      <c r="AL8" s="638">
        <f>IF(L8=60, 0, S8)</f>
        <v>0</v>
      </c>
      <c r="AM8" s="638" t="str">
        <f>IF(L8=$L$2, "Structure", IF(L8&gt;0,"Revêtement",0))</f>
        <v>Structure</v>
      </c>
      <c r="AN8" s="1036">
        <f>IF(AM8="Structure",N8,0)</f>
        <v>0</v>
      </c>
      <c r="AO8" s="1037">
        <f>IF(AM8="Structure",P8,0)</f>
        <v>0</v>
      </c>
      <c r="AP8" s="1037">
        <f>IF(AM8="Structure",Q8,0)</f>
        <v>0</v>
      </c>
      <c r="AQ8" s="1038">
        <f>IF(AM8="Structure",S8,0)</f>
        <v>0</v>
      </c>
      <c r="AR8" s="1038">
        <f>IF(AM8="Structure",T8,0)</f>
        <v>0</v>
      </c>
      <c r="AS8" s="1036">
        <f>IF(AM8="Insulation",N8,0)</f>
        <v>0</v>
      </c>
      <c r="AT8" s="1037">
        <f>IF(AM8="Insulation",P8,0)</f>
        <v>0</v>
      </c>
      <c r="AU8" s="1037">
        <f>IF(AM8="Insulation",Q8,0)</f>
        <v>0</v>
      </c>
      <c r="AV8" s="1038">
        <f>IF(AM8="Insulation",S8,0)</f>
        <v>0</v>
      </c>
      <c r="AW8" s="1038">
        <f>IF(AM8="Insulation",T8,0)</f>
        <v>0</v>
      </c>
      <c r="AX8" s="1036">
        <f>IF(AM8="Revêtement",N8,0)</f>
        <v>0</v>
      </c>
      <c r="AY8" s="1037">
        <f>IF(AM8="Revêtement",P8,0)</f>
        <v>0</v>
      </c>
      <c r="AZ8" s="1037">
        <f>IF(AM8="Revêtement",Q8,0)</f>
        <v>0</v>
      </c>
      <c r="BA8" s="1037">
        <f>IF(AM8="Revêtement",S8,0)</f>
        <v>0</v>
      </c>
      <c r="BB8" s="1038">
        <f>IF(AM8="Revêtement",T8,0)</f>
        <v>0</v>
      </c>
      <c r="BC8" s="1036"/>
      <c r="BD8" s="1037"/>
      <c r="BE8" s="1037"/>
      <c r="BF8" s="1038"/>
      <c r="BG8" s="1036">
        <f>IF($AM8="Structure", IF($I8="kg",$J8,0), 0)</f>
        <v>0</v>
      </c>
      <c r="BH8" s="1037">
        <f>IF($AM8="Insulation", IF($I8="kg",$J8,0), 0)</f>
        <v>0</v>
      </c>
      <c r="BI8" s="1038">
        <f>IF($AM8="Revêtement", IF($I8="kg",$J8,0), 0)</f>
        <v>0</v>
      </c>
      <c r="BJ8" s="1037"/>
      <c r="BK8" s="1036">
        <f t="shared" si="5"/>
        <v>0</v>
      </c>
      <c r="BL8" s="1037">
        <f t="shared" si="6"/>
        <v>0</v>
      </c>
      <c r="BM8" s="1038">
        <f t="shared" si="7"/>
        <v>0</v>
      </c>
      <c r="BN8" s="1037">
        <f>IFERROR((J8*VLOOKUP(H8, 'Baumaterialien Matériaux'!$A$11:$AH$318, 33,FALSE)),0)/$G$1</f>
        <v>0</v>
      </c>
      <c r="BO8" s="1037">
        <f>(BN8+BP8)*($L$2/L8-1)</f>
        <v>0</v>
      </c>
      <c r="BP8" s="1037">
        <f>IFERROR((J8*VLOOKUP(H8, 'Baumaterialien Matériaux'!$A$11:$AH$318, 34,FALSE)),0)/$G$1</f>
        <v>0</v>
      </c>
      <c r="BQ8" s="1037" t="e">
        <f t="shared" si="8"/>
        <v>#DIV/0!</v>
      </c>
      <c r="BR8" s="1037">
        <f>IFERROR((N8+Q8)*($L$2/L8-1),0)</f>
        <v>0</v>
      </c>
    </row>
    <row r="9" spans="1:70">
      <c r="B9" s="1108"/>
      <c r="C9" s="1099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2"/>
      <c r="K9" s="663"/>
      <c r="L9" s="663"/>
      <c r="M9" s="664">
        <f>SUM(M10)</f>
        <v>0</v>
      </c>
      <c r="N9" s="664">
        <f t="shared" ref="N9:S9" si="12">SUM(N10)</f>
        <v>0</v>
      </c>
      <c r="O9" s="664">
        <f t="shared" si="12"/>
        <v>0</v>
      </c>
      <c r="P9" s="664">
        <f t="shared" si="12"/>
        <v>0</v>
      </c>
      <c r="Q9" s="664">
        <f t="shared" si="12"/>
        <v>0</v>
      </c>
      <c r="R9" s="664">
        <f t="shared" si="12"/>
        <v>0</v>
      </c>
      <c r="S9" s="664">
        <f t="shared" si="12"/>
        <v>0</v>
      </c>
      <c r="T9" s="878"/>
      <c r="V9" s="638">
        <f t="shared" si="2"/>
        <v>0</v>
      </c>
      <c r="W9" s="638">
        <f t="shared" si="3"/>
        <v>0</v>
      </c>
      <c r="X9" s="638">
        <f t="shared" si="10"/>
        <v>0</v>
      </c>
      <c r="Z9" s="638">
        <f t="shared" si="11"/>
        <v>0</v>
      </c>
      <c r="AA9" s="664"/>
      <c r="AB9">
        <f>_xlfn.XLOOKUP($H9,'[1]Baumaterialien Matériaux'!$A:$A,'[1]Baumaterialien Matériaux'!AK:AK,0,0)</f>
        <v>0</v>
      </c>
      <c r="AD9" s="622" cm="1">
        <f t="array" ref="AD9">IFERROR(_xlfn.SWITCH(I9,"kg",1,"m3",AC9,AC9)*J9/(_xlfn.XLOOKUP(AA9,Métrés!A:A,Métrés!C:C,0)),0)</f>
        <v>0</v>
      </c>
      <c r="AE9" s="1092">
        <f>IFERROR(N9*$G$1/(_xlfn.XLOOKUP($AA9,Métrés!$A:$A,Métrés!$C:$C,0)),0)</f>
        <v>0</v>
      </c>
      <c r="AF9" s="1092">
        <f>IFERROR(O9*$G$1/(_xlfn.XLOOKUP($AA9,Métrés!$A:$A,Métrés!$C:$C,0)),0)</f>
        <v>0</v>
      </c>
      <c r="AG9" s="1092">
        <f>IFERROR(Q9*$G$1/(_xlfn.XLOOKUP($AA9,Métrés!$A:$A,Métrés!$C:$C,0)),0)</f>
        <v>0</v>
      </c>
      <c r="AH9" s="1092">
        <f>IFERROR(R9*$G$1/(_xlfn.XLOOKUP($AA9,Métrés!$A:$A,Métrés!$C:$C,0)),0)</f>
        <v>0</v>
      </c>
      <c r="AI9" s="1092">
        <f>IFERROR(S9*$G$1/(_xlfn.XLOOKUP($AA9,Métrés!$A:$A,Métrés!$C:$C,0)),0)</f>
        <v>0</v>
      </c>
      <c r="AJ9" s="878"/>
      <c r="AK9" s="878"/>
      <c r="AL9" s="878"/>
      <c r="AM9" s="878"/>
      <c r="AN9" s="1053"/>
      <c r="AO9" s="878"/>
      <c r="AP9" s="878"/>
      <c r="AQ9" s="878"/>
      <c r="AR9" s="1054"/>
      <c r="AS9" s="1053"/>
      <c r="AT9" s="878"/>
      <c r="AU9" s="878"/>
      <c r="AV9" s="878"/>
      <c r="AW9" s="1054"/>
      <c r="AX9" s="1053"/>
      <c r="AY9" s="878"/>
      <c r="AZ9" s="878"/>
      <c r="BA9" s="878"/>
      <c r="BB9" s="1054"/>
      <c r="BC9" s="1053"/>
      <c r="BD9" s="878"/>
      <c r="BE9" s="878"/>
      <c r="BF9" s="1054"/>
      <c r="BG9" s="1053"/>
      <c r="BH9" s="878"/>
      <c r="BI9" s="1054"/>
      <c r="BJ9" s="878"/>
      <c r="BK9" s="1053"/>
      <c r="BL9" s="878"/>
      <c r="BM9" s="1054"/>
      <c r="BN9" s="1037">
        <f>IFERROR((J9*VLOOKUP(H9, 'Baumaterialien Matériaux'!$A$11:$AH$318, 33,FALSE)),0)/$G$1</f>
        <v>0</v>
      </c>
      <c r="BO9" s="1037"/>
      <c r="BP9" s="1037">
        <f>IFERROR((J9*VLOOKUP(H9, 'Baumaterialien Matériaux'!$A$11:$AH$318, 34,FALSE)),0)/$G$1</f>
        <v>0</v>
      </c>
      <c r="BQ9" s="1037" t="e">
        <f t="shared" si="8"/>
        <v>#DIV/0!</v>
      </c>
      <c r="BR9" s="1037"/>
    </row>
    <row r="10" spans="1:70">
      <c r="B10" s="1109"/>
      <c r="C10" s="1099"/>
      <c r="D10" s="478"/>
      <c r="E10" s="478"/>
      <c r="F10" s="478"/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2"/>
      <c r="K10" s="647"/>
      <c r="L10" s="647">
        <v>60</v>
      </c>
      <c r="M10" s="648">
        <f>SUM(N10:Q10)</f>
        <v>0</v>
      </c>
      <c r="N10" s="720">
        <f>IFERROR(($J10*VLOOKUP($H10, 'Baumaterialien Matériaux'!$A$11:$AD$318, 26,FALSE)),0)/$G$1</f>
        <v>0</v>
      </c>
      <c r="O10" s="720">
        <f>N10-(40%*N10)</f>
        <v>0</v>
      </c>
      <c r="P10" s="720">
        <f>(N10+Q10)*($L$2/L10-1)</f>
        <v>0</v>
      </c>
      <c r="Q10" s="720">
        <f>IFERROR(($J10*VLOOKUP($H10, 'Baumaterialien Matériaux'!$A$11:$AD$318, 27,FALSE)),0)/$G$1</f>
        <v>0</v>
      </c>
      <c r="R10" s="720">
        <f>Q10-(40%*Q10)</f>
        <v>0</v>
      </c>
      <c r="S10" s="720"/>
      <c r="T10" s="720"/>
      <c r="V10" s="638">
        <f t="shared" si="2"/>
        <v>0</v>
      </c>
      <c r="W10" s="638">
        <f t="shared" si="3"/>
        <v>0</v>
      </c>
      <c r="X10" s="638" t="str">
        <f t="shared" si="10"/>
        <v>Structure</v>
      </c>
      <c r="Z10" s="638">
        <f t="shared" si="11"/>
        <v>60</v>
      </c>
      <c r="AA10" s="1083" t="s">
        <v>3441</v>
      </c>
      <c r="AB10" t="str">
        <f>_xlfn.XLOOKUP($H10,'[1]Baumaterialien Matériaux'!$A:$A,'[1]Baumaterialien Matériaux'!AK:AK,0,0)</f>
        <v>concrete</v>
      </c>
      <c r="AC10">
        <v>1</v>
      </c>
      <c r="AD10" s="622" cm="1">
        <f t="array" ref="AD10">IFERROR(_xlfn.SWITCH(I10,"kg",1,"m3",AC10,AC10)*J10/(_xlfn.XLOOKUP(AA10,Métrés!A:A,Métrés!C:C,0)),0)</f>
        <v>0</v>
      </c>
      <c r="AE10" s="1092">
        <f>IFERROR(N10*$G$1/(_xlfn.XLOOKUP($AA10,Métrés!$A:$A,Métrés!$C:$C,0)),0)</f>
        <v>0</v>
      </c>
      <c r="AF10" s="1092">
        <f>IFERROR(O10*$G$1/(_xlfn.XLOOKUP($AA10,Métrés!$A:$A,Métrés!$C:$C,0)),0)</f>
        <v>0</v>
      </c>
      <c r="AG10" s="1092">
        <f>IFERROR(Q10*$G$1/(_xlfn.XLOOKUP($AA10,Métrés!$A:$A,Métrés!$C:$C,0)),0)</f>
        <v>0</v>
      </c>
      <c r="AH10" s="1092">
        <f>IFERROR(R10*$G$1/(_xlfn.XLOOKUP($AA10,Métrés!$A:$A,Métrés!$C:$C,0)),0)</f>
        <v>0</v>
      </c>
      <c r="AI10" s="1092">
        <f>IFERROR(S10*$G$1/(_xlfn.XLOOKUP($AA10,Métrés!$A:$A,Métrés!$C:$C,0)),0)</f>
        <v>0</v>
      </c>
      <c r="AJ10" s="1022"/>
      <c r="AK10" s="638">
        <f>IF(L10=60, 0, T10)</f>
        <v>0</v>
      </c>
      <c r="AL10" s="638">
        <f>IF(L10=60, 0, S10)</f>
        <v>0</v>
      </c>
      <c r="AM10" s="638" t="str">
        <f>IF(L10=$L$2, "Structure", IF(L10&gt;0,"Revêtement",0))</f>
        <v>Structure</v>
      </c>
      <c r="AN10" s="1036">
        <f>IF(AM10="Structure",N10,0)</f>
        <v>0</v>
      </c>
      <c r="AO10" s="1037">
        <f>IF(AM10="Structure",P10,0)</f>
        <v>0</v>
      </c>
      <c r="AP10" s="1037">
        <f>IF(AM10="Structure",Q10,0)</f>
        <v>0</v>
      </c>
      <c r="AQ10" s="1038">
        <f>IF(AM10="Structure",S10,0)</f>
        <v>0</v>
      </c>
      <c r="AR10" s="1038">
        <f>IF(AM10="Structure",T10,0)</f>
        <v>0</v>
      </c>
      <c r="AS10" s="1036">
        <f>IF(AM10="Insulation",N10,0)</f>
        <v>0</v>
      </c>
      <c r="AT10" s="1037">
        <f>IF(AM10="Insulation",P10,0)</f>
        <v>0</v>
      </c>
      <c r="AU10" s="1037">
        <f>IF(AM10="Insulation",Q10,0)</f>
        <v>0</v>
      </c>
      <c r="AV10" s="1038">
        <f>IF(AM10="Insulation",S10,0)</f>
        <v>0</v>
      </c>
      <c r="AW10" s="1038">
        <f>IF(AM10="Insulation",T10,0)</f>
        <v>0</v>
      </c>
      <c r="AX10" s="1036">
        <f>IF(AM10="Revêtement",N10,0)</f>
        <v>0</v>
      </c>
      <c r="AY10" s="1037">
        <f>IF(AM10="Revêtement",P10,0)</f>
        <v>0</v>
      </c>
      <c r="AZ10" s="1037">
        <f>IF(AM10="Revêtement",Q10,0)</f>
        <v>0</v>
      </c>
      <c r="BA10" s="1037">
        <f>IF(AM10="Revêtement",S10,0)</f>
        <v>0</v>
      </c>
      <c r="BB10" s="1038">
        <f>IF(AM10="Revêtement",T10,0)</f>
        <v>0</v>
      </c>
      <c r="BC10" s="1036"/>
      <c r="BD10" s="1037"/>
      <c r="BE10" s="1037"/>
      <c r="BF10" s="1038"/>
      <c r="BG10" s="1036">
        <f>IF($AM10="Structure", IF($I10="kg",$J10,0), 0)</f>
        <v>0</v>
      </c>
      <c r="BH10" s="1037">
        <f>IF($AM10="Insulation", IF($I10="kg",$J10,0), 0)</f>
        <v>0</v>
      </c>
      <c r="BI10" s="1038">
        <f>IF($AM10="Revêtement", IF($I10="kg",$J10,0), 0)</f>
        <v>0</v>
      </c>
      <c r="BJ10" s="1037"/>
      <c r="BK10" s="1036">
        <f t="shared" si="5"/>
        <v>0</v>
      </c>
      <c r="BL10" s="1037">
        <f t="shared" si="6"/>
        <v>0</v>
      </c>
      <c r="BM10" s="1038">
        <f t="shared" si="7"/>
        <v>0</v>
      </c>
      <c r="BN10" s="1037">
        <f>IFERROR((J10*VLOOKUP(H10, 'Baumaterialien Matériaux'!$A$11:$AH$318, 33,FALSE)),0)/$G$1</f>
        <v>0</v>
      </c>
      <c r="BO10" s="1037">
        <f>(BN10+BP10)*($L$2/L10-1)</f>
        <v>0</v>
      </c>
      <c r="BP10" s="1037">
        <f>IFERROR((J10*VLOOKUP(H10, 'Baumaterialien Matériaux'!$A$11:$AH$318, 34,FALSE)),0)/$G$1</f>
        <v>0</v>
      </c>
      <c r="BQ10" s="1037" t="e">
        <f t="shared" si="8"/>
        <v>#DIV/0!</v>
      </c>
      <c r="BR10" s="1037">
        <f>IFERROR((N10+Q10)*($L$2/L10-1),0)</f>
        <v>0</v>
      </c>
    </row>
    <row r="11" spans="1:70" ht="15.6" customHeight="1">
      <c r="B11" s="1102" t="s">
        <v>101</v>
      </c>
      <c r="C11" s="1097" t="s">
        <v>102</v>
      </c>
      <c r="D11" s="658" t="s">
        <v>103</v>
      </c>
      <c r="E11" s="473"/>
      <c r="F11" s="473"/>
      <c r="G11" s="473"/>
      <c r="H11" s="473"/>
      <c r="I11" s="463"/>
      <c r="J11" s="654"/>
      <c r="K11" s="652"/>
      <c r="L11" s="652"/>
      <c r="M11" s="653">
        <f>M12+M18</f>
        <v>81.989980811183841</v>
      </c>
      <c r="N11" s="653">
        <f t="shared" ref="N11:T11" si="13">N12+N18</f>
        <v>71.662547805084372</v>
      </c>
      <c r="O11" s="653">
        <f t="shared" ref="O11" si="14">O12+O18</f>
        <v>15.228628094252254</v>
      </c>
      <c r="P11" s="653">
        <f t="shared" si="13"/>
        <v>0</v>
      </c>
      <c r="Q11" s="653">
        <f t="shared" si="13"/>
        <v>10.327433006099461</v>
      </c>
      <c r="R11" s="653">
        <f t="shared" ref="R11" si="15">R12+R18</f>
        <v>2.0165613107163525</v>
      </c>
      <c r="S11" s="653">
        <f t="shared" si="13"/>
        <v>0</v>
      </c>
      <c r="T11" s="653">
        <f t="shared" si="13"/>
        <v>0</v>
      </c>
      <c r="V11" s="638">
        <f t="shared" si="2"/>
        <v>0</v>
      </c>
      <c r="W11" s="638">
        <f t="shared" si="3"/>
        <v>0</v>
      </c>
      <c r="X11" s="638">
        <f t="shared" si="10"/>
        <v>0</v>
      </c>
      <c r="Z11" s="638">
        <f t="shared" si="11"/>
        <v>0</v>
      </c>
      <c r="AA11" s="653"/>
      <c r="AB11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622" cm="1">
        <f t="array" ref="AD11">IFERROR(_xlfn.SWITCH(I11,"kg",1,"m3",AC11,AC11)*J11/(_xlfn.XLOOKUP(AA11,Métrés!A:A,Métrés!C:C,0)),0)</f>
        <v>0</v>
      </c>
      <c r="AE11" s="1092">
        <f>IFERROR(N11*$G$1/(_xlfn.XLOOKUP($AA11,Métrés!$A:$A,Métrés!$C:$C,0)),0)</f>
        <v>0</v>
      </c>
      <c r="AF11" s="1092">
        <f>IFERROR(O11*$G$1/(_xlfn.XLOOKUP($AA11,Métrés!$A:$A,Métrés!$C:$C,0)),0)</f>
        <v>0</v>
      </c>
      <c r="AG11" s="1092">
        <f>IFERROR(Q11*$G$1/(_xlfn.XLOOKUP($AA11,Métrés!$A:$A,Métrés!$C:$C,0)),0)</f>
        <v>0</v>
      </c>
      <c r="AH11" s="1092">
        <f>IFERROR(R11*$G$1/(_xlfn.XLOOKUP($AA11,Métrés!$A:$A,Métrés!$C:$C,0)),0)</f>
        <v>0</v>
      </c>
      <c r="AI11" s="1092">
        <f>IFERROR(S11*$G$1/(_xlfn.XLOOKUP($AA11,Métrés!$A:$A,Métrés!$C:$C,0)),0)</f>
        <v>0</v>
      </c>
      <c r="AJ11" s="1020"/>
      <c r="AK11" s="1020"/>
      <c r="AL11" s="1020"/>
      <c r="AM11" s="1020"/>
      <c r="AN11" s="1055"/>
      <c r="AO11" s="1020"/>
      <c r="AP11" s="1020"/>
      <c r="AQ11" s="1020"/>
      <c r="AR11" s="1056"/>
      <c r="AS11" s="1055"/>
      <c r="AT11" s="1020"/>
      <c r="AU11" s="1020"/>
      <c r="AV11" s="1020"/>
      <c r="AW11" s="1056"/>
      <c r="AX11" s="1055"/>
      <c r="AY11" s="1020"/>
      <c r="AZ11" s="1020"/>
      <c r="BA11" s="1020"/>
      <c r="BB11" s="1056"/>
      <c r="BC11" s="1055"/>
      <c r="BD11" s="1020"/>
      <c r="BE11" s="1020"/>
      <c r="BF11" s="1056"/>
      <c r="BG11" s="1055"/>
      <c r="BH11" s="1020"/>
      <c r="BI11" s="1056"/>
      <c r="BJ11" s="1044"/>
      <c r="BK11" s="1055"/>
      <c r="BL11" s="1020"/>
      <c r="BM11" s="1056"/>
      <c r="BN11" s="1037">
        <f>IFERROR((J11*VLOOKUP(H11, 'Baumaterialien Matériaux'!$A$11:$AH$318, 33,FALSE)),0)/$G$1</f>
        <v>0</v>
      </c>
      <c r="BO11" s="1037"/>
      <c r="BP11" s="1037">
        <f>IFERROR((J11*VLOOKUP(H11, 'Baumaterialien Matériaux'!$A$11:$AH$318, 34,FALSE)),0)/$G$1</f>
        <v>0</v>
      </c>
      <c r="BQ11" s="1037">
        <f t="shared" si="8"/>
        <v>0</v>
      </c>
      <c r="BR11" s="1037"/>
    </row>
    <row r="12" spans="1:70">
      <c r="B12" s="1103"/>
      <c r="C12" s="1110"/>
      <c r="D12" s="651"/>
      <c r="E12" s="630" t="str">
        <f>BillQuantities!E8</f>
        <v>non-isolés</v>
      </c>
      <c r="F12" s="479" t="s">
        <v>3003</v>
      </c>
      <c r="G12" s="479"/>
      <c r="H12" s="479"/>
      <c r="I12" s="459" t="s">
        <v>39</v>
      </c>
      <c r="J12" s="890">
        <v>530.5</v>
      </c>
      <c r="K12" s="663"/>
      <c r="L12" s="663"/>
      <c r="M12" s="664">
        <f>SUM(M13:M17)</f>
        <v>81.989980811183841</v>
      </c>
      <c r="N12" s="664">
        <f t="shared" ref="N12:T12" si="16">SUM(N13:N17)</f>
        <v>71.662547805084372</v>
      </c>
      <c r="O12" s="664">
        <f t="shared" ref="O12" si="17">SUM(O13:O17)</f>
        <v>15.228628094252254</v>
      </c>
      <c r="P12" s="664">
        <f t="shared" si="16"/>
        <v>0</v>
      </c>
      <c r="Q12" s="664">
        <f t="shared" si="16"/>
        <v>10.327433006099461</v>
      </c>
      <c r="R12" s="664">
        <f t="shared" ref="R12" si="18">SUM(R13:R17)</f>
        <v>2.0165613107163525</v>
      </c>
      <c r="S12" s="664">
        <f t="shared" si="16"/>
        <v>0</v>
      </c>
      <c r="T12" s="664">
        <f t="shared" si="16"/>
        <v>0</v>
      </c>
      <c r="V12" s="638">
        <f t="shared" si="2"/>
        <v>0</v>
      </c>
      <c r="W12" s="638">
        <f t="shared" si="3"/>
        <v>0</v>
      </c>
      <c r="X12" s="638">
        <f t="shared" si="10"/>
        <v>0</v>
      </c>
      <c r="Z12" s="638">
        <f t="shared" si="11"/>
        <v>0</v>
      </c>
      <c r="AA12" s="1083"/>
      <c r="AB12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622" cm="1">
        <f t="array" ref="AD12">IFERROR(_xlfn.SWITCH(I12,"kg",1,"m3",AC12,AC12)*J12/(_xlfn.XLOOKUP(AA12,Métrés!A:A,Métrés!C:C,0)),0)</f>
        <v>0</v>
      </c>
      <c r="AE12" s="1092">
        <f>IFERROR(N12*$G$1/(_xlfn.XLOOKUP($AA12,Métrés!$A:$A,Métrés!$C:$C,0)),0)</f>
        <v>0</v>
      </c>
      <c r="AF12" s="1092">
        <f>IFERROR(O12*$G$1/(_xlfn.XLOOKUP($AA12,Métrés!$A:$A,Métrés!$C:$C,0)),0)</f>
        <v>0</v>
      </c>
      <c r="AG12" s="1092">
        <f>IFERROR(Q12*$G$1/(_xlfn.XLOOKUP($AA12,Métrés!$A:$A,Métrés!$C:$C,0)),0)</f>
        <v>0</v>
      </c>
      <c r="AH12" s="1092">
        <f>IFERROR(R12*$G$1/(_xlfn.XLOOKUP($AA12,Métrés!$A:$A,Métrés!$C:$C,0)),0)</f>
        <v>0</v>
      </c>
      <c r="AI12" s="1092">
        <f>IFERROR(S12*$G$1/(_xlfn.XLOOKUP($AA12,Métrés!$A:$A,Métrés!$C:$C,0)),0)</f>
        <v>0</v>
      </c>
      <c r="AJ12" s="1021"/>
      <c r="AK12" s="1021"/>
      <c r="AL12" s="1021"/>
      <c r="AM12" s="1021"/>
      <c r="AN12" s="1057"/>
      <c r="AO12" s="1021"/>
      <c r="AP12" s="1021"/>
      <c r="AQ12" s="1021"/>
      <c r="AR12" s="1058"/>
      <c r="AS12" s="1057"/>
      <c r="AT12" s="1021"/>
      <c r="AU12" s="1021"/>
      <c r="AV12" s="1021"/>
      <c r="AW12" s="1058"/>
      <c r="AX12" s="1057"/>
      <c r="AY12" s="1021"/>
      <c r="AZ12" s="1021"/>
      <c r="BA12" s="1021"/>
      <c r="BB12" s="1058"/>
      <c r="BC12" s="1057"/>
      <c r="BD12" s="1021"/>
      <c r="BE12" s="1021"/>
      <c r="BF12" s="1058"/>
      <c r="BG12" s="1057"/>
      <c r="BH12" s="1021"/>
      <c r="BI12" s="1058"/>
      <c r="BJ12" s="1045"/>
      <c r="BK12" s="1057"/>
      <c r="BL12" s="1021"/>
      <c r="BM12" s="1058"/>
      <c r="BN12" s="1037">
        <f>IFERROR((J12*VLOOKUP(H12, 'Baumaterialien Matériaux'!$A$11:$AH$318, 33,FALSE)),0)/$G$1</f>
        <v>0</v>
      </c>
      <c r="BO12" s="1037"/>
      <c r="BP12" s="1037">
        <f>IFERROR((J12*VLOOKUP(H12, 'Baumaterialien Matériaux'!$A$11:$AH$318, 34,FALSE)),0)/$G$1</f>
        <v>0</v>
      </c>
      <c r="BQ12" s="1037">
        <f t="shared" si="8"/>
        <v>0</v>
      </c>
      <c r="BR12" s="1037"/>
    </row>
    <row r="13" spans="1:70">
      <c r="B13" s="1103"/>
      <c r="C13" s="1110"/>
      <c r="D13" s="660"/>
      <c r="E13" s="657"/>
      <c r="F13" s="478" t="s">
        <v>2980</v>
      </c>
      <c r="G13" s="478" t="str">
        <f>_xlfn.XLOOKUP(H13, 'Baumaterialien Matériaux'!A:A, 'Baumaterialien Matériaux'!AD:AD, "-", 0, 1)</f>
        <v>Béton pour bâtiment (sans armature)</v>
      </c>
      <c r="H13" s="891">
        <v>1.0019999999999998</v>
      </c>
      <c r="I13" s="641" t="str">
        <f>_xlfn.XLOOKUP(H13, 'Baumaterialien Matériaux'!A:A, 'Baumaterialien Matériaux'!F:F, "-", 0, 1)</f>
        <v>kg</v>
      </c>
      <c r="J13" s="649">
        <f>$J$12*K13</f>
        <v>305037.5</v>
      </c>
      <c r="K13" s="893">
        <f>0.25*2300</f>
        <v>575</v>
      </c>
      <c r="L13" s="527">
        <v>60</v>
      </c>
      <c r="M13" s="648">
        <f>IFERROR((J13*VLOOKUP(H13, 'Baumaterialien Matériaux'!$A$11:$AD$318, 26,FALSE))+(J13*VLOOKUP(H13, 'Baumaterialien Matériaux'!$A$11:$AD$318, 27,FALSE)),0)/$G$1</f>
        <v>34.461184108009441</v>
      </c>
      <c r="N13" s="720">
        <f>IFERROR(($J13*VLOOKUP($H13, 'Baumaterialien Matériaux'!$A$11:$AD$318, 26,FALSE)),0)/$G$1</f>
        <v>30.149292106317617</v>
      </c>
      <c r="O13" s="720">
        <f>IFERROR(($J13*VLOOKUP($H13, 'Baumaterialien Matériaux'!$A$11:$AH$318, 33,FALSE)),0)/$G$1</f>
        <v>7.0619963492275488</v>
      </c>
      <c r="P13" s="720">
        <f>(N13+Q13)*($L$2/L13-1)</f>
        <v>0</v>
      </c>
      <c r="Q13" s="720">
        <f>IFERROR(($J13*VLOOKUP($H13, 'Baumaterialien Matériaux'!$A$11:$AD$318, 27,FALSE)),0)/$G$1</f>
        <v>4.3118920016918212</v>
      </c>
      <c r="R13" s="720">
        <f>IFERROR(($J13*VLOOKUP($H13, 'Baumaterialien Matériaux'!$A$11:$AH$318, 34,FALSE)),0)/$G$1</f>
        <v>0.9099110680735496</v>
      </c>
      <c r="S13" s="720">
        <f>IFERROR((J13*VLOOKUP(H13, 'Baumaterialien Matériaux'!$A$11:$AD$318, 29,FALSE)),0)/$G$1</f>
        <v>0</v>
      </c>
      <c r="T13" s="720"/>
      <c r="V13" s="638">
        <f t="shared" si="2"/>
        <v>0</v>
      </c>
      <c r="W13" s="638">
        <f t="shared" si="3"/>
        <v>0</v>
      </c>
      <c r="X13" s="638" t="str">
        <f t="shared" si="10"/>
        <v>Structure</v>
      </c>
      <c r="Z13" s="638">
        <f t="shared" si="11"/>
        <v>60</v>
      </c>
      <c r="AA13" s="1083" t="s">
        <v>3441</v>
      </c>
      <c r="AB13" t="str">
        <f>_xlfn.XLOOKUP($H13,'[1]Baumaterialien Matériaux'!$A:$A,'[1]Baumaterialien Matériaux'!AK:AK,0,0)</f>
        <v>concrete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622" cm="1">
        <f t="array" ref="AD13">IFERROR(_xlfn.SWITCH(I13,"kg",1,"m3",AC13,AC13)*J13/(_xlfn.XLOOKUP(AA13,Métrés!A:A,Métrés!C:C,0)),0)</f>
        <v>575</v>
      </c>
      <c r="AE13" s="1092">
        <f>IFERROR(N13*$G$1/(_xlfn.XLOOKUP($AA13,Métrés!$A:$A,Métrés!$C:$C,0)),0)</f>
        <v>51.06</v>
      </c>
      <c r="AF13" s="1092">
        <f>IFERROR(O13*$G$1/(_xlfn.XLOOKUP($AA13,Métrés!$A:$A,Métrés!$C:$C,0)),0)</f>
        <v>11.959999999999999</v>
      </c>
      <c r="AG13" s="1092">
        <f>IFERROR(Q13*$G$1/(_xlfn.XLOOKUP($AA13,Métrés!$A:$A,Métrés!$C:$C,0)),0)</f>
        <v>7.3025000000000002</v>
      </c>
      <c r="AH13" s="1092">
        <f>IFERROR(R13*$G$1/(_xlfn.XLOOKUP($AA13,Métrés!$A:$A,Métrés!$C:$C,0)),0)</f>
        <v>1.5409999999999999</v>
      </c>
      <c r="AI13" s="1092">
        <f>IFERROR(S13*$G$1/(_xlfn.XLOOKUP($AA13,Métrés!$A:$A,Métrés!$C:$C,0)),0)</f>
        <v>0</v>
      </c>
      <c r="AJ13" s="1022"/>
      <c r="AK13" s="638">
        <f>IF(L13=60, 0, T13)</f>
        <v>0</v>
      </c>
      <c r="AL13" s="638">
        <f>IF(L13=60, 0, S13)</f>
        <v>0</v>
      </c>
      <c r="AM13" s="638" t="str">
        <f>IF(L13=$L$2, "Structure", IF(L13&gt;0,"Revêtement",0))</f>
        <v>Structure</v>
      </c>
      <c r="AN13" s="1036">
        <f>IF(AM13="Structure",N13,0)</f>
        <v>30.149292106317617</v>
      </c>
      <c r="AO13" s="1037">
        <f>IF(AM13="Structure",P13,0)</f>
        <v>0</v>
      </c>
      <c r="AP13" s="1037">
        <f>IF(AM13="Structure",Q13,0)</f>
        <v>4.3118920016918212</v>
      </c>
      <c r="AQ13" s="1038">
        <f>IF(AM13="Structure",S13,0)</f>
        <v>0</v>
      </c>
      <c r="AR13" s="1038">
        <f>IF(AM13="Structure",T13,0)</f>
        <v>0</v>
      </c>
      <c r="AS13" s="1036">
        <f>IF(AM13="Insulation",N13,0)</f>
        <v>0</v>
      </c>
      <c r="AT13" s="1037">
        <f>IF(AM13="Insulation",P13,0)</f>
        <v>0</v>
      </c>
      <c r="AU13" s="1037">
        <f>IF(AM13="Insulation",Q13,0)</f>
        <v>0</v>
      </c>
      <c r="AV13" s="1038">
        <f>IF(AM13="Insulation",S13,0)</f>
        <v>0</v>
      </c>
      <c r="AW13" s="1038">
        <f>IF(AM13="Insulation",T13,0)</f>
        <v>0</v>
      </c>
      <c r="AX13" s="1036">
        <f>IF(AM13="Revêtement",N13,0)</f>
        <v>0</v>
      </c>
      <c r="AY13" s="1037">
        <f>IF(AM13="Revêtement",P13,0)</f>
        <v>0</v>
      </c>
      <c r="AZ13" s="1037">
        <f>IF(AM13="Revêtement",Q13,0)</f>
        <v>0</v>
      </c>
      <c r="BA13" s="1037">
        <f>IF(AM13="Revêtement",S13,0)</f>
        <v>0</v>
      </c>
      <c r="BB13" s="1038">
        <f>IF(AM13="Revêtement",T13,0)</f>
        <v>0</v>
      </c>
      <c r="BC13" s="1036"/>
      <c r="BD13" s="1037"/>
      <c r="BE13" s="1037"/>
      <c r="BF13" s="1038"/>
      <c r="BG13" s="1036">
        <f>IF($AM13="Structure", IF($I13="kg",$J13,0), 0)</f>
        <v>305037.5</v>
      </c>
      <c r="BH13" s="1037">
        <f>IF($AM13="Insulation", IF($I13="kg",$J13,0), 0)</f>
        <v>0</v>
      </c>
      <c r="BI13" s="1038">
        <f>IF($AM13="Revêtement", IF($I13="kg",$J13,0), 0)</f>
        <v>0</v>
      </c>
      <c r="BJ13" s="1037">
        <f>_xlfn.XLOOKUP(H13, 'Baumaterialien Matériaux'!A:A, 'Baumaterialien Matériaux'!E:E, "-", 0, 1)</f>
        <v>2300</v>
      </c>
      <c r="BK13" s="1036">
        <f>IFERROR(BG13/$BJ13,0)</f>
        <v>132.625</v>
      </c>
      <c r="BL13" s="1037">
        <f t="shared" si="6"/>
        <v>0</v>
      </c>
      <c r="BM13" s="1038">
        <f t="shared" si="7"/>
        <v>0</v>
      </c>
      <c r="BN13" s="1037">
        <f>IFERROR((J13*VLOOKUP(H13, 'Baumaterialien Matériaux'!$A$11:$AH$318, 33,FALSE)),0)/$G$1</f>
        <v>7.0619963492275488</v>
      </c>
      <c r="BO13" s="1037">
        <f>(BN13+BP13)*($L$2/L13-1)</f>
        <v>0</v>
      </c>
      <c r="BP13" s="1037">
        <f>IFERROR((J13*VLOOKUP(H13, 'Baumaterialien Matériaux'!$A$11:$AH$318, 34,FALSE)),0)/$G$1</f>
        <v>0.9099110680735496</v>
      </c>
      <c r="BQ13" s="1037">
        <f t="shared" si="8"/>
        <v>0.21102362204724409</v>
      </c>
      <c r="BR13" s="1037">
        <f>IFERROR((N13+Q13)*($L$2/L13-1),0)</f>
        <v>0</v>
      </c>
    </row>
    <row r="14" spans="1:70">
      <c r="B14" s="1103"/>
      <c r="C14" s="1110"/>
      <c r="D14" s="660"/>
      <c r="E14" s="657"/>
      <c r="F14" s="478" t="s">
        <v>3004</v>
      </c>
      <c r="G14" s="478" t="str">
        <f>_xlfn.XLOOKUP(H14, 'Baumaterialien Matériaux'!A:A, 'Baumaterialien Matériaux'!AD:AD, "-", 0, 1)</f>
        <v>Acier d'armature</v>
      </c>
      <c r="H14" s="892" t="s">
        <v>497</v>
      </c>
      <c r="I14" s="641" t="str">
        <f>_xlfn.XLOOKUP(H14, 'Baumaterialien Matériaux'!A:A, 'Baumaterialien Matériaux'!F:F, "-", 0, 1)</f>
        <v>kg</v>
      </c>
      <c r="J14" s="649">
        <f t="shared" ref="J14:J16" si="19">$J$12*K14</f>
        <v>19893.75</v>
      </c>
      <c r="K14" s="893">
        <f>0.25*150</f>
        <v>37.5</v>
      </c>
      <c r="L14" s="527">
        <v>60</v>
      </c>
      <c r="M14" s="648">
        <f>IFERROR((J14*VLOOKUP(H14, 'Baumaterialien Matériaux'!$A$11:$AD$318, 26,FALSE))+(J14*VLOOKUP(H14, 'Baumaterialien Matériaux'!$A$11:$AD$318, 27,FALSE)),0)/$G$1</f>
        <v>33.488388206224116</v>
      </c>
      <c r="N14" s="720">
        <f>IFERROR(($J14*VLOOKUP($H14, 'Baumaterialien Matériaux'!$A$11:$AD$318, 26,FALSE)),0)/$G$1</f>
        <v>33.213820622412179</v>
      </c>
      <c r="O14" s="720">
        <f>IFERROR(($J14*VLOOKUP($H14, 'Baumaterialien Matériaux'!$A$11:$AH$318, 33,FALSE)),0)/$G$1</f>
        <v>6.4434812007479616</v>
      </c>
      <c r="P14" s="720">
        <f t="shared" ref="P14:P15" si="20">(N14+Q14)*($L$2/L14-1)</f>
        <v>0</v>
      </c>
      <c r="Q14" s="720">
        <f>IFERROR(($J14*VLOOKUP($H14, 'Baumaterialien Matériaux'!$A$11:$AD$318, 27,FALSE)),0)/$G$1</f>
        <v>0.27456758381194069</v>
      </c>
      <c r="R14" s="720">
        <f>IFERROR(($J14*VLOOKUP($H14, 'Baumaterialien Matériaux'!$A$11:$AH$318, 34,FALSE)),0)/$G$1</f>
        <v>0</v>
      </c>
      <c r="S14" s="720">
        <f>IFERROR((J14*VLOOKUP(H14, 'Baumaterialien Matériaux'!$A$11:$AD$318, 29,FALSE)),0)/$G$1</f>
        <v>0</v>
      </c>
      <c r="T14" s="720"/>
      <c r="V14" s="638">
        <f t="shared" si="2"/>
        <v>0</v>
      </c>
      <c r="W14" s="638">
        <f t="shared" si="3"/>
        <v>0</v>
      </c>
      <c r="X14" s="638" t="str">
        <f t="shared" si="10"/>
        <v>Structure</v>
      </c>
      <c r="Z14" s="638">
        <f t="shared" si="11"/>
        <v>60</v>
      </c>
      <c r="AA14" s="1083" t="s">
        <v>3441</v>
      </c>
      <c r="AB14" t="str">
        <f>_xlfn.XLOOKUP($H14,'[1]Baumaterialien Matériaux'!$A:$A,'[1]Baumaterialien Matériaux'!AK:AK,0,0)</f>
        <v>metal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622" cm="1">
        <f t="array" ref="AD14">IFERROR(_xlfn.SWITCH(I14,"kg",1,"m3",AC14,AC14)*J14/(_xlfn.XLOOKUP(AA14,Métrés!A:A,Métrés!C:C,0)),0)</f>
        <v>37.5</v>
      </c>
      <c r="AE14" s="1092">
        <f>IFERROR(N14*$G$1/(_xlfn.XLOOKUP($AA14,Métrés!$A:$A,Métrés!$C:$C,0)),0)</f>
        <v>56.25</v>
      </c>
      <c r="AF14" s="1092">
        <f>IFERROR(O14*$G$1/(_xlfn.XLOOKUP($AA14,Métrés!$A:$A,Métrés!$C:$C,0)),0)</f>
        <v>10.912499999999998</v>
      </c>
      <c r="AG14" s="1092">
        <f>IFERROR(Q14*$G$1/(_xlfn.XLOOKUP($AA14,Métrés!$A:$A,Métrés!$C:$C,0)),0)</f>
        <v>0.46500000000000002</v>
      </c>
      <c r="AH14" s="1092">
        <f>IFERROR(R14*$G$1/(_xlfn.XLOOKUP($AA14,Métrés!$A:$A,Métrés!$C:$C,0)),0)</f>
        <v>0</v>
      </c>
      <c r="AI14" s="1092">
        <f>IFERROR(S14*$G$1/(_xlfn.XLOOKUP($AA14,Métrés!$A:$A,Métrés!$C:$C,0)),0)</f>
        <v>0</v>
      </c>
      <c r="AJ14" s="1022"/>
      <c r="AK14" s="638">
        <f>IF(L14=60, 0, T14)</f>
        <v>0</v>
      </c>
      <c r="AL14" s="638">
        <f>IF(L14=60, 0, S14)</f>
        <v>0</v>
      </c>
      <c r="AM14" s="638" t="str">
        <f>IF(L14=$L$2, "Structure", IF(L14&gt;0,"Revêtement",0))</f>
        <v>Structure</v>
      </c>
      <c r="AN14" s="1036">
        <f>IF(AM14="Structure",N14,0)</f>
        <v>33.213820622412179</v>
      </c>
      <c r="AO14" s="1037">
        <f>IF(AM14="Structure",P14,0)</f>
        <v>0</v>
      </c>
      <c r="AP14" s="1037">
        <f>IF(AM14="Structure",Q14,0)</f>
        <v>0.27456758381194069</v>
      </c>
      <c r="AQ14" s="1038">
        <f>IF(AM14="Structure",S14,0)</f>
        <v>0</v>
      </c>
      <c r="AR14" s="1038">
        <f>IF(AM14="Structure",T14,0)</f>
        <v>0</v>
      </c>
      <c r="AS14" s="1036">
        <f>IF(AM14="Insulation",N14,0)</f>
        <v>0</v>
      </c>
      <c r="AT14" s="1037">
        <f>IF(AM14="Insulation",P14,0)</f>
        <v>0</v>
      </c>
      <c r="AU14" s="1037">
        <f>IF(AM14="Insulation",Q14,0)</f>
        <v>0</v>
      </c>
      <c r="AV14" s="1038">
        <f>IF(AM14="Insulation",S14,0)</f>
        <v>0</v>
      </c>
      <c r="AW14" s="1038">
        <f>IF(AM14="Insulation",T14,0)</f>
        <v>0</v>
      </c>
      <c r="AX14" s="1036">
        <f>IF(AM14="Revêtement",N14,0)</f>
        <v>0</v>
      </c>
      <c r="AY14" s="1037">
        <f>IF(AM14="Revêtement",P14,0)</f>
        <v>0</v>
      </c>
      <c r="AZ14" s="1037">
        <f>IF(AM14="Revêtement",Q14,0)</f>
        <v>0</v>
      </c>
      <c r="BA14" s="1037">
        <f>IF(AM14="Revêtement",S14,0)</f>
        <v>0</v>
      </c>
      <c r="BB14" s="1038">
        <f>IF(AM14="Revêtement",T14,0)</f>
        <v>0</v>
      </c>
      <c r="BC14" s="1036"/>
      <c r="BD14" s="1037"/>
      <c r="BE14" s="1037"/>
      <c r="BF14" s="1038"/>
      <c r="BG14" s="1036">
        <f>IF($AM14="Structure", IF($I14="kg",$J14,0), 0)</f>
        <v>19893.75</v>
      </c>
      <c r="BH14" s="1037">
        <f>IF($AM14="Insulation", IF($I14="kg",$J14,0), 0)</f>
        <v>0</v>
      </c>
      <c r="BI14" s="1038">
        <f>IF($AM14="Revêtement", IF($I14="kg",$J14,0), 0)</f>
        <v>0</v>
      </c>
      <c r="BJ14" s="1037">
        <f>_xlfn.XLOOKUP(H14, 'Baumaterialien Matériaux'!A:A, 'Baumaterialien Matériaux'!E:E, "-", 0, 1)</f>
        <v>7850</v>
      </c>
      <c r="BK14" s="1036">
        <f t="shared" si="5"/>
        <v>2.5342356687898091</v>
      </c>
      <c r="BL14" s="1037">
        <f t="shared" si="6"/>
        <v>0</v>
      </c>
      <c r="BM14" s="1038">
        <f t="shared" si="7"/>
        <v>0</v>
      </c>
      <c r="BN14" s="1037">
        <f>IFERROR((J14*VLOOKUP(H14, 'Baumaterialien Matériaux'!$A$11:$AH$318, 33,FALSE)),0)/$G$1</f>
        <v>6.4434812007479616</v>
      </c>
      <c r="BO14" s="1037">
        <f>(BN14+BP14)*($L$2/L14-1)</f>
        <v>0</v>
      </c>
      <c r="BP14" s="1037">
        <f>IFERROR((J14*VLOOKUP(H14, 'Baumaterialien Matériaux'!$A$11:$AH$318, 34,FALSE)),0)/$G$1</f>
        <v>0</v>
      </c>
      <c r="BQ14" s="1037">
        <f t="shared" si="8"/>
        <v>0</v>
      </c>
      <c r="BR14" s="1037">
        <f>IFERROR((N14+Q14)*($L$2/L14-1),0)</f>
        <v>0</v>
      </c>
    </row>
    <row r="15" spans="1:70">
      <c r="B15" s="1103"/>
      <c r="C15" s="1110"/>
      <c r="D15" s="660"/>
      <c r="E15" s="657"/>
      <c r="F15" s="638" t="s">
        <v>3005</v>
      </c>
      <c r="G15" s="478" t="str">
        <f>_xlfn.XLOOKUP(H15, 'Baumaterialien Matériaux'!A:A, 'Baumaterialien Matériaux'!AD:AD, "-", 0, 1)</f>
        <v>Béton maigre (sans armature)</v>
      </c>
      <c r="H15" s="891">
        <v>1.0009999999999999</v>
      </c>
      <c r="I15" s="641" t="str">
        <f>_xlfn.XLOOKUP(H15, 'Baumaterialien Matériaux'!A:A, 'Baumaterialien Matériaux'!F:F, "-", 0, 1)</f>
        <v>kg</v>
      </c>
      <c r="J15" s="649">
        <f t="shared" si="19"/>
        <v>57028.75</v>
      </c>
      <c r="K15" s="893">
        <f>0.05*2150</f>
        <v>107.5</v>
      </c>
      <c r="L15" s="527">
        <v>60</v>
      </c>
      <c r="M15" s="648">
        <f>IFERROR((J15*VLOOKUP(H15, 'Baumaterialien Matériaux'!$A$11:$AD$318, 26,FALSE))+(J15*VLOOKUP(H15, 'Baumaterialien Matériaux'!$A$11:$AD$318, 27,FALSE)),0)/$G$1</f>
        <v>3.9989440029384262</v>
      </c>
      <c r="N15" s="720">
        <f>IFERROR(($J15*VLOOKUP($H15, 'Baumaterialien Matériaux'!$A$11:$AD$318, 26,FALSE)),0)/$G$1</f>
        <v>3.1864601420239524</v>
      </c>
      <c r="O15" s="720">
        <f>IFERROR(($J15*VLOOKUP($H15, 'Baumaterialien Matériaux'!$A$11:$AH$318, 33,FALSE)),0)/$G$1</f>
        <v>0.76805114977071365</v>
      </c>
      <c r="P15" s="720">
        <f t="shared" si="20"/>
        <v>0</v>
      </c>
      <c r="Q15" s="720">
        <f>IFERROR(($J15*VLOOKUP($H15, 'Baumaterialien Matériaux'!$A$11:$AD$318, 27,FALSE)),0)/$G$1</f>
        <v>0.812483860914474</v>
      </c>
      <c r="R15" s="720">
        <f>IFERROR(($J15*VLOOKUP($H15, 'Baumaterialien Matériaux'!$A$11:$AH$318, 34,FALSE)),0)/$G$1</f>
        <v>0.14726269979074841</v>
      </c>
      <c r="S15" s="720">
        <f>IFERROR((J15*VLOOKUP(H15, 'Baumaterialien Matériaux'!$A$11:$AD$318, 29,FALSE)),0)/$G$1</f>
        <v>0</v>
      </c>
      <c r="T15" s="880">
        <f>-0.26*S15</f>
        <v>0</v>
      </c>
      <c r="V15" s="638">
        <f t="shared" si="2"/>
        <v>0</v>
      </c>
      <c r="W15" s="638">
        <f t="shared" si="3"/>
        <v>0</v>
      </c>
      <c r="X15" s="638" t="str">
        <f t="shared" si="10"/>
        <v>Structure</v>
      </c>
      <c r="Z15" s="638">
        <f t="shared" si="11"/>
        <v>60</v>
      </c>
      <c r="AA15" s="1083" t="s">
        <v>3441</v>
      </c>
      <c r="AB15" t="str">
        <f>_xlfn.XLOOKUP($H15,'[1]Baumaterialien Matériaux'!$A:$A,'[1]Baumaterialien Matériaux'!AK:AK,0,0)</f>
        <v>concrete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622" cm="1">
        <f t="array" ref="AD15">IFERROR(_xlfn.SWITCH(I15,"kg",1,"m3",AC15,AC15)*J15/(_xlfn.XLOOKUP(AA15,Métrés!A:A,Métrés!C:C,0)),0)</f>
        <v>107.5</v>
      </c>
      <c r="AE15" s="1092">
        <f>IFERROR(N15*$G$1/(_xlfn.XLOOKUP($AA15,Métrés!$A:$A,Métrés!$C:$C,0)),0)</f>
        <v>5.3964999999999996</v>
      </c>
      <c r="AF15" s="1092">
        <f>IFERROR(O15*$G$1/(_xlfn.XLOOKUP($AA15,Métrés!$A:$A,Métrés!$C:$C,0)),0)</f>
        <v>1.3007499999999999</v>
      </c>
      <c r="AG15" s="1092">
        <f>IFERROR(Q15*$G$1/(_xlfn.XLOOKUP($AA15,Métrés!$A:$A,Métrés!$C:$C,0)),0)</f>
        <v>1.3760000000000001</v>
      </c>
      <c r="AH15" s="1092">
        <f>IFERROR(R15*$G$1/(_xlfn.XLOOKUP($AA15,Métrés!$A:$A,Métrés!$C:$C,0)),0)</f>
        <v>0.24940000000000001</v>
      </c>
      <c r="AI15" s="1092">
        <f>IFERROR(S15*$G$1/(_xlfn.XLOOKUP($AA15,Métrés!$A:$A,Métrés!$C:$C,0)),0)</f>
        <v>0</v>
      </c>
      <c r="AJ15" s="1022"/>
      <c r="AK15" s="638">
        <f>IF(L15=60, 0, T15)</f>
        <v>0</v>
      </c>
      <c r="AL15" s="638">
        <f>IF(L15=60, 0, S15)</f>
        <v>0</v>
      </c>
      <c r="AM15" s="638" t="str">
        <f>IF(L15=$L$2, "Structure", IF(L15&gt;0,"Revêtement",0))</f>
        <v>Structure</v>
      </c>
      <c r="AN15" s="1036">
        <f>IF(AM15="Structure",N15,0)</f>
        <v>3.1864601420239524</v>
      </c>
      <c r="AO15" s="1037">
        <f>IF(AM15="Structure",P15,0)</f>
        <v>0</v>
      </c>
      <c r="AP15" s="1037">
        <f>IF(AM15="Structure",Q15,0)</f>
        <v>0.812483860914474</v>
      </c>
      <c r="AQ15" s="1038">
        <f>IF(AM15="Structure",S15,0)</f>
        <v>0</v>
      </c>
      <c r="AR15" s="1038">
        <f>IF(AM15="Structure",T15,0)</f>
        <v>0</v>
      </c>
      <c r="AS15" s="1036">
        <f>IF(AM15="Insulation",N15,0)</f>
        <v>0</v>
      </c>
      <c r="AT15" s="1037">
        <f>IF(AM15="Insulation",P15,0)</f>
        <v>0</v>
      </c>
      <c r="AU15" s="1037">
        <f>IF(AM15="Insulation",Q15,0)</f>
        <v>0</v>
      </c>
      <c r="AV15" s="1038">
        <f>IF(AM15="Insulation",S15,0)</f>
        <v>0</v>
      </c>
      <c r="AW15" s="1038">
        <f>IF(AM15="Insulation",T15,0)</f>
        <v>0</v>
      </c>
      <c r="AX15" s="1036">
        <f>IF(AM15="Revêtement",N15,0)</f>
        <v>0</v>
      </c>
      <c r="AY15" s="1037">
        <f>IF(AM15="Revêtement",P15,0)</f>
        <v>0</v>
      </c>
      <c r="AZ15" s="1037">
        <f>IF(AM15="Revêtement",Q15,0)</f>
        <v>0</v>
      </c>
      <c r="BA15" s="1037">
        <f>IF(AM15="Revêtement",S15,0)</f>
        <v>0</v>
      </c>
      <c r="BB15" s="1038">
        <f>IF(AM15="Revêtement",T15,0)</f>
        <v>0</v>
      </c>
      <c r="BC15" s="1036"/>
      <c r="BD15" s="1037"/>
      <c r="BE15" s="1037"/>
      <c r="BF15" s="1038"/>
      <c r="BG15" s="1036">
        <f>IF($AM15="Structure", IF($I15="kg",$J15,0), 0)</f>
        <v>57028.75</v>
      </c>
      <c r="BH15" s="1037">
        <f>IF($AM15="Insulation", IF($I15="kg",$J15,0), 0)</f>
        <v>0</v>
      </c>
      <c r="BI15" s="1038">
        <f>IF($AM15="Revêtement", IF($I15="kg",$J15,0), 0)</f>
        <v>0</v>
      </c>
      <c r="BJ15" s="1037">
        <f>_xlfn.XLOOKUP(H15, 'Baumaterialien Matériaux'!A:A, 'Baumaterialien Matériaux'!E:E, "-", 0, 1)</f>
        <v>2150</v>
      </c>
      <c r="BK15" s="1036">
        <f t="shared" si="5"/>
        <v>26.524999999999999</v>
      </c>
      <c r="BL15" s="1037">
        <f t="shared" si="6"/>
        <v>0</v>
      </c>
      <c r="BM15" s="1038">
        <f t="shared" si="7"/>
        <v>0</v>
      </c>
      <c r="BN15" s="1037">
        <f>IFERROR((J15*VLOOKUP(H15, 'Baumaterialien Matériaux'!$A$11:$AH$318, 33,FALSE)),0)/$G$1</f>
        <v>0.76805114977071365</v>
      </c>
      <c r="BO15" s="1037">
        <f>(BN15+BP15)*($L$2/L15-1)</f>
        <v>0</v>
      </c>
      <c r="BP15" s="1037">
        <f>IFERROR((J15*VLOOKUP(H15, 'Baumaterialien Matériaux'!$A$11:$AH$318, 34,FALSE)),0)/$G$1</f>
        <v>0.14726269979074841</v>
      </c>
      <c r="BQ15" s="1037">
        <f t="shared" si="8"/>
        <v>0.18124999999999999</v>
      </c>
      <c r="BR15" s="1037">
        <f>IFERROR((N15+Q15)*($L$2/L15-1),0)</f>
        <v>0</v>
      </c>
    </row>
    <row r="16" spans="1:70">
      <c r="B16" s="1103"/>
      <c r="C16" s="1110"/>
      <c r="D16" s="660"/>
      <c r="E16" s="657"/>
      <c r="F16" s="478" t="s">
        <v>3057</v>
      </c>
      <c r="G16" s="478" t="str">
        <f>_xlfn.XLOOKUP(H16, 'Baumaterialien Matériaux'!A:A, 'Baumaterialien Matériaux'!AD:AD, "-", 0, 1)</f>
        <v>Gravier rond</v>
      </c>
      <c r="H16" s="891" t="s">
        <v>530</v>
      </c>
      <c r="I16" s="641" t="str">
        <f>_xlfn.XLOOKUP(H16, 'Baumaterialien Matériaux'!A:A, 'Baumaterialien Matériaux'!F:F, "-", 0, 1)</f>
        <v>kg</v>
      </c>
      <c r="J16" s="649">
        <f t="shared" si="19"/>
        <v>265250</v>
      </c>
      <c r="K16" s="893">
        <f>0.25*2000</f>
        <v>500</v>
      </c>
      <c r="L16" s="527">
        <v>60</v>
      </c>
      <c r="M16" s="648">
        <f>IFERROR((J16*VLOOKUP(H16, 'Baumaterialien Matériaux'!$A$11:$AD$318, 26,FALSE))+(J16*VLOOKUP(H16, 'Baumaterialien Matériaux'!$A$11:$AD$318, 27,FALSE)),0)/$G$1</f>
        <v>4.6883153020791593</v>
      </c>
      <c r="N16" s="720">
        <f>IFERROR(($J16*VLOOKUP($H16, 'Baumaterialien Matériaux'!$A$11:$AD$318, 26,FALSE)),0)/$G$1</f>
        <v>0.90932060015137339</v>
      </c>
      <c r="O16" s="720">
        <f>IFERROR(($J16*VLOOKUP($H16, 'Baumaterialien Matériaux'!$A$11:$AH$318, 33,FALSE)),0)/$G$1</f>
        <v>0.30409097992075157</v>
      </c>
      <c r="P16" s="720">
        <f t="shared" ref="P16:P17" si="21">(N16+Q16)*($L$2/L16-1)</f>
        <v>0</v>
      </c>
      <c r="Q16" s="720">
        <f>IFERROR(($J16*VLOOKUP($H16, 'Baumaterialien Matériaux'!$A$11:$AD$318, 27,FALSE)),0)/$G$1</f>
        <v>3.7789947019277861</v>
      </c>
      <c r="R16" s="720">
        <f>IFERROR(($J16*VLOOKUP($H16, 'Baumaterialien Matériaux'!$A$11:$AH$318, 34,FALSE)),0)/$G$1</f>
        <v>0.69675214816793551</v>
      </c>
      <c r="S16" s="720">
        <f>IFERROR((J16*VLOOKUP(H16, 'Baumaterialien Matériaux'!$A$11:$AD$318, 29,FALSE)),0)/$G$1</f>
        <v>0</v>
      </c>
      <c r="T16" s="720"/>
      <c r="V16" s="638">
        <f t="shared" si="2"/>
        <v>0</v>
      </c>
      <c r="W16" s="638">
        <f t="shared" si="3"/>
        <v>0</v>
      </c>
      <c r="X16" s="638" t="str">
        <f t="shared" si="10"/>
        <v>Structure</v>
      </c>
      <c r="Z16" s="638">
        <f t="shared" si="11"/>
        <v>60</v>
      </c>
      <c r="AA16" s="1083" t="s">
        <v>3441</v>
      </c>
      <c r="AB16" t="str">
        <f>_xlfn.XLOOKUP($H16,'[1]Baumaterialien Matériaux'!$A:$A,'[1]Baumaterialien Matériaux'!AK:AK,0,0)</f>
        <v>stone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622" cm="1">
        <f t="array" ref="AD16">IFERROR(_xlfn.SWITCH(I16,"kg",1,"m3",AC16,AC16)*J16/(_xlfn.XLOOKUP(AA16,Métrés!A:A,Métrés!C:C,0)),0)</f>
        <v>500</v>
      </c>
      <c r="AE16" s="1092">
        <f>IFERROR(N16*$G$1/(_xlfn.XLOOKUP($AA16,Métrés!$A:$A,Métrés!$C:$C,0)),0)</f>
        <v>1.5399999999999998</v>
      </c>
      <c r="AF16" s="1092">
        <f>IFERROR(O16*$G$1/(_xlfn.XLOOKUP($AA16,Métrés!$A:$A,Métrés!$C:$C,0)),0)</f>
        <v>0.51500000000000012</v>
      </c>
      <c r="AG16" s="1092">
        <f>IFERROR(Q16*$G$1/(_xlfn.XLOOKUP($AA16,Métrés!$A:$A,Métrés!$C:$C,0)),0)</f>
        <v>6.4</v>
      </c>
      <c r="AH16" s="1092">
        <f>IFERROR(R16*$G$1/(_xlfn.XLOOKUP($AA16,Métrés!$A:$A,Métrés!$C:$C,0)),0)</f>
        <v>1.18</v>
      </c>
      <c r="AI16" s="1092">
        <f>IFERROR(S16*$G$1/(_xlfn.XLOOKUP($AA16,Métrés!$A:$A,Métrés!$C:$C,0)),0)</f>
        <v>0</v>
      </c>
      <c r="AJ16" s="1022"/>
      <c r="AK16" s="638">
        <f>IF(L16=60, 0, T16)</f>
        <v>0</v>
      </c>
      <c r="AL16" s="638">
        <f>IF(L16=60, 0, S16)</f>
        <v>0</v>
      </c>
      <c r="AM16" s="638" t="str">
        <f>IF(L16=$L$2, "Structure", IF(L16&gt;0,"Revêtement",0))</f>
        <v>Structure</v>
      </c>
      <c r="AN16" s="1036">
        <f>IF(AM16="Structure",N16,0)</f>
        <v>0.90932060015137339</v>
      </c>
      <c r="AO16" s="1037">
        <f>IF(AM16="Structure",P16,0)</f>
        <v>0</v>
      </c>
      <c r="AP16" s="1037">
        <f>IF(AM16="Structure",Q16,0)</f>
        <v>3.7789947019277861</v>
      </c>
      <c r="AQ16" s="1038">
        <f>IF(AM16="Structure",S16,0)</f>
        <v>0</v>
      </c>
      <c r="AR16" s="1038">
        <f>IF(AM16="Structure",T16,0)</f>
        <v>0</v>
      </c>
      <c r="AS16" s="1036">
        <f>IF(AM16="Insulation",N16,0)</f>
        <v>0</v>
      </c>
      <c r="AT16" s="1037">
        <f>IF(AM16="Insulation",P16,0)</f>
        <v>0</v>
      </c>
      <c r="AU16" s="1037">
        <f>IF(AM16="Insulation",Q16,0)</f>
        <v>0</v>
      </c>
      <c r="AV16" s="1038">
        <f>IF(AM16="Insulation",S16,0)</f>
        <v>0</v>
      </c>
      <c r="AW16" s="1038">
        <f>IF(AM16="Insulation",T16,0)</f>
        <v>0</v>
      </c>
      <c r="AX16" s="1036">
        <f>IF(AM16="Revêtement",N16,0)</f>
        <v>0</v>
      </c>
      <c r="AY16" s="1037">
        <f>IF(AM16="Revêtement",P16,0)</f>
        <v>0</v>
      </c>
      <c r="AZ16" s="1037">
        <f>IF(AM16="Revêtement",Q16,0)</f>
        <v>0</v>
      </c>
      <c r="BA16" s="1037">
        <f>IF(AM16="Revêtement",S16,0)</f>
        <v>0</v>
      </c>
      <c r="BB16" s="1038">
        <f>IF(AM16="Revêtement",T16,0)</f>
        <v>0</v>
      </c>
      <c r="BC16" s="1036"/>
      <c r="BD16" s="1037"/>
      <c r="BE16" s="1037"/>
      <c r="BF16" s="1038"/>
      <c r="BG16" s="1036">
        <f>IF($AM16="Structure", IF($I16="kg",$J16,0), 0)</f>
        <v>265250</v>
      </c>
      <c r="BH16" s="1037">
        <f>IF($AM16="Insulation", IF($I16="kg",$J16,0), 0)</f>
        <v>0</v>
      </c>
      <c r="BI16" s="1038">
        <f>IF($AM16="Revêtement", IF($I16="kg",$J16,0), 0)</f>
        <v>0</v>
      </c>
      <c r="BJ16" s="1037">
        <f>_xlfn.XLOOKUP(H16, 'Baumaterialien Matériaux'!A:A, 'Baumaterialien Matériaux'!E:E, "-", 0, 1)</f>
        <v>2000</v>
      </c>
      <c r="BK16" s="1036">
        <f t="shared" si="5"/>
        <v>132.625</v>
      </c>
      <c r="BL16" s="1037">
        <f t="shared" si="6"/>
        <v>0</v>
      </c>
      <c r="BM16" s="1038">
        <f t="shared" si="7"/>
        <v>0</v>
      </c>
      <c r="BN16" s="1037">
        <f>IFERROR((J16*VLOOKUP(H16, 'Baumaterialien Matériaux'!$A$11:$AH$318, 33,FALSE)),0)/$G$1</f>
        <v>0.30409097992075157</v>
      </c>
      <c r="BO16" s="1037">
        <f>(BN16+BP16)*($L$2/L16-1)</f>
        <v>0</v>
      </c>
      <c r="BP16" s="1037">
        <f>IFERROR((J16*VLOOKUP(H16, 'Baumaterialien Matériaux'!$A$11:$AH$318, 34,FALSE)),0)/$G$1</f>
        <v>0.69675214816793551</v>
      </c>
      <c r="BQ16" s="1037">
        <f t="shared" si="8"/>
        <v>0.18437499999999998</v>
      </c>
      <c r="BR16" s="1037">
        <f>IFERROR((N16+Q16)*($L$2/L16-1),0)</f>
        <v>0</v>
      </c>
    </row>
    <row r="17" spans="2:70">
      <c r="B17" s="1103"/>
      <c r="C17" s="1110"/>
      <c r="D17" s="660"/>
      <c r="E17" s="657"/>
      <c r="F17" s="478" t="s">
        <v>3058</v>
      </c>
      <c r="G17" s="478" t="str">
        <f>_xlfn.XLOOKUP(H17, 'Baumaterialien Matériaux'!A:A, 'Baumaterialien Matériaux'!AD:AD, "-", 0, 1)</f>
        <v>Polystyrène extrudé (XPS)</v>
      </c>
      <c r="H17" s="892" t="s">
        <v>110</v>
      </c>
      <c r="I17" s="641" t="str">
        <f>_xlfn.XLOOKUP(H17, 'Baumaterialien Matériaux'!A:A, 'Baumaterialien Matériaux'!F:F, "-", 0, 1)</f>
        <v>kg</v>
      </c>
      <c r="J17" s="890">
        <f>69.63*K17</f>
        <v>334.22399999999999</v>
      </c>
      <c r="K17" s="893">
        <f>0.16*30</f>
        <v>4.8</v>
      </c>
      <c r="L17" s="527">
        <v>60</v>
      </c>
      <c r="M17" s="648">
        <f>IFERROR((J17*VLOOKUP(H17, 'Baumaterialien Matériaux'!$A$11:$AD$318, 26,FALSE))+(J17*VLOOKUP(H17, 'Baumaterialien Matériaux'!$A$11:$AD$318, 27,FALSE)),0)/$G$1</f>
        <v>5.3531491919326832</v>
      </c>
      <c r="N17" s="720">
        <f>IFERROR(($J17*VLOOKUP($H17, 'Baumaterialien Matériaux'!$A$11:$AD$318, 26,FALSE)),0)/$G$1</f>
        <v>4.2036543341792436</v>
      </c>
      <c r="O17" s="720">
        <f>IFERROR(($J17*VLOOKUP($H17, 'Baumaterialien Matériaux'!$A$11:$AH$318, 33,FALSE)),0)/$G$1</f>
        <v>0.65100841458528103</v>
      </c>
      <c r="P17" s="720">
        <f t="shared" si="21"/>
        <v>0</v>
      </c>
      <c r="Q17" s="720">
        <f>IFERROR(($J17*VLOOKUP($H17, 'Baumaterialien Matériaux'!$A$11:$AD$318, 27,FALSE)),0)/$G$1</f>
        <v>1.1494948577534392</v>
      </c>
      <c r="R17" s="720">
        <f>IFERROR(($J17*VLOOKUP($H17, 'Baumaterialien Matériaux'!$A$11:$AH$318, 34,FALSE)),0)/$G$1</f>
        <v>0.26263539468411906</v>
      </c>
      <c r="S17" s="720">
        <f>IFERROR((J17*VLOOKUP(H17, 'Baumaterialien Matériaux'!$A$11:$AD$318, 29,FALSE)),0)/$G$1</f>
        <v>0</v>
      </c>
      <c r="V17" s="638">
        <f t="shared" si="2"/>
        <v>0</v>
      </c>
      <c r="W17" s="638">
        <f t="shared" si="3"/>
        <v>0</v>
      </c>
      <c r="X17" s="638" t="str">
        <f t="shared" si="10"/>
        <v>Structure</v>
      </c>
      <c r="Z17" s="638">
        <f t="shared" si="11"/>
        <v>60</v>
      </c>
      <c r="AA17" s="1083" t="s">
        <v>3441</v>
      </c>
      <c r="AB17" t="str">
        <f>_xlfn.XLOOKUP($H17,'[1]Baumaterialien Matériaux'!$A:$A,'[1]Baumaterialien Matériaux'!AK:AK,0,0)</f>
        <v>oil_product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622" cm="1">
        <f t="array" ref="AD17">IFERROR(_xlfn.SWITCH(I17,"kg",1,"m3",AC17,AC17)*J17/(_xlfn.XLOOKUP(AA17,Métrés!A:A,Métrés!C:C,0)),0)</f>
        <v>0.63001696512723848</v>
      </c>
      <c r="AE17" s="1092">
        <f>IFERROR(N17*$G$1/(_xlfn.XLOOKUP($AA17,Métrés!$A:$A,Métrés!$C:$C,0)),0)</f>
        <v>7.1191917059377943</v>
      </c>
      <c r="AF17" s="1092">
        <f>IFERROR(O17*$G$1/(_xlfn.XLOOKUP($AA17,Métrés!$A:$A,Métrés!$C:$C,0)),0)</f>
        <v>1.1025296889726672</v>
      </c>
      <c r="AG17" s="1092">
        <f>IFERROR(Q17*$G$1/(_xlfn.XLOOKUP($AA17,Métrés!$A:$A,Métrés!$C:$C,0)),0)</f>
        <v>1.9467524222431669</v>
      </c>
      <c r="AH17" s="1092">
        <f>IFERROR(R17*$G$1/(_xlfn.XLOOKUP($AA17,Métrés!$A:$A,Métrés!$C:$C,0)),0)</f>
        <v>0.44479197737983023</v>
      </c>
      <c r="AI17" s="1092">
        <f>IFERROR(S17*$G$1/(_xlfn.XLOOKUP($AA17,Métrés!$A:$A,Métrés!$C:$C,0)),0)</f>
        <v>0</v>
      </c>
      <c r="AJ17" s="1022"/>
      <c r="AK17" s="638">
        <f>IF(L17=60, 0, T17)</f>
        <v>0</v>
      </c>
      <c r="AL17" s="638">
        <f>IF(L17=60, 0, S17)</f>
        <v>0</v>
      </c>
      <c r="AM17" s="638" t="str">
        <f>IF(L17=$L$2, "Structure", IF(L17&gt;0,"Revêtement",0))</f>
        <v>Structure</v>
      </c>
      <c r="AN17" s="1036">
        <f>IF(AM17="Structure",N17,0)</f>
        <v>4.2036543341792436</v>
      </c>
      <c r="AO17" s="1037">
        <f>IF(AM17="Structure",P17,0)</f>
        <v>0</v>
      </c>
      <c r="AP17" s="1037">
        <f>IF(AM17="Structure",Q17,0)</f>
        <v>1.1494948577534392</v>
      </c>
      <c r="AQ17" s="1038">
        <f>IF(AM17="Structure",S17,0)</f>
        <v>0</v>
      </c>
      <c r="AR17" s="1038">
        <f>IF(AM17="Structure",T17,0)</f>
        <v>0</v>
      </c>
      <c r="AS17" s="1036">
        <f>IF(AM17="Insulation",N17,0)</f>
        <v>0</v>
      </c>
      <c r="AT17" s="1037">
        <f>IF(AM17="Insulation",P17,0)</f>
        <v>0</v>
      </c>
      <c r="AU17" s="1037">
        <f>IF(AM17="Insulation",Q17,0)</f>
        <v>0</v>
      </c>
      <c r="AV17" s="1038">
        <f>IF(AM17="Insulation",S17,0)</f>
        <v>0</v>
      </c>
      <c r="AW17" s="1038">
        <f>IF(AM17="Insulation",T17,0)</f>
        <v>0</v>
      </c>
      <c r="AX17" s="1036">
        <f>IF(AM17="Revêtement",N17,0)</f>
        <v>0</v>
      </c>
      <c r="AY17" s="1037">
        <f>IF(AM17="Revêtement",P17,0)</f>
        <v>0</v>
      </c>
      <c r="AZ17" s="1037">
        <f>IF(AM17="Revêtement",Q17,0)</f>
        <v>0</v>
      </c>
      <c r="BA17" s="1037">
        <f>IF(AM17="Revêtement",S17,0)</f>
        <v>0</v>
      </c>
      <c r="BB17" s="1038">
        <f>IF(AM17="Revêtement",T17,0)</f>
        <v>0</v>
      </c>
      <c r="BC17" s="1036"/>
      <c r="BD17" s="1037"/>
      <c r="BE17" s="1037"/>
      <c r="BF17" s="1038"/>
      <c r="BG17" s="1036">
        <f>IF($AM17="Structure", IF($I17="kg",$J17,0), 0)</f>
        <v>334.22399999999999</v>
      </c>
      <c r="BH17" s="1037">
        <f>IF($AM17="Insulation", IF($I17="kg",$J17,0), 0)</f>
        <v>0</v>
      </c>
      <c r="BI17" s="1038">
        <f>IF($AM17="Revêtement", IF($I17="kg",$J17,0), 0)</f>
        <v>0</v>
      </c>
      <c r="BJ17" s="1037">
        <v>30</v>
      </c>
      <c r="BK17" s="1036">
        <f t="shared" ref="BK17:BK80" si="22">IFERROR(BG17/$BJ17,0)</f>
        <v>11.1408</v>
      </c>
      <c r="BL17" s="1037">
        <f t="shared" ref="BL17:BL80" si="23">IFERROR(BH17/$BJ17,0)</f>
        <v>0</v>
      </c>
      <c r="BM17" s="1038">
        <f t="shared" ref="BM17:BM80" si="24">IFERROR(BI17/$BJ17,0)</f>
        <v>0</v>
      </c>
      <c r="BN17" s="1037">
        <f>IFERROR((J17*VLOOKUP(H17, 'Baumaterialien Matériaux'!$A$11:$AH$318, 33,FALSE)),0)/$G$1</f>
        <v>0.65100841458528103</v>
      </c>
      <c r="BO17" s="1037">
        <f>(BN17+BP17)*($L$2/L17-1)</f>
        <v>0</v>
      </c>
      <c r="BP17" s="1037">
        <f>IFERROR((J17*VLOOKUP(H17, 'Baumaterialien Matériaux'!$A$11:$AH$318, 34,FALSE)),0)/$G$1</f>
        <v>0.26263539468411906</v>
      </c>
      <c r="BQ17" s="1037">
        <f t="shared" si="8"/>
        <v>0.22847896440129445</v>
      </c>
      <c r="BR17" s="1037"/>
    </row>
    <row r="18" spans="2:70">
      <c r="B18" s="1103"/>
      <c r="C18" s="1110"/>
      <c r="D18" s="660"/>
      <c r="E18" s="657"/>
      <c r="F18" s="479"/>
      <c r="G18" s="479"/>
      <c r="H18" s="479"/>
      <c r="I18" s="459"/>
      <c r="J18" s="662"/>
      <c r="K18" s="663"/>
      <c r="L18" s="663"/>
      <c r="M18" s="664"/>
      <c r="N18" s="664"/>
      <c r="O18" s="664"/>
      <c r="P18" s="664"/>
      <c r="Q18" s="664"/>
      <c r="R18" s="664"/>
      <c r="S18" s="664"/>
      <c r="T18" s="664"/>
      <c r="V18" s="638">
        <f t="shared" si="2"/>
        <v>0</v>
      </c>
      <c r="W18" s="638">
        <f t="shared" si="3"/>
        <v>0</v>
      </c>
      <c r="X18" s="638">
        <f t="shared" si="10"/>
        <v>0</v>
      </c>
      <c r="Z18" s="638">
        <f t="shared" si="11"/>
        <v>0</v>
      </c>
      <c r="AA18" s="1083" t="s">
        <v>3441</v>
      </c>
      <c r="AB18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622" cm="1">
        <f t="array" ref="AD18">IFERROR(_xlfn.SWITCH(I18,"kg",1,"m3",AC18,AC18)*J18/(_xlfn.XLOOKUP(AA18,Métrés!A:A,Métrés!C:C,0)),0)</f>
        <v>0</v>
      </c>
      <c r="AE18" s="1092">
        <f>IFERROR(N18*$G$1/(_xlfn.XLOOKUP($AA18,Métrés!$A:$A,Métrés!$C:$C,0)),0)</f>
        <v>0</v>
      </c>
      <c r="AF18" s="1092">
        <f>IFERROR(O18*$G$1/(_xlfn.XLOOKUP($AA18,Métrés!$A:$A,Métrés!$C:$C,0)),0)</f>
        <v>0</v>
      </c>
      <c r="AG18" s="1092">
        <f>IFERROR(Q18*$G$1/(_xlfn.XLOOKUP($AA18,Métrés!$A:$A,Métrés!$C:$C,0)),0)</f>
        <v>0</v>
      </c>
      <c r="AH18" s="1092">
        <f>IFERROR(R18*$G$1/(_xlfn.XLOOKUP($AA18,Métrés!$A:$A,Métrés!$C:$C,0)),0)</f>
        <v>0</v>
      </c>
      <c r="AI18" s="1092">
        <f>IFERROR(S18*$G$1/(_xlfn.XLOOKUP($AA18,Métrés!$A:$A,Métrés!$C:$C,0)),0)</f>
        <v>0</v>
      </c>
      <c r="AJ18" s="664"/>
      <c r="AK18" s="664"/>
      <c r="AL18" s="664"/>
      <c r="AM18" s="1021"/>
      <c r="AN18" s="1059"/>
      <c r="AO18" s="664"/>
      <c r="AP18" s="664"/>
      <c r="AQ18" s="664"/>
      <c r="AR18" s="1058"/>
      <c r="AS18" s="1059"/>
      <c r="AT18" s="664"/>
      <c r="AU18" s="664"/>
      <c r="AV18" s="664"/>
      <c r="AW18" s="1058"/>
      <c r="AX18" s="1059"/>
      <c r="AY18" s="664"/>
      <c r="AZ18" s="664"/>
      <c r="BA18" s="664"/>
      <c r="BB18" s="1058"/>
      <c r="BC18" s="1059"/>
      <c r="BD18" s="664"/>
      <c r="BE18" s="664"/>
      <c r="BF18" s="1058"/>
      <c r="BG18" s="1059"/>
      <c r="BH18" s="664"/>
      <c r="BI18" s="1058"/>
      <c r="BJ18" s="1045"/>
      <c r="BK18" s="1059"/>
      <c r="BL18" s="664"/>
      <c r="BM18" s="1058"/>
      <c r="BN18" s="1037"/>
      <c r="BO18" s="1037"/>
      <c r="BP18" s="1037"/>
      <c r="BQ18" s="1037"/>
      <c r="BR18" s="1037"/>
    </row>
    <row r="19" spans="2:70">
      <c r="B19" s="1103"/>
      <c r="C19" s="1110"/>
      <c r="D19" s="660"/>
      <c r="E19" s="657"/>
      <c r="F19" s="478"/>
      <c r="G19" s="478"/>
      <c r="H19" s="892"/>
      <c r="I19" s="641"/>
      <c r="J19" s="649"/>
      <c r="K19" s="893"/>
      <c r="L19" s="478"/>
      <c r="M19" s="648"/>
      <c r="N19" s="720"/>
      <c r="O19" s="720"/>
      <c r="P19" s="720"/>
      <c r="Q19" s="720"/>
      <c r="R19" s="720"/>
      <c r="S19" s="720"/>
      <c r="V19" s="638">
        <f t="shared" si="2"/>
        <v>0</v>
      </c>
      <c r="W19" s="638">
        <f t="shared" si="3"/>
        <v>0</v>
      </c>
      <c r="X19" s="638">
        <f t="shared" si="10"/>
        <v>0</v>
      </c>
      <c r="Z19" s="638">
        <f t="shared" si="11"/>
        <v>0</v>
      </c>
      <c r="AA19" s="1083" t="s">
        <v>3441</v>
      </c>
      <c r="AB19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622" cm="1">
        <f t="array" ref="AD19">IFERROR(_xlfn.SWITCH(I19,"kg",1,"m3",AC19,AC19)*J19/(_xlfn.XLOOKUP(AA19,Métrés!A:A,Métrés!C:C,0)),0)</f>
        <v>0</v>
      </c>
      <c r="AE19" s="1092">
        <f>IFERROR(N19*$G$1/(_xlfn.XLOOKUP($AA19,Métrés!$A:$A,Métrés!$C:$C,0)),0)</f>
        <v>0</v>
      </c>
      <c r="AF19" s="1092">
        <f>IFERROR(O19*$G$1/(_xlfn.XLOOKUP($AA19,Métrés!$A:$A,Métrés!$C:$C,0)),0)</f>
        <v>0</v>
      </c>
      <c r="AG19" s="1092">
        <f>IFERROR(Q19*$G$1/(_xlfn.XLOOKUP($AA19,Métrés!$A:$A,Métrés!$C:$C,0)),0)</f>
        <v>0</v>
      </c>
      <c r="AH19" s="1092">
        <f>IFERROR(R19*$G$1/(_xlfn.XLOOKUP($AA19,Métrés!$A:$A,Métrés!$C:$C,0)),0)</f>
        <v>0</v>
      </c>
      <c r="AI19" s="1092">
        <f>IFERROR(S19*$G$1/(_xlfn.XLOOKUP($AA19,Métrés!$A:$A,Métrés!$C:$C,0)),0)</f>
        <v>0</v>
      </c>
      <c r="AJ19" s="1022"/>
      <c r="AK19" s="638">
        <f>IF(L19=60, 0, T19)</f>
        <v>0</v>
      </c>
      <c r="AL19" s="638">
        <f>IF(L19=60, 0, S19)</f>
        <v>0</v>
      </c>
      <c r="AM19" s="638">
        <f>IF(L19=$L$2, "Structure", IF(L19&gt;0,"Revêtement",0))</f>
        <v>0</v>
      </c>
      <c r="AN19" s="1036">
        <f>IF(AM19="Structure",N19,0)</f>
        <v>0</v>
      </c>
      <c r="AO19" s="1037">
        <f>IF(AM19="Structure",P19,0)</f>
        <v>0</v>
      </c>
      <c r="AP19" s="1037">
        <f>IF(AM19="Structure",Q19,0)</f>
        <v>0</v>
      </c>
      <c r="AQ19" s="1038">
        <f>IF(AM19="Structure",S19,0)</f>
        <v>0</v>
      </c>
      <c r="AR19" s="1038">
        <f>IF(AM19="Structure",T19,0)</f>
        <v>0</v>
      </c>
      <c r="AS19" s="1036">
        <f>IF(AM19="Insulation",N19,0)</f>
        <v>0</v>
      </c>
      <c r="AT19" s="1037">
        <f>IF(AM19="Insulation",P19,0)</f>
        <v>0</v>
      </c>
      <c r="AU19" s="1037">
        <f>IF(AM19="Insulation",Q19,0)</f>
        <v>0</v>
      </c>
      <c r="AV19" s="1038">
        <f>IF(AM19="Insulation",S19,0)</f>
        <v>0</v>
      </c>
      <c r="AW19" s="1038">
        <f>IF(AM19="Insulation",T19,0)</f>
        <v>0</v>
      </c>
      <c r="AX19" s="1036">
        <f>IF(AM19="Revêtement",N19,0)</f>
        <v>0</v>
      </c>
      <c r="AY19" s="1037">
        <f>IF(AM19="Revêtement",P19,0)</f>
        <v>0</v>
      </c>
      <c r="AZ19" s="1037">
        <f>IF(AM19="Revêtement",Q19,0)</f>
        <v>0</v>
      </c>
      <c r="BA19" s="1037">
        <f>IF(AM19="Revêtement",S19,0)</f>
        <v>0</v>
      </c>
      <c r="BB19" s="1038">
        <f>IF(AM19="Revêtement",T19,0)</f>
        <v>0</v>
      </c>
      <c r="BC19" s="1036"/>
      <c r="BD19" s="1037"/>
      <c r="BE19" s="1037"/>
      <c r="BF19" s="1038"/>
      <c r="BG19" s="1036">
        <f>IF($AM19="Structure", IF($I19="kg",$J19,0), 0)</f>
        <v>0</v>
      </c>
      <c r="BH19" s="1037">
        <f>IF($AM19="Insulation", IF($I19="kg",$J19,0), 0)</f>
        <v>0</v>
      </c>
      <c r="BI19" s="1038">
        <f>IF($AM19="Revêtement", IF($I19="kg",$J19,0), 0)</f>
        <v>0</v>
      </c>
      <c r="BJ19" s="1037">
        <f>_xlfn.XLOOKUP(H19, 'Baumaterialien Matériaux'!A:A, 'Baumaterialien Matériaux'!E:E, "-", 0, 1)</f>
        <v>0</v>
      </c>
      <c r="BK19" s="1036">
        <f t="shared" si="22"/>
        <v>0</v>
      </c>
      <c r="BL19" s="1037">
        <f t="shared" si="23"/>
        <v>0</v>
      </c>
      <c r="BM19" s="1038">
        <f t="shared" si="24"/>
        <v>0</v>
      </c>
      <c r="BN19" s="1037">
        <f>IFERROR((J19*VLOOKUP(H19, 'Baumaterialien Matériaux'!$A$11:$AH$318, 33,FALSE)),0)/$G$1</f>
        <v>0</v>
      </c>
      <c r="BO19" s="1037"/>
      <c r="BP19" s="1037">
        <f>IFERROR((J19*VLOOKUP(H19, 'Baumaterialien Matériaux'!$A$11:$AH$318, 34,FALSE)),0)/$G$1</f>
        <v>0</v>
      </c>
      <c r="BQ19" s="1037" t="e">
        <f t="shared" ref="BQ19:BQ42" si="25">BP19/Q19</f>
        <v>#DIV/0!</v>
      </c>
      <c r="BR19" s="1037"/>
    </row>
    <row r="20" spans="2:70">
      <c r="B20" s="1103"/>
      <c r="C20" s="1110"/>
      <c r="D20" s="660"/>
      <c r="E20" s="657"/>
      <c r="F20" s="478"/>
      <c r="G20" s="478"/>
      <c r="H20" s="891"/>
      <c r="I20" s="641"/>
      <c r="J20" s="649"/>
      <c r="K20" s="728"/>
      <c r="L20" s="478"/>
      <c r="M20" s="648"/>
      <c r="N20" s="720"/>
      <c r="O20" s="720"/>
      <c r="P20" s="720"/>
      <c r="Q20" s="720"/>
      <c r="R20" s="720"/>
      <c r="S20" s="720"/>
      <c r="AA20" s="1083"/>
      <c r="AB20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622" cm="1">
        <f t="array" ref="AD20">IFERROR(_xlfn.SWITCH(I20,"kg",1,"m3",AC20,AC20)*J20/(_xlfn.XLOOKUP(AA20,Métrés!A:A,Métrés!C:C,0)),0)</f>
        <v>0</v>
      </c>
      <c r="AE20" s="1092"/>
      <c r="AF20" s="1092"/>
      <c r="AG20" s="1092"/>
      <c r="AH20" s="1092"/>
      <c r="AI20" s="1092"/>
      <c r="AJ20" s="1022"/>
      <c r="AK20" s="638">
        <f>IF(L20=60, 0, T20)</f>
        <v>0</v>
      </c>
      <c r="AL20" s="638">
        <f>IF(L20=60, 0, S20)</f>
        <v>0</v>
      </c>
      <c r="AM20" s="638">
        <f>IF(L20=$L$2, "Structure", IF(L20&gt;0,"Revêtement",0))</f>
        <v>0</v>
      </c>
      <c r="AN20" s="1036">
        <f>IF(AM20="Structure",N20,0)</f>
        <v>0</v>
      </c>
      <c r="AO20" s="1037">
        <f>IF(AM20="Structure",P20,0)</f>
        <v>0</v>
      </c>
      <c r="AP20" s="1037">
        <f>IF(AM20="Structure",Q20,0)</f>
        <v>0</v>
      </c>
      <c r="AQ20" s="1038">
        <f>IF(AM20="Structure",S20,0)</f>
        <v>0</v>
      </c>
      <c r="AR20" s="1038">
        <f>IF(AM20="Structure",T20,0)</f>
        <v>0</v>
      </c>
      <c r="AS20" s="1036">
        <f>IF(AM20="Insulation",N20,0)</f>
        <v>0</v>
      </c>
      <c r="AT20" s="1037">
        <f>IF(AM20="Insulation",P20,0)</f>
        <v>0</v>
      </c>
      <c r="AU20" s="1037">
        <f>IF(AM20="Insulation",Q20,0)</f>
        <v>0</v>
      </c>
      <c r="AV20" s="1038">
        <f>IF(AM20="Insulation",S20,0)</f>
        <v>0</v>
      </c>
      <c r="AW20" s="1038">
        <f>IF(AM20="Insulation",T20,0)</f>
        <v>0</v>
      </c>
      <c r="AX20" s="1036">
        <f>IF(AM20="Revêtement",N20,0)</f>
        <v>0</v>
      </c>
      <c r="AY20" s="1037">
        <f>IF(AM20="Revêtement",P20,0)</f>
        <v>0</v>
      </c>
      <c r="AZ20" s="1037">
        <f>IF(AM20="Revêtement",Q20,0)</f>
        <v>0</v>
      </c>
      <c r="BA20" s="1037">
        <f>IF(AM20="Revêtement",S20,0)</f>
        <v>0</v>
      </c>
      <c r="BB20" s="1038">
        <f>IF(AM20="Revêtement",T20,0)</f>
        <v>0</v>
      </c>
      <c r="BC20" s="1036"/>
      <c r="BD20" s="1037"/>
      <c r="BE20" s="1037"/>
      <c r="BF20" s="1038"/>
      <c r="BG20" s="1036">
        <f>IF($AM20="Structure", IF($I20="kg",$J20,0), 0)</f>
        <v>0</v>
      </c>
      <c r="BH20" s="1037">
        <f>IF($AM20="Insulation", IF($I20="kg",$J20,0), 0)</f>
        <v>0</v>
      </c>
      <c r="BI20" s="1038">
        <f>IF($AM20="Revêtement", IF($I20="kg",$J20,0), 0)</f>
        <v>0</v>
      </c>
      <c r="BJ20" s="1037">
        <f>_xlfn.XLOOKUP(H20, 'Baumaterialien Matériaux'!A:A, 'Baumaterialien Matériaux'!E:E, "-", 0, 1)</f>
        <v>0</v>
      </c>
      <c r="BK20" s="1036">
        <f t="shared" si="22"/>
        <v>0</v>
      </c>
      <c r="BL20" s="1037">
        <f t="shared" si="23"/>
        <v>0</v>
      </c>
      <c r="BM20" s="1038">
        <f t="shared" si="24"/>
        <v>0</v>
      </c>
      <c r="BN20" s="1037">
        <f>IFERROR((J20*VLOOKUP(H20, 'Baumaterialien Matériaux'!$A$11:$AH$318, 33,FALSE)),0)/$G$1</f>
        <v>0</v>
      </c>
      <c r="BO20" s="1037"/>
      <c r="BP20" s="1037">
        <f>IFERROR((J20*VLOOKUP(H20, 'Baumaterialien Matériaux'!$A$11:$AH$318, 34,FALSE)),0)/$G$1</f>
        <v>0</v>
      </c>
      <c r="BQ20" s="1037" t="e">
        <f t="shared" si="25"/>
        <v>#DIV/0!</v>
      </c>
      <c r="BR20" s="1037"/>
    </row>
    <row r="21" spans="2:70">
      <c r="B21" s="1103"/>
      <c r="C21" s="1111"/>
      <c r="D21" s="661"/>
      <c r="E21" s="657"/>
      <c r="F21" s="478"/>
      <c r="G21" s="478"/>
      <c r="H21" s="892"/>
      <c r="I21" s="641"/>
      <c r="J21" s="649"/>
      <c r="K21" s="728"/>
      <c r="L21" s="478"/>
      <c r="M21" s="648"/>
      <c r="N21" s="720"/>
      <c r="O21" s="720"/>
      <c r="P21" s="720"/>
      <c r="Q21" s="720"/>
      <c r="R21" s="720"/>
      <c r="S21" s="720"/>
      <c r="V21" s="638">
        <f t="shared" si="2"/>
        <v>0</v>
      </c>
      <c r="W21" s="638">
        <f t="shared" si="3"/>
        <v>0</v>
      </c>
      <c r="X21" s="638">
        <f t="shared" si="10"/>
        <v>0</v>
      </c>
      <c r="Z21" s="638">
        <f t="shared" si="11"/>
        <v>0</v>
      </c>
      <c r="AA21" s="1083" t="s">
        <v>3441</v>
      </c>
      <c r="AB21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622" cm="1">
        <f t="array" ref="AD21">IFERROR(_xlfn.SWITCH(I21,"kg",1,"m3",AC21,AC21)*J21/(_xlfn.XLOOKUP(AA21,Métrés!A:A,Métrés!C:C,0)),0)</f>
        <v>0</v>
      </c>
      <c r="AE21" s="1092">
        <f>IFERROR(N21*$G$1/(_xlfn.XLOOKUP($AA21,Métrés!$A:$A,Métrés!$C:$C,0)),0)</f>
        <v>0</v>
      </c>
      <c r="AF21" s="1092">
        <f>IFERROR(O21*$G$1/(_xlfn.XLOOKUP($AA21,Métrés!$A:$A,Métrés!$C:$C,0)),0)</f>
        <v>0</v>
      </c>
      <c r="AG21" s="1092">
        <f>IFERROR(Q21*$G$1/(_xlfn.XLOOKUP($AA21,Métrés!$A:$A,Métrés!$C:$C,0)),0)</f>
        <v>0</v>
      </c>
      <c r="AH21" s="1092">
        <f>IFERROR(R21*$G$1/(_xlfn.XLOOKUP($AA21,Métrés!$A:$A,Métrés!$C:$C,0)),0)</f>
        <v>0</v>
      </c>
      <c r="AI21" s="1092">
        <f>IFERROR(S21*$G$1/(_xlfn.XLOOKUP($AA21,Métrés!$A:$A,Métrés!$C:$C,0)),0)</f>
        <v>0</v>
      </c>
      <c r="AJ21" s="1022"/>
      <c r="AK21" s="638">
        <f>IF(L21=60, 0, T21)</f>
        <v>0</v>
      </c>
      <c r="AL21" s="638">
        <f>IF(L21=60, 0, S21)</f>
        <v>0</v>
      </c>
      <c r="AM21" s="638">
        <f>IF(L21=$L$2, "Structure", IF(L21&gt;0,"Revêtement",0))</f>
        <v>0</v>
      </c>
      <c r="AN21" s="1036">
        <f>IF(AM21="Structure",N21,0)</f>
        <v>0</v>
      </c>
      <c r="AO21" s="1037">
        <f>IF(AM21="Structure",P21,0)</f>
        <v>0</v>
      </c>
      <c r="AP21" s="1037">
        <f>IF(AM21="Structure",Q21,0)</f>
        <v>0</v>
      </c>
      <c r="AQ21" s="1038">
        <f>IF(AM21="Structure",S21,0)</f>
        <v>0</v>
      </c>
      <c r="AR21" s="1038">
        <f>IF(AM21="Structure",T21,0)</f>
        <v>0</v>
      </c>
      <c r="AS21" s="1036">
        <f>IF(AM21="Insulation",N21,0)</f>
        <v>0</v>
      </c>
      <c r="AT21" s="1037">
        <f>IF(AM21="Insulation",P21,0)</f>
        <v>0</v>
      </c>
      <c r="AU21" s="1037">
        <f>IF(AM21="Insulation",Q21,0)</f>
        <v>0</v>
      </c>
      <c r="AV21" s="1038">
        <f>IF(AM21="Insulation",S21,0)</f>
        <v>0</v>
      </c>
      <c r="AW21" s="1038">
        <f>IF(AM21="Insulation",T21,0)</f>
        <v>0</v>
      </c>
      <c r="AX21" s="1036">
        <f>IF(AM21="Revêtement",N21,0)</f>
        <v>0</v>
      </c>
      <c r="AY21" s="1037">
        <f>IF(AM21="Revêtement",P21,0)</f>
        <v>0</v>
      </c>
      <c r="AZ21" s="1037">
        <f>IF(AM21="Revêtement",Q21,0)</f>
        <v>0</v>
      </c>
      <c r="BA21" s="1037">
        <f>IF(AM21="Revêtement",S21,0)</f>
        <v>0</v>
      </c>
      <c r="BB21" s="1038">
        <f>IF(AM21="Revêtement",T21,0)</f>
        <v>0</v>
      </c>
      <c r="BC21" s="1036"/>
      <c r="BD21" s="1037"/>
      <c r="BE21" s="1037"/>
      <c r="BF21" s="1038"/>
      <c r="BG21" s="1036">
        <f>IF($AM21="Structure", IF($I21="kg",$J21,0), 0)</f>
        <v>0</v>
      </c>
      <c r="BH21" s="1037">
        <f>IF($AM21="Insulation", IF($I21="kg",$J21,0), 0)</f>
        <v>0</v>
      </c>
      <c r="BI21" s="1038">
        <f>IF($AM21="Revêtement", IF($I21="kg",$J21,0), 0)</f>
        <v>0</v>
      </c>
      <c r="BJ21" s="1037">
        <f>_xlfn.XLOOKUP(H21, 'Baumaterialien Matériaux'!A:A, 'Baumaterialien Matériaux'!E:E, "-", 0, 1)</f>
        <v>0</v>
      </c>
      <c r="BK21" s="1036">
        <f t="shared" si="22"/>
        <v>0</v>
      </c>
      <c r="BL21" s="1037">
        <f t="shared" si="23"/>
        <v>0</v>
      </c>
      <c r="BM21" s="1038">
        <f t="shared" si="24"/>
        <v>0</v>
      </c>
      <c r="BN21" s="1037">
        <f>IFERROR((J21*VLOOKUP(H21, 'Baumaterialien Matériaux'!$A$11:$AH$318, 33,FALSE)),0)/$G$1</f>
        <v>0</v>
      </c>
      <c r="BO21" s="1037"/>
      <c r="BP21" s="1037">
        <f>IFERROR((J21*VLOOKUP(H21, 'Baumaterialien Matériaux'!$A$11:$AH$318, 34,FALSE)),0)/$G$1</f>
        <v>0</v>
      </c>
      <c r="BQ21" s="1037" t="e">
        <f t="shared" si="25"/>
        <v>#DIV/0!</v>
      </c>
      <c r="BR21" s="1037"/>
    </row>
    <row r="22" spans="2:70" ht="15.75" customHeight="1">
      <c r="B22" s="1103"/>
      <c r="C22" s="1097" t="s">
        <v>108</v>
      </c>
      <c r="D22" s="659" t="s">
        <v>109</v>
      </c>
      <c r="E22" s="473"/>
      <c r="F22" s="473"/>
      <c r="G22" s="473"/>
      <c r="H22" s="473"/>
      <c r="I22" s="463"/>
      <c r="J22" s="654"/>
      <c r="K22" s="652"/>
      <c r="L22" s="652"/>
      <c r="M22" s="653">
        <f>M23+M27+M29</f>
        <v>36.727719122478966</v>
      </c>
      <c r="N22" s="653">
        <f t="shared" ref="N22:S22" si="26">N23+N27+N29</f>
        <v>33.972421096567388</v>
      </c>
      <c r="O22" s="653">
        <f t="shared" ref="O22" si="27">O23+O27+O29</f>
        <v>7.4716518031254173</v>
      </c>
      <c r="P22" s="653">
        <f t="shared" si="26"/>
        <v>0</v>
      </c>
      <c r="Q22" s="653">
        <f t="shared" si="26"/>
        <v>2.7552980259115807</v>
      </c>
      <c r="R22" s="653">
        <f t="shared" ref="R22" si="28">R23+R27+R29</f>
        <v>0.79147485588353161</v>
      </c>
      <c r="S22" s="653">
        <f t="shared" si="26"/>
        <v>0</v>
      </c>
      <c r="T22" s="653">
        <f t="shared" ref="T22" si="29">T23+T27+T29</f>
        <v>0</v>
      </c>
      <c r="V22" s="638">
        <f t="shared" si="2"/>
        <v>0</v>
      </c>
      <c r="W22" s="638">
        <f t="shared" si="3"/>
        <v>0</v>
      </c>
      <c r="X22" s="638">
        <f t="shared" si="10"/>
        <v>0</v>
      </c>
      <c r="Z22" s="638">
        <f t="shared" si="11"/>
        <v>0</v>
      </c>
      <c r="AA22" s="653"/>
      <c r="AB22">
        <f>_xlfn.XLOOKUP($H22,'[1]Baumaterialien Matériaux'!$A:$A,'[1]Baumaterialien Matériaux'!AK:AK,0,0)</f>
        <v>0</v>
      </c>
      <c r="AC22" t="str" cm="1">
        <f t="array" ref="AC22">_xlfn.SWITCH(I22,"kg"," ",0," ",_xlfn.XLOOKUP(H22, '[1]Baumaterialien Matériaux'!$A:$A, '[1]Baumaterialien Matériaux'!$AL:$AL, "-", 0, 1))</f>
        <v xml:space="preserve"> </v>
      </c>
      <c r="AD22" s="622" cm="1">
        <f t="array" ref="AD22">IFERROR(_xlfn.SWITCH(I22,"kg",1,"m3",AC22,AC22)*J22/(_xlfn.XLOOKUP(AA22,Métrés!A:A,Métrés!C:C,0)),0)</f>
        <v>0</v>
      </c>
      <c r="AE22" s="1092">
        <f>IFERROR(N22*$G$1/(_xlfn.XLOOKUP($AA22,Métrés!$A:$A,Métrés!$C:$C,0)),0)</f>
        <v>0</v>
      </c>
      <c r="AF22" s="1092">
        <f>IFERROR(O22*$G$1/(_xlfn.XLOOKUP($AA22,Métrés!$A:$A,Métrés!$C:$C,0)),0)</f>
        <v>0</v>
      </c>
      <c r="AG22" s="1092">
        <f>IFERROR(Q22*$G$1/(_xlfn.XLOOKUP($AA22,Métrés!$A:$A,Métrés!$C:$C,0)),0)</f>
        <v>0</v>
      </c>
      <c r="AH22" s="1092">
        <f>IFERROR(R22*$G$1/(_xlfn.XLOOKUP($AA22,Métrés!$A:$A,Métrés!$C:$C,0)),0)</f>
        <v>0</v>
      </c>
      <c r="AI22" s="1092">
        <f>IFERROR(S22*$G$1/(_xlfn.XLOOKUP($AA22,Métrés!$A:$A,Métrés!$C:$C,0)),0)</f>
        <v>0</v>
      </c>
      <c r="AJ22" s="666"/>
      <c r="AK22" s="666"/>
      <c r="AL22" s="666"/>
      <c r="AM22" s="666"/>
      <c r="AN22" s="1051"/>
      <c r="AO22" s="666"/>
      <c r="AP22" s="666"/>
      <c r="AQ22" s="666"/>
      <c r="AR22" s="1052"/>
      <c r="AS22" s="1051"/>
      <c r="AT22" s="666"/>
      <c r="AU22" s="666"/>
      <c r="AV22" s="666"/>
      <c r="AW22" s="1052"/>
      <c r="AX22" s="1051"/>
      <c r="AY22" s="666"/>
      <c r="AZ22" s="666"/>
      <c r="BA22" s="666"/>
      <c r="BB22" s="1052"/>
      <c r="BC22" s="1051"/>
      <c r="BD22" s="666"/>
      <c r="BE22" s="666"/>
      <c r="BF22" s="1052"/>
      <c r="BG22" s="1051"/>
      <c r="BH22" s="666"/>
      <c r="BI22" s="1052"/>
      <c r="BJ22" s="666"/>
      <c r="BK22" s="1051"/>
      <c r="BL22" s="666"/>
      <c r="BM22" s="1052"/>
      <c r="BN22" s="1037">
        <f>IFERROR((J22*VLOOKUP(H22, 'Baumaterialien Matériaux'!$A$11:$AH$318, 33,FALSE)),0)/$G$1</f>
        <v>0</v>
      </c>
      <c r="BO22" s="1037"/>
      <c r="BP22" s="1037">
        <f>IFERROR((J22*VLOOKUP(H22, 'Baumaterialien Matériaux'!$A$11:$AH$318, 34,FALSE)),0)/$G$1</f>
        <v>0</v>
      </c>
      <c r="BQ22" s="1037">
        <f t="shared" si="25"/>
        <v>0</v>
      </c>
      <c r="BR22" s="1037"/>
    </row>
    <row r="23" spans="2:70">
      <c r="B23" s="1103"/>
      <c r="C23" s="1098"/>
      <c r="D23" s="478"/>
      <c r="E23" s="479" t="str">
        <f>BillQuantities!E10</f>
        <v>non-isolés</v>
      </c>
      <c r="F23" s="479" t="s">
        <v>3035</v>
      </c>
      <c r="G23" s="479"/>
      <c r="H23" s="479"/>
      <c r="I23" s="459" t="s">
        <v>39</v>
      </c>
      <c r="J23" s="662">
        <v>281.22000000000003</v>
      </c>
      <c r="K23" s="663"/>
      <c r="L23" s="663"/>
      <c r="M23" s="664">
        <f>SUM(M24:M26)</f>
        <v>36.671879945238416</v>
      </c>
      <c r="N23" s="664">
        <f t="shared" ref="N23:S23" si="30">SUM(N24:N26)</f>
        <v>33.919608488045952</v>
      </c>
      <c r="O23" s="664">
        <f t="shared" ref="O23" si="31">SUM(O24:O26)</f>
        <v>7.4502220715907574</v>
      </c>
      <c r="P23" s="664">
        <f t="shared" si="30"/>
        <v>0</v>
      </c>
      <c r="Q23" s="664">
        <f t="shared" si="30"/>
        <v>2.7522714571924674</v>
      </c>
      <c r="R23" s="664">
        <f t="shared" ref="R23" si="32">SUM(R24:R26)</f>
        <v>0.79129813677040217</v>
      </c>
      <c r="S23" s="664">
        <f t="shared" si="30"/>
        <v>0</v>
      </c>
      <c r="T23" s="664">
        <f t="shared" ref="T23" si="33">SUM(T24:T26)</f>
        <v>0</v>
      </c>
      <c r="V23" s="638">
        <f t="shared" si="2"/>
        <v>0</v>
      </c>
      <c r="W23" s="638">
        <f t="shared" si="3"/>
        <v>0</v>
      </c>
      <c r="X23" s="638">
        <f t="shared" si="10"/>
        <v>0</v>
      </c>
      <c r="Z23" s="638">
        <f t="shared" si="11"/>
        <v>0</v>
      </c>
      <c r="AA23" s="527" t="s">
        <v>3439</v>
      </c>
      <c r="AB23">
        <f>_xlfn.XLOOKUP($H23,'[1]Baumaterialien Matériaux'!$A:$A,'[1]Baumaterialien Matériaux'!AK:AK,0,0)</f>
        <v>0</v>
      </c>
      <c r="AC23" cm="1">
        <f t="array" ref="AC23">_xlfn.SWITCH(I23,"kg"," ",0," ",_xlfn.XLOOKUP(H23, '[1]Baumaterialien Matériaux'!$A:$A, '[1]Baumaterialien Matériaux'!$AL:$AL, "-", 0, 1))</f>
        <v>0</v>
      </c>
      <c r="AD23" s="622" cm="1">
        <f t="array" ref="AD23">IFERROR(_xlfn.SWITCH(I23,"kg",1,"m3",AC23,AC23)*J23/(_xlfn.XLOOKUP(AA23,Métrés!A:A,Métrés!C:C,0)),0)</f>
        <v>0</v>
      </c>
      <c r="AE23" s="1092">
        <f>IFERROR(N23*$G$1/(_xlfn.XLOOKUP($AA23,Métrés!$A:$A,Métrés!$C:$C,0)),0)</f>
        <v>108.36616545764883</v>
      </c>
      <c r="AF23" s="1092">
        <f>IFERROR(O23*$G$1/(_xlfn.XLOOKUP($AA23,Métrés!$A:$A,Métrés!$C:$C,0)),0)</f>
        <v>23.801925602730957</v>
      </c>
      <c r="AG23" s="1092">
        <f>IFERROR(Q23*$G$1/(_xlfn.XLOOKUP($AA23,Métrés!$A:$A,Métrés!$C:$C,0)),0)</f>
        <v>8.7929406443353955</v>
      </c>
      <c r="AH23" s="1092">
        <f>IFERROR(R23*$G$1/(_xlfn.XLOOKUP($AA23,Métrés!$A:$A,Métrés!$C:$C,0)),0)</f>
        <v>2.5280346276936214</v>
      </c>
      <c r="AI23" s="1092">
        <f>IFERROR(S23*$G$1/(_xlfn.XLOOKUP($AA23,Métrés!$A:$A,Métrés!$C:$C,0)),0)</f>
        <v>0</v>
      </c>
      <c r="AJ23" s="878"/>
      <c r="AK23" s="878"/>
      <c r="AL23" s="878"/>
      <c r="AM23" s="878"/>
      <c r="AN23" s="1053"/>
      <c r="AO23" s="878"/>
      <c r="AP23" s="878"/>
      <c r="AQ23" s="878"/>
      <c r="AR23" s="1054"/>
      <c r="AS23" s="1053"/>
      <c r="AT23" s="878"/>
      <c r="AU23" s="878"/>
      <c r="AV23" s="878"/>
      <c r="AW23" s="1054"/>
      <c r="AX23" s="1053"/>
      <c r="AY23" s="878"/>
      <c r="AZ23" s="878"/>
      <c r="BA23" s="878"/>
      <c r="BB23" s="1054"/>
      <c r="BC23" s="1053"/>
      <c r="BD23" s="878"/>
      <c r="BE23" s="878"/>
      <c r="BF23" s="1054"/>
      <c r="BG23" s="1053"/>
      <c r="BH23" s="878"/>
      <c r="BI23" s="1054"/>
      <c r="BJ23" s="878"/>
      <c r="BK23" s="1053"/>
      <c r="BL23" s="878"/>
      <c r="BM23" s="1054"/>
      <c r="BN23" s="1037">
        <f>IFERROR((J23*VLOOKUP(H23, 'Baumaterialien Matériaux'!$A$11:$AH$318, 33,FALSE)),0)/$G$1</f>
        <v>0</v>
      </c>
      <c r="BO23" s="1037"/>
      <c r="BP23" s="1037">
        <f>IFERROR((J23*VLOOKUP(H23, 'Baumaterialien Matériaux'!$A$11:$AH$318, 34,FALSE)),0)/$G$1</f>
        <v>0</v>
      </c>
      <c r="BQ23" s="1037">
        <f t="shared" si="25"/>
        <v>0</v>
      </c>
      <c r="BR23" s="1037"/>
    </row>
    <row r="24" spans="2:70">
      <c r="B24" s="1103"/>
      <c r="C24" s="1099"/>
      <c r="D24" s="478"/>
      <c r="E24" s="478"/>
      <c r="F24" s="638" t="s">
        <v>2993</v>
      </c>
      <c r="G24" s="478" t="str">
        <f>_xlfn.XLOOKUP(H24, 'Baumaterialien Matériaux'!A:A, 'Baumaterialien Matériaux'!AD:AD, "-", 0, 1)</f>
        <v>Béton pour bâtiment (sans armature)</v>
      </c>
      <c r="H24" s="891">
        <v>1.0019999999999998</v>
      </c>
      <c r="I24" s="641" t="str">
        <f>_xlfn.XLOOKUP(H24, 'Baumaterialien Matériaux'!A:A, 'Baumaterialien Matériaux'!F:F, "-", 0, 1)</f>
        <v>kg</v>
      </c>
      <c r="J24" s="649">
        <f>$J$23*K24</f>
        <v>161701.50000000003</v>
      </c>
      <c r="K24" s="893">
        <f>0.25*2300</f>
        <v>575</v>
      </c>
      <c r="L24" s="647">
        <v>60</v>
      </c>
      <c r="M24" s="648">
        <f>IFERROR((J24*VLOOKUP(H24, 'Baumaterialien Matériaux'!$A$11:$AD$318, 26,FALSE))+(J24*VLOOKUP(H24, 'Baumaterialien Matériaux'!$A$11:$AD$318, 27,FALSE)),0)/$G$1</f>
        <v>18.268000367303326</v>
      </c>
      <c r="N24" s="720">
        <f>IFERROR(($J24*VLOOKUP($H24, 'Baumaterialien Matériaux'!$A$11:$AD$318, 26,FALSE)),0)/$G$1</f>
        <v>15.982250567650597</v>
      </c>
      <c r="O24" s="720">
        <f>IFERROR(($J24*VLOOKUP($H24, 'Baumaterialien Matériaux'!$A$11:$AH$318, 33,FALSE)),0)/$G$1</f>
        <v>3.7435902230532925</v>
      </c>
      <c r="P24" s="720">
        <f>(N24+Q24)*($L$2/L24-1)</f>
        <v>0</v>
      </c>
      <c r="Q24" s="720">
        <f>IFERROR(($J24*VLOOKUP($H24, 'Baumaterialien Matériaux'!$A$11:$AD$318, 27,FALSE)),0)/$G$1</f>
        <v>2.2857497996527316</v>
      </c>
      <c r="R24" s="720">
        <f>IFERROR(($J24*VLOOKUP($H24, 'Baumaterialien Matériaux'!$A$11:$AH$318, 34,FALSE)),0)/$G$1</f>
        <v>0.48234720181648194</v>
      </c>
      <c r="S24" s="720">
        <f>IFERROR((J24*VLOOKUP(H24, 'Baumaterialien Matériaux'!$A$11:$AD$318, 29,FALSE)),0)/$G$1</f>
        <v>0</v>
      </c>
      <c r="T24" s="720"/>
      <c r="V24" s="638">
        <f t="shared" si="2"/>
        <v>0</v>
      </c>
      <c r="W24" s="638">
        <f t="shared" si="3"/>
        <v>0</v>
      </c>
      <c r="X24" s="638" t="str">
        <f t="shared" si="10"/>
        <v>Structure</v>
      </c>
      <c r="Z24" s="638">
        <f t="shared" si="11"/>
        <v>60</v>
      </c>
      <c r="AA24" s="527" t="s">
        <v>3439</v>
      </c>
      <c r="AB24" t="str">
        <f>_xlfn.XLOOKUP($H24,'[1]Baumaterialien Matériaux'!$A:$A,'[1]Baumaterialien Matériaux'!AK:AK,0,0)</f>
        <v>concrete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622" cm="1">
        <f t="array" ref="AD24">IFERROR(_xlfn.SWITCH(I24,"kg",1,"m3",AC24,AC24)*J24/(_xlfn.XLOOKUP(AA24,Métrés!A:A,Métrés!C:C,0)),0)</f>
        <v>575</v>
      </c>
      <c r="AE24" s="1092">
        <f>IFERROR(N24*$G$1/(_xlfn.XLOOKUP($AA24,Métrés!$A:$A,Métrés!$C:$C,0)),0)</f>
        <v>51.06</v>
      </c>
      <c r="AF24" s="1092">
        <f>IFERROR(O24*$G$1/(_xlfn.XLOOKUP($AA24,Métrés!$A:$A,Métrés!$C:$C,0)),0)</f>
        <v>11.96</v>
      </c>
      <c r="AG24" s="1092">
        <f>IFERROR(Q24*$G$1/(_xlfn.XLOOKUP($AA24,Métrés!$A:$A,Métrés!$C:$C,0)),0)</f>
        <v>7.3025000000000011</v>
      </c>
      <c r="AH24" s="1092">
        <f>IFERROR(R24*$G$1/(_xlfn.XLOOKUP($AA24,Métrés!$A:$A,Métrés!$C:$C,0)),0)</f>
        <v>1.5410000000000001</v>
      </c>
      <c r="AI24" s="1092">
        <f>IFERROR(S24*$G$1/(_xlfn.XLOOKUP($AA24,Métrés!$A:$A,Métrés!$C:$C,0)),0)</f>
        <v>0</v>
      </c>
      <c r="AJ24" s="1022"/>
      <c r="AK24" s="638">
        <f>IF(L24=60, 0, T24)</f>
        <v>0</v>
      </c>
      <c r="AL24" s="638">
        <f>IF(L24=60, 0, S24)</f>
        <v>0</v>
      </c>
      <c r="AM24" s="638" t="str">
        <f>IF(L24=$L$2, "Structure", IF(L24&gt;0,"Revêtement",0))</f>
        <v>Structure</v>
      </c>
      <c r="AN24" s="1036">
        <f>IF(AM24="Structure",N24,0)</f>
        <v>15.982250567650597</v>
      </c>
      <c r="AO24" s="1037">
        <f>IF(AM24="Structure",P24,0)</f>
        <v>0</v>
      </c>
      <c r="AP24" s="1037">
        <f>IF(AM24="Structure",Q24,0)</f>
        <v>2.2857497996527316</v>
      </c>
      <c r="AQ24" s="1038">
        <f>IF(AM24="Structure",S24,0)</f>
        <v>0</v>
      </c>
      <c r="AR24" s="1038">
        <f>IF(AM24="Structure",T24,0)</f>
        <v>0</v>
      </c>
      <c r="AS24" s="1036">
        <f>IF(AM24="Insulation",N24,0)</f>
        <v>0</v>
      </c>
      <c r="AT24" s="1037">
        <f>IF(AM24="Insulation",P24,0)</f>
        <v>0</v>
      </c>
      <c r="AU24" s="1037">
        <f>IF(AM24="Insulation",Q24,0)</f>
        <v>0</v>
      </c>
      <c r="AV24" s="1038">
        <f>IF(AM24="Insulation",S24,0)</f>
        <v>0</v>
      </c>
      <c r="AW24" s="1038">
        <f>IF(AM24="Insulation",T24,0)</f>
        <v>0</v>
      </c>
      <c r="AX24" s="1036">
        <f>IF(AM24="Revêtement",N24,0)</f>
        <v>0</v>
      </c>
      <c r="AY24" s="1037">
        <f>IF(AM24="Revêtement",P24,0)</f>
        <v>0</v>
      </c>
      <c r="AZ24" s="1037">
        <f>IF(AM24="Revêtement",Q24,0)</f>
        <v>0</v>
      </c>
      <c r="BA24" s="1037">
        <f>IF(AM24="Revêtement",S24,0)</f>
        <v>0</v>
      </c>
      <c r="BB24" s="1038">
        <f>IF(AM24="Revêtement",T24,0)</f>
        <v>0</v>
      </c>
      <c r="BC24" s="1036"/>
      <c r="BD24" s="1037"/>
      <c r="BE24" s="1037"/>
      <c r="BF24" s="1038"/>
      <c r="BG24" s="1036">
        <f>IF($AM24="Structure", IF($I24="kg",$J24,0), 0)</f>
        <v>161701.50000000003</v>
      </c>
      <c r="BH24" s="1037">
        <f>IF($AM24="Insulation", IF($I24="kg",$J24,0), 0)</f>
        <v>0</v>
      </c>
      <c r="BI24" s="1038">
        <f>IF($AM24="Revêtement", IF($I24="kg",$J24,0), 0)</f>
        <v>0</v>
      </c>
      <c r="BJ24" s="1037">
        <f>_xlfn.XLOOKUP(H24, 'Baumaterialien Matériaux'!A:A, 'Baumaterialien Matériaux'!E:E, "-", 0, 1)</f>
        <v>2300</v>
      </c>
      <c r="BK24" s="1036">
        <f t="shared" si="22"/>
        <v>70.305000000000007</v>
      </c>
      <c r="BL24" s="1037">
        <f t="shared" si="23"/>
        <v>0</v>
      </c>
      <c r="BM24" s="1038">
        <f t="shared" si="24"/>
        <v>0</v>
      </c>
      <c r="BN24" s="1037">
        <f>IFERROR((J24*VLOOKUP(H24, 'Baumaterialien Matériaux'!$A$11:$AH$318, 33,FALSE)),0)/$G$1</f>
        <v>3.7435902230532925</v>
      </c>
      <c r="BO24" s="1037">
        <f>(BN24+BP24)*($L$2/L24-1)</f>
        <v>0</v>
      </c>
      <c r="BP24" s="1037">
        <f>IFERROR((J24*VLOOKUP(H24, 'Baumaterialien Matériaux'!$A$11:$AH$318, 34,FALSE)),0)/$G$1</f>
        <v>0.48234720181648194</v>
      </c>
      <c r="BQ24" s="1037">
        <f t="shared" si="25"/>
        <v>0.21102362204724409</v>
      </c>
      <c r="BR24" s="1037">
        <f>IFERROR((N24+Q24)*($L$2/L24-1),0)</f>
        <v>0</v>
      </c>
    </row>
    <row r="25" spans="2:70">
      <c r="B25" s="1103"/>
      <c r="C25" s="1099"/>
      <c r="D25" s="478"/>
      <c r="E25" s="478"/>
      <c r="F25" s="483" t="s">
        <v>3008</v>
      </c>
      <c r="G25" s="478" t="str">
        <f>_xlfn.XLOOKUP(H25, 'Baumaterialien Matériaux'!A:A, 'Baumaterialien Matériaux'!AD:AD, "-", 0, 1)</f>
        <v>Acier d'armature</v>
      </c>
      <c r="H25" s="892" t="s">
        <v>497</v>
      </c>
      <c r="I25" s="641" t="str">
        <f>_xlfn.XLOOKUP(H25, 'Baumaterialien Matériaux'!A:A, 'Baumaterialien Matériaux'!F:F, "-", 0, 1)</f>
        <v>kg</v>
      </c>
      <c r="J25" s="649">
        <f t="shared" ref="J25" si="34">$J$23*K25</f>
        <v>10545.750000000002</v>
      </c>
      <c r="K25" s="893">
        <f>0.25*150</f>
        <v>37.5</v>
      </c>
      <c r="L25" s="647">
        <v>60</v>
      </c>
      <c r="M25" s="648">
        <f>IFERROR((J25*VLOOKUP(H25, 'Baumaterialien Matériaux'!$A$11:$AD$318, 26,FALSE))+(J25*VLOOKUP(H25, 'Baumaterialien Matériaux'!$A$11:$AD$318, 27,FALSE)),0)/$G$1</f>
        <v>17.752317683985577</v>
      </c>
      <c r="N25" s="720">
        <f>IFERROR(($J25*VLOOKUP($H25, 'Baumaterialien Matériaux'!$A$11:$AD$318, 26,FALSE)),0)/$G$1</f>
        <v>17.606768398557502</v>
      </c>
      <c r="O25" s="720">
        <f>IFERROR(($J25*VLOOKUP($H25, 'Baumaterialien Matériaux'!$A$11:$AH$318, 33,FALSE)),0)/$G$1</f>
        <v>3.4157130693201547</v>
      </c>
      <c r="P25" s="720">
        <f t="shared" ref="P25:P28" si="35">(N25+Q25)*($L$2/L25-1)</f>
        <v>0</v>
      </c>
      <c r="Q25" s="720">
        <f>IFERROR(($J25*VLOOKUP($H25, 'Baumaterialien Matériaux'!$A$11:$AD$318, 27,FALSE)),0)/$G$1</f>
        <v>0.14554928542807533</v>
      </c>
      <c r="R25" s="720">
        <f>IFERROR(($J25*VLOOKUP($H25, 'Baumaterialien Matériaux'!$A$11:$AH$318, 34,FALSE)),0)/$G$1</f>
        <v>0</v>
      </c>
      <c r="S25" s="720">
        <f>IFERROR((J25*VLOOKUP(H25, 'Baumaterialien Matériaux'!$A$11:$AD$318, 29,FALSE)),0)/$G$1</f>
        <v>0</v>
      </c>
      <c r="T25" s="720"/>
      <c r="V25" s="638">
        <f t="shared" si="2"/>
        <v>0</v>
      </c>
      <c r="W25" s="638">
        <f t="shared" si="3"/>
        <v>0</v>
      </c>
      <c r="X25" s="638" t="str">
        <f t="shared" si="10"/>
        <v>Structure</v>
      </c>
      <c r="Z25" s="638">
        <f t="shared" si="11"/>
        <v>60</v>
      </c>
      <c r="AA25" s="527" t="s">
        <v>3439</v>
      </c>
      <c r="AB25" t="str">
        <f>_xlfn.XLOOKUP($H25,'[1]Baumaterialien Matériaux'!$A:$A,'[1]Baumaterialien Matériaux'!AK:AK,0,0)</f>
        <v>metal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622" cm="1">
        <f t="array" ref="AD25">IFERROR(_xlfn.SWITCH(I25,"kg",1,"m3",AC25,AC25)*J25/(_xlfn.XLOOKUP(AA25,Métrés!A:A,Métrés!C:C,0)),0)</f>
        <v>37.5</v>
      </c>
      <c r="AE25" s="1092">
        <f>IFERROR(N25*$G$1/(_xlfn.XLOOKUP($AA25,Métrés!$A:$A,Métrés!$C:$C,0)),0)</f>
        <v>56.250000000000007</v>
      </c>
      <c r="AF25" s="1092">
        <f>IFERROR(O25*$G$1/(_xlfn.XLOOKUP($AA25,Métrés!$A:$A,Métrés!$C:$C,0)),0)</f>
        <v>10.9125</v>
      </c>
      <c r="AG25" s="1092">
        <f>IFERROR(Q25*$G$1/(_xlfn.XLOOKUP($AA25,Métrés!$A:$A,Métrés!$C:$C,0)),0)</f>
        <v>0.46499999999999997</v>
      </c>
      <c r="AH25" s="1092">
        <f>IFERROR(R25*$G$1/(_xlfn.XLOOKUP($AA25,Métrés!$A:$A,Métrés!$C:$C,0)),0)</f>
        <v>0</v>
      </c>
      <c r="AI25" s="1092">
        <f>IFERROR(S25*$G$1/(_xlfn.XLOOKUP($AA25,Métrés!$A:$A,Métrés!$C:$C,0)),0)</f>
        <v>0</v>
      </c>
      <c r="AJ25" s="1022"/>
      <c r="AK25" s="638">
        <f>IF(L25=60, 0, T25)</f>
        <v>0</v>
      </c>
      <c r="AL25" s="638">
        <f>IF(L25=60, 0, S25)</f>
        <v>0</v>
      </c>
      <c r="AM25" s="638" t="str">
        <f>IF(L25=$L$2, "Structure", IF(L25&gt;0,"Revêtement",0))</f>
        <v>Structure</v>
      </c>
      <c r="AN25" s="1036">
        <f>IF(AM25="Structure",N25,0)</f>
        <v>17.606768398557502</v>
      </c>
      <c r="AO25" s="1037">
        <f>IF(AM25="Structure",P25,0)</f>
        <v>0</v>
      </c>
      <c r="AP25" s="1037">
        <f>IF(AM25="Structure",Q25,0)</f>
        <v>0.14554928542807533</v>
      </c>
      <c r="AQ25" s="1038">
        <f>IF(AM25="Structure",S25,0)</f>
        <v>0</v>
      </c>
      <c r="AR25" s="1038">
        <f>IF(AM25="Structure",T25,0)</f>
        <v>0</v>
      </c>
      <c r="AS25" s="1036">
        <f>IF(AM25="Insulation",N25,0)</f>
        <v>0</v>
      </c>
      <c r="AT25" s="1037">
        <f>IF(AM25="Insulation",P25,0)</f>
        <v>0</v>
      </c>
      <c r="AU25" s="1037">
        <f>IF(AM25="Insulation",Q25,0)</f>
        <v>0</v>
      </c>
      <c r="AV25" s="1038">
        <f>IF(AM25="Insulation",S25,0)</f>
        <v>0</v>
      </c>
      <c r="AW25" s="1038">
        <f>IF(AM25="Insulation",T25,0)</f>
        <v>0</v>
      </c>
      <c r="AX25" s="1036">
        <f>IF(AM25="Revêtement",N25,0)</f>
        <v>0</v>
      </c>
      <c r="AY25" s="1037">
        <f>IF(AM25="Revêtement",P25,0)</f>
        <v>0</v>
      </c>
      <c r="AZ25" s="1037">
        <f>IF(AM25="Revêtement",Q25,0)</f>
        <v>0</v>
      </c>
      <c r="BA25" s="1037">
        <f>IF(AM25="Revêtement",S25,0)</f>
        <v>0</v>
      </c>
      <c r="BB25" s="1038">
        <f>IF(AM25="Revêtement",T25,0)</f>
        <v>0</v>
      </c>
      <c r="BC25" s="1036"/>
      <c r="BD25" s="1037"/>
      <c r="BE25" s="1037"/>
      <c r="BF25" s="1038"/>
      <c r="BG25" s="1036">
        <f>IF($AM25="Structure", IF($I25="kg",$J25,0), 0)</f>
        <v>10545.750000000002</v>
      </c>
      <c r="BH25" s="1037">
        <f>IF($AM25="Insulation", IF($I25="kg",$J25,0), 0)</f>
        <v>0</v>
      </c>
      <c r="BI25" s="1038">
        <f>IF($AM25="Revêtement", IF($I25="kg",$J25,0), 0)</f>
        <v>0</v>
      </c>
      <c r="BJ25" s="1037">
        <f>_xlfn.XLOOKUP(H25, 'Baumaterialien Matériaux'!A:A, 'Baumaterialien Matériaux'!E:E, "-", 0, 1)</f>
        <v>7850</v>
      </c>
      <c r="BK25" s="1036">
        <f t="shared" si="22"/>
        <v>1.3434076433121021</v>
      </c>
      <c r="BL25" s="1037">
        <f t="shared" si="23"/>
        <v>0</v>
      </c>
      <c r="BM25" s="1038">
        <f t="shared" si="24"/>
        <v>0</v>
      </c>
      <c r="BN25" s="1037">
        <f>IFERROR((J25*VLOOKUP(H25, 'Baumaterialien Matériaux'!$A$11:$AH$318, 33,FALSE)),0)/$G$1</f>
        <v>3.4157130693201547</v>
      </c>
      <c r="BO25" s="1037">
        <f>(BN25+BP25)*($L$2/L25-1)</f>
        <v>0</v>
      </c>
      <c r="BP25" s="1037">
        <f>IFERROR((J25*VLOOKUP(H25, 'Baumaterialien Matériaux'!$A$11:$AH$318, 34,FALSE)),0)/$G$1</f>
        <v>0</v>
      </c>
      <c r="BQ25" s="1037">
        <f t="shared" si="25"/>
        <v>0</v>
      </c>
      <c r="BR25" s="1037">
        <f>IFERROR((N25+Q25)*($L$2/L25-1),0)</f>
        <v>0</v>
      </c>
    </row>
    <row r="26" spans="2:70">
      <c r="B26" s="1103"/>
      <c r="C26" s="1099"/>
      <c r="D26" s="478"/>
      <c r="E26" s="478"/>
      <c r="F26" s="638" t="s">
        <v>3060</v>
      </c>
      <c r="G26" s="478" t="str">
        <f>_xlfn.XLOOKUP(H26, 'Baumaterialien Matériaux'!A:A, 'Baumaterialien Matériaux'!AD:AD, "-", 0, 1)</f>
        <v>Feuille de polyéthylène (PE)</v>
      </c>
      <c r="H26" s="892" t="s">
        <v>716</v>
      </c>
      <c r="I26" s="641" t="str">
        <f>_xlfn.XLOOKUP(H26, 'Baumaterialien Matériaux'!A:A, 'Baumaterialien Matériaux'!F:F, "-", 0, 1)</f>
        <v>kg</v>
      </c>
      <c r="J26" s="890">
        <f>($J$23-81.21)*K26</f>
        <v>108.00540000000004</v>
      </c>
      <c r="K26" s="894">
        <v>0.54</v>
      </c>
      <c r="L26" s="647">
        <v>60</v>
      </c>
      <c r="M26" s="648">
        <f>IFERROR((J26*VLOOKUP(H26, 'Baumaterialien Matériaux'!$A$11:$AD$318, 26,FALSE))+(J26*VLOOKUP(H26, 'Baumaterialien Matériaux'!$A$11:$AD$318, 27,FALSE)),0)/$G$1</f>
        <v>0.65156189394951258</v>
      </c>
      <c r="N26" s="720">
        <f>IFERROR(($J26*VLOOKUP($H26, 'Baumaterialien Matériaux'!$A$11:$AD$318, 26,FALSE)),0)/$G$1</f>
        <v>0.33058952183785234</v>
      </c>
      <c r="O26" s="720">
        <f>IFERROR(($J26*VLOOKUP($H26, 'Baumaterialien Matériaux'!$A$11:$AH$318, 33,FALSE)),0)/$G$1</f>
        <v>0.29091877921731008</v>
      </c>
      <c r="P26" s="720">
        <f t="shared" ref="P26" si="36">(N26+Q26)*($L$2/L26-1)</f>
        <v>0</v>
      </c>
      <c r="Q26" s="720">
        <f>IFERROR(($J26*VLOOKUP($H26, 'Baumaterialien Matériaux'!$A$11:$AD$318, 27,FALSE)),0)/$G$1</f>
        <v>0.3209723721116603</v>
      </c>
      <c r="R26" s="720">
        <f>IFERROR(($J26*VLOOKUP($H26, 'Baumaterialien Matériaux'!$A$11:$AH$318, 34,FALSE)),0)/$G$1</f>
        <v>0.30895093495392023</v>
      </c>
      <c r="S26" s="720">
        <f>IFERROR((J26*VLOOKUP(H26, 'Baumaterialien Matériaux'!$A$11:$AD$318, 29,FALSE)),0)/$G$1</f>
        <v>0</v>
      </c>
      <c r="T26" s="720"/>
      <c r="V26" s="638">
        <f t="shared" si="2"/>
        <v>0</v>
      </c>
      <c r="W26" s="638">
        <f t="shared" si="3"/>
        <v>0</v>
      </c>
      <c r="Z26" s="638">
        <f t="shared" si="11"/>
        <v>60</v>
      </c>
      <c r="AA26" s="527" t="s">
        <v>3439</v>
      </c>
      <c r="AB26" t="str">
        <f>_xlfn.XLOOKUP($H26,'[1]Baumaterialien Matériaux'!$A:$A,'[1]Baumaterialien Matériaux'!AK:AK,0,0)</f>
        <v>oil_product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622" cm="1">
        <f t="array" ref="AD26">IFERROR(_xlfn.SWITCH(I26,"kg",1,"m3",AC26,AC26)*J26/(_xlfn.XLOOKUP(AA26,Métrés!A:A,Métrés!C:C,0)),0)</f>
        <v>0.38406016641775131</v>
      </c>
      <c r="AE26" s="1092">
        <f>IFERROR(N26*$G$1/(_xlfn.XLOOKUP($AA26,Métrés!$A:$A,Métrés!$C:$C,0)),0)</f>
        <v>1.056165457648816</v>
      </c>
      <c r="AF26" s="1092">
        <f>IFERROR(O26*$G$1/(_xlfn.XLOOKUP($AA26,Métrés!$A:$A,Métrés!$C:$C,0)),0)</f>
        <v>0.9294256027309582</v>
      </c>
      <c r="AG26" s="1092">
        <f>IFERROR(Q26*$G$1/(_xlfn.XLOOKUP($AA26,Métrés!$A:$A,Métrés!$C:$C,0)),0)</f>
        <v>1.0254406443353961</v>
      </c>
      <c r="AH26" s="1092">
        <f>IFERROR(R26*$G$1/(_xlfn.XLOOKUP($AA26,Métrés!$A:$A,Métrés!$C:$C,0)),0)</f>
        <v>0.98703462769362094</v>
      </c>
      <c r="AI26" s="1092">
        <f>IFERROR(S26*$G$1/(_xlfn.XLOOKUP($AA26,Métrés!$A:$A,Métrés!$C:$C,0)),0)</f>
        <v>0</v>
      </c>
      <c r="AJ26" s="1022"/>
      <c r="AK26" s="638">
        <f>IF(L26=60, 0, T26)</f>
        <v>0</v>
      </c>
      <c r="AL26" s="638">
        <f>IF(L26=60, 0, S26)</f>
        <v>0</v>
      </c>
      <c r="AM26" s="638" t="str">
        <f>IF(L26=$L$2, "Structure", IF(L26&gt;0,"Revêtement",0))</f>
        <v>Structure</v>
      </c>
      <c r="AN26" s="1036">
        <f>IF(AM26="Structure",N26,0)</f>
        <v>0.33058952183785234</v>
      </c>
      <c r="AO26" s="1037">
        <f>IF(AM26="Structure",P26,0)</f>
        <v>0</v>
      </c>
      <c r="AP26" s="1037">
        <f>IF(AM26="Structure",Q26,0)</f>
        <v>0.3209723721116603</v>
      </c>
      <c r="AQ26" s="1038">
        <f>IF(AM26="Structure",S26,0)</f>
        <v>0</v>
      </c>
      <c r="AR26" s="1038">
        <f>IF(AM26="Structure",T26,0)</f>
        <v>0</v>
      </c>
      <c r="AS26" s="1036">
        <f>IF(AM26="Insulation",N26,0)</f>
        <v>0</v>
      </c>
      <c r="AT26" s="1037">
        <f>IF(AM26="Insulation",P26,0)</f>
        <v>0</v>
      </c>
      <c r="AU26" s="1037">
        <f>IF(AM26="Insulation",Q26,0)</f>
        <v>0</v>
      </c>
      <c r="AV26" s="1038">
        <f>IF(AM26="Insulation",S26,0)</f>
        <v>0</v>
      </c>
      <c r="AW26" s="1038">
        <f>IF(AM26="Insulation",T26,0)</f>
        <v>0</v>
      </c>
      <c r="AX26" s="1036">
        <f>IF(AM26="Revêtement",N26,0)</f>
        <v>0</v>
      </c>
      <c r="AY26" s="1037">
        <f>IF(AM26="Revêtement",P26,0)</f>
        <v>0</v>
      </c>
      <c r="AZ26" s="1037">
        <f>IF(AM26="Revêtement",Q26,0)</f>
        <v>0</v>
      </c>
      <c r="BA26" s="1037">
        <f>IF(AM26="Revêtement",S26,0)</f>
        <v>0</v>
      </c>
      <c r="BB26" s="1038">
        <f>IF(AM26="Revêtement",T26,0)</f>
        <v>0</v>
      </c>
      <c r="BC26" s="1036"/>
      <c r="BD26" s="1037"/>
      <c r="BE26" s="1037"/>
      <c r="BF26" s="1038"/>
      <c r="BG26" s="1036">
        <f>IF($AM26="Structure", IF($I26="kg",$J26,0), 0)</f>
        <v>108.00540000000004</v>
      </c>
      <c r="BH26" s="1037">
        <f>IF($AM26="Insulation", IF($I26="kg",$J26,0), 0)</f>
        <v>0</v>
      </c>
      <c r="BI26" s="1038">
        <f>IF($AM26="Revêtement", IF($I26="kg",$J26,0), 0)</f>
        <v>0</v>
      </c>
      <c r="BJ26" s="1037">
        <f>_xlfn.XLOOKUP(H26, 'Baumaterialien Matériaux'!A:A, 'Baumaterialien Matériaux'!E:E, "-", 0, 1)</f>
        <v>920</v>
      </c>
      <c r="BK26" s="1036">
        <f t="shared" si="22"/>
        <v>0.11739717391304352</v>
      </c>
      <c r="BL26" s="1037">
        <f t="shared" si="23"/>
        <v>0</v>
      </c>
      <c r="BM26" s="1038">
        <f t="shared" si="24"/>
        <v>0</v>
      </c>
      <c r="BN26" s="1037">
        <f>IFERROR((J26*VLOOKUP(H26, 'Baumaterialien Matériaux'!$A$11:$AH$318, 33,FALSE)),0)/$G$1</f>
        <v>0.29091877921731008</v>
      </c>
      <c r="BO26" s="1037">
        <f>(BN26+BP26)*($L$2/L26-1)</f>
        <v>0</v>
      </c>
      <c r="BP26" s="1037">
        <f>IFERROR((J26*VLOOKUP(H26, 'Baumaterialien Matériaux'!$A$11:$AH$318, 34,FALSE)),0)/$G$1</f>
        <v>0.30895093495392023</v>
      </c>
      <c r="BQ26" s="1037">
        <f t="shared" si="25"/>
        <v>0.96254681647940077</v>
      </c>
      <c r="BR26" s="1037"/>
    </row>
    <row r="27" spans="2:70">
      <c r="B27" s="1103"/>
      <c r="C27" s="1099"/>
      <c r="D27" s="478"/>
      <c r="E27" s="478"/>
      <c r="F27" s="479" t="s">
        <v>3068</v>
      </c>
      <c r="G27" s="479"/>
      <c r="H27" s="479"/>
      <c r="I27" s="459" t="s">
        <v>39</v>
      </c>
      <c r="J27" s="662">
        <v>38.020000000000003</v>
      </c>
      <c r="K27" s="663"/>
      <c r="L27" s="663"/>
      <c r="M27" s="664">
        <f>SUM(M28)</f>
        <v>5.5839177240550292E-2</v>
      </c>
      <c r="N27" s="664">
        <f t="shared" ref="N27:T27" si="37">SUM(N28)</f>
        <v>5.2812608521437161E-2</v>
      </c>
      <c r="O27" s="664">
        <f t="shared" si="37"/>
        <v>2.1429731534660077E-2</v>
      </c>
      <c r="P27" s="664">
        <f t="shared" si="37"/>
        <v>0</v>
      </c>
      <c r="Q27" s="664">
        <f t="shared" si="37"/>
        <v>3.0265687191131292E-3</v>
      </c>
      <c r="R27" s="664">
        <f t="shared" si="37"/>
        <v>1.7671911312942433E-4</v>
      </c>
      <c r="S27" s="664">
        <f t="shared" si="37"/>
        <v>0</v>
      </c>
      <c r="T27" s="664">
        <f t="shared" si="37"/>
        <v>0</v>
      </c>
      <c r="V27" s="638">
        <f t="shared" si="2"/>
        <v>0</v>
      </c>
      <c r="W27" s="638">
        <f t="shared" si="3"/>
        <v>0</v>
      </c>
      <c r="X27" s="638">
        <f t="shared" si="10"/>
        <v>0</v>
      </c>
      <c r="Z27" s="638">
        <f t="shared" si="11"/>
        <v>0</v>
      </c>
      <c r="AA27" s="527" t="s">
        <v>3439</v>
      </c>
      <c r="AB27">
        <f>_xlfn.XLOOKUP($H27,'[1]Baumaterialien Matériaux'!$A:$A,'[1]Baumaterialien Matériaux'!AK:AK,0,0)</f>
        <v>0</v>
      </c>
      <c r="AC27" cm="1">
        <f t="array" ref="AC27">_xlfn.SWITCH(I27,"kg"," ",0," ",_xlfn.XLOOKUP(H27, '[1]Baumaterialien Matériaux'!$A:$A, '[1]Baumaterialien Matériaux'!$AL:$AL, "-", 0, 1))</f>
        <v>0</v>
      </c>
      <c r="AD27" s="622" cm="1">
        <f t="array" ref="AD27">IFERROR(_xlfn.SWITCH(I27,"kg",1,"m3",AC27,AC27)*J27/(_xlfn.XLOOKUP(AA27,Métrés!A:A,Métrés!C:C,0)),0)</f>
        <v>0</v>
      </c>
      <c r="AE27" s="1092">
        <f>IFERROR(N27*$G$1/(_xlfn.XLOOKUP($AA27,Métrés!$A:$A,Métrés!$C:$C,0)),0)</f>
        <v>0.16872541071047578</v>
      </c>
      <c r="AF27" s="1092">
        <f>IFERROR(O27*$G$1/(_xlfn.XLOOKUP($AA27,Métrés!$A:$A,Métrés!$C:$C,0)),0)</f>
        <v>6.846358011521228E-2</v>
      </c>
      <c r="AG27" s="1092">
        <f>IFERROR(Q27*$G$1/(_xlfn.XLOOKUP($AA27,Métrés!$A:$A,Métrés!$C:$C,0)),0)</f>
        <v>9.6692639214849569E-3</v>
      </c>
      <c r="AH27" s="1092">
        <f>IFERROR(R27*$G$1/(_xlfn.XLOOKUP($AA27,Métrés!$A:$A,Métrés!$C:$C,0)),0)</f>
        <v>5.6458118199274583E-4</v>
      </c>
      <c r="AI27" s="1092">
        <f>IFERROR(S27*$G$1/(_xlfn.XLOOKUP($AA27,Métrés!$A:$A,Métrés!$C:$C,0)),0)</f>
        <v>0</v>
      </c>
      <c r="AJ27" s="664"/>
      <c r="AK27" s="664"/>
      <c r="AL27" s="664"/>
      <c r="AM27" s="1021"/>
      <c r="AN27" s="1059"/>
      <c r="AO27" s="664"/>
      <c r="AP27" s="664"/>
      <c r="AQ27" s="664"/>
      <c r="AR27" s="1058"/>
      <c r="AS27" s="1059"/>
      <c r="AT27" s="664"/>
      <c r="AU27" s="664"/>
      <c r="AV27" s="664"/>
      <c r="AW27" s="1058"/>
      <c r="AX27" s="1059"/>
      <c r="AY27" s="664"/>
      <c r="AZ27" s="664"/>
      <c r="BA27" s="664"/>
      <c r="BB27" s="1058"/>
      <c r="BC27" s="1059"/>
      <c r="BD27" s="664"/>
      <c r="BE27" s="664"/>
      <c r="BF27" s="1058"/>
      <c r="BG27" s="1059"/>
      <c r="BH27" s="664"/>
      <c r="BI27" s="1058"/>
      <c r="BJ27" s="1045"/>
      <c r="BK27" s="1059"/>
      <c r="BL27" s="664"/>
      <c r="BM27" s="1058"/>
      <c r="BN27" s="1037">
        <f>IFERROR((J27*VLOOKUP(H27, 'Baumaterialien Matériaux'!$A$11:$AH$318, 33,FALSE)),0)/$G$1</f>
        <v>0</v>
      </c>
      <c r="BO27" s="1037"/>
      <c r="BP27" s="1037">
        <f>IFERROR((J27*VLOOKUP(H27, 'Baumaterialien Matériaux'!$A$11:$AH$318, 34,FALSE)),0)/$G$1</f>
        <v>0</v>
      </c>
      <c r="BQ27" s="1037">
        <f t="shared" si="25"/>
        <v>0</v>
      </c>
      <c r="BR27" s="1037">
        <f>IFERROR((N27+Q27)*($L$2/L27-1),0)</f>
        <v>0</v>
      </c>
    </row>
    <row r="28" spans="2:70">
      <c r="B28" s="1103"/>
      <c r="C28" s="1099"/>
      <c r="D28" s="478"/>
      <c r="E28" s="478"/>
      <c r="F28" s="483" t="s">
        <v>3069</v>
      </c>
      <c r="G28" s="478" t="str">
        <f>_xlfn.XLOOKUP(H28, 'Baumaterialien Matériaux'!A:A, 'Baumaterialien Matériaux'!AD:AD, "-", 0, 1)</f>
        <v>Laine de verre</v>
      </c>
      <c r="H28" s="875" t="s">
        <v>130</v>
      </c>
      <c r="I28" s="641" t="str">
        <f>_xlfn.XLOOKUP(H28, 'Baumaterialien Matériaux'!A:A, 'Baumaterialien Matériaux'!F:F, "-", 0, 1)</f>
        <v>kg</v>
      </c>
      <c r="J28" s="649">
        <f>J27*K28</f>
        <v>45.624000000000002</v>
      </c>
      <c r="K28" s="887">
        <f>0.06*20</f>
        <v>1.2</v>
      </c>
      <c r="L28" s="647">
        <v>60</v>
      </c>
      <c r="M28" s="648">
        <f>IFERROR((J28*VLOOKUP(H28, 'Baumaterialien Matériaux'!$A$11:$AD$318, 26,FALSE))+(J28*VLOOKUP(H28, 'Baumaterialien Matériaux'!$A$11:$AD$318, 27,FALSE)),0)/$G$1</f>
        <v>5.5839177240550292E-2</v>
      </c>
      <c r="N28" s="720">
        <f>IFERROR(($J28*VLOOKUP($H28, 'Baumaterialien Matériaux'!$A$11:$AD$318, 26,FALSE)),0)/$G$1</f>
        <v>5.2812608521437161E-2</v>
      </c>
      <c r="O28" s="720">
        <f>IFERROR(($J28*VLOOKUP($H28, 'Baumaterialien Matériaux'!$A$11:$AH$318, 33,FALSE)),0)/$G$1</f>
        <v>2.1429731534660077E-2</v>
      </c>
      <c r="P28" s="720">
        <f t="shared" si="35"/>
        <v>0</v>
      </c>
      <c r="Q28" s="720">
        <f>IFERROR(($J28*VLOOKUP($H28, 'Baumaterialien Matériaux'!$A$11:$AD$318, 27,FALSE)),0)/$G$1</f>
        <v>3.0265687191131292E-3</v>
      </c>
      <c r="R28" s="720">
        <f>IFERROR(($J28*VLOOKUP($H28, 'Baumaterialien Matériaux'!$A$11:$AH$318, 34,FALSE)),0)/$G$1</f>
        <v>1.7671911312942433E-4</v>
      </c>
      <c r="S28" s="720">
        <f>IFERROR((J28*VLOOKUP(H28, 'Baumaterialien Matériaux'!$A$11:$AD$318, 29,FALSE)),0)/$G$1</f>
        <v>0</v>
      </c>
      <c r="T28" s="720"/>
      <c r="V28" s="638">
        <f t="shared" si="2"/>
        <v>0</v>
      </c>
      <c r="W28" s="638">
        <f t="shared" si="3"/>
        <v>0</v>
      </c>
      <c r="X28" s="638" t="str">
        <f t="shared" si="10"/>
        <v>Structure</v>
      </c>
      <c r="Z28" s="638">
        <f t="shared" si="11"/>
        <v>60</v>
      </c>
      <c r="AA28" s="527" t="s">
        <v>3439</v>
      </c>
      <c r="AB28" t="str">
        <f>_xlfn.XLOOKUP($H28,'[1]Baumaterialien Matériaux'!$A:$A,'[1]Baumaterialien Matériaux'!AK:AK,0,0)</f>
        <v>mineral_fiber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622" cm="1">
        <f t="array" ref="AD28">IFERROR(_xlfn.SWITCH(I28,"kg",1,"m3",AC28,AC28)*J28/(_xlfn.XLOOKUP(AA28,Métrés!A:A,Métrés!C:C,0)),0)</f>
        <v>0.16223597183699595</v>
      </c>
      <c r="AE28" s="1092">
        <f>IFERROR(N28*$G$1/(_xlfn.XLOOKUP($AA28,Métrés!$A:$A,Métrés!$C:$C,0)),0)</f>
        <v>0.16872541071047578</v>
      </c>
      <c r="AF28" s="1092">
        <f>IFERROR(O28*$G$1/(_xlfn.XLOOKUP($AA28,Métrés!$A:$A,Métrés!$C:$C,0)),0)</f>
        <v>6.846358011521228E-2</v>
      </c>
      <c r="AG28" s="1092">
        <f>IFERROR(Q28*$G$1/(_xlfn.XLOOKUP($AA28,Métrés!$A:$A,Métrés!$C:$C,0)),0)</f>
        <v>9.6692639214849569E-3</v>
      </c>
      <c r="AH28" s="1092">
        <f>IFERROR(R28*$G$1/(_xlfn.XLOOKUP($AA28,Métrés!$A:$A,Métrés!$C:$C,0)),0)</f>
        <v>5.6458118199274583E-4</v>
      </c>
      <c r="AI28" s="1092">
        <f>IFERROR(S28*$G$1/(_xlfn.XLOOKUP($AA28,Métrés!$A:$A,Métrés!$C:$C,0)),0)</f>
        <v>0</v>
      </c>
      <c r="AJ28" s="1022"/>
      <c r="AK28" s="638">
        <f>IF(L28=60, 0, T28)</f>
        <v>0</v>
      </c>
      <c r="AL28" s="638">
        <f>IF(L28=60, 0, S28)</f>
        <v>0</v>
      </c>
      <c r="AM28" s="638" t="str">
        <f>IF(L28=$L$2, "Structure", IF(L28&gt;0,"Revêtement",0))</f>
        <v>Structure</v>
      </c>
      <c r="AN28" s="1036">
        <f>IF(AM28="Structure",N28,0)</f>
        <v>5.2812608521437161E-2</v>
      </c>
      <c r="AO28" s="1037">
        <f>IF(AM28="Structure",P28,0)</f>
        <v>0</v>
      </c>
      <c r="AP28" s="1037">
        <f>IF(AM28="Structure",Q28,0)</f>
        <v>3.0265687191131292E-3</v>
      </c>
      <c r="AQ28" s="1038">
        <f>IF(AM28="Structure",S28,0)</f>
        <v>0</v>
      </c>
      <c r="AR28" s="1038">
        <f>IF(AM28="Structure",T28,0)</f>
        <v>0</v>
      </c>
      <c r="AS28" s="1036">
        <f>IF(AM28="Insulation",N28,0)</f>
        <v>0</v>
      </c>
      <c r="AT28" s="1037">
        <f>IF(AM28="Insulation",P28,0)</f>
        <v>0</v>
      </c>
      <c r="AU28" s="1037">
        <f>IF(AM28="Insulation",Q28,0)</f>
        <v>0</v>
      </c>
      <c r="AV28" s="1038">
        <f>IF(AM28="Insulation",S28,0)</f>
        <v>0</v>
      </c>
      <c r="AW28" s="1038">
        <f>IF(AM28="Insulation",T28,0)</f>
        <v>0</v>
      </c>
      <c r="AX28" s="1036">
        <f>IF(AM28="Revêtement",N28,0)</f>
        <v>0</v>
      </c>
      <c r="AY28" s="1037">
        <f>IF(AM28="Revêtement",P28,0)</f>
        <v>0</v>
      </c>
      <c r="AZ28" s="1037">
        <f>IF(AM28="Revêtement",Q28,0)</f>
        <v>0</v>
      </c>
      <c r="BA28" s="1037">
        <f>IF(AM28="Revêtement",S28,0)</f>
        <v>0</v>
      </c>
      <c r="BB28" s="1038">
        <f>IF(AM28="Revêtement",T28,0)</f>
        <v>0</v>
      </c>
      <c r="BC28" s="1036"/>
      <c r="BD28" s="1037"/>
      <c r="BE28" s="1037"/>
      <c r="BF28" s="1038"/>
      <c r="BG28" s="1036">
        <f>IF($AM28="Structure", IF($I28="kg",$J28,0), 0)</f>
        <v>45.624000000000002</v>
      </c>
      <c r="BH28" s="1037">
        <f>IF($AM28="Insulation", IF($I28="kg",$J28,0), 0)</f>
        <v>0</v>
      </c>
      <c r="BI28" s="1038">
        <f>IF($AM28="Revêtement", IF($I28="kg",$J28,0), 0)</f>
        <v>0</v>
      </c>
      <c r="BJ28" s="1037">
        <v>20</v>
      </c>
      <c r="BK28" s="1036">
        <f t="shared" si="22"/>
        <v>2.2812000000000001</v>
      </c>
      <c r="BL28" s="1037">
        <f t="shared" si="23"/>
        <v>0</v>
      </c>
      <c r="BM28" s="1038">
        <f t="shared" si="24"/>
        <v>0</v>
      </c>
      <c r="BN28" s="1037">
        <f>IFERROR((J28*VLOOKUP(H28, 'Baumaterialien Matériaux'!$A$11:$AH$318, 33,FALSE)),0)/$G$1</f>
        <v>2.1429731534660077E-2</v>
      </c>
      <c r="BO28" s="1037">
        <f>(BN28+BP28)*($L$2/L28-1)</f>
        <v>0</v>
      </c>
      <c r="BP28" s="1037">
        <f>IFERROR((J28*VLOOKUP(H28, 'Baumaterialien Matériaux'!$A$11:$AH$318, 34,FALSE)),0)/$G$1</f>
        <v>1.7671911312942433E-4</v>
      </c>
      <c r="BQ28" s="1037">
        <f t="shared" si="25"/>
        <v>5.8389261744966447E-2</v>
      </c>
      <c r="BR28" s="1037">
        <f>IFERROR((N28+Q28)*($L$2/L28-1),0)</f>
        <v>0</v>
      </c>
    </row>
    <row r="29" spans="2:70">
      <c r="B29" s="1103"/>
      <c r="C29" s="1099"/>
      <c r="D29" s="483"/>
      <c r="E29" s="478"/>
      <c r="F29" s="479" t="s">
        <v>3070</v>
      </c>
      <c r="G29" s="479"/>
      <c r="H29" s="479"/>
      <c r="I29" s="459" t="s">
        <v>39</v>
      </c>
      <c r="J29" s="662"/>
      <c r="K29" s="663"/>
      <c r="L29" s="663"/>
      <c r="M29" s="664">
        <f>SUM(M30:M32)</f>
        <v>0</v>
      </c>
      <c r="N29" s="664">
        <f t="shared" ref="N29:O29" si="38">SUM(N30:N32)</f>
        <v>0</v>
      </c>
      <c r="O29" s="664">
        <f t="shared" si="38"/>
        <v>0</v>
      </c>
      <c r="P29" s="664">
        <f t="shared" ref="P29" si="39">SUM(P30:P32)</f>
        <v>0</v>
      </c>
      <c r="Q29" s="664">
        <f t="shared" ref="Q29:R29" si="40">SUM(Q30:Q32)</f>
        <v>0</v>
      </c>
      <c r="R29" s="664">
        <f t="shared" si="40"/>
        <v>0</v>
      </c>
      <c r="S29" s="664">
        <f t="shared" ref="S29:T29" si="41">SUM(S30:S32)</f>
        <v>0</v>
      </c>
      <c r="T29" s="664">
        <f t="shared" si="41"/>
        <v>0</v>
      </c>
      <c r="V29" s="638">
        <f t="shared" si="2"/>
        <v>0</v>
      </c>
      <c r="W29" s="638">
        <f t="shared" si="3"/>
        <v>0</v>
      </c>
      <c r="X29" s="638">
        <f t="shared" si="10"/>
        <v>0</v>
      </c>
      <c r="Z29" s="638">
        <f t="shared" si="11"/>
        <v>0</v>
      </c>
      <c r="AA29" s="527" t="s">
        <v>3439</v>
      </c>
      <c r="AB29">
        <f>_xlfn.XLOOKUP($H29,'[1]Baumaterialien Matériaux'!$A:$A,'[1]Baumaterialien Matériaux'!AK:AK,0,0)</f>
        <v>0</v>
      </c>
      <c r="AC29" cm="1">
        <f t="array" ref="AC29">_xlfn.SWITCH(I29,"kg"," ",0," ",_xlfn.XLOOKUP(H29, '[1]Baumaterialien Matériaux'!$A:$A, '[1]Baumaterialien Matériaux'!$AL:$AL, "-", 0, 1))</f>
        <v>0</v>
      </c>
      <c r="AD29" s="622" cm="1">
        <f t="array" ref="AD29">IFERROR(_xlfn.SWITCH(I29,"kg",1,"m3",AC29,AC29)*J29/(_xlfn.XLOOKUP(AA29,Métrés!A:A,Métrés!C:C,0)),0)</f>
        <v>0</v>
      </c>
      <c r="AE29" s="1092">
        <f>IFERROR(N29*$G$1/(_xlfn.XLOOKUP($AA29,Métrés!$A:$A,Métrés!$C:$C,0)),0)</f>
        <v>0</v>
      </c>
      <c r="AF29" s="1092">
        <f>IFERROR(O29*$G$1/(_xlfn.XLOOKUP($AA29,Métrés!$A:$A,Métrés!$C:$C,0)),0)</f>
        <v>0</v>
      </c>
      <c r="AG29" s="1092">
        <f>IFERROR(Q29*$G$1/(_xlfn.XLOOKUP($AA29,Métrés!$A:$A,Métrés!$C:$C,0)),0)</f>
        <v>0</v>
      </c>
      <c r="AH29" s="1092">
        <f>IFERROR(R29*$G$1/(_xlfn.XLOOKUP($AA29,Métrés!$A:$A,Métrés!$C:$C,0)),0)</f>
        <v>0</v>
      </c>
      <c r="AI29" s="1092">
        <f>IFERROR(S29*$G$1/(_xlfn.XLOOKUP($AA29,Métrés!$A:$A,Métrés!$C:$C,0)),0)</f>
        <v>0</v>
      </c>
      <c r="AJ29" s="664"/>
      <c r="AK29" s="664"/>
      <c r="AL29" s="664"/>
      <c r="AM29" s="1021"/>
      <c r="AN29" s="1059"/>
      <c r="AO29" s="664"/>
      <c r="AP29" s="664"/>
      <c r="AQ29" s="664"/>
      <c r="AR29" s="1058"/>
      <c r="AS29" s="1059"/>
      <c r="AT29" s="664"/>
      <c r="AU29" s="664"/>
      <c r="AV29" s="664"/>
      <c r="AW29" s="1058"/>
      <c r="AX29" s="1059"/>
      <c r="AY29" s="664"/>
      <c r="AZ29" s="664"/>
      <c r="BA29" s="664"/>
      <c r="BB29" s="1058"/>
      <c r="BC29" s="1059"/>
      <c r="BD29" s="664"/>
      <c r="BE29" s="664"/>
      <c r="BF29" s="1058"/>
      <c r="BG29" s="1059"/>
      <c r="BH29" s="664"/>
      <c r="BI29" s="1058"/>
      <c r="BJ29" s="1045"/>
      <c r="BK29" s="1059"/>
      <c r="BL29" s="664"/>
      <c r="BM29" s="1058"/>
      <c r="BN29" s="1037">
        <f>IFERROR((J29*VLOOKUP(H29, 'Baumaterialien Matériaux'!$A$11:$AH$318, 33,FALSE)),0)/$G$1</f>
        <v>0</v>
      </c>
      <c r="BO29" s="1037"/>
      <c r="BP29" s="1037">
        <f>IFERROR((J29*VLOOKUP(H29, 'Baumaterialien Matériaux'!$A$11:$AH$318, 34,FALSE)),0)/$G$1</f>
        <v>0</v>
      </c>
      <c r="BQ29" s="1037" t="e">
        <f t="shared" si="25"/>
        <v>#DIV/0!</v>
      </c>
      <c r="BR29" s="1037">
        <f>IFERROR((N29+Q29)*($L$2/L29-1),0)</f>
        <v>0</v>
      </c>
    </row>
    <row r="30" spans="2:70">
      <c r="B30" s="1103"/>
      <c r="C30" s="1099"/>
      <c r="D30" s="478"/>
      <c r="E30" s="478"/>
      <c r="F30" s="483"/>
      <c r="G30" s="478"/>
      <c r="H30" s="875"/>
      <c r="I30" s="641">
        <f>_xlfn.XLOOKUP(H30, 'Baumaterialien Matériaux'!A:A, 'Baumaterialien Matériaux'!F:F, "-", 0, 1)</f>
        <v>0</v>
      </c>
      <c r="J30" s="649"/>
      <c r="K30" s="650"/>
      <c r="L30" s="647"/>
      <c r="M30" s="648"/>
      <c r="N30" s="720"/>
      <c r="O30" s="720"/>
      <c r="P30" s="720"/>
      <c r="Q30" s="720"/>
      <c r="R30" s="720"/>
      <c r="S30" s="720"/>
      <c r="T30" s="720"/>
      <c r="V30" s="638">
        <f t="shared" si="2"/>
        <v>0</v>
      </c>
      <c r="W30" s="638">
        <f t="shared" si="3"/>
        <v>0</v>
      </c>
      <c r="X30" s="638">
        <f t="shared" si="10"/>
        <v>0</v>
      </c>
      <c r="Z30" s="638">
        <f t="shared" si="11"/>
        <v>0</v>
      </c>
      <c r="AA30" s="527" t="s">
        <v>3439</v>
      </c>
      <c r="AB30">
        <f>_xlfn.XLOOKUP($H30,'[1]Baumaterialien Matériaux'!$A:$A,'[1]Baumaterialien Matériaux'!AK:AK,0,0)</f>
        <v>0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622" cm="1">
        <f t="array" ref="AD30">IFERROR(_xlfn.SWITCH(I30,"kg",1,"m3",AC30,AC30)*J30/(_xlfn.XLOOKUP(AA30,Métrés!A:A,Métrés!C:C,0)),0)</f>
        <v>0</v>
      </c>
      <c r="AE30" s="1092">
        <f>IFERROR(N30*$G$1/(_xlfn.XLOOKUP($AA30,Métrés!$A:$A,Métrés!$C:$C,0)),0)</f>
        <v>0</v>
      </c>
      <c r="AF30" s="1092">
        <f>IFERROR(O30*$G$1/(_xlfn.XLOOKUP($AA30,Métrés!$A:$A,Métrés!$C:$C,0)),0)</f>
        <v>0</v>
      </c>
      <c r="AG30" s="1092">
        <f>IFERROR(Q30*$G$1/(_xlfn.XLOOKUP($AA30,Métrés!$A:$A,Métrés!$C:$C,0)),0)</f>
        <v>0</v>
      </c>
      <c r="AH30" s="1092">
        <f>IFERROR(R30*$G$1/(_xlfn.XLOOKUP($AA30,Métrés!$A:$A,Métrés!$C:$C,0)),0)</f>
        <v>0</v>
      </c>
      <c r="AI30" s="1092">
        <f>IFERROR(S30*$G$1/(_xlfn.XLOOKUP($AA30,Métrés!$A:$A,Métrés!$C:$C,0)),0)</f>
        <v>0</v>
      </c>
      <c r="AJ30" s="1022"/>
      <c r="AK30" s="638">
        <f>IF(L30=60, 0, T30)</f>
        <v>0</v>
      </c>
      <c r="AL30" s="638">
        <f>IF(L30=60, 0, S30)</f>
        <v>0</v>
      </c>
      <c r="AM30" s="638">
        <f>IF(L30=$L$2, "Structure", IF(L30&gt;0,"Revêtement",0))</f>
        <v>0</v>
      </c>
      <c r="AN30" s="1036">
        <f>IF(AM30="Structure",N30,0)</f>
        <v>0</v>
      </c>
      <c r="AO30" s="1037">
        <f>IF(AM30="Structure",P30,0)</f>
        <v>0</v>
      </c>
      <c r="AP30" s="1037">
        <f>IF(AM30="Structure",Q30,0)</f>
        <v>0</v>
      </c>
      <c r="AQ30" s="1038">
        <f>IF(AM30="Structure",S30,0)</f>
        <v>0</v>
      </c>
      <c r="AR30" s="1038">
        <f>IF(AM30="Structure",T30,0)</f>
        <v>0</v>
      </c>
      <c r="AS30" s="1036">
        <f>IF(AM30="Insulation",N30,0)</f>
        <v>0</v>
      </c>
      <c r="AT30" s="1037">
        <f>IF(AM30="Insulation",P30,0)</f>
        <v>0</v>
      </c>
      <c r="AU30" s="1037">
        <f>IF(AM30="Insulation",Q30,0)</f>
        <v>0</v>
      </c>
      <c r="AV30" s="1038">
        <f>IF(AM30="Insulation",S30,0)</f>
        <v>0</v>
      </c>
      <c r="AW30" s="1038">
        <f>IF(AM30="Insulation",T30,0)</f>
        <v>0</v>
      </c>
      <c r="AX30" s="1036">
        <f>IF(AM30="Revêtement",N30,0)</f>
        <v>0</v>
      </c>
      <c r="AY30" s="1037">
        <f>IF(AM30="Revêtement",P30,0)</f>
        <v>0</v>
      </c>
      <c r="AZ30" s="1037">
        <f>IF(AM30="Revêtement",Q30,0)</f>
        <v>0</v>
      </c>
      <c r="BA30" s="1037">
        <f>IF(AM30="Revêtement",S30,0)</f>
        <v>0</v>
      </c>
      <c r="BB30" s="1038">
        <f>IF(AM30="Revêtement",T30,0)</f>
        <v>0</v>
      </c>
      <c r="BC30" s="1036"/>
      <c r="BD30" s="1037"/>
      <c r="BE30" s="1037"/>
      <c r="BF30" s="1038"/>
      <c r="BG30" s="1036">
        <f>IF($AM30="Structure", IF($I30="kg",$J30,0), 0)</f>
        <v>0</v>
      </c>
      <c r="BH30" s="1037">
        <f>IF($AM30="Insulation", IF($I30="kg",$J30,0), 0)</f>
        <v>0</v>
      </c>
      <c r="BI30" s="1038">
        <f>IF($AM30="Revêtement", IF($I30="kg",$J30,0), 0)</f>
        <v>0</v>
      </c>
      <c r="BJ30" s="1037">
        <f>_xlfn.XLOOKUP(H30, 'Baumaterialien Matériaux'!A:A, 'Baumaterialien Matériaux'!E:E, "-", 0, 1)</f>
        <v>0</v>
      </c>
      <c r="BK30" s="1036">
        <f t="shared" si="22"/>
        <v>0</v>
      </c>
      <c r="BL30" s="1037">
        <f t="shared" si="23"/>
        <v>0</v>
      </c>
      <c r="BM30" s="1038">
        <f t="shared" si="24"/>
        <v>0</v>
      </c>
      <c r="BN30" s="1037">
        <f>IFERROR((J30*VLOOKUP(H30, 'Baumaterialien Matériaux'!$A$11:$AH$318, 33,FALSE)),0)/$G$1</f>
        <v>0</v>
      </c>
      <c r="BO30" s="1037" t="e">
        <f>(BN30+BP30)*($L$2/L30-1)</f>
        <v>#DIV/0!</v>
      </c>
      <c r="BP30" s="1037">
        <f>IFERROR((J30*VLOOKUP(H30, 'Baumaterialien Matériaux'!$A$11:$AH$318, 34,FALSE)),0)/$G$1</f>
        <v>0</v>
      </c>
      <c r="BQ30" s="1037" t="e">
        <f t="shared" si="25"/>
        <v>#DIV/0!</v>
      </c>
      <c r="BR30" s="1037">
        <f>IFERROR((N30+Q30)*($L$2/L30-1),0)</f>
        <v>0</v>
      </c>
    </row>
    <row r="31" spans="2:70">
      <c r="B31" s="1103"/>
      <c r="C31" s="1099"/>
      <c r="D31" s="478"/>
      <c r="E31" s="478"/>
      <c r="F31" s="483"/>
      <c r="G31" s="478"/>
      <c r="H31" s="478"/>
      <c r="I31" s="641" cm="1">
        <f t="array" aca="1" ref="I31" ca="1">INDEX('Enveloppe du bâtiment sout.'!E32:E52, 'Enveloppe du bâtiment sout.'!Y32)</f>
        <v>0</v>
      </c>
      <c r="J31" s="649"/>
      <c r="K31" s="650"/>
      <c r="M31" s="648"/>
      <c r="N31" s="720"/>
      <c r="O31" s="720"/>
      <c r="P31" s="720"/>
      <c r="Q31" s="720"/>
      <c r="R31" s="720"/>
      <c r="S31" s="720"/>
      <c r="T31" s="720"/>
      <c r="V31" s="638">
        <f t="shared" si="2"/>
        <v>0</v>
      </c>
      <c r="W31" s="638">
        <f t="shared" si="3"/>
        <v>0</v>
      </c>
      <c r="X31" s="638">
        <f t="shared" si="10"/>
        <v>0</v>
      </c>
      <c r="Z31" s="638">
        <f t="shared" si="11"/>
        <v>0</v>
      </c>
      <c r="AA31" s="527" t="s">
        <v>3439</v>
      </c>
      <c r="AB31">
        <f>_xlfn.XLOOKUP($H31,'[1]Baumaterialien Matériaux'!$A:$A,'[1]Baumaterialien Matériaux'!AK:AK,0,0)</f>
        <v>0</v>
      </c>
      <c r="AC31" t="str" cm="1">
        <f t="array" aca="1" ref="AC31" ca="1">_xlfn.SWITCH(I31,"kg"," ",0," ",_xlfn.XLOOKUP(H31, '[1]Baumaterialien Matériaux'!$A:$A, '[1]Baumaterialien Matériaux'!$AL:$AL, "-", 0, 1))</f>
        <v xml:space="preserve"> </v>
      </c>
      <c r="AD31" s="622" cm="1">
        <f t="array" aca="1" ref="AD31" ca="1">IFERROR(_xlfn.SWITCH(I31,"kg",1,"m3",AC31,AC31)*J31/(_xlfn.XLOOKUP(AA31,Métrés!A:A,Métrés!C:C,0)),0)</f>
        <v>0</v>
      </c>
      <c r="AE31" s="1092">
        <f>IFERROR(N31*$G$1/(_xlfn.XLOOKUP($AA31,Métrés!$A:$A,Métrés!$C:$C,0)),0)</f>
        <v>0</v>
      </c>
      <c r="AF31" s="1092">
        <f>IFERROR(O31*$G$1/(_xlfn.XLOOKUP($AA31,Métrés!$A:$A,Métrés!$C:$C,0)),0)</f>
        <v>0</v>
      </c>
      <c r="AG31" s="1092">
        <f>IFERROR(Q31*$G$1/(_xlfn.XLOOKUP($AA31,Métrés!$A:$A,Métrés!$C:$C,0)),0)</f>
        <v>0</v>
      </c>
      <c r="AH31" s="1092">
        <f>IFERROR(R31*$G$1/(_xlfn.XLOOKUP($AA31,Métrés!$A:$A,Métrés!$C:$C,0)),0)</f>
        <v>0</v>
      </c>
      <c r="AI31" s="1092">
        <f>IFERROR(S31*$G$1/(_xlfn.XLOOKUP($AA31,Métrés!$A:$A,Métrés!$C:$C,0)),0)</f>
        <v>0</v>
      </c>
      <c r="AJ31" s="1022"/>
      <c r="AK31" s="638">
        <f>IF(L31=60, 0, T31)</f>
        <v>0</v>
      </c>
      <c r="AL31" s="638">
        <f>IF(L31=60, 0, S31)</f>
        <v>0</v>
      </c>
      <c r="AM31" s="638">
        <f>IF(L31=$L$2, "Structure", IF(L31&gt;0,"Revêtement",0))</f>
        <v>0</v>
      </c>
      <c r="AN31" s="1036">
        <f>IF(AM31="Structure",N31,0)</f>
        <v>0</v>
      </c>
      <c r="AO31" s="1037">
        <f>IF(AM31="Structure",P31,0)</f>
        <v>0</v>
      </c>
      <c r="AP31" s="1037">
        <f>IF(AM31="Structure",Q31,0)</f>
        <v>0</v>
      </c>
      <c r="AQ31" s="1038">
        <f>IF(AM31="Structure",S31,0)</f>
        <v>0</v>
      </c>
      <c r="AR31" s="1038">
        <f>IF(AM31="Structure",T31,0)</f>
        <v>0</v>
      </c>
      <c r="AS31" s="1036">
        <f>IF(AM31="Insulation",N31,0)</f>
        <v>0</v>
      </c>
      <c r="AT31" s="1037">
        <f>IF(AM31="Insulation",P31,0)</f>
        <v>0</v>
      </c>
      <c r="AU31" s="1037">
        <f>IF(AM31="Insulation",Q31,0)</f>
        <v>0</v>
      </c>
      <c r="AV31" s="1038">
        <f>IF(AM31="Insulation",S31,0)</f>
        <v>0</v>
      </c>
      <c r="AW31" s="1038">
        <f>IF(AM31="Insulation",T31,0)</f>
        <v>0</v>
      </c>
      <c r="AX31" s="1036">
        <f>IF(AM31="Revêtement",N31,0)</f>
        <v>0</v>
      </c>
      <c r="AY31" s="1037">
        <f>IF(AM31="Revêtement",P31,0)</f>
        <v>0</v>
      </c>
      <c r="AZ31" s="1037">
        <f>IF(AM31="Revêtement",Q31,0)</f>
        <v>0</v>
      </c>
      <c r="BA31" s="1037">
        <f>IF(AM31="Revêtement",S31,0)</f>
        <v>0</v>
      </c>
      <c r="BB31" s="1038">
        <f>IF(AM31="Revêtement",T31,0)</f>
        <v>0</v>
      </c>
      <c r="BC31" s="1036"/>
      <c r="BD31" s="1037"/>
      <c r="BE31" s="1037"/>
      <c r="BF31" s="1038"/>
      <c r="BG31" s="1036">
        <f>IF($AM31="Structure", IF($I31="kg",$J31,0), 0)</f>
        <v>0</v>
      </c>
      <c r="BH31" s="1037">
        <f>IF($AM31="Insulation", IF($I31="kg",$J31,0), 0)</f>
        <v>0</v>
      </c>
      <c r="BI31" s="1038">
        <f>IF($AM31="Revêtement", IF($I31="kg",$J31,0), 0)</f>
        <v>0</v>
      </c>
      <c r="BJ31" s="1037">
        <f>_xlfn.XLOOKUP(H31, 'Baumaterialien Matériaux'!A:A, 'Baumaterialien Matériaux'!E:E, "-", 0, 1)</f>
        <v>0</v>
      </c>
      <c r="BK31" s="1036">
        <f t="shared" si="22"/>
        <v>0</v>
      </c>
      <c r="BL31" s="1037">
        <f t="shared" si="23"/>
        <v>0</v>
      </c>
      <c r="BM31" s="1038">
        <f t="shared" si="24"/>
        <v>0</v>
      </c>
      <c r="BN31" s="1037">
        <f>IFERROR((J31*VLOOKUP(H31, 'Baumaterialien Matériaux'!$A$11:$AH$318, 33,FALSE)),0)/$G$1</f>
        <v>0</v>
      </c>
      <c r="BO31" s="1037"/>
      <c r="BP31" s="1037">
        <f>IFERROR((J31*VLOOKUP(H31, 'Baumaterialien Matériaux'!$A$11:$AH$318, 34,FALSE)),0)/$G$1</f>
        <v>0</v>
      </c>
      <c r="BQ31" s="1037" t="e">
        <f t="shared" si="25"/>
        <v>#DIV/0!</v>
      </c>
      <c r="BR31" s="1037"/>
    </row>
    <row r="32" spans="2:70">
      <c r="B32" s="1103"/>
      <c r="C32" s="1099"/>
      <c r="D32" s="478"/>
      <c r="E32" s="478"/>
      <c r="F32" s="478"/>
      <c r="G32" s="478"/>
      <c r="H32" s="478"/>
      <c r="I32" s="641"/>
      <c r="J32" s="649"/>
      <c r="K32" s="647"/>
      <c r="L32" s="647"/>
      <c r="M32" s="648"/>
      <c r="V32" s="638">
        <f t="shared" si="2"/>
        <v>0</v>
      </c>
      <c r="W32" s="638">
        <f t="shared" si="3"/>
        <v>0</v>
      </c>
      <c r="X32" s="638">
        <f t="shared" si="10"/>
        <v>0</v>
      </c>
      <c r="Z32" s="638">
        <f t="shared" si="11"/>
        <v>0</v>
      </c>
      <c r="AA32" s="527" t="s">
        <v>3439</v>
      </c>
      <c r="AB32">
        <f>_xlfn.XLOOKUP($H32,'[1]Baumaterialien Matériaux'!$A:$A,'[1]Baumaterialien Matériaux'!AK:AK,0,0)</f>
        <v>0</v>
      </c>
      <c r="AC32" t="str" cm="1">
        <f t="array" ref="AC32">_xlfn.SWITCH(I32,"kg"," ",0," ",_xlfn.XLOOKUP(H32, '[1]Baumaterialien Matériaux'!$A:$A, '[1]Baumaterialien Matériaux'!$AL:$AL, "-", 0, 1))</f>
        <v xml:space="preserve"> </v>
      </c>
      <c r="AD32" s="622" cm="1">
        <f t="array" ref="AD32">IFERROR(_xlfn.SWITCH(I32,"kg",1,"m3",AC32,AC32)*J32/(_xlfn.XLOOKUP(AA32,Métrés!A:A,Métrés!C:C,0)),0)</f>
        <v>0</v>
      </c>
      <c r="AE32" s="1092">
        <f>IFERROR(N32*$G$1/(_xlfn.XLOOKUP($AA32,Métrés!$A:$A,Métrés!$C:$C,0)),0)</f>
        <v>0</v>
      </c>
      <c r="AF32" s="1092">
        <f>IFERROR(O32*$G$1/(_xlfn.XLOOKUP($AA32,Métrés!$A:$A,Métrés!$C:$C,0)),0)</f>
        <v>0</v>
      </c>
      <c r="AG32" s="1092">
        <f>IFERROR(Q32*$G$1/(_xlfn.XLOOKUP($AA32,Métrés!$A:$A,Métrés!$C:$C,0)),0)</f>
        <v>0</v>
      </c>
      <c r="AH32" s="1092">
        <f>IFERROR(R32*$G$1/(_xlfn.XLOOKUP($AA32,Métrés!$A:$A,Métrés!$C:$C,0)),0)</f>
        <v>0</v>
      </c>
      <c r="AI32" s="1092">
        <f>IFERROR(S32*$G$1/(_xlfn.XLOOKUP($AA32,Métrés!$A:$A,Métrés!$C:$C,0)),0)</f>
        <v>0</v>
      </c>
      <c r="AJ32" s="1022"/>
      <c r="AK32" s="638">
        <f>IF(L32=60, 0, T32)</f>
        <v>0</v>
      </c>
      <c r="AL32" s="638">
        <f>IF(L32=60, 0, S32)</f>
        <v>0</v>
      </c>
      <c r="AM32" s="638">
        <f>IF(L32=$L$2, "Structure", IF(L32&gt;0,"Revêtement",0))</f>
        <v>0</v>
      </c>
      <c r="AN32" s="1036">
        <f>IF(AM32="Structure",N32,0)</f>
        <v>0</v>
      </c>
      <c r="AO32" s="1037">
        <f>IF(AM32="Structure",P32,0)</f>
        <v>0</v>
      </c>
      <c r="AP32" s="1037">
        <f>IF(AM32="Structure",Q32,0)</f>
        <v>0</v>
      </c>
      <c r="AQ32" s="1038">
        <f>IF(AM32="Structure",S32,0)</f>
        <v>0</v>
      </c>
      <c r="AR32" s="1038">
        <f>IF(AM32="Structure",T32,0)</f>
        <v>0</v>
      </c>
      <c r="AS32" s="1036">
        <f>IF(AM32="Insulation",N32,0)</f>
        <v>0</v>
      </c>
      <c r="AT32" s="1037">
        <f>IF(AM32="Insulation",P32,0)</f>
        <v>0</v>
      </c>
      <c r="AU32" s="1037">
        <f>IF(AM32="Insulation",Q32,0)</f>
        <v>0</v>
      </c>
      <c r="AV32" s="1038">
        <f>IF(AM32="Insulation",S32,0)</f>
        <v>0</v>
      </c>
      <c r="AW32" s="1038">
        <f>IF(AM32="Insulation",T32,0)</f>
        <v>0</v>
      </c>
      <c r="AX32" s="1036">
        <f>IF(AM32="Revêtement",N32,0)</f>
        <v>0</v>
      </c>
      <c r="AY32" s="1037">
        <f>IF(AM32="Revêtement",P32,0)</f>
        <v>0</v>
      </c>
      <c r="AZ32" s="1037">
        <f>IF(AM32="Revêtement",Q32,0)</f>
        <v>0</v>
      </c>
      <c r="BA32" s="1037">
        <f>IF(AM32="Revêtement",S32,0)</f>
        <v>0</v>
      </c>
      <c r="BB32" s="1038">
        <f>IF(AM32="Revêtement",T32,0)</f>
        <v>0</v>
      </c>
      <c r="BC32" s="1036"/>
      <c r="BD32" s="1037"/>
      <c r="BE32" s="1037"/>
      <c r="BF32" s="1038"/>
      <c r="BG32" s="1036">
        <f>IF($AM32="Structure", IF($I32="kg",$J32,0), 0)</f>
        <v>0</v>
      </c>
      <c r="BH32" s="1037">
        <f>IF($AM32="Insulation", IF($I32="kg",$J32,0), 0)</f>
        <v>0</v>
      </c>
      <c r="BI32" s="1038">
        <f>IF($AM32="Revêtement", IF($I32="kg",$J32,0), 0)</f>
        <v>0</v>
      </c>
      <c r="BJ32" s="1037">
        <f>_xlfn.XLOOKUP(H32, 'Baumaterialien Matériaux'!A:A, 'Baumaterialien Matériaux'!E:E, "-", 0, 1)</f>
        <v>0</v>
      </c>
      <c r="BK32" s="1036">
        <f t="shared" si="22"/>
        <v>0</v>
      </c>
      <c r="BL32" s="1037">
        <f t="shared" si="23"/>
        <v>0</v>
      </c>
      <c r="BM32" s="1038">
        <f t="shared" si="24"/>
        <v>0</v>
      </c>
      <c r="BN32" s="1037">
        <f>IFERROR((J32*VLOOKUP(H32, 'Baumaterialien Matériaux'!$A$11:$AH$318, 33,FALSE)),0)/$G$1</f>
        <v>0</v>
      </c>
      <c r="BO32" s="1037"/>
      <c r="BP32" s="1037">
        <f>IFERROR((J32*VLOOKUP(H32, 'Baumaterialien Matériaux'!$A$11:$AH$318, 34,FALSE)),0)/$G$1</f>
        <v>0</v>
      </c>
      <c r="BQ32" s="1037" t="e">
        <f t="shared" si="25"/>
        <v>#DIV/0!</v>
      </c>
      <c r="BR32" s="1037"/>
    </row>
    <row r="33" spans="2:70" ht="15.6" customHeight="1">
      <c r="B33" s="1103"/>
      <c r="C33" s="1097" t="s">
        <v>111</v>
      </c>
      <c r="D33" s="473" t="s">
        <v>112</v>
      </c>
      <c r="E33" s="473"/>
      <c r="F33" s="473"/>
      <c r="G33" s="473"/>
      <c r="H33" s="473"/>
      <c r="I33" s="463"/>
      <c r="J33" s="654"/>
      <c r="K33" s="652"/>
      <c r="L33" s="652"/>
      <c r="M33" s="653">
        <f>M34+M41</f>
        <v>51.107233417924398</v>
      </c>
      <c r="N33" s="653">
        <f t="shared" ref="N33:S33" si="42">N34+N41</f>
        <v>43.543289281421131</v>
      </c>
      <c r="O33" s="653">
        <f t="shared" ref="O33" si="43">O34+O41</f>
        <v>9.9912504614665405</v>
      </c>
      <c r="P33" s="653">
        <f t="shared" si="42"/>
        <v>0</v>
      </c>
      <c r="Q33" s="653">
        <f t="shared" si="42"/>
        <v>7.563944136503272</v>
      </c>
      <c r="R33" s="653">
        <f t="shared" ref="R33" si="44">R34+R41</f>
        <v>4.3432446894617343</v>
      </c>
      <c r="S33" s="653">
        <f t="shared" si="42"/>
        <v>0</v>
      </c>
      <c r="T33" s="653">
        <f t="shared" ref="T33" si="45">T34+T41</f>
        <v>0</v>
      </c>
      <c r="V33" s="638">
        <f t="shared" si="2"/>
        <v>0</v>
      </c>
      <c r="W33" s="638">
        <f t="shared" si="3"/>
        <v>0</v>
      </c>
      <c r="X33" s="638">
        <f t="shared" si="10"/>
        <v>0</v>
      </c>
      <c r="Z33" s="638">
        <f t="shared" si="11"/>
        <v>0</v>
      </c>
      <c r="AB33">
        <f>_xlfn.XLOOKUP($H33,'[1]Baumaterialien Matériaux'!$A:$A,'[1]Baumaterialien Matériaux'!AK:AK,0,0)</f>
        <v>0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622" cm="1">
        <f t="array" ref="AD33">IFERROR(_xlfn.SWITCH(I33,"kg",1,"m3",AC33,AC33)*J33/(_xlfn.XLOOKUP(AA33,Métrés!A:A,Métrés!C:C,0)),0)</f>
        <v>0</v>
      </c>
      <c r="AE33" s="1092">
        <f>IFERROR(N33*$G$1/(_xlfn.XLOOKUP($AA33,Métrés!$A:$A,Métrés!$C:$C,0)),0)</f>
        <v>0</v>
      </c>
      <c r="AF33" s="1092">
        <f>IFERROR(O33*$G$1/(_xlfn.XLOOKUP($AA33,Métrés!$A:$A,Métrés!$C:$C,0)),0)</f>
        <v>0</v>
      </c>
      <c r="AG33" s="1092">
        <f>IFERROR(Q33*$G$1/(_xlfn.XLOOKUP($AA33,Métrés!$A:$A,Métrés!$C:$C,0)),0)</f>
        <v>0</v>
      </c>
      <c r="AH33" s="1092">
        <f>IFERROR(R33*$G$1/(_xlfn.XLOOKUP($AA33,Métrés!$A:$A,Métrés!$C:$C,0)),0)</f>
        <v>0</v>
      </c>
      <c r="AI33" s="1092">
        <f>IFERROR(S33*$G$1/(_xlfn.XLOOKUP($AA33,Métrés!$A:$A,Métrés!$C:$C,0)),0)</f>
        <v>0</v>
      </c>
      <c r="AJ33" s="666"/>
      <c r="AK33" s="666"/>
      <c r="AL33" s="666"/>
      <c r="AM33" s="666"/>
      <c r="AN33" s="1051"/>
      <c r="AO33" s="666"/>
      <c r="AP33" s="666"/>
      <c r="AQ33" s="666"/>
      <c r="AR33" s="1052"/>
      <c r="AS33" s="1051"/>
      <c r="AT33" s="666"/>
      <c r="AU33" s="666"/>
      <c r="AV33" s="666"/>
      <c r="AW33" s="1052"/>
      <c r="AX33" s="1051"/>
      <c r="AY33" s="666"/>
      <c r="AZ33" s="666"/>
      <c r="BA33" s="666"/>
      <c r="BB33" s="1052"/>
      <c r="BC33" s="1051"/>
      <c r="BD33" s="666"/>
      <c r="BE33" s="666"/>
      <c r="BF33" s="1052"/>
      <c r="BG33" s="1051"/>
      <c r="BH33" s="666"/>
      <c r="BI33" s="1052"/>
      <c r="BJ33" s="666"/>
      <c r="BK33" s="1051"/>
      <c r="BL33" s="666"/>
      <c r="BM33" s="1052"/>
      <c r="BN33" s="1037">
        <f>IFERROR((J33*VLOOKUP(H33, 'Baumaterialien Matériaux'!$A$11:$AH$318, 33,FALSE)),0)/$G$1</f>
        <v>0</v>
      </c>
      <c r="BO33" s="1037"/>
      <c r="BP33" s="1037">
        <f>IFERROR((J33*VLOOKUP(H33, 'Baumaterialien Matériaux'!$A$11:$AH$318, 34,FALSE)),0)/$G$1</f>
        <v>0</v>
      </c>
      <c r="BQ33" s="1037">
        <f t="shared" si="25"/>
        <v>0</v>
      </c>
      <c r="BR33" s="1037"/>
    </row>
    <row r="34" spans="2:70">
      <c r="B34" s="1103"/>
      <c r="C34" s="1099"/>
      <c r="D34" s="478"/>
      <c r="E34" s="479" t="str">
        <f>BillQuantities!E12</f>
        <v>non-isolés</v>
      </c>
      <c r="F34" s="479" t="s">
        <v>3027</v>
      </c>
      <c r="G34" s="479"/>
      <c r="H34" s="479"/>
      <c r="I34" s="459" t="s">
        <v>39</v>
      </c>
      <c r="J34" s="662">
        <v>123.17</v>
      </c>
      <c r="K34" s="663"/>
      <c r="L34" s="663"/>
      <c r="M34" s="664">
        <f>SUM(M35:M40)</f>
        <v>28.685048742264364</v>
      </c>
      <c r="N34" s="664">
        <f t="shared" ref="N34:S34" si="46">SUM(N35:N40)</f>
        <v>24.095031857441789</v>
      </c>
      <c r="O34" s="664">
        <f t="shared" ref="O34" si="47">SUM(O35:O40)</f>
        <v>5.6074374967721816</v>
      </c>
      <c r="P34" s="664">
        <f t="shared" si="46"/>
        <v>0</v>
      </c>
      <c r="Q34" s="664">
        <f t="shared" si="46"/>
        <v>4.5900168848225809</v>
      </c>
      <c r="R34" s="664">
        <f t="shared" ref="R34" si="48">SUM(R35:R40)</f>
        <v>2.4432253670807178</v>
      </c>
      <c r="S34" s="664">
        <f t="shared" si="46"/>
        <v>0</v>
      </c>
      <c r="T34" s="664">
        <f t="shared" ref="T34" si="49">SUM(T35:T40)</f>
        <v>0</v>
      </c>
      <c r="V34" s="638">
        <f t="shared" si="2"/>
        <v>0</v>
      </c>
      <c r="W34" s="638">
        <f t="shared" si="3"/>
        <v>0</v>
      </c>
      <c r="X34" s="638">
        <f t="shared" si="10"/>
        <v>0</v>
      </c>
      <c r="Z34" s="638">
        <f t="shared" si="11"/>
        <v>0</v>
      </c>
      <c r="AA34" t="s">
        <v>3452</v>
      </c>
      <c r="AB34">
        <f>_xlfn.XLOOKUP($H34,'[1]Baumaterialien Matériaux'!$A:$A,'[1]Baumaterialien Matériaux'!AK:AK,0,0)</f>
        <v>0</v>
      </c>
      <c r="AC34" cm="1">
        <f t="array" ref="AC34">_xlfn.SWITCH(I34,"kg"," ",0," ",_xlfn.XLOOKUP(H34, '[1]Baumaterialien Matériaux'!$A:$A, '[1]Baumaterialien Matériaux'!$AL:$AL, "-", 0, 1))</f>
        <v>0</v>
      </c>
      <c r="AD34" s="622" cm="1">
        <f t="array" ref="AD34">IFERROR(_xlfn.SWITCH(I34,"kg",1,"m3",AC34,AC34)*J34/(_xlfn.XLOOKUP(AA34,Métrés!A:A,Métrés!C:C,0)),0)</f>
        <v>0</v>
      </c>
      <c r="AE34" s="1092">
        <f>IFERROR(N34*$G$1/(_xlfn.XLOOKUP($AA34,Métrés!$A:$A,Métrés!$C:$C,0)),0)</f>
        <v>93.24176431924883</v>
      </c>
      <c r="AF34" s="1092">
        <f>IFERROR(O34*$G$1/(_xlfn.XLOOKUP($AA34,Métrés!$A:$A,Métrés!$C:$C,0)),0)</f>
        <v>21.699384694835679</v>
      </c>
      <c r="AG34" s="1092">
        <f>IFERROR(Q34*$G$1/(_xlfn.XLOOKUP($AA34,Métrés!$A:$A,Métrés!$C:$C,0)),0)</f>
        <v>17.762220657276995</v>
      </c>
      <c r="AH34" s="1092">
        <f>IFERROR(R34*$G$1/(_xlfn.XLOOKUP($AA34,Métrés!$A:$A,Métrés!$C:$C,0)),0)</f>
        <v>9.4546728638497655</v>
      </c>
      <c r="AI34" s="1092">
        <f>IFERROR(S34*$G$1/(_xlfn.XLOOKUP($AA34,Métrés!$A:$A,Métrés!$C:$C,0)),0)</f>
        <v>0</v>
      </c>
      <c r="AJ34" s="878"/>
      <c r="AK34" s="878"/>
      <c r="AL34" s="878"/>
      <c r="AM34" s="878"/>
      <c r="AN34" s="1053"/>
      <c r="AO34" s="878"/>
      <c r="AP34" s="878"/>
      <c r="AQ34" s="878"/>
      <c r="AR34" s="1054"/>
      <c r="AS34" s="1053"/>
      <c r="AT34" s="878"/>
      <c r="AU34" s="878"/>
      <c r="AV34" s="878"/>
      <c r="AW34" s="1054"/>
      <c r="AX34" s="1053"/>
      <c r="AY34" s="878"/>
      <c r="AZ34" s="878"/>
      <c r="BA34" s="878"/>
      <c r="BB34" s="1054"/>
      <c r="BC34" s="1053"/>
      <c r="BD34" s="878"/>
      <c r="BE34" s="878"/>
      <c r="BF34" s="1054"/>
      <c r="BG34" s="1053"/>
      <c r="BH34" s="878"/>
      <c r="BI34" s="1054"/>
      <c r="BJ34" s="878"/>
      <c r="BK34" s="1053"/>
      <c r="BL34" s="878"/>
      <c r="BM34" s="1054"/>
      <c r="BN34" s="1037">
        <f>IFERROR((J34*VLOOKUP(H34, 'Baumaterialien Matériaux'!$A$11:$AH$318, 33,FALSE)),0)/$G$1</f>
        <v>0</v>
      </c>
      <c r="BO34" s="1037"/>
      <c r="BP34" s="1037">
        <f>IFERROR((J34*VLOOKUP(H34, 'Baumaterialien Matériaux'!$A$11:$AH$318, 34,FALSE)),0)/$G$1</f>
        <v>0</v>
      </c>
      <c r="BQ34" s="1037">
        <f t="shared" si="25"/>
        <v>0</v>
      </c>
      <c r="BR34" s="1037"/>
    </row>
    <row r="35" spans="2:70">
      <c r="B35" s="1103"/>
      <c r="C35" s="1099"/>
      <c r="D35" s="478"/>
      <c r="E35" s="478"/>
      <c r="F35" s="478" t="s">
        <v>3023</v>
      </c>
      <c r="G35" s="478" t="str">
        <f>_xlfn.XLOOKUP(H35, 'Baumaterialien Matériaux'!A:A, 'Baumaterialien Matériaux'!AD:AD, "-", 0, 1)</f>
        <v>Sable</v>
      </c>
      <c r="H35" s="892" t="s">
        <v>699</v>
      </c>
      <c r="I35" s="641" t="str">
        <f>_xlfn.XLOOKUP(H35, 'Baumaterialien Matériaux'!A:A, 'Baumaterialien Matériaux'!F:F, "-", 0, 1)</f>
        <v>kg</v>
      </c>
      <c r="J35" s="649">
        <f>$J$34*K35</f>
        <v>40646.1</v>
      </c>
      <c r="K35" s="893">
        <f>0.33*1000</f>
        <v>330</v>
      </c>
      <c r="L35" s="647">
        <v>60</v>
      </c>
      <c r="M35" s="648">
        <f>IFERROR((J35*VLOOKUP(H35, 'Baumaterialien Matériaux'!$A$11:$AD$318, 26,FALSE))+(J35*VLOOKUP(H35, 'Baumaterialien Matériaux'!$A$11:$AD$318, 27,FALSE)),0)/$G$1</f>
        <v>0.71842312007479625</v>
      </c>
      <c r="N35" s="720">
        <f>IFERROR(($J35*VLOOKUP($H35, 'Baumaterialien Matériaux'!$A$11:$AD$318, 26,FALSE)),0)/$G$1</f>
        <v>0.13934151195405367</v>
      </c>
      <c r="O35" s="720">
        <f>IFERROR(($J35*VLOOKUP($H35, 'Baumaterialien Matériaux'!$A$11:$AH$318, 33,FALSE)),0)/$G$1</f>
        <v>4.6597973153466012E-2</v>
      </c>
      <c r="P35" s="720">
        <f>(N35+Q35)*($L$2/L35-1)</f>
        <v>0</v>
      </c>
      <c r="Q35" s="720">
        <f>IFERROR(($J35*VLOOKUP($H35, 'Baumaterialien Matériaux'!$A$11:$AD$318, 27,FALSE)),0)/$G$1</f>
        <v>0.57908160812074261</v>
      </c>
      <c r="R35" s="720">
        <f>IFERROR(($J35*VLOOKUP($H35, 'Baumaterialien Matériaux'!$A$11:$AH$318, 34,FALSE)),0)/$G$1</f>
        <v>2.3887116334980633E-2</v>
      </c>
      <c r="S35" s="720">
        <f>IFERROR((J35*VLOOKUP(H35, 'Baumaterialien Matériaux'!$A$11:$AD$318, 29,FALSE)),0)/$G$1</f>
        <v>0</v>
      </c>
      <c r="T35" s="720"/>
      <c r="V35" s="638">
        <f t="shared" si="2"/>
        <v>0</v>
      </c>
      <c r="W35" s="638">
        <f t="shared" si="3"/>
        <v>0</v>
      </c>
      <c r="X35" s="638" t="str">
        <f t="shared" si="10"/>
        <v>Structure</v>
      </c>
      <c r="Z35" s="638">
        <f t="shared" si="11"/>
        <v>60</v>
      </c>
      <c r="AA35" t="s">
        <v>3452</v>
      </c>
      <c r="AB35" t="str">
        <f>_xlfn.XLOOKUP($H35,'[1]Baumaterialien Matériaux'!$A:$A,'[1]Baumaterialien Matériaux'!AK:AK,0,0)</f>
        <v>stone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622" cm="1">
        <f t="array" ref="AD35">IFERROR(_xlfn.SWITCH(I35,"kg",1,"m3",AC35,AC35)*J35/(_xlfn.XLOOKUP(AA35,Métrés!A:A,Métrés!C:C,0)),0)</f>
        <v>175.07042253521124</v>
      </c>
      <c r="AE35" s="1092">
        <f>IFERROR(N35*$G$1/(_xlfn.XLOOKUP($AA35,Métrés!$A:$A,Métrés!$C:$C,0)),0)</f>
        <v>0.53921690140845058</v>
      </c>
      <c r="AF35" s="1092">
        <f>IFERROR(O35*$G$1/(_xlfn.XLOOKUP($AA35,Métrés!$A:$A,Métrés!$C:$C,0)),0)</f>
        <v>0.18032253521126762</v>
      </c>
      <c r="AG35" s="1092">
        <f>IFERROR(Q35*$G$1/(_xlfn.XLOOKUP($AA35,Métrés!$A:$A,Métrés!$C:$C,0)),0)</f>
        <v>2.240901408450704</v>
      </c>
      <c r="AH35" s="1092">
        <f>IFERROR(R35*$G$1/(_xlfn.XLOOKUP($AA35,Métrés!$A:$A,Métrés!$C:$C,0)),0)</f>
        <v>9.2437183098591558E-2</v>
      </c>
      <c r="AI35" s="1092">
        <f>IFERROR(S35*$G$1/(_xlfn.XLOOKUP($AA35,Métrés!$A:$A,Métrés!$C:$C,0)),0)</f>
        <v>0</v>
      </c>
      <c r="AJ35" s="1022"/>
      <c r="AK35" s="638">
        <f t="shared" ref="AK35:AK40" si="50">IF(L35=60, 0, T35)</f>
        <v>0</v>
      </c>
      <c r="AL35" s="638">
        <f t="shared" ref="AL35:AL40" si="51">IF(L35=60, 0, S35)</f>
        <v>0</v>
      </c>
      <c r="AM35" s="638" t="str">
        <f t="shared" ref="AM35:AM40" si="52">IF(L35=$L$2, "Structure", IF(L35&gt;0,"Revêtement",0))</f>
        <v>Structure</v>
      </c>
      <c r="AN35" s="1036">
        <f t="shared" ref="AN35:AN40" si="53">IF(AM35="Structure",N35,0)</f>
        <v>0.13934151195405367</v>
      </c>
      <c r="AO35" s="1037">
        <f t="shared" ref="AO35:AO40" si="54">IF(AM35="Structure",P35,0)</f>
        <v>0</v>
      </c>
      <c r="AP35" s="1037">
        <f t="shared" ref="AP35:AP40" si="55">IF(AM35="Structure",Q35,0)</f>
        <v>0.57908160812074261</v>
      </c>
      <c r="AQ35" s="1038">
        <f t="shared" ref="AQ35:AQ40" si="56">IF(AM35="Structure",S35,0)</f>
        <v>0</v>
      </c>
      <c r="AR35" s="1038">
        <f t="shared" ref="AR35:AR40" si="57">IF(AM35="Structure",T35,0)</f>
        <v>0</v>
      </c>
      <c r="AS35" s="1036">
        <f t="shared" ref="AS35:AS40" si="58">IF(AM35="Insulation",N35,0)</f>
        <v>0</v>
      </c>
      <c r="AT35" s="1037">
        <f t="shared" ref="AT35:AT40" si="59">IF(AM35="Insulation",P35,0)</f>
        <v>0</v>
      </c>
      <c r="AU35" s="1037">
        <f t="shared" ref="AU35:AU40" si="60">IF(AM35="Insulation",Q35,0)</f>
        <v>0</v>
      </c>
      <c r="AV35" s="1038">
        <f t="shared" ref="AV35:AV40" si="61">IF(AM35="Insulation",S35,0)</f>
        <v>0</v>
      </c>
      <c r="AW35" s="1038">
        <f t="shared" ref="AW35:AW40" si="62">IF(AM35="Insulation",T35,0)</f>
        <v>0</v>
      </c>
      <c r="AX35" s="1036">
        <f t="shared" ref="AX35:AX40" si="63">IF(AM35="Revêtement",N35,0)</f>
        <v>0</v>
      </c>
      <c r="AY35" s="1037">
        <f t="shared" ref="AY35:AY40" si="64">IF(AM35="Revêtement",P35,0)</f>
        <v>0</v>
      </c>
      <c r="AZ35" s="1037">
        <f t="shared" ref="AZ35:AZ40" si="65">IF(AM35="Revêtement",Q35,0)</f>
        <v>0</v>
      </c>
      <c r="BA35" s="1037">
        <f t="shared" ref="BA35:BA40" si="66">IF(AM35="Revêtement",S35,0)</f>
        <v>0</v>
      </c>
      <c r="BB35" s="1038">
        <f t="shared" ref="BB35:BB40" si="67">IF(AM35="Revêtement",T35,0)</f>
        <v>0</v>
      </c>
      <c r="BC35" s="1036"/>
      <c r="BD35" s="1037"/>
      <c r="BE35" s="1037"/>
      <c r="BF35" s="1038"/>
      <c r="BG35" s="1036">
        <f t="shared" ref="BG35:BG40" si="68">IF($AM35="Structure", IF($I35="kg",$J35,0), 0)</f>
        <v>40646.1</v>
      </c>
      <c r="BH35" s="1037">
        <f t="shared" ref="BH35:BH40" si="69">IF($AM35="Insulation", IF($I35="kg",$J35,0), 0)</f>
        <v>0</v>
      </c>
      <c r="BI35" s="1038">
        <f t="shared" ref="BI35:BI40" si="70">IF($AM35="Revêtement", IF($I35="kg",$J35,0), 0)</f>
        <v>0</v>
      </c>
      <c r="BJ35" s="1037">
        <f>_xlfn.XLOOKUP(H35, 'Baumaterialien Matériaux'!A:A, 'Baumaterialien Matériaux'!E:E, "-", 0, 1)</f>
        <v>2000</v>
      </c>
      <c r="BK35" s="1036">
        <f t="shared" si="22"/>
        <v>20.323049999999999</v>
      </c>
      <c r="BL35" s="1037">
        <f t="shared" si="23"/>
        <v>0</v>
      </c>
      <c r="BM35" s="1038">
        <f t="shared" si="24"/>
        <v>0</v>
      </c>
      <c r="BN35" s="1037">
        <f>IFERROR((J35*VLOOKUP(H35, 'Baumaterialien Matériaux'!$A$11:$AH$318, 33,FALSE)),0)/$G$1</f>
        <v>4.6597973153466012E-2</v>
      </c>
      <c r="BO35" s="1037">
        <f t="shared" ref="BO35:BO40" si="71">(BN35+BP35)*($L$2/L35-1)</f>
        <v>0</v>
      </c>
      <c r="BP35" s="1037">
        <f>IFERROR((J35*VLOOKUP(H35, 'Baumaterialien Matériaux'!$A$11:$AH$318, 34,FALSE)),0)/$G$1</f>
        <v>2.3887116334980633E-2</v>
      </c>
      <c r="BQ35" s="1037">
        <f t="shared" si="25"/>
        <v>4.1250000000000002E-2</v>
      </c>
      <c r="BR35" s="1037">
        <f t="shared" ref="BR35:BR42" si="72">IFERROR((N35+Q35)*($L$2/L35-1),0)</f>
        <v>0</v>
      </c>
    </row>
    <row r="36" spans="2:70">
      <c r="B36" s="1103"/>
      <c r="C36" s="1099"/>
      <c r="D36" s="478"/>
      <c r="E36" s="478"/>
      <c r="F36" s="478" t="s">
        <v>3024</v>
      </c>
      <c r="G36" s="478" t="str">
        <f>_xlfn.XLOOKUP(H36, 'Baumaterialien Matériaux'!A:A, 'Baumaterialien Matériaux'!AD:AD, "-", 0, 1)</f>
        <v>Feuille de polyéthylène (PE)</v>
      </c>
      <c r="H36" s="892" t="s">
        <v>716</v>
      </c>
      <c r="I36" s="641" t="str">
        <f>_xlfn.XLOOKUP(H36, 'Baumaterialien Matériaux'!A:A, 'Baumaterialien Matériaux'!F:F, "-", 0, 1)</f>
        <v>kg</v>
      </c>
      <c r="J36" s="649">
        <f t="shared" ref="J36:J40" si="73">$J$34*K36</f>
        <v>66.511800000000008</v>
      </c>
      <c r="K36" s="894">
        <v>0.54</v>
      </c>
      <c r="L36" s="647">
        <v>60</v>
      </c>
      <c r="M36" s="648">
        <f>IFERROR((J36*VLOOKUP(H36, 'Baumaterialien Matériaux'!$A$11:$AD$318, 26,FALSE))+(J36*VLOOKUP(H36, 'Baumaterialien Matériaux'!$A$11:$AD$318, 27,FALSE)),0)/$G$1</f>
        <v>0.40124433017229866</v>
      </c>
      <c r="N36" s="720">
        <f>IFERROR(($J36*VLOOKUP($H36, 'Baumaterialien Matériaux'!$A$11:$AD$318, 26,FALSE)),0)/$G$1</f>
        <v>0.20358337785494857</v>
      </c>
      <c r="O36" s="720">
        <f>IFERROR(($J36*VLOOKUP($H36, 'Baumaterialien Matériaux'!$A$11:$AH$318, 33,FALSE)),0)/$G$1</f>
        <v>0.17915337251235475</v>
      </c>
      <c r="P36" s="720">
        <f t="shared" ref="P36:P40" si="74">(N36+Q36)*($L$2/L36-1)</f>
        <v>0</v>
      </c>
      <c r="Q36" s="720">
        <f>IFERROR(($J36*VLOOKUP($H36, 'Baumaterialien Matériaux'!$A$11:$AD$318, 27,FALSE)),0)/$G$1</f>
        <v>0.19766095231735006</v>
      </c>
      <c r="R36" s="720">
        <f>IFERROR(($J36*VLOOKUP($H36, 'Baumaterialien Matériaux'!$A$11:$AH$318, 34,FALSE)),0)/$G$1</f>
        <v>0.19025792039535194</v>
      </c>
      <c r="S36" s="720">
        <f>IFERROR((J36*VLOOKUP(H36, 'Baumaterialien Matériaux'!$A$11:$AD$318, 29,FALSE)),0)/$G$1</f>
        <v>0</v>
      </c>
      <c r="T36" s="720"/>
      <c r="V36" s="638">
        <f t="shared" si="2"/>
        <v>0</v>
      </c>
      <c r="W36" s="638">
        <f t="shared" si="3"/>
        <v>0</v>
      </c>
      <c r="X36" s="638" t="str">
        <f t="shared" si="10"/>
        <v>Structure</v>
      </c>
      <c r="Z36" s="638">
        <f t="shared" si="11"/>
        <v>60</v>
      </c>
      <c r="AA36" t="s">
        <v>3452</v>
      </c>
      <c r="AB36" t="str">
        <f>_xlfn.XLOOKUP($H36,'[1]Baumaterialien Matériaux'!$A:$A,'[1]Baumaterialien Matériaux'!AK:AK,0,0)</f>
        <v>oil_product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622" cm="1">
        <f t="array" ref="AD36">IFERROR(_xlfn.SWITCH(I36,"kg",1,"m3",AC36,AC36)*J36/(_xlfn.XLOOKUP(AA36,Métrés!A:A,Métrés!C:C,0)),0)</f>
        <v>0.28647887323943666</v>
      </c>
      <c r="AE36" s="1092">
        <f>IFERROR(N36*$G$1/(_xlfn.XLOOKUP($AA36,Métrés!$A:$A,Métrés!$C:$C,0)),0)</f>
        <v>0.78781690140845073</v>
      </c>
      <c r="AF36" s="1092">
        <f>IFERROR(O36*$G$1/(_xlfn.XLOOKUP($AA36,Métrés!$A:$A,Métrés!$C:$C,0)),0)</f>
        <v>0.6932788732394366</v>
      </c>
      <c r="AG36" s="1092">
        <f>IFERROR(Q36*$G$1/(_xlfn.XLOOKUP($AA36,Métrés!$A:$A,Métrés!$C:$C,0)),0)</f>
        <v>0.76489859154929574</v>
      </c>
      <c r="AH36" s="1092">
        <f>IFERROR(R36*$G$1/(_xlfn.XLOOKUP($AA36,Métrés!$A:$A,Métrés!$C:$C,0)),0)</f>
        <v>0.7362507042253521</v>
      </c>
      <c r="AI36" s="1092">
        <f>IFERROR(S36*$G$1/(_xlfn.XLOOKUP($AA36,Métrés!$A:$A,Métrés!$C:$C,0)),0)</f>
        <v>0</v>
      </c>
      <c r="AJ36" s="1022"/>
      <c r="AK36" s="638">
        <f t="shared" si="50"/>
        <v>0</v>
      </c>
      <c r="AL36" s="638">
        <f t="shared" si="51"/>
        <v>0</v>
      </c>
      <c r="AM36" s="638" t="str">
        <f t="shared" si="52"/>
        <v>Structure</v>
      </c>
      <c r="AN36" s="1036">
        <f t="shared" si="53"/>
        <v>0.20358337785494857</v>
      </c>
      <c r="AO36" s="1037">
        <f t="shared" si="54"/>
        <v>0</v>
      </c>
      <c r="AP36" s="1037">
        <f t="shared" si="55"/>
        <v>0.19766095231735006</v>
      </c>
      <c r="AQ36" s="1038">
        <f t="shared" si="56"/>
        <v>0</v>
      </c>
      <c r="AR36" s="1038">
        <f t="shared" si="57"/>
        <v>0</v>
      </c>
      <c r="AS36" s="1036">
        <f t="shared" si="58"/>
        <v>0</v>
      </c>
      <c r="AT36" s="1037">
        <f t="shared" si="59"/>
        <v>0</v>
      </c>
      <c r="AU36" s="1037">
        <f t="shared" si="60"/>
        <v>0</v>
      </c>
      <c r="AV36" s="1038">
        <f t="shared" si="61"/>
        <v>0</v>
      </c>
      <c r="AW36" s="1038">
        <f t="shared" si="62"/>
        <v>0</v>
      </c>
      <c r="AX36" s="1036">
        <f t="shared" si="63"/>
        <v>0</v>
      </c>
      <c r="AY36" s="1037">
        <f t="shared" si="64"/>
        <v>0</v>
      </c>
      <c r="AZ36" s="1037">
        <f t="shared" si="65"/>
        <v>0</v>
      </c>
      <c r="BA36" s="1037">
        <f t="shared" si="66"/>
        <v>0</v>
      </c>
      <c r="BB36" s="1038">
        <f t="shared" si="67"/>
        <v>0</v>
      </c>
      <c r="BC36" s="1036"/>
      <c r="BD36" s="1037"/>
      <c r="BE36" s="1037"/>
      <c r="BF36" s="1038"/>
      <c r="BG36" s="1036">
        <f t="shared" si="68"/>
        <v>66.511800000000008</v>
      </c>
      <c r="BH36" s="1037">
        <f t="shared" si="69"/>
        <v>0</v>
      </c>
      <c r="BI36" s="1038">
        <f t="shared" si="70"/>
        <v>0</v>
      </c>
      <c r="BJ36" s="1037">
        <f>_xlfn.XLOOKUP(H36, 'Baumaterialien Matériaux'!A:A, 'Baumaterialien Matériaux'!E:E, "-", 0, 1)</f>
        <v>920</v>
      </c>
      <c r="BK36" s="1036">
        <f t="shared" si="22"/>
        <v>7.2295434782608706E-2</v>
      </c>
      <c r="BL36" s="1037">
        <f t="shared" si="23"/>
        <v>0</v>
      </c>
      <c r="BM36" s="1038">
        <f t="shared" si="24"/>
        <v>0</v>
      </c>
      <c r="BN36" s="1037">
        <f>IFERROR((J36*VLOOKUP(H36, 'Baumaterialien Matériaux'!$A$11:$AH$318, 33,FALSE)),0)/$G$1</f>
        <v>0.17915337251235475</v>
      </c>
      <c r="BO36" s="1037">
        <f t="shared" si="71"/>
        <v>0</v>
      </c>
      <c r="BP36" s="1037">
        <f>IFERROR((J36*VLOOKUP(H36, 'Baumaterialien Matériaux'!$A$11:$AH$318, 34,FALSE)),0)/$G$1</f>
        <v>0.19025792039535194</v>
      </c>
      <c r="BQ36" s="1037">
        <f t="shared" si="25"/>
        <v>0.96254681647940077</v>
      </c>
      <c r="BR36" s="1037">
        <f t="shared" si="72"/>
        <v>0</v>
      </c>
    </row>
    <row r="37" spans="2:70">
      <c r="B37" s="1103"/>
      <c r="C37" s="1099"/>
      <c r="D37" s="478"/>
      <c r="E37" s="478"/>
      <c r="F37" s="478" t="s">
        <v>2994</v>
      </c>
      <c r="G37" s="478" t="str">
        <f>_xlfn.XLOOKUP(H37, 'Baumaterialien Matériaux'!A:A, 'Baumaterialien Matériaux'!AD:AD, "-", 0, 1)</f>
        <v>Lé d'étanchéité bitumineux</v>
      </c>
      <c r="H37" s="892" t="s">
        <v>696</v>
      </c>
      <c r="I37" s="641" t="str">
        <f>_xlfn.XLOOKUP(H37, 'Baumaterialien Matériaux'!A:A, 'Baumaterialien Matériaux'!F:F, "-", 0, 1)</f>
        <v>kg</v>
      </c>
      <c r="J37" s="649">
        <f t="shared" si="73"/>
        <v>704.53239999999994</v>
      </c>
      <c r="K37" s="893">
        <f>0.0052*1100</f>
        <v>5.72</v>
      </c>
      <c r="L37" s="647">
        <v>60</v>
      </c>
      <c r="M37" s="648">
        <f>IFERROR((J37*VLOOKUP(H37, 'Baumaterialien Matériaux'!$A$11:$AD$318, 26,FALSE))+(J37*VLOOKUP(H37, 'Baumaterialien Matériaux'!$A$11:$AD$318, 27,FALSE)),0)/$G$1</f>
        <v>2.6191378567294419</v>
      </c>
      <c r="N37" s="720">
        <f>IFERROR(($J37*VLOOKUP($H37, 'Baumaterialien Matériaux'!$A$11:$AD$318, 26,FALSE)),0)/$G$1</f>
        <v>0.79201474110680725</v>
      </c>
      <c r="O37" s="720">
        <f>IFERROR(($J37*VLOOKUP($H37, 'Baumaterialien Matériaux'!$A$11:$AH$318, 33,FALSE)),0)/$G$1</f>
        <v>0.43835271314723295</v>
      </c>
      <c r="P37" s="720">
        <f t="shared" si="74"/>
        <v>0</v>
      </c>
      <c r="Q37" s="720">
        <f>IFERROR(($J37*VLOOKUP($H37, 'Baumaterialien Matériaux'!$A$11:$AD$318, 27,FALSE)),0)/$G$1</f>
        <v>1.8271231156226344</v>
      </c>
      <c r="R37" s="720">
        <f>IFERROR(($J37*VLOOKUP($H37, 'Baumaterialien Matériaux'!$A$11:$AH$318, 34,FALSE)),0)/$G$1</f>
        <v>1.8428065758425713</v>
      </c>
      <c r="S37" s="720">
        <f>IFERROR((J37*VLOOKUP(H37, 'Baumaterialien Matériaux'!$A$11:$AD$318, 29,FALSE)),0)/$G$1</f>
        <v>0</v>
      </c>
      <c r="T37" s="720"/>
      <c r="V37" s="638">
        <f t="shared" si="2"/>
        <v>0</v>
      </c>
      <c r="W37" s="638">
        <f t="shared" si="3"/>
        <v>0</v>
      </c>
      <c r="X37" s="638" t="str">
        <f t="shared" si="10"/>
        <v>Structure</v>
      </c>
      <c r="Z37" s="638">
        <f t="shared" si="11"/>
        <v>60</v>
      </c>
      <c r="AA37" t="s">
        <v>3452</v>
      </c>
      <c r="AB37" t="str">
        <f>_xlfn.XLOOKUP($H37,'[1]Baumaterialien Matériaux'!$A:$A,'[1]Baumaterialien Matériaux'!AK:AK,0,0)</f>
        <v>oil_product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622" cm="1">
        <f t="array" ref="AD37">IFERROR(_xlfn.SWITCH(I37,"kg",1,"m3",AC37,AC37)*J37/(_xlfn.XLOOKUP(AA37,Métrés!A:A,Métrés!C:C,0)),0)</f>
        <v>3.0345539906103283</v>
      </c>
      <c r="AE37" s="1092">
        <f>IFERROR(N37*$G$1/(_xlfn.XLOOKUP($AA37,Métrés!$A:$A,Métrés!$C:$C,0)),0)</f>
        <v>3.0648995305164317</v>
      </c>
      <c r="AF37" s="1092">
        <f>IFERROR(O37*$G$1/(_xlfn.XLOOKUP($AA37,Métrés!$A:$A,Métrés!$C:$C,0)),0)</f>
        <v>1.6963156807511734</v>
      </c>
      <c r="AG37" s="1092">
        <f>IFERROR(Q37*$G$1/(_xlfn.XLOOKUP($AA37,Métrés!$A:$A,Métrés!$C:$C,0)),0)</f>
        <v>7.070510798122065</v>
      </c>
      <c r="AH37" s="1092">
        <f>IFERROR(R37*$G$1/(_xlfn.XLOOKUP($AA37,Métrés!$A:$A,Métrés!$C:$C,0)),0)</f>
        <v>7.1312018779342718</v>
      </c>
      <c r="AI37" s="1092">
        <f>IFERROR(S37*$G$1/(_xlfn.XLOOKUP($AA37,Métrés!$A:$A,Métrés!$C:$C,0)),0)</f>
        <v>0</v>
      </c>
      <c r="AJ37" s="1022"/>
      <c r="AK37" s="638">
        <f t="shared" si="50"/>
        <v>0</v>
      </c>
      <c r="AL37" s="638">
        <f t="shared" si="51"/>
        <v>0</v>
      </c>
      <c r="AM37" s="638" t="str">
        <f t="shared" si="52"/>
        <v>Structure</v>
      </c>
      <c r="AN37" s="1036">
        <f t="shared" si="53"/>
        <v>0.79201474110680725</v>
      </c>
      <c r="AO37" s="1037">
        <f t="shared" si="54"/>
        <v>0</v>
      </c>
      <c r="AP37" s="1037">
        <f t="shared" si="55"/>
        <v>1.8271231156226344</v>
      </c>
      <c r="AQ37" s="1038">
        <f t="shared" si="56"/>
        <v>0</v>
      </c>
      <c r="AR37" s="1038">
        <f t="shared" si="57"/>
        <v>0</v>
      </c>
      <c r="AS37" s="1036">
        <f t="shared" si="58"/>
        <v>0</v>
      </c>
      <c r="AT37" s="1037">
        <f t="shared" si="59"/>
        <v>0</v>
      </c>
      <c r="AU37" s="1037">
        <f t="shared" si="60"/>
        <v>0</v>
      </c>
      <c r="AV37" s="1038">
        <f t="shared" si="61"/>
        <v>0</v>
      </c>
      <c r="AW37" s="1038">
        <f t="shared" si="62"/>
        <v>0</v>
      </c>
      <c r="AX37" s="1036">
        <f t="shared" si="63"/>
        <v>0</v>
      </c>
      <c r="AY37" s="1037">
        <f t="shared" si="64"/>
        <v>0</v>
      </c>
      <c r="AZ37" s="1037">
        <f t="shared" si="65"/>
        <v>0</v>
      </c>
      <c r="BA37" s="1037">
        <f t="shared" si="66"/>
        <v>0</v>
      </c>
      <c r="BB37" s="1038">
        <f t="shared" si="67"/>
        <v>0</v>
      </c>
      <c r="BC37" s="1036"/>
      <c r="BD37" s="1037"/>
      <c r="BE37" s="1037"/>
      <c r="BF37" s="1038"/>
      <c r="BG37" s="1036">
        <f t="shared" si="68"/>
        <v>704.53239999999994</v>
      </c>
      <c r="BH37" s="1037">
        <f t="shared" si="69"/>
        <v>0</v>
      </c>
      <c r="BI37" s="1038">
        <f t="shared" si="70"/>
        <v>0</v>
      </c>
      <c r="BJ37" s="1037">
        <f>_xlfn.XLOOKUP(H37, 'Baumaterialien Matériaux'!A:A, 'Baumaterialien Matériaux'!E:E, "-", 0, 1)</f>
        <v>1100</v>
      </c>
      <c r="BK37" s="1036">
        <f t="shared" si="22"/>
        <v>0.64048399999999994</v>
      </c>
      <c r="BL37" s="1037">
        <f t="shared" si="23"/>
        <v>0</v>
      </c>
      <c r="BM37" s="1038">
        <f t="shared" si="24"/>
        <v>0</v>
      </c>
      <c r="BN37" s="1037">
        <f>IFERROR((J37*VLOOKUP(H37, 'Baumaterialien Matériaux'!$A$11:$AH$318, 33,FALSE)),0)/$G$1</f>
        <v>0.43835271314723295</v>
      </c>
      <c r="BO37" s="1037">
        <f t="shared" si="71"/>
        <v>0</v>
      </c>
      <c r="BP37" s="1037">
        <f>IFERROR((J37*VLOOKUP(H37, 'Baumaterialien Matériaux'!$A$11:$AH$318, 34,FALSE)),0)/$G$1</f>
        <v>1.8428065758425713</v>
      </c>
      <c r="BQ37" s="1037">
        <f t="shared" si="25"/>
        <v>1.0085836909871246</v>
      </c>
      <c r="BR37" s="1037">
        <f t="shared" si="72"/>
        <v>0</v>
      </c>
    </row>
    <row r="38" spans="2:70">
      <c r="B38" s="1103"/>
      <c r="C38" s="1099"/>
      <c r="D38" s="478"/>
      <c r="E38" s="478"/>
      <c r="F38" s="478" t="s">
        <v>3025</v>
      </c>
      <c r="G38" s="478" t="str">
        <f>_xlfn.XLOOKUP(H38, 'Baumaterialien Matériaux'!A:A, 'Baumaterialien Matériaux'!AD:AD, "-", 0, 1)</f>
        <v>Béton maigre (sans armature)</v>
      </c>
      <c r="H38" s="891">
        <v>1.0009999999999999</v>
      </c>
      <c r="I38" s="641" t="str">
        <f>_xlfn.XLOOKUP(H38, 'Baumaterialien Matériaux'!A:A, 'Baumaterialien Matériaux'!F:F, "-", 0, 1)</f>
        <v>kg</v>
      </c>
      <c r="J38" s="649">
        <f t="shared" si="73"/>
        <v>31777.86</v>
      </c>
      <c r="K38" s="893">
        <f>0.12*2150</f>
        <v>258</v>
      </c>
      <c r="L38" s="647">
        <v>60</v>
      </c>
      <c r="M38" s="648">
        <f>IFERROR((J38*VLOOKUP(H38, 'Baumaterialien Matériaux'!$A$11:$AD$318, 26,FALSE))+(J38*VLOOKUP(H38, 'Baumaterialien Matériaux'!$A$11:$AD$318, 27,FALSE)),0)/$G$1</f>
        <v>2.2283126085214371</v>
      </c>
      <c r="N38" s="720">
        <f>IFERROR(($J38*VLOOKUP($H38, 'Baumaterialien Matériaux'!$A$11:$AD$318, 26,FALSE)),0)/$G$1</f>
        <v>1.7755760785361292</v>
      </c>
      <c r="O38" s="720">
        <f>IFERROR(($J38*VLOOKUP($H38, 'Baumaterialien Matériaux'!$A$11:$AH$318, 33,FALSE)),0)/$G$1</f>
        <v>0.42797750100173632</v>
      </c>
      <c r="P38" s="720">
        <f t="shared" si="74"/>
        <v>0</v>
      </c>
      <c r="Q38" s="720">
        <f>IFERROR(($J38*VLOOKUP($H38, 'Baumaterialien Matériaux'!$A$11:$AD$318, 27,FALSE)),0)/$G$1</f>
        <v>0.45273652998530789</v>
      </c>
      <c r="R38" s="720">
        <f>IFERROR(($J38*VLOOKUP($H38, 'Baumaterialien Matériaux'!$A$11:$AH$318, 34,FALSE)),0)/$G$1</f>
        <v>8.2058496059837061E-2</v>
      </c>
      <c r="S38" s="720">
        <f>IFERROR((J38*VLOOKUP(H38, 'Baumaterialien Matériaux'!$A$11:$AD$318, 29,FALSE)),0)/$G$1</f>
        <v>0</v>
      </c>
      <c r="T38" s="720"/>
      <c r="V38" s="638">
        <f t="shared" si="2"/>
        <v>0</v>
      </c>
      <c r="W38" s="638">
        <f t="shared" si="3"/>
        <v>0</v>
      </c>
      <c r="X38" s="638" t="str">
        <f t="shared" si="10"/>
        <v>Structure</v>
      </c>
      <c r="Z38" s="638">
        <f t="shared" si="11"/>
        <v>60</v>
      </c>
      <c r="AA38" t="s">
        <v>3452</v>
      </c>
      <c r="AB38" t="str">
        <f>_xlfn.XLOOKUP($H38,'[1]Baumaterialien Matériaux'!$A:$A,'[1]Baumaterialien Matériaux'!AK:AK,0,0)</f>
        <v>concrete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622" cm="1">
        <f t="array" ref="AD38">IFERROR(_xlfn.SWITCH(I38,"kg",1,"m3",AC38,AC38)*J38/(_xlfn.XLOOKUP(AA38,Métrés!A:A,Métrés!C:C,0)),0)</f>
        <v>136.87323943661971</v>
      </c>
      <c r="AE38" s="1092">
        <f>IFERROR(N38*$G$1/(_xlfn.XLOOKUP($AA38,Métrés!$A:$A,Métrés!$C:$C,0)),0)</f>
        <v>6.8710366197183088</v>
      </c>
      <c r="AF38" s="1092">
        <f>IFERROR(O38*$G$1/(_xlfn.XLOOKUP($AA38,Métrés!$A:$A,Métrés!$C:$C,0)),0)</f>
        <v>1.6561661971830985</v>
      </c>
      <c r="AG38" s="1092">
        <f>IFERROR(Q38*$G$1/(_xlfn.XLOOKUP($AA38,Métrés!$A:$A,Métrés!$C:$C,0)),0)</f>
        <v>1.7519774647887323</v>
      </c>
      <c r="AH38" s="1092">
        <f>IFERROR(R38*$G$1/(_xlfn.XLOOKUP($AA38,Métrés!$A:$A,Métrés!$C:$C,0)),0)</f>
        <v>0.31754591549295774</v>
      </c>
      <c r="AI38" s="1092">
        <f>IFERROR(S38*$G$1/(_xlfn.XLOOKUP($AA38,Métrés!$A:$A,Métrés!$C:$C,0)),0)</f>
        <v>0</v>
      </c>
      <c r="AJ38" s="1022"/>
      <c r="AK38" s="638">
        <f t="shared" si="50"/>
        <v>0</v>
      </c>
      <c r="AL38" s="638">
        <f t="shared" si="51"/>
        <v>0</v>
      </c>
      <c r="AM38" s="638" t="str">
        <f t="shared" si="52"/>
        <v>Structure</v>
      </c>
      <c r="AN38" s="1036">
        <f t="shared" si="53"/>
        <v>1.7755760785361292</v>
      </c>
      <c r="AO38" s="1037">
        <f t="shared" si="54"/>
        <v>0</v>
      </c>
      <c r="AP38" s="1037">
        <f t="shared" si="55"/>
        <v>0.45273652998530789</v>
      </c>
      <c r="AQ38" s="1038">
        <f t="shared" si="56"/>
        <v>0</v>
      </c>
      <c r="AR38" s="1038">
        <f t="shared" si="57"/>
        <v>0</v>
      </c>
      <c r="AS38" s="1036">
        <f t="shared" si="58"/>
        <v>0</v>
      </c>
      <c r="AT38" s="1037">
        <f t="shared" si="59"/>
        <v>0</v>
      </c>
      <c r="AU38" s="1037">
        <f t="shared" si="60"/>
        <v>0</v>
      </c>
      <c r="AV38" s="1038">
        <f t="shared" si="61"/>
        <v>0</v>
      </c>
      <c r="AW38" s="1038">
        <f t="shared" si="62"/>
        <v>0</v>
      </c>
      <c r="AX38" s="1036">
        <f t="shared" si="63"/>
        <v>0</v>
      </c>
      <c r="AY38" s="1037">
        <f t="shared" si="64"/>
        <v>0</v>
      </c>
      <c r="AZ38" s="1037">
        <f t="shared" si="65"/>
        <v>0</v>
      </c>
      <c r="BA38" s="1037">
        <f t="shared" si="66"/>
        <v>0</v>
      </c>
      <c r="BB38" s="1038">
        <f t="shared" si="67"/>
        <v>0</v>
      </c>
      <c r="BC38" s="1036"/>
      <c r="BD38" s="1037"/>
      <c r="BE38" s="1037"/>
      <c r="BF38" s="1038"/>
      <c r="BG38" s="1036">
        <f t="shared" si="68"/>
        <v>31777.86</v>
      </c>
      <c r="BH38" s="1037">
        <f t="shared" si="69"/>
        <v>0</v>
      </c>
      <c r="BI38" s="1038">
        <f t="shared" si="70"/>
        <v>0</v>
      </c>
      <c r="BJ38" s="1037">
        <f>_xlfn.XLOOKUP(H38, 'Baumaterialien Matériaux'!A:A, 'Baumaterialien Matériaux'!E:E, "-", 0, 1)</f>
        <v>2150</v>
      </c>
      <c r="BK38" s="1036">
        <f t="shared" si="22"/>
        <v>14.7804</v>
      </c>
      <c r="BL38" s="1037">
        <f t="shared" si="23"/>
        <v>0</v>
      </c>
      <c r="BM38" s="1038">
        <f t="shared" si="24"/>
        <v>0</v>
      </c>
      <c r="BN38" s="1037">
        <f>IFERROR((J38*VLOOKUP(H38, 'Baumaterialien Matériaux'!$A$11:$AH$318, 33,FALSE)),0)/$G$1</f>
        <v>0.42797750100173632</v>
      </c>
      <c r="BO38" s="1037">
        <f t="shared" si="71"/>
        <v>0</v>
      </c>
      <c r="BP38" s="1037">
        <f>IFERROR((J38*VLOOKUP(H38, 'Baumaterialien Matériaux'!$A$11:$AH$318, 34,FALSE)),0)/$G$1</f>
        <v>8.2058496059837061E-2</v>
      </c>
      <c r="BQ38" s="1037">
        <f t="shared" si="25"/>
        <v>0.18125000000000002</v>
      </c>
      <c r="BR38" s="1037">
        <f t="shared" si="72"/>
        <v>0</v>
      </c>
    </row>
    <row r="39" spans="2:70">
      <c r="B39" s="1103"/>
      <c r="C39" s="1099"/>
      <c r="D39" s="478"/>
      <c r="E39" s="478"/>
      <c r="F39" s="478" t="s">
        <v>3026</v>
      </c>
      <c r="G39" s="478" t="str">
        <f>_xlfn.XLOOKUP(H39, 'Baumaterialien Matériaux'!A:A, 'Baumaterialien Matériaux'!AD:AD, "-", 0, 1)</f>
        <v>Béton pour bâtiment (sans armature)</v>
      </c>
      <c r="H39" s="891">
        <v>1.0019999999999998</v>
      </c>
      <c r="I39" s="641" t="str">
        <f>_xlfn.XLOOKUP(H39, 'Baumaterialien Matériaux'!A:A, 'Baumaterialien Matériaux'!F:F, "-", 0, 1)</f>
        <v>kg</v>
      </c>
      <c r="J39" s="649">
        <f t="shared" si="73"/>
        <v>101984.76</v>
      </c>
      <c r="K39" s="893">
        <f>0.36*2300</f>
        <v>828</v>
      </c>
      <c r="L39" s="647">
        <v>60</v>
      </c>
      <c r="M39" s="648">
        <f>IFERROR((J39*VLOOKUP(H39, 'Baumaterialien Matériaux'!$A$11:$AD$318, 26,FALSE))+(J39*VLOOKUP(H39, 'Baumaterialien Matériaux'!$A$11:$AD$318, 27,FALSE)),0)/$G$1</f>
        <v>11.521585347936423</v>
      </c>
      <c r="N39" s="720">
        <f>IFERROR(($J39*VLOOKUP($H39, 'Baumaterialien Matériaux'!$A$11:$AD$318, 26,FALSE)),0)/$G$1</f>
        <v>10.079968264992653</v>
      </c>
      <c r="O39" s="720">
        <f>IFERROR(($J39*VLOOKUP($H39, 'Baumaterialien Matériaux'!$A$11:$AH$318, 33,FALSE)),0)/$G$1</f>
        <v>2.3610736476559366</v>
      </c>
      <c r="P39" s="720">
        <f t="shared" si="74"/>
        <v>0</v>
      </c>
      <c r="Q39" s="720">
        <f>IFERROR(($J39*VLOOKUP($H39, 'Baumaterialien Matériaux'!$A$11:$AD$318, 27,FALSE)),0)/$G$1</f>
        <v>1.4416170829437689</v>
      </c>
      <c r="R39" s="720">
        <f>IFERROR(($J39*VLOOKUP($H39, 'Baumaterialien Matériaux'!$A$11:$AH$318, 34,FALSE)),0)/$G$1</f>
        <v>0.30421525844797642</v>
      </c>
      <c r="S39" s="720">
        <f>IFERROR((J39*VLOOKUP(H39, 'Baumaterialien Matériaux'!$A$11:$AD$318, 29,FALSE)),0)/$G$1</f>
        <v>0</v>
      </c>
      <c r="T39" s="720"/>
      <c r="V39" s="638">
        <f t="shared" si="2"/>
        <v>0</v>
      </c>
      <c r="W39" s="638">
        <f t="shared" si="3"/>
        <v>0</v>
      </c>
      <c r="X39" s="638" t="str">
        <f t="shared" si="10"/>
        <v>Structure</v>
      </c>
      <c r="Z39" s="638">
        <f t="shared" si="11"/>
        <v>60</v>
      </c>
      <c r="AA39" t="s">
        <v>3452</v>
      </c>
      <c r="AB39" t="str">
        <f>_xlfn.XLOOKUP($H39,'[1]Baumaterialien Matériaux'!$A:$A,'[1]Baumaterialien Matériaux'!AK:AK,0,0)</f>
        <v>concrete</v>
      </c>
      <c r="AC39" t="str" cm="1">
        <f t="array" ref="AC39">_xlfn.SWITCH(I39,"kg"," ",0," ",_xlfn.XLOOKUP(H39, '[1]Baumaterialien Matériaux'!$A:$A, '[1]Baumaterialien Matériaux'!$AL:$AL, "-", 0, 1))</f>
        <v xml:space="preserve"> </v>
      </c>
      <c r="AD39" s="622" cm="1">
        <f t="array" ref="AD39">IFERROR(_xlfn.SWITCH(I39,"kg",1,"m3",AC39,AC39)*J39/(_xlfn.XLOOKUP(AA39,Métrés!A:A,Métrés!C:C,0)),0)</f>
        <v>439.26760563380276</v>
      </c>
      <c r="AE39" s="1092">
        <f>IFERROR(N39*$G$1/(_xlfn.XLOOKUP($AA39,Métrés!$A:$A,Métrés!$C:$C,0)),0)</f>
        <v>39.006963380281682</v>
      </c>
      <c r="AF39" s="1092">
        <f>IFERROR(O39*$G$1/(_xlfn.XLOOKUP($AA39,Métrés!$A:$A,Métrés!$C:$C,0)),0)</f>
        <v>9.136766197183098</v>
      </c>
      <c r="AG39" s="1092">
        <f>IFERROR(Q39*$G$1/(_xlfn.XLOOKUP($AA39,Métrés!$A:$A,Métrés!$C:$C,0)),0)</f>
        <v>5.578698591549295</v>
      </c>
      <c r="AH39" s="1092">
        <f>IFERROR(R39*$G$1/(_xlfn.XLOOKUP($AA39,Métrés!$A:$A,Métrés!$C:$C,0)),0)</f>
        <v>1.1772371830985913</v>
      </c>
      <c r="AI39" s="1092">
        <f>IFERROR(S39*$G$1/(_xlfn.XLOOKUP($AA39,Métrés!$A:$A,Métrés!$C:$C,0)),0)</f>
        <v>0</v>
      </c>
      <c r="AJ39" s="1022"/>
      <c r="AK39" s="638">
        <f t="shared" si="50"/>
        <v>0</v>
      </c>
      <c r="AL39" s="638">
        <f t="shared" si="51"/>
        <v>0</v>
      </c>
      <c r="AM39" s="638" t="str">
        <f t="shared" si="52"/>
        <v>Structure</v>
      </c>
      <c r="AN39" s="1036">
        <f t="shared" si="53"/>
        <v>10.079968264992653</v>
      </c>
      <c r="AO39" s="1037">
        <f t="shared" si="54"/>
        <v>0</v>
      </c>
      <c r="AP39" s="1037">
        <f t="shared" si="55"/>
        <v>1.4416170829437689</v>
      </c>
      <c r="AQ39" s="1038">
        <f t="shared" si="56"/>
        <v>0</v>
      </c>
      <c r="AR39" s="1038">
        <f t="shared" si="57"/>
        <v>0</v>
      </c>
      <c r="AS39" s="1036">
        <f t="shared" si="58"/>
        <v>0</v>
      </c>
      <c r="AT39" s="1037">
        <f t="shared" si="59"/>
        <v>0</v>
      </c>
      <c r="AU39" s="1037">
        <f t="shared" si="60"/>
        <v>0</v>
      </c>
      <c r="AV39" s="1038">
        <f t="shared" si="61"/>
        <v>0</v>
      </c>
      <c r="AW39" s="1038">
        <f t="shared" si="62"/>
        <v>0</v>
      </c>
      <c r="AX39" s="1036">
        <f t="shared" si="63"/>
        <v>0</v>
      </c>
      <c r="AY39" s="1037">
        <f t="shared" si="64"/>
        <v>0</v>
      </c>
      <c r="AZ39" s="1037">
        <f t="shared" si="65"/>
        <v>0</v>
      </c>
      <c r="BA39" s="1037">
        <f t="shared" si="66"/>
        <v>0</v>
      </c>
      <c r="BB39" s="1038">
        <f t="shared" si="67"/>
        <v>0</v>
      </c>
      <c r="BC39" s="1036"/>
      <c r="BD39" s="1037"/>
      <c r="BE39" s="1037"/>
      <c r="BF39" s="1038"/>
      <c r="BG39" s="1036">
        <f t="shared" si="68"/>
        <v>101984.76</v>
      </c>
      <c r="BH39" s="1037">
        <f t="shared" si="69"/>
        <v>0</v>
      </c>
      <c r="BI39" s="1038">
        <f t="shared" si="70"/>
        <v>0</v>
      </c>
      <c r="BJ39" s="1037">
        <f>_xlfn.XLOOKUP(H39, 'Baumaterialien Matériaux'!A:A, 'Baumaterialien Matériaux'!E:E, "-", 0, 1)</f>
        <v>2300</v>
      </c>
      <c r="BK39" s="1036">
        <f t="shared" si="22"/>
        <v>44.341200000000001</v>
      </c>
      <c r="BL39" s="1037">
        <f t="shared" si="23"/>
        <v>0</v>
      </c>
      <c r="BM39" s="1038">
        <f t="shared" si="24"/>
        <v>0</v>
      </c>
      <c r="BN39" s="1037">
        <f>IFERROR((J39*VLOOKUP(H39, 'Baumaterialien Matériaux'!$A$11:$AH$318, 33,FALSE)),0)/$G$1</f>
        <v>2.3610736476559366</v>
      </c>
      <c r="BO39" s="1037">
        <f t="shared" si="71"/>
        <v>0</v>
      </c>
      <c r="BP39" s="1037">
        <f>IFERROR((J39*VLOOKUP(H39, 'Baumaterialien Matériaux'!$A$11:$AH$318, 34,FALSE)),0)/$G$1</f>
        <v>0.30421525844797642</v>
      </c>
      <c r="BQ39" s="1037">
        <f t="shared" si="25"/>
        <v>0.21102362204724409</v>
      </c>
      <c r="BR39" s="1037">
        <f t="shared" si="72"/>
        <v>0</v>
      </c>
    </row>
    <row r="40" spans="2:70">
      <c r="B40" s="1103"/>
      <c r="C40" s="1099"/>
      <c r="D40" s="478"/>
      <c r="E40" s="478"/>
      <c r="F40" s="478" t="s">
        <v>3004</v>
      </c>
      <c r="G40" s="478" t="str">
        <f>_xlfn.XLOOKUP(H40, 'Baumaterialien Matériaux'!A:A, 'Baumaterialien Matériaux'!AD:AD, "-", 0, 1)</f>
        <v>Acier d'armature</v>
      </c>
      <c r="H40" s="892" t="s">
        <v>497</v>
      </c>
      <c r="I40" s="641" t="str">
        <f>_xlfn.XLOOKUP(H40, 'Baumaterialien Matériaux'!A:A, 'Baumaterialien Matériaux'!F:F, "-", 0, 1)</f>
        <v>kg</v>
      </c>
      <c r="J40" s="649">
        <f t="shared" si="73"/>
        <v>6651.18</v>
      </c>
      <c r="K40" s="893">
        <f>0.36*150</f>
        <v>54</v>
      </c>
      <c r="L40" s="647">
        <v>60</v>
      </c>
      <c r="M40" s="648">
        <f>IFERROR((J40*VLOOKUP(H40, 'Baumaterialien Matériaux'!$A$11:$AD$318, 26,FALSE))+(J40*VLOOKUP(H40, 'Baumaterialien Matériaux'!$A$11:$AD$318, 27,FALSE)),0)/$G$1</f>
        <v>11.19634547882997</v>
      </c>
      <c r="N40" s="720">
        <f>IFERROR(($J40*VLOOKUP($H40, 'Baumaterialien Matériaux'!$A$11:$AD$318, 26,FALSE)),0)/$G$1</f>
        <v>11.104547882997196</v>
      </c>
      <c r="O40" s="720">
        <f>IFERROR(($J40*VLOOKUP($H40, 'Baumaterialien Matériaux'!$A$11:$AH$318, 33,FALSE)),0)/$G$1</f>
        <v>2.1542822893014555</v>
      </c>
      <c r="P40" s="720">
        <f t="shared" si="74"/>
        <v>0</v>
      </c>
      <c r="Q40" s="720">
        <f>IFERROR(($J40*VLOOKUP($H40, 'Baumaterialien Matériaux'!$A$11:$AD$318, 27,FALSE)),0)/$G$1</f>
        <v>9.1797595832776802E-2</v>
      </c>
      <c r="R40" s="720">
        <f>IFERROR(($J40*VLOOKUP($H40, 'Baumaterialien Matériaux'!$A$11:$AH$318, 34,FALSE)),0)/$G$1</f>
        <v>0</v>
      </c>
      <c r="S40" s="720">
        <f>IFERROR((J40*VLOOKUP(H40, 'Baumaterialien Matériaux'!$A$11:$AD$318, 29,FALSE)),0)/$G$1</f>
        <v>0</v>
      </c>
      <c r="T40" s="720"/>
      <c r="V40" s="638">
        <f t="shared" si="2"/>
        <v>0</v>
      </c>
      <c r="W40" s="638">
        <f t="shared" si="3"/>
        <v>0</v>
      </c>
      <c r="X40" s="638" t="str">
        <f t="shared" si="10"/>
        <v>Structure</v>
      </c>
      <c r="Z40" s="638">
        <f t="shared" si="11"/>
        <v>60</v>
      </c>
      <c r="AA40" t="s">
        <v>3452</v>
      </c>
      <c r="AB40" t="str">
        <f>_xlfn.XLOOKUP($H40,'[1]Baumaterialien Matériaux'!$A:$A,'[1]Baumaterialien Matériaux'!AK:AK,0,0)</f>
        <v>metal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622" cm="1">
        <f t="array" ref="AD40">IFERROR(_xlfn.SWITCH(I40,"kg",1,"m3",AC40,AC40)*J40/(_xlfn.XLOOKUP(AA40,Métrés!A:A,Métrés!C:C,0)),0)</f>
        <v>28.64788732394366</v>
      </c>
      <c r="AE40" s="1092">
        <f>IFERROR(N40*$G$1/(_xlfn.XLOOKUP($AA40,Métrés!$A:$A,Métrés!$C:$C,0)),0)</f>
        <v>42.971830985915489</v>
      </c>
      <c r="AF40" s="1092">
        <f>IFERROR(O40*$G$1/(_xlfn.XLOOKUP($AA40,Métrés!$A:$A,Métrés!$C:$C,0)),0)</f>
        <v>8.3365352112676039</v>
      </c>
      <c r="AG40" s="1092">
        <f>IFERROR(Q40*$G$1/(_xlfn.XLOOKUP($AA40,Métrés!$A:$A,Métrés!$C:$C,0)),0)</f>
        <v>0.35523380281690137</v>
      </c>
      <c r="AH40" s="1092">
        <f>IFERROR(R40*$G$1/(_xlfn.XLOOKUP($AA40,Métrés!$A:$A,Métrés!$C:$C,0)),0)</f>
        <v>0</v>
      </c>
      <c r="AI40" s="1092">
        <f>IFERROR(S40*$G$1/(_xlfn.XLOOKUP($AA40,Métrés!$A:$A,Métrés!$C:$C,0)),0)</f>
        <v>0</v>
      </c>
      <c r="AJ40" s="1022"/>
      <c r="AK40" s="638">
        <f t="shared" si="50"/>
        <v>0</v>
      </c>
      <c r="AL40" s="638">
        <f t="shared" si="51"/>
        <v>0</v>
      </c>
      <c r="AM40" s="638" t="str">
        <f t="shared" si="52"/>
        <v>Structure</v>
      </c>
      <c r="AN40" s="1036">
        <f t="shared" si="53"/>
        <v>11.104547882997196</v>
      </c>
      <c r="AO40" s="1037">
        <f t="shared" si="54"/>
        <v>0</v>
      </c>
      <c r="AP40" s="1037">
        <f t="shared" si="55"/>
        <v>9.1797595832776802E-2</v>
      </c>
      <c r="AQ40" s="1038">
        <f t="shared" si="56"/>
        <v>0</v>
      </c>
      <c r="AR40" s="1038">
        <f t="shared" si="57"/>
        <v>0</v>
      </c>
      <c r="AS40" s="1036">
        <f t="shared" si="58"/>
        <v>0</v>
      </c>
      <c r="AT40" s="1037">
        <f t="shared" si="59"/>
        <v>0</v>
      </c>
      <c r="AU40" s="1037">
        <f t="shared" si="60"/>
        <v>0</v>
      </c>
      <c r="AV40" s="1038">
        <f t="shared" si="61"/>
        <v>0</v>
      </c>
      <c r="AW40" s="1038">
        <f t="shared" si="62"/>
        <v>0</v>
      </c>
      <c r="AX40" s="1036">
        <f t="shared" si="63"/>
        <v>0</v>
      </c>
      <c r="AY40" s="1037">
        <f t="shared" si="64"/>
        <v>0</v>
      </c>
      <c r="AZ40" s="1037">
        <f t="shared" si="65"/>
        <v>0</v>
      </c>
      <c r="BA40" s="1037">
        <f t="shared" si="66"/>
        <v>0</v>
      </c>
      <c r="BB40" s="1038">
        <f t="shared" si="67"/>
        <v>0</v>
      </c>
      <c r="BC40" s="1036"/>
      <c r="BD40" s="1037"/>
      <c r="BE40" s="1037"/>
      <c r="BF40" s="1038"/>
      <c r="BG40" s="1036">
        <f t="shared" si="68"/>
        <v>6651.18</v>
      </c>
      <c r="BH40" s="1037">
        <f t="shared" si="69"/>
        <v>0</v>
      </c>
      <c r="BI40" s="1038">
        <f t="shared" si="70"/>
        <v>0</v>
      </c>
      <c r="BJ40" s="1037">
        <f>_xlfn.XLOOKUP(H40, 'Baumaterialien Matériaux'!A:A, 'Baumaterialien Matériaux'!E:E, "-", 0, 1)</f>
        <v>7850</v>
      </c>
      <c r="BK40" s="1036">
        <f t="shared" si="22"/>
        <v>0.84728407643312109</v>
      </c>
      <c r="BL40" s="1037">
        <f t="shared" si="23"/>
        <v>0</v>
      </c>
      <c r="BM40" s="1038">
        <f t="shared" si="24"/>
        <v>0</v>
      </c>
      <c r="BN40" s="1037">
        <f>IFERROR((J40*VLOOKUP(H40, 'Baumaterialien Matériaux'!$A$11:$AH$318, 33,FALSE)),0)/$G$1</f>
        <v>2.1542822893014555</v>
      </c>
      <c r="BO40" s="1037">
        <f t="shared" si="71"/>
        <v>0</v>
      </c>
      <c r="BP40" s="1037">
        <f>IFERROR((J40*VLOOKUP(H40, 'Baumaterialien Matériaux'!$A$11:$AH$318, 34,FALSE)),0)/$G$1</f>
        <v>0</v>
      </c>
      <c r="BQ40" s="1037">
        <f t="shared" si="25"/>
        <v>0</v>
      </c>
      <c r="BR40" s="1037">
        <f t="shared" si="72"/>
        <v>0</v>
      </c>
    </row>
    <row r="41" spans="2:70">
      <c r="B41" s="1103"/>
      <c r="C41" s="1099"/>
      <c r="D41" s="478"/>
      <c r="E41" s="478"/>
      <c r="F41" s="479" t="s">
        <v>3029</v>
      </c>
      <c r="G41" s="479"/>
      <c r="H41" s="479"/>
      <c r="I41" s="459"/>
      <c r="J41" s="662">
        <v>109</v>
      </c>
      <c r="K41" s="663"/>
      <c r="L41" s="663"/>
      <c r="M41" s="664">
        <f>SUM(M42:M44)</f>
        <v>22.422184675660034</v>
      </c>
      <c r="N41" s="664">
        <f t="shared" ref="N41:T41" si="75">SUM(N42:N44)</f>
        <v>19.448257423979342</v>
      </c>
      <c r="O41" s="664">
        <f t="shared" ref="O41" si="76">SUM(O42:O44)</f>
        <v>4.3838129646943589</v>
      </c>
      <c r="P41" s="664">
        <f t="shared" si="75"/>
        <v>0</v>
      </c>
      <c r="Q41" s="664">
        <f t="shared" si="75"/>
        <v>2.9739272516806907</v>
      </c>
      <c r="R41" s="664">
        <f t="shared" ref="R41" si="77">SUM(R42:R44)</f>
        <v>1.900019322381016</v>
      </c>
      <c r="S41" s="664">
        <f t="shared" si="75"/>
        <v>0</v>
      </c>
      <c r="T41" s="664">
        <f t="shared" si="75"/>
        <v>0</v>
      </c>
      <c r="V41" s="638">
        <f t="shared" si="2"/>
        <v>0</v>
      </c>
      <c r="W41" s="638">
        <f t="shared" si="3"/>
        <v>0</v>
      </c>
      <c r="X41" s="638">
        <f t="shared" si="10"/>
        <v>0</v>
      </c>
      <c r="Z41" s="638">
        <f t="shared" si="11"/>
        <v>0</v>
      </c>
      <c r="AA41" t="s">
        <v>3452</v>
      </c>
      <c r="AB41">
        <f>_xlfn.XLOOKUP($H41,'[1]Baumaterialien Matériaux'!$A:$A,'[1]Baumaterialien Matériaux'!AK:AK,0,0)</f>
        <v>0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622" cm="1">
        <f t="array" ref="AD41">IFERROR(_xlfn.SWITCH(I41,"kg",1,"m3",AC41,AC41)*J41/(_xlfn.XLOOKUP(AA41,Métrés!A:A,Métrés!C:C,0)),0)</f>
        <v>0</v>
      </c>
      <c r="AE41" s="1092">
        <f>IFERROR(N41*$G$1/(_xlfn.XLOOKUP($AA41,Métrés!$A:$A,Métrés!$C:$C,0)),0)</f>
        <v>75.259906103286383</v>
      </c>
      <c r="AF41" s="1092">
        <f>IFERROR(O41*$G$1/(_xlfn.XLOOKUP($AA41,Métrés!$A:$A,Métrés!$C:$C,0)),0)</f>
        <v>16.964262910798123</v>
      </c>
      <c r="AG41" s="1092">
        <f>IFERROR(Q41*$G$1/(_xlfn.XLOOKUP($AA41,Métrés!$A:$A,Métrés!$C:$C,0)),0)</f>
        <v>11.508356807511737</v>
      </c>
      <c r="AH41" s="1092">
        <f>IFERROR(R41*$G$1/(_xlfn.XLOOKUP($AA41,Métrés!$A:$A,Métrés!$C:$C,0)),0)</f>
        <v>7.3526009389671358</v>
      </c>
      <c r="AI41" s="1092">
        <f>IFERROR(S41*$G$1/(_xlfn.XLOOKUP($AA41,Métrés!$A:$A,Métrés!$C:$C,0)),0)</f>
        <v>0</v>
      </c>
      <c r="AJ41" s="664"/>
      <c r="AK41" s="664"/>
      <c r="AL41" s="664"/>
      <c r="AM41" s="1021"/>
      <c r="AN41" s="1059"/>
      <c r="AO41" s="664"/>
      <c r="AP41" s="664"/>
      <c r="AQ41" s="664"/>
      <c r="AR41" s="1058"/>
      <c r="AS41" s="1059"/>
      <c r="AT41" s="664"/>
      <c r="AU41" s="664"/>
      <c r="AV41" s="664"/>
      <c r="AW41" s="1058"/>
      <c r="AX41" s="1059"/>
      <c r="AY41" s="664"/>
      <c r="AZ41" s="664"/>
      <c r="BA41" s="664"/>
      <c r="BB41" s="1058"/>
      <c r="BC41" s="1059"/>
      <c r="BD41" s="664"/>
      <c r="BE41" s="664"/>
      <c r="BF41" s="1058"/>
      <c r="BG41" s="1059"/>
      <c r="BH41" s="664"/>
      <c r="BI41" s="1058"/>
      <c r="BJ41" s="1045"/>
      <c r="BK41" s="1059"/>
      <c r="BL41" s="664"/>
      <c r="BM41" s="1058"/>
      <c r="BN41" s="1037">
        <f>IFERROR((J41*VLOOKUP(H41, 'Baumaterialien Matériaux'!$A$11:$AH$318, 33,FALSE)),0)/$G$1</f>
        <v>0</v>
      </c>
      <c r="BO41" s="1037"/>
      <c r="BP41" s="1037">
        <f>IFERROR((J41*VLOOKUP(H41, 'Baumaterialien Matériaux'!$A$11:$AH$318, 34,FALSE)),0)/$G$1</f>
        <v>0</v>
      </c>
      <c r="BQ41" s="1037">
        <f t="shared" si="25"/>
        <v>0</v>
      </c>
      <c r="BR41" s="1037">
        <f t="shared" si="72"/>
        <v>0</v>
      </c>
    </row>
    <row r="42" spans="2:70">
      <c r="B42" s="1103"/>
      <c r="C42" s="1099"/>
      <c r="D42" s="478"/>
      <c r="E42" s="478"/>
      <c r="F42" s="478" t="s">
        <v>2994</v>
      </c>
      <c r="G42" s="478" t="str">
        <f>_xlfn.XLOOKUP(H42, 'Baumaterialien Matériaux'!A:A, 'Baumaterialien Matériaux'!AD:AD, "-", 0, 1)</f>
        <v>Lé d'étanchéité bitumineux</v>
      </c>
      <c r="H42" s="892" t="s">
        <v>696</v>
      </c>
      <c r="I42" s="641" t="str">
        <f>_xlfn.XLOOKUP(H42, 'Baumaterialien Matériaux'!A:A, 'Baumaterialien Matériaux'!F:F, "-", 0, 1)</f>
        <v>kg</v>
      </c>
      <c r="J42" s="649">
        <f>$J$41*K42</f>
        <v>623.48</v>
      </c>
      <c r="K42" s="893">
        <f>0.0052*1100</f>
        <v>5.72</v>
      </c>
      <c r="L42" s="647">
        <v>60</v>
      </c>
      <c r="M42" s="648">
        <f>IFERROR((J42*VLOOKUP(H42, 'Baumaterialien Matériaux'!$A$11:$AD$318, 26,FALSE))+(J42*VLOOKUP(H42, 'Baumaterialien Matériaux'!$A$11:$AD$318, 27,FALSE)),0)/$G$1</f>
        <v>2.3178211121499488</v>
      </c>
      <c r="N42" s="720">
        <f>IFERROR(($J42*VLOOKUP($H42, 'Baumaterialien Matériaux'!$A$11:$AD$318, 26,FALSE)),0)/$G$1</f>
        <v>0.70089800097947541</v>
      </c>
      <c r="O42" s="720">
        <f>IFERROR(($J42*VLOOKUP($H42, 'Baumaterialien Matériaux'!$A$11:$AH$318, 33,FALSE)),0)/$G$1</f>
        <v>0.3879227549975513</v>
      </c>
      <c r="P42" s="720">
        <f t="shared" ref="P42:P44" si="78">(N42+Q42)*($L$2/L42-1)</f>
        <v>0</v>
      </c>
      <c r="Q42" s="720">
        <f>IFERROR(($J42*VLOOKUP($H42, 'Baumaterialien Matériaux'!$A$11:$AD$318, 27,FALSE)),0)/$G$1</f>
        <v>1.6169231111704732</v>
      </c>
      <c r="R42" s="720">
        <f>IFERROR(($J42*VLOOKUP($H42, 'Baumaterialien Matériaux'!$A$11:$AH$318, 34,FALSE)),0)/$G$1</f>
        <v>1.6308022795067005</v>
      </c>
      <c r="S42" s="720">
        <f>IFERROR((J42*VLOOKUP(H42, 'Baumaterialien Matériaux'!$A$11:$AD$318, 29,FALSE)),0)/$G$1</f>
        <v>0</v>
      </c>
      <c r="T42" s="720"/>
      <c r="V42" s="638">
        <f t="shared" si="2"/>
        <v>0</v>
      </c>
      <c r="W42" s="638">
        <f t="shared" si="3"/>
        <v>0</v>
      </c>
      <c r="X42" s="638" t="str">
        <f t="shared" si="10"/>
        <v>Structure</v>
      </c>
      <c r="Z42" s="638">
        <f t="shared" si="11"/>
        <v>60</v>
      </c>
      <c r="AA42" t="s">
        <v>3452</v>
      </c>
      <c r="AB42" t="str">
        <f>_xlfn.XLOOKUP($H42,'[1]Baumaterialien Matériaux'!$A:$A,'[1]Baumaterialien Matériaux'!AK:AK,0,0)</f>
        <v>oil_product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622" cm="1">
        <f t="array" ref="AD42">IFERROR(_xlfn.SWITCH(I42,"kg",1,"m3",AC42,AC42)*J42/(_xlfn.XLOOKUP(AA42,Métrés!A:A,Métrés!C:C,0)),0)</f>
        <v>2.685446009389671</v>
      </c>
      <c r="AE42" s="1092">
        <f>IFERROR(N42*$G$1/(_xlfn.XLOOKUP($AA42,Métrés!$A:$A,Métrés!$C:$C,0)),0)</f>
        <v>2.712300469483568</v>
      </c>
      <c r="AF42" s="1092">
        <f>IFERROR(O42*$G$1/(_xlfn.XLOOKUP($AA42,Métrés!$A:$A,Métrés!$C:$C,0)),0)</f>
        <v>1.5011643192488262</v>
      </c>
      <c r="AG42" s="1092">
        <f>IFERROR(Q42*$G$1/(_xlfn.XLOOKUP($AA42,Métrés!$A:$A,Métrés!$C:$C,0)),0)</f>
        <v>6.2570892018779336</v>
      </c>
      <c r="AH42" s="1092">
        <f>IFERROR(R42*$G$1/(_xlfn.XLOOKUP($AA42,Métrés!$A:$A,Métrés!$C:$C,0)),0)</f>
        <v>6.3107981220657274</v>
      </c>
      <c r="AI42" s="1092">
        <f>IFERROR(S42*$G$1/(_xlfn.XLOOKUP($AA42,Métrés!$A:$A,Métrés!$C:$C,0)),0)</f>
        <v>0</v>
      </c>
      <c r="AJ42" s="1022"/>
      <c r="AK42" s="638">
        <f>IF(L42=60, 0, T42)</f>
        <v>0</v>
      </c>
      <c r="AL42" s="638">
        <f>IF(L42=60, 0, S42)</f>
        <v>0</v>
      </c>
      <c r="AM42" s="638" t="str">
        <f>IF(L42=$L$2, "Structure", IF(L42&gt;0,"Revêtement",0))</f>
        <v>Structure</v>
      </c>
      <c r="AN42" s="1036">
        <f>IF(AM42="Structure",N42,0)</f>
        <v>0.70089800097947541</v>
      </c>
      <c r="AO42" s="1037">
        <f>IF(AM42="Structure",P42,0)</f>
        <v>0</v>
      </c>
      <c r="AP42" s="1037">
        <f>IF(AM42="Structure",Q42,0)</f>
        <v>1.6169231111704732</v>
      </c>
      <c r="AQ42" s="1038">
        <f>IF(AM42="Structure",S42,0)</f>
        <v>0</v>
      </c>
      <c r="AR42" s="1038">
        <f>IF(AM42="Structure",T42,0)</f>
        <v>0</v>
      </c>
      <c r="AS42" s="1036">
        <f>IF(AM42="Insulation",N42,0)</f>
        <v>0</v>
      </c>
      <c r="AT42" s="1037">
        <f>IF(AM42="Insulation",P42,0)</f>
        <v>0</v>
      </c>
      <c r="AU42" s="1037">
        <f>IF(AM42="Insulation",Q42,0)</f>
        <v>0</v>
      </c>
      <c r="AV42" s="1038">
        <f>IF(AM42="Insulation",S42,0)</f>
        <v>0</v>
      </c>
      <c r="AW42" s="1038">
        <f>IF(AM42="Insulation",T42,0)</f>
        <v>0</v>
      </c>
      <c r="AX42" s="1036">
        <f>IF(AM42="Revêtement",N42,0)</f>
        <v>0</v>
      </c>
      <c r="AY42" s="1037">
        <f>IF(AM42="Revêtement",P42,0)</f>
        <v>0</v>
      </c>
      <c r="AZ42" s="1037">
        <f>IF(AM42="Revêtement",Q42,0)</f>
        <v>0</v>
      </c>
      <c r="BA42" s="1037">
        <f>IF(AM42="Revêtement",S42,0)</f>
        <v>0</v>
      </c>
      <c r="BB42" s="1038">
        <f>IF(AM42="Revêtement",T42,0)</f>
        <v>0</v>
      </c>
      <c r="BC42" s="1036"/>
      <c r="BD42" s="1037"/>
      <c r="BE42" s="1037"/>
      <c r="BF42" s="1038"/>
      <c r="BG42" s="1036">
        <f>IF($AM42="Structure", IF($I42="kg",$J42,0), 0)</f>
        <v>623.48</v>
      </c>
      <c r="BH42" s="1037">
        <f>IF($AM42="Insulation", IF($I42="kg",$J42,0), 0)</f>
        <v>0</v>
      </c>
      <c r="BI42" s="1038">
        <f>IF($AM42="Revêtement", IF($I42="kg",$J42,0), 0)</f>
        <v>0</v>
      </c>
      <c r="BJ42" s="1037">
        <f>_xlfn.XLOOKUP(H42, 'Baumaterialien Matériaux'!A:A, 'Baumaterialien Matériaux'!E:E, "-", 0, 1)</f>
        <v>1100</v>
      </c>
      <c r="BK42" s="1036">
        <f t="shared" si="22"/>
        <v>0.56679999999999997</v>
      </c>
      <c r="BL42" s="1037">
        <f t="shared" si="23"/>
        <v>0</v>
      </c>
      <c r="BM42" s="1038">
        <f t="shared" si="24"/>
        <v>0</v>
      </c>
      <c r="BN42" s="1037">
        <f>IFERROR((J42*VLOOKUP(H42, 'Baumaterialien Matériaux'!$A$11:$AH$318, 33,FALSE)),0)/$G$1</f>
        <v>0.3879227549975513</v>
      </c>
      <c r="BO42" s="1037"/>
      <c r="BP42" s="1037">
        <f>IFERROR((J42*VLOOKUP(H42, 'Baumaterialien Matériaux'!$A$11:$AH$318, 34,FALSE)),0)/$G$1</f>
        <v>1.6308022795067005</v>
      </c>
      <c r="BQ42" s="1037">
        <f t="shared" si="25"/>
        <v>1.0085836909871246</v>
      </c>
      <c r="BR42" s="1037">
        <f t="shared" si="72"/>
        <v>0</v>
      </c>
    </row>
    <row r="43" spans="2:70">
      <c r="B43" s="1103"/>
      <c r="C43" s="1099"/>
      <c r="D43" s="478"/>
      <c r="E43" s="478"/>
      <c r="F43" s="478" t="s">
        <v>3026</v>
      </c>
      <c r="G43" s="478" t="str">
        <f>_xlfn.XLOOKUP(H43, 'Baumaterialien Matériaux'!A:A, 'Baumaterialien Matériaux'!AD:AD, "-", 0, 1)</f>
        <v>Béton pour bâtiment (sans armature)</v>
      </c>
      <c r="H43" s="891">
        <v>1.0019999999999998</v>
      </c>
      <c r="I43" s="641" t="str">
        <f>_xlfn.XLOOKUP(H43, 'Baumaterialien Matériaux'!A:A, 'Baumaterialien Matériaux'!F:F, "-", 0, 1)</f>
        <v>kg</v>
      </c>
      <c r="J43" s="649">
        <f t="shared" ref="J43:J44" si="79">$J$41*K43</f>
        <v>90252</v>
      </c>
      <c r="K43" s="728">
        <f>0.36*2300</f>
        <v>828</v>
      </c>
      <c r="L43" s="647">
        <v>60</v>
      </c>
      <c r="M43" s="648">
        <f>IFERROR((J43*VLOOKUP(H43, 'Baumaterialien Matériaux'!$A$11:$AD$318, 26,FALSE))+(J43*VLOOKUP(H43, 'Baumaterialien Matériaux'!$A$11:$AD$318, 27,FALSE)),0)/$G$1</f>
        <v>10.196093228262322</v>
      </c>
      <c r="N43" s="720">
        <f>IFERROR(($J43*VLOOKUP($H43, 'Baumaterialien Matériaux'!$A$11:$AD$318, 26,FALSE)),0)/$G$1</f>
        <v>8.920325898223588</v>
      </c>
      <c r="O43" s="720">
        <f>IFERROR(($J43*VLOOKUP($H43, 'Baumaterialien Matériaux'!$A$11:$AH$318, 33,FALSE)),0)/$G$1</f>
        <v>2.0894457058902094</v>
      </c>
      <c r="P43" s="720">
        <f t="shared" si="78"/>
        <v>0</v>
      </c>
      <c r="Q43" s="720">
        <f>IFERROR(($J43*VLOOKUP($H43, 'Baumaterialien Matériaux'!$A$11:$AD$318, 27,FALSE)),0)/$G$1</f>
        <v>1.2757673300387338</v>
      </c>
      <c r="R43" s="720">
        <f>IFERROR(($J43*VLOOKUP($H43, 'Baumaterialien Matériaux'!$A$11:$AH$318, 34,FALSE)),0)/$G$1</f>
        <v>0.26921704287431547</v>
      </c>
      <c r="S43" s="720">
        <f>IFERROR((J43*VLOOKUP(H43, 'Baumaterialien Matériaux'!$A$11:$AD$318, 29,FALSE)),0)/$G$1</f>
        <v>0</v>
      </c>
      <c r="T43" s="720"/>
      <c r="Z43" s="638">
        <f t="shared" ref="Z43" si="80">L43</f>
        <v>60</v>
      </c>
      <c r="AA43" t="s">
        <v>3452</v>
      </c>
      <c r="AB43" t="str">
        <f>_xlfn.XLOOKUP($H43,'[1]Baumaterialien Matériaux'!$A:$A,'[1]Baumaterialien Matériaux'!AK:AK,0,0)</f>
        <v>concrete</v>
      </c>
      <c r="AC43" t="str" cm="1">
        <f t="array" ref="AC43">_xlfn.SWITCH(I43,"kg"," ",0," ",_xlfn.XLOOKUP(H43, '[1]Baumaterialien Matériaux'!$A:$A, '[1]Baumaterialien Matériaux'!$AL:$AL, "-", 0, 1))</f>
        <v xml:space="preserve"> </v>
      </c>
      <c r="AD43" s="622" cm="1">
        <f t="array" ref="AD43">IFERROR(_xlfn.SWITCH(I43,"kg",1,"m3",AC43,AC43)*J43/(_xlfn.XLOOKUP(AA43,Métrés!A:A,Métrés!C:C,0)),0)</f>
        <v>388.73239436619718</v>
      </c>
      <c r="AE43" s="1092">
        <f>IFERROR(N43*$G$1/(_xlfn.XLOOKUP($AA43,Métrés!$A:$A,Métrés!$C:$C,0)),0)</f>
        <v>34.519436619718313</v>
      </c>
      <c r="AF43" s="1092">
        <f>IFERROR(O43*$G$1/(_xlfn.XLOOKUP($AA43,Métrés!$A:$A,Métrés!$C:$C,0)),0)</f>
        <v>8.0856338028169006</v>
      </c>
      <c r="AG43" s="1092">
        <f>IFERROR(Q43*$G$1/(_xlfn.XLOOKUP($AA43,Métrés!$A:$A,Métrés!$C:$C,0)),0)</f>
        <v>4.9369014084507032</v>
      </c>
      <c r="AH43" s="1092">
        <f>IFERROR(R43*$G$1/(_xlfn.XLOOKUP($AA43,Métrés!$A:$A,Métrés!$C:$C,0)),0)</f>
        <v>1.0418028169014084</v>
      </c>
      <c r="AI43" s="1092">
        <f>IFERROR(S43*$G$1/(_xlfn.XLOOKUP($AA43,Métrés!$A:$A,Métrés!$C:$C,0)),0)</f>
        <v>0</v>
      </c>
      <c r="AJ43" s="1022"/>
      <c r="AK43" s="638">
        <f>IF(L43=60, 0, T43)</f>
        <v>0</v>
      </c>
      <c r="AL43" s="638">
        <f>IF(L43=60, 0, S43)</f>
        <v>0</v>
      </c>
      <c r="AM43" s="638" t="str">
        <f>IF(L43=$L$2, "Structure", IF(L43&gt;0,"Revêtement",0))</f>
        <v>Structure</v>
      </c>
      <c r="AN43" s="1036">
        <f>IF(AM43="Structure",N43,0)</f>
        <v>8.920325898223588</v>
      </c>
      <c r="AO43" s="1037">
        <f>IF(AM43="Structure",P43,0)</f>
        <v>0</v>
      </c>
      <c r="AP43" s="1037">
        <f>IF(AM43="Structure",Q43,0)</f>
        <v>1.2757673300387338</v>
      </c>
      <c r="AQ43" s="1038">
        <f>IF(AM43="Structure",S43,0)</f>
        <v>0</v>
      </c>
      <c r="AR43" s="1038">
        <f>IF(AM43="Structure",T43,0)</f>
        <v>0</v>
      </c>
      <c r="AS43" s="1036">
        <f>IF(AM43="Insulation",N43,0)</f>
        <v>0</v>
      </c>
      <c r="AT43" s="1037">
        <f>IF(AM43="Insulation",P43,0)</f>
        <v>0</v>
      </c>
      <c r="AU43" s="1037">
        <f>IF(AM43="Insulation",Q43,0)</f>
        <v>0</v>
      </c>
      <c r="AV43" s="1038">
        <f>IF(AM43="Insulation",S43,0)</f>
        <v>0</v>
      </c>
      <c r="AW43" s="1038">
        <f>IF(AM43="Insulation",T43,0)</f>
        <v>0</v>
      </c>
      <c r="AX43" s="1036">
        <f>IF(AM43="Revêtement",N43,0)</f>
        <v>0</v>
      </c>
      <c r="AY43" s="1037">
        <f>IF(AM43="Revêtement",P43,0)</f>
        <v>0</v>
      </c>
      <c r="AZ43" s="1037">
        <f>IF(AM43="Revêtement",Q43,0)</f>
        <v>0</v>
      </c>
      <c r="BA43" s="1037">
        <f>IF(AM43="Revêtement",S43,0)</f>
        <v>0</v>
      </c>
      <c r="BB43" s="1038">
        <f>IF(AM43="Revêtement",T43,0)</f>
        <v>0</v>
      </c>
      <c r="BC43" s="1036"/>
      <c r="BD43" s="1037"/>
      <c r="BE43" s="1037"/>
      <c r="BF43" s="1038"/>
      <c r="BG43" s="1036">
        <f>IF($AM43="Structure", IF($I43="kg",$J43,0), 0)</f>
        <v>90252</v>
      </c>
      <c r="BH43" s="1037">
        <f>IF($AM43="Insulation", IF($I43="kg",$J43,0), 0)</f>
        <v>0</v>
      </c>
      <c r="BI43" s="1038">
        <f>IF($AM43="Revêtement", IF($I43="kg",$J43,0), 0)</f>
        <v>0</v>
      </c>
      <c r="BJ43" s="1037">
        <f>_xlfn.XLOOKUP(H43, 'Baumaterialien Matériaux'!A:A, 'Baumaterialien Matériaux'!E:E, "-", 0, 1)</f>
        <v>2300</v>
      </c>
      <c r="BK43" s="1036">
        <f t="shared" si="22"/>
        <v>39.24</v>
      </c>
      <c r="BL43" s="1037">
        <f t="shared" si="23"/>
        <v>0</v>
      </c>
      <c r="BM43" s="1038">
        <f t="shared" si="24"/>
        <v>0</v>
      </c>
      <c r="BN43" s="1037"/>
      <c r="BO43" s="1037"/>
      <c r="BP43" s="1037"/>
      <c r="BQ43" s="1037"/>
      <c r="BR43" s="1037"/>
    </row>
    <row r="44" spans="2:70">
      <c r="B44" s="1104"/>
      <c r="C44" s="1098"/>
      <c r="D44" s="478"/>
      <c r="E44" s="478"/>
      <c r="F44" s="478" t="s">
        <v>3008</v>
      </c>
      <c r="G44" s="478" t="str">
        <f>_xlfn.XLOOKUP(H44, 'Baumaterialien Matériaux'!A:A, 'Baumaterialien Matériaux'!AD:AD, "-", 0, 1)</f>
        <v>Acier d'armature</v>
      </c>
      <c r="H44" s="892" t="s">
        <v>497</v>
      </c>
      <c r="I44" s="641" t="str">
        <f>_xlfn.XLOOKUP(H44, 'Baumaterialien Matériaux'!A:A, 'Baumaterialien Matériaux'!F:F, "-", 0, 1)</f>
        <v>kg</v>
      </c>
      <c r="J44" s="649">
        <f t="shared" si="79"/>
        <v>5886</v>
      </c>
      <c r="K44" s="728">
        <f>0.36*150</f>
        <v>54</v>
      </c>
      <c r="L44" s="647">
        <v>60</v>
      </c>
      <c r="M44" s="648">
        <f>IFERROR((J44*VLOOKUP(H44, 'Baumaterialien Matériaux'!$A$11:$AD$318, 26,FALSE))+(J44*VLOOKUP(H44, 'Baumaterialien Matériaux'!$A$11:$AD$318, 27,FALSE)),0)/$G$1</f>
        <v>9.9082703352477619</v>
      </c>
      <c r="N44" s="720">
        <f>IFERROR(($J44*VLOOKUP($H44, 'Baumaterialien Matériaux'!$A$11:$AD$318, 26,FALSE)),0)/$G$1</f>
        <v>9.8270335247762777</v>
      </c>
      <c r="O44" s="720">
        <f>IFERROR(($J44*VLOOKUP($H44, 'Baumaterialien Matériaux'!$A$11:$AH$318, 33,FALSE)),0)/$G$1</f>
        <v>1.9064445038065978</v>
      </c>
      <c r="P44" s="720">
        <f t="shared" si="78"/>
        <v>0</v>
      </c>
      <c r="Q44" s="720">
        <f>IFERROR(($J44*VLOOKUP($H44, 'Baumaterialien Matériaux'!$A$11:$AD$318, 27,FALSE)),0)/$G$1</f>
        <v>8.12368104714839E-2</v>
      </c>
      <c r="R44" s="720">
        <f>IFERROR(($J44*VLOOKUP($H44, 'Baumaterialien Matériaux'!$A$11:$AH$318, 34,FALSE)),0)/$G$1</f>
        <v>0</v>
      </c>
      <c r="S44" s="720">
        <f>IFERROR((J44*VLOOKUP(H44, 'Baumaterialien Matériaux'!$A$11:$AD$318, 29,FALSE)),0)/$G$1</f>
        <v>0</v>
      </c>
      <c r="T44" s="720"/>
      <c r="V44" s="638">
        <f t="shared" si="2"/>
        <v>0</v>
      </c>
      <c r="W44" s="638">
        <f t="shared" si="3"/>
        <v>0</v>
      </c>
      <c r="X44" s="638" t="str">
        <f t="shared" si="10"/>
        <v>Structure</v>
      </c>
      <c r="Z44" s="638">
        <f t="shared" si="11"/>
        <v>60</v>
      </c>
      <c r="AA44" t="s">
        <v>3452</v>
      </c>
      <c r="AB44" t="str">
        <f>_xlfn.XLOOKUP($H44,'[1]Baumaterialien Matériaux'!$A:$A,'[1]Baumaterialien Matériaux'!AK:AK,0,0)</f>
        <v>metal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622" cm="1">
        <f t="array" ref="AD44">IFERROR(_xlfn.SWITCH(I44,"kg",1,"m3",AC44,AC44)*J44/(_xlfn.XLOOKUP(AA44,Métrés!A:A,Métrés!C:C,0)),0)</f>
        <v>25.352112676056336</v>
      </c>
      <c r="AE44" s="1092">
        <f>IFERROR(N44*$G$1/(_xlfn.XLOOKUP($AA44,Métrés!$A:$A,Métrés!$C:$C,0)),0)</f>
        <v>38.028169014084504</v>
      </c>
      <c r="AF44" s="1092">
        <f>IFERROR(O44*$G$1/(_xlfn.XLOOKUP($AA44,Métrés!$A:$A,Métrés!$C:$C,0)),0)</f>
        <v>7.377464788732393</v>
      </c>
      <c r="AG44" s="1092">
        <f>IFERROR(Q44*$G$1/(_xlfn.XLOOKUP($AA44,Métrés!$A:$A,Métrés!$C:$C,0)),0)</f>
        <v>0.31436619718309861</v>
      </c>
      <c r="AH44" s="1092">
        <f>IFERROR(R44*$G$1/(_xlfn.XLOOKUP($AA44,Métrés!$A:$A,Métrés!$C:$C,0)),0)</f>
        <v>0</v>
      </c>
      <c r="AI44" s="1092">
        <f>IFERROR(S44*$G$1/(_xlfn.XLOOKUP($AA44,Métrés!$A:$A,Métrés!$C:$C,0)),0)</f>
        <v>0</v>
      </c>
      <c r="AJ44" s="1022"/>
      <c r="AK44" s="638">
        <f>IF(L44=60, 0, T44)</f>
        <v>0</v>
      </c>
      <c r="AL44" s="638">
        <f>IF(L44=60, 0, S44)</f>
        <v>0</v>
      </c>
      <c r="AM44" s="638" t="str">
        <f>IF(L44=$L$2, "Structure", IF(L44&gt;0,"Revêtement",0))</f>
        <v>Structure</v>
      </c>
      <c r="AN44" s="1036">
        <f>IF(AM44="Structure",N44,0)</f>
        <v>9.8270335247762777</v>
      </c>
      <c r="AO44" s="1037">
        <f>IF(AM44="Structure",P44,0)</f>
        <v>0</v>
      </c>
      <c r="AP44" s="1037">
        <f>IF(AM44="Structure",Q44,0)</f>
        <v>8.12368104714839E-2</v>
      </c>
      <c r="AQ44" s="1038">
        <f>IF(AM44="Structure",S44,0)</f>
        <v>0</v>
      </c>
      <c r="AR44" s="1038">
        <f>IF(AM44="Structure",T44,0)</f>
        <v>0</v>
      </c>
      <c r="AS44" s="1036">
        <f>IF(AM44="Insulation",N44,0)</f>
        <v>0</v>
      </c>
      <c r="AT44" s="1037">
        <f>IF(AM44="Insulation",P44,0)</f>
        <v>0</v>
      </c>
      <c r="AU44" s="1037">
        <f>IF(AM44="Insulation",Q44,0)</f>
        <v>0</v>
      </c>
      <c r="AV44" s="1038">
        <f>IF(AM44="Insulation",S44,0)</f>
        <v>0</v>
      </c>
      <c r="AW44" s="1038">
        <f>IF(AM44="Insulation",T44,0)</f>
        <v>0</v>
      </c>
      <c r="AX44" s="1036">
        <f>IF(AM44="Revêtement",N44,0)</f>
        <v>0</v>
      </c>
      <c r="AY44" s="1037">
        <f>IF(AM44="Revêtement",P44,0)</f>
        <v>0</v>
      </c>
      <c r="AZ44" s="1037">
        <f>IF(AM44="Revêtement",Q44,0)</f>
        <v>0</v>
      </c>
      <c r="BA44" s="1037">
        <f>IF(AM44="Revêtement",S44,0)</f>
        <v>0</v>
      </c>
      <c r="BB44" s="1038">
        <f>IF(AM44="Revêtement",T44,0)</f>
        <v>0</v>
      </c>
      <c r="BC44" s="1036"/>
      <c r="BD44" s="1037"/>
      <c r="BE44" s="1037"/>
      <c r="BF44" s="1038"/>
      <c r="BG44" s="1036">
        <f>IF($AM44="Structure", IF($I44="kg",$J44,0), 0)</f>
        <v>5886</v>
      </c>
      <c r="BH44" s="1037">
        <f>IF($AM44="Insulation", IF($I44="kg",$J44,0), 0)</f>
        <v>0</v>
      </c>
      <c r="BI44" s="1038">
        <f>IF($AM44="Revêtement", IF($I44="kg",$J44,0), 0)</f>
        <v>0</v>
      </c>
      <c r="BJ44" s="1037">
        <f>_xlfn.XLOOKUP(H44, 'Baumaterialien Matériaux'!A:A, 'Baumaterialien Matériaux'!E:E, "-", 0, 1)</f>
        <v>7850</v>
      </c>
      <c r="BK44" s="1036">
        <f t="shared" si="22"/>
        <v>0.74980891719745224</v>
      </c>
      <c r="BL44" s="1037">
        <f t="shared" si="23"/>
        <v>0</v>
      </c>
      <c r="BM44" s="1038">
        <f t="shared" si="24"/>
        <v>0</v>
      </c>
      <c r="BN44" s="1037">
        <f>IFERROR((J44*VLOOKUP(H44, 'Baumaterialien Matériaux'!$A$11:$AH$318, 33,FALSE)),0)/$G$1</f>
        <v>1.9064445038065978</v>
      </c>
      <c r="BO44" s="1037"/>
      <c r="BP44" s="1037">
        <f>IFERROR((J44*VLOOKUP(H44, 'Baumaterialien Matériaux'!$A$11:$AH$318, 34,FALSE)),0)/$G$1</f>
        <v>0</v>
      </c>
      <c r="BQ44" s="1037">
        <f t="shared" ref="BQ44:BQ75" si="81">BP44/Q44</f>
        <v>0</v>
      </c>
      <c r="BR44" s="1037">
        <f>IFERROR((N44+Q44)*($L$2/L44-1),0)</f>
        <v>0</v>
      </c>
    </row>
    <row r="45" spans="2:70" ht="15.6" customHeight="1">
      <c r="B45" s="1102" t="s">
        <v>113</v>
      </c>
      <c r="C45" s="1097" t="s">
        <v>114</v>
      </c>
      <c r="D45" s="473" t="s">
        <v>115</v>
      </c>
      <c r="E45" s="473"/>
      <c r="F45" s="473"/>
      <c r="G45" s="473"/>
      <c r="H45" s="473"/>
      <c r="I45" s="463"/>
      <c r="J45" s="654"/>
      <c r="K45" s="652"/>
      <c r="L45" s="652"/>
      <c r="M45" s="653">
        <f>M46+M50+M54</f>
        <v>78.20317618984015</v>
      </c>
      <c r="N45" s="653">
        <f t="shared" ref="N45:S45" si="82">N46+N50+N54</f>
        <v>59.118043542139702</v>
      </c>
      <c r="O45" s="653">
        <f t="shared" ref="O45" si="83">O46+O50+O54</f>
        <v>13.225310159832596</v>
      </c>
      <c r="P45" s="653">
        <f t="shared" si="82"/>
        <v>1.5889770802724721</v>
      </c>
      <c r="Q45" s="653">
        <f t="shared" si="82"/>
        <v>4.2708454075953872</v>
      </c>
      <c r="R45" s="653">
        <f t="shared" ref="R45" si="84">R46+R50+R54</f>
        <v>0.84487722808423471</v>
      </c>
      <c r="S45" s="653">
        <f t="shared" si="82"/>
        <v>0.34737491652197139</v>
      </c>
      <c r="T45" s="653">
        <f t="shared" ref="T45" si="85">T46+T50+T54</f>
        <v>3.4737491652197137E-3</v>
      </c>
      <c r="V45" s="638">
        <f t="shared" si="2"/>
        <v>3.4737491652197137E-3</v>
      </c>
      <c r="X45" s="638">
        <f t="shared" si="10"/>
        <v>0</v>
      </c>
      <c r="Z45" s="638">
        <f t="shared" si="11"/>
        <v>0</v>
      </c>
      <c r="AB45">
        <f>_xlfn.XLOOKUP($H45,'[1]Baumaterialien Matériaux'!$A:$A,'[1]Baumaterialien Matériaux'!AK:AK,0,0)</f>
        <v>0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622" cm="1">
        <f t="array" ref="AD45">IFERROR(_xlfn.SWITCH(I45,"kg",1,"m3",AC45,AC45)*J45/(_xlfn.XLOOKUP(AA45,Métrés!A:A,Métrés!C:C,0)),0)</f>
        <v>0</v>
      </c>
      <c r="AE45" s="1092">
        <f>IFERROR(N45*$G$1/(_xlfn.XLOOKUP($AA45,Métrés!$A:$A,Métrés!$C:$C,0)),0)</f>
        <v>0</v>
      </c>
      <c r="AF45" s="1092">
        <f>IFERROR(O45*$G$1/(_xlfn.XLOOKUP($AA45,Métrés!$A:$A,Métrés!$C:$C,0)),0)</f>
        <v>0</v>
      </c>
      <c r="AG45" s="1092">
        <f>IFERROR(Q45*$G$1/(_xlfn.XLOOKUP($AA45,Métrés!$A:$A,Métrés!$C:$C,0)),0)</f>
        <v>0</v>
      </c>
      <c r="AH45" s="1092">
        <f>IFERROR(R45*$G$1/(_xlfn.XLOOKUP($AA45,Métrés!$A:$A,Métrés!$C:$C,0)),0)</f>
        <v>0</v>
      </c>
      <c r="AI45" s="1092">
        <f>IFERROR(S45*$G$1/(_xlfn.XLOOKUP($AA45,Métrés!$A:$A,Métrés!$C:$C,0)),0)</f>
        <v>0</v>
      </c>
      <c r="AJ45" s="666"/>
      <c r="AK45" s="666"/>
      <c r="AL45" s="666"/>
      <c r="AM45" s="666"/>
      <c r="AN45" s="1051"/>
      <c r="AO45" s="666"/>
      <c r="AP45" s="666"/>
      <c r="AQ45" s="666"/>
      <c r="AR45" s="1052"/>
      <c r="AS45" s="1051"/>
      <c r="AT45" s="666"/>
      <c r="AU45" s="666"/>
      <c r="AV45" s="666"/>
      <c r="AW45" s="1052"/>
      <c r="AX45" s="1051"/>
      <c r="AY45" s="666"/>
      <c r="AZ45" s="666"/>
      <c r="BA45" s="666"/>
      <c r="BB45" s="1052"/>
      <c r="BC45" s="1051"/>
      <c r="BD45" s="666"/>
      <c r="BE45" s="666"/>
      <c r="BF45" s="1052"/>
      <c r="BG45" s="1051"/>
      <c r="BH45" s="666"/>
      <c r="BI45" s="1052"/>
      <c r="BJ45" s="666"/>
      <c r="BK45" s="1051"/>
      <c r="BL45" s="666"/>
      <c r="BM45" s="1052"/>
      <c r="BN45" s="1037">
        <f>IFERROR((J45*VLOOKUP(H45, 'Baumaterialien Matériaux'!$A$11:$AH$318, 33,FALSE)),0)/$G$1</f>
        <v>0</v>
      </c>
      <c r="BO45" s="1037"/>
      <c r="BP45" s="1037">
        <f>IFERROR((J45*VLOOKUP(H45, 'Baumaterialien Matériaux'!$A$11:$AH$318, 34,FALSE)),0)/$G$1</f>
        <v>0</v>
      </c>
      <c r="BQ45" s="1037">
        <f t="shared" si="81"/>
        <v>0</v>
      </c>
      <c r="BR45" s="1037"/>
    </row>
    <row r="46" spans="2:70">
      <c r="B46" s="1103"/>
      <c r="C46" s="1099"/>
      <c r="D46" s="478"/>
      <c r="E46" s="479" t="str">
        <f>BillQuantities!E14</f>
        <v>Paroi en béton (avec enduit intérieur)</v>
      </c>
      <c r="F46" s="663" t="s">
        <v>3030</v>
      </c>
      <c r="G46" s="663"/>
      <c r="H46" s="663"/>
      <c r="I46" s="459" t="s">
        <v>39</v>
      </c>
      <c r="J46" s="662">
        <v>470.39</v>
      </c>
      <c r="K46" s="663"/>
      <c r="L46" s="663"/>
      <c r="M46" s="664">
        <f>SUM(M47:M49)</f>
        <v>61.2641037598504</v>
      </c>
      <c r="N46" s="664">
        <f t="shared" ref="N46:S46" si="86">SUM(N47:N49)</f>
        <v>46.206272945327456</v>
      </c>
      <c r="O46" s="664">
        <f t="shared" ref="O46" si="87">SUM(O47:O49)</f>
        <v>10.376758164151193</v>
      </c>
      <c r="P46" s="664">
        <f t="shared" si="86"/>
        <v>1.343541358911001</v>
      </c>
      <c r="Q46" s="664">
        <f t="shared" si="86"/>
        <v>3.337531291460754</v>
      </c>
      <c r="R46" s="664">
        <f t="shared" ref="R46" si="88">SUM(R47:R49)</f>
        <v>0.66008998747829561</v>
      </c>
      <c r="S46" s="664">
        <f t="shared" si="86"/>
        <v>0.29371887939094427</v>
      </c>
      <c r="T46" s="664">
        <f t="shared" ref="T46" si="89">SUM(T47:T49)</f>
        <v>2.9371887939094428E-3</v>
      </c>
      <c r="V46" s="638">
        <f t="shared" si="2"/>
        <v>2.9371887939094428E-3</v>
      </c>
      <c r="X46" s="638">
        <f t="shared" si="10"/>
        <v>0</v>
      </c>
      <c r="Z46" s="638">
        <f t="shared" si="11"/>
        <v>0</v>
      </c>
      <c r="AA46" s="648" t="s">
        <v>3443</v>
      </c>
      <c r="AB46">
        <f>_xlfn.XLOOKUP($H46,'[1]Baumaterialien Matériaux'!$A:$A,'[1]Baumaterialien Matériaux'!AK:AK,0,0)</f>
        <v>0</v>
      </c>
      <c r="AC46" cm="1">
        <f t="array" ref="AC46">_xlfn.SWITCH(I46,"kg"," ",0," ",_xlfn.XLOOKUP(H46, '[1]Baumaterialien Matériaux'!$A:$A, '[1]Baumaterialien Matériaux'!$AL:$AL, "-", 0, 1))</f>
        <v>0</v>
      </c>
      <c r="AD46" s="622" cm="1">
        <f t="array" ref="AD46">IFERROR(_xlfn.SWITCH(I46,"kg",1,"m3",AC46,AC46)*J46/(_xlfn.XLOOKUP(AA46,Métrés!A:A,Métrés!C:C,0)),0)</f>
        <v>0</v>
      </c>
      <c r="AE46" s="1092">
        <f>IFERROR(N46*$G$1/(_xlfn.XLOOKUP($AA46,Métrés!$A:$A,Métrés!$C:$C,0)),0)</f>
        <v>68.832491361443203</v>
      </c>
      <c r="AF46" s="1092">
        <f>IFERROR(O46*$G$1/(_xlfn.XLOOKUP($AA46,Métrés!$A:$A,Métrés!$C:$C,0)),0)</f>
        <v>15.458033534512774</v>
      </c>
      <c r="AG46" s="1092">
        <f>IFERROR(Q46*$G$1/(_xlfn.XLOOKUP($AA46,Métrés!$A:$A,Métrés!$C:$C,0)),0)</f>
        <v>4.9718486072192469</v>
      </c>
      <c r="AH46" s="1092">
        <f>IFERROR(R46*$G$1/(_xlfn.XLOOKUP($AA46,Métrés!$A:$A,Métrés!$C:$C,0)),0)</f>
        <v>0.98332186226393203</v>
      </c>
      <c r="AI46" s="1092">
        <f>IFERROR(S46*$G$1/(_xlfn.XLOOKUP($AA46,Métrés!$A:$A,Métrés!$C:$C,0)),0)</f>
        <v>0.4375466996070369</v>
      </c>
      <c r="AJ46" s="878"/>
      <c r="AK46" s="878"/>
      <c r="AL46" s="878"/>
      <c r="AM46" s="878"/>
      <c r="AN46" s="1053"/>
      <c r="AO46" s="878"/>
      <c r="AP46" s="878"/>
      <c r="AQ46" s="878"/>
      <c r="AR46" s="1054"/>
      <c r="AS46" s="1053"/>
      <c r="AT46" s="878"/>
      <c r="AU46" s="878"/>
      <c r="AV46" s="878"/>
      <c r="AW46" s="1054"/>
      <c r="AX46" s="1053"/>
      <c r="AY46" s="878"/>
      <c r="AZ46" s="878"/>
      <c r="BA46" s="878"/>
      <c r="BB46" s="1054"/>
      <c r="BC46" s="1053"/>
      <c r="BD46" s="878"/>
      <c r="BE46" s="878"/>
      <c r="BF46" s="1054"/>
      <c r="BG46" s="1053"/>
      <c r="BH46" s="878"/>
      <c r="BI46" s="1054"/>
      <c r="BJ46" s="878"/>
      <c r="BK46" s="1053"/>
      <c r="BL46" s="878"/>
      <c r="BM46" s="1054"/>
      <c r="BN46" s="1037">
        <f>IFERROR((J46*VLOOKUP(H46, 'Baumaterialien Matériaux'!$A$11:$AH$318, 33,FALSE)),0)/$G$1</f>
        <v>0</v>
      </c>
      <c r="BO46" s="1037"/>
      <c r="BP46" s="1037">
        <f>IFERROR((J46*VLOOKUP(H46, 'Baumaterialien Matériaux'!$A$11:$AH$318, 34,FALSE)),0)/$G$1</f>
        <v>0</v>
      </c>
      <c r="BQ46" s="1037">
        <f t="shared" si="81"/>
        <v>0</v>
      </c>
      <c r="BR46" s="1037"/>
    </row>
    <row r="47" spans="2:70">
      <c r="B47" s="1103"/>
      <c r="C47" s="1099"/>
      <c r="D47" s="478"/>
      <c r="E47" s="478"/>
      <c r="F47" s="454" t="s">
        <v>2981</v>
      </c>
      <c r="G47" s="478" t="str">
        <f>_xlfn.XLOOKUP(H47, 'Baumaterialien Matériaux'!A:A, 'Baumaterialien Matériaux'!AD:AD, "-", 0, 1)</f>
        <v>Béton pour bâtiment (sans armature)</v>
      </c>
      <c r="H47" s="891">
        <v>1.0019999999999998</v>
      </c>
      <c r="I47" s="641" t="str">
        <f>_xlfn.XLOOKUP(H47, 'Baumaterialien Matériaux'!A:A, 'Baumaterialien Matériaux'!F:F, "-", 0, 1)</f>
        <v>kg</v>
      </c>
      <c r="J47" s="649">
        <f>$J$46*K47</f>
        <v>216379.4</v>
      </c>
      <c r="K47" s="893">
        <f>0.2*2300</f>
        <v>460</v>
      </c>
      <c r="L47" s="650">
        <v>60</v>
      </c>
      <c r="M47" s="648">
        <f>SUM(N47:Q47)</f>
        <v>29.454610903343575</v>
      </c>
      <c r="N47" s="720">
        <f>IFERROR(($J47*VLOOKUP($H47, 'Baumaterialien Matériaux'!$A$11:$AD$318, 26,FALSE)),0)/$G$1</f>
        <v>21.386504073727796</v>
      </c>
      <c r="O47" s="720">
        <f>IFERROR(($J47*VLOOKUP($H47, 'Baumaterialien Matériaux'!$A$11:$AH$318, 33,FALSE)),0)/$G$1</f>
        <v>5.0094514046569598</v>
      </c>
      <c r="P47" s="720">
        <f>IFERROR((N47+Q47)*($L$2/L47-1),0)</f>
        <v>0</v>
      </c>
      <c r="Q47" s="720">
        <f>IFERROR(($J47*VLOOKUP($H47, 'Baumaterialien Matériaux'!$A$11:$AD$318, 27,FALSE)),0)/$G$1</f>
        <v>3.0586554249588174</v>
      </c>
      <c r="R47" s="720">
        <f>IFERROR(($J47*VLOOKUP($H47, 'Baumaterialien Matériaux'!$A$11:$AH$318, 34,FALSE)),0)/$G$1</f>
        <v>0.64544854636926219</v>
      </c>
      <c r="S47" s="720">
        <f>IFERROR((J47*VLOOKUP(H47, 'Baumaterialien Matériaux'!$A$11:$AD$318, 29,FALSE)),0)/$G$1</f>
        <v>0</v>
      </c>
      <c r="T47" s="720"/>
      <c r="V47" s="638">
        <f t="shared" si="2"/>
        <v>0</v>
      </c>
      <c r="W47" s="638">
        <f t="shared" ref="W47:W53" si="90">IF(L47=60, 0, S47)</f>
        <v>0</v>
      </c>
      <c r="X47" s="638" t="str">
        <f t="shared" si="10"/>
        <v>Structure</v>
      </c>
      <c r="Z47" s="638">
        <f t="shared" si="11"/>
        <v>60</v>
      </c>
      <c r="AA47" s="648" t="s">
        <v>3443</v>
      </c>
      <c r="AB47" t="str">
        <f>_xlfn.XLOOKUP($H47,'[1]Baumaterialien Matériaux'!$A:$A,'[1]Baumaterialien Matériaux'!AK:AK,0,0)</f>
        <v>concrete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622" cm="1">
        <f t="array" ref="AD47">IFERROR(_xlfn.SWITCH(I47,"kg",1,"m3",AC47,AC47)*J47/(_xlfn.XLOOKUP(AA47,Métrés!A:A,Métrés!C:C,0)),0)</f>
        <v>358.77269486495004</v>
      </c>
      <c r="AE47" s="1092">
        <f>IFERROR(N47*$G$1/(_xlfn.XLOOKUP($AA47,Métrés!$A:$A,Métrés!$C:$C,0)),0)</f>
        <v>31.859015304007567</v>
      </c>
      <c r="AF47" s="1092">
        <f>IFERROR(O47*$G$1/(_xlfn.XLOOKUP($AA47,Métrés!$A:$A,Métrés!$C:$C,0)),0)</f>
        <v>7.4624720531909601</v>
      </c>
      <c r="AG47" s="1092">
        <f>IFERROR(Q47*$G$1/(_xlfn.XLOOKUP($AA47,Métrés!$A:$A,Métrés!$C:$C,0)),0)</f>
        <v>4.5564132247848654</v>
      </c>
      <c r="AH47" s="1092">
        <f>IFERROR(R47*$G$1/(_xlfn.XLOOKUP($AA47,Métrés!$A:$A,Métrés!$C:$C,0)),0)</f>
        <v>0.96151082223806617</v>
      </c>
      <c r="AI47" s="1092">
        <f>IFERROR(S47*$G$1/(_xlfn.XLOOKUP($AA47,Métrés!$A:$A,Métrés!$C:$C,0)),0)</f>
        <v>0</v>
      </c>
      <c r="AJ47" s="1022"/>
      <c r="AK47" s="638">
        <f>IF(L47=60, 0, T47)</f>
        <v>0</v>
      </c>
      <c r="AL47" s="638">
        <f>IF(L47=60, 0, S47)</f>
        <v>0</v>
      </c>
      <c r="AM47" s="638" t="str">
        <f>IF(L47=$L$2, "Structure", IF(L47&gt;0,"Revêtement",0))</f>
        <v>Structure</v>
      </c>
      <c r="AN47" s="1036">
        <f>IF(AM47="Structure",N47,0)</f>
        <v>21.386504073727796</v>
      </c>
      <c r="AO47" s="1037">
        <f>IF(AM47="Structure",P47,0)</f>
        <v>0</v>
      </c>
      <c r="AP47" s="1037">
        <f>IF(AM47="Structure",Q47,0)</f>
        <v>3.0586554249588174</v>
      </c>
      <c r="AQ47" s="1038">
        <f>IF(AM47="Structure",S47,0)</f>
        <v>0</v>
      </c>
      <c r="AR47" s="1038">
        <f>IF(AM47="Structure",T47,0)</f>
        <v>0</v>
      </c>
      <c r="AS47" s="1036">
        <f>IF(AM47="Insulation",N47,0)</f>
        <v>0</v>
      </c>
      <c r="AT47" s="1037">
        <f>IF(AM47="Insulation",P47,0)</f>
        <v>0</v>
      </c>
      <c r="AU47" s="1037">
        <f>IF(AM47="Insulation",Q47,0)</f>
        <v>0</v>
      </c>
      <c r="AV47" s="1038">
        <f>IF(AM47="Insulation",S47,0)</f>
        <v>0</v>
      </c>
      <c r="AW47" s="1038">
        <f>IF(AM47="Insulation",T47,0)</f>
        <v>0</v>
      </c>
      <c r="AX47" s="1036">
        <f>IF(AM47="Revêtement",N47,0)</f>
        <v>0</v>
      </c>
      <c r="AY47" s="1037">
        <f>IF(AM47="Revêtement",P47,0)</f>
        <v>0</v>
      </c>
      <c r="AZ47" s="1037">
        <f>IF(AM47="Revêtement",Q47,0)</f>
        <v>0</v>
      </c>
      <c r="BA47" s="1037">
        <f>IF(AM47="Revêtement",S47,0)</f>
        <v>0</v>
      </c>
      <c r="BB47" s="1038">
        <f>IF(AM47="Revêtement",T47,0)</f>
        <v>0</v>
      </c>
      <c r="BC47" s="1036"/>
      <c r="BD47" s="1037"/>
      <c r="BE47" s="1037"/>
      <c r="BF47" s="1038"/>
      <c r="BG47" s="1036">
        <f>IF($AM47="Structure", IF($I47="kg",$J47,0), 0)</f>
        <v>216379.4</v>
      </c>
      <c r="BH47" s="1037">
        <f>IF($AM47="Insulation", IF($I47="kg",$J47,0), 0)</f>
        <v>0</v>
      </c>
      <c r="BI47" s="1038">
        <f>IF($AM47="Revêtement", IF($I47="kg",$J47,0), 0)</f>
        <v>0</v>
      </c>
      <c r="BJ47" s="1037">
        <f>_xlfn.XLOOKUP(H47, 'Baumaterialien Matériaux'!A:A, 'Baumaterialien Matériaux'!E:E, "-", 0, 1)</f>
        <v>2300</v>
      </c>
      <c r="BK47" s="1036">
        <f t="shared" si="22"/>
        <v>94.078000000000003</v>
      </c>
      <c r="BL47" s="1037">
        <f t="shared" si="23"/>
        <v>0</v>
      </c>
      <c r="BM47" s="1038">
        <f t="shared" si="24"/>
        <v>0</v>
      </c>
      <c r="BN47" s="1037">
        <f>IFERROR((J47*VLOOKUP(H47, 'Baumaterialien Matériaux'!$A$11:$AH$318, 33,FALSE)),0)/$G$1</f>
        <v>5.0094514046569598</v>
      </c>
      <c r="BO47" s="1037">
        <f>(BN47+BP47)*($L$2/L47-1)</f>
        <v>0</v>
      </c>
      <c r="BP47" s="1037">
        <f>IFERROR((J47*VLOOKUP(H47, 'Baumaterialien Matériaux'!$A$11:$AH$318, 34,FALSE)),0)/$G$1</f>
        <v>0.64544854636926219</v>
      </c>
      <c r="BQ47" s="1037">
        <f t="shared" si="81"/>
        <v>0.21102362204724406</v>
      </c>
      <c r="BR47" s="1037">
        <f>IFERROR((N47+Q47)*($L$2/L47-1),0)</f>
        <v>0</v>
      </c>
    </row>
    <row r="48" spans="2:70">
      <c r="B48" s="1103"/>
      <c r="C48" s="1099"/>
      <c r="D48" s="478"/>
      <c r="F48" s="638" t="s">
        <v>3004</v>
      </c>
      <c r="G48" s="478" t="str">
        <f>_xlfn.XLOOKUP(H48, 'Baumaterialien Matériaux'!A:A, 'Baumaterialien Matériaux'!AD:AD, "-", 0, 1)</f>
        <v>Acier d'armature</v>
      </c>
      <c r="H48" s="892" t="s">
        <v>497</v>
      </c>
      <c r="I48" s="641" t="str">
        <f>_xlfn.XLOOKUP(H48, 'Baumaterialien Matériaux'!A:A, 'Baumaterialien Matériaux'!F:F, "-", 0, 1)</f>
        <v>kg</v>
      </c>
      <c r="J48" s="649">
        <f t="shared" ref="J48:J49" si="91">$J$46*K48</f>
        <v>14111.699999999999</v>
      </c>
      <c r="K48" s="894">
        <f>0.2*150</f>
        <v>30</v>
      </c>
      <c r="L48" s="650">
        <v>60</v>
      </c>
      <c r="M48" s="648">
        <f t="shared" ref="M48:M61" si="92">SUM(N48:Q48)</f>
        <v>28.325808935488176</v>
      </c>
      <c r="N48" s="720">
        <f>IFERROR(($J48*VLOOKUP($H48, 'Baumaterialien Matériaux'!$A$11:$AD$318, 26,FALSE)),0)/$G$1</f>
        <v>23.560337919059702</v>
      </c>
      <c r="O48" s="720">
        <f>IFERROR(($J48*VLOOKUP($H48, 'Baumaterialien Matériaux'!$A$11:$AH$318, 33,FALSE)),0)/$G$1</f>
        <v>4.5707055562975816</v>
      </c>
      <c r="P48" s="720">
        <f t="shared" ref="P48:P61" si="93">IFERROR((N48+Q48)*($L$2/L48-1),0)</f>
        <v>0</v>
      </c>
      <c r="Q48" s="720">
        <f>IFERROR(($J48*VLOOKUP($H48, 'Baumaterialien Matériaux'!$A$11:$AD$318, 27,FALSE)),0)/$G$1</f>
        <v>0.19476546013089352</v>
      </c>
      <c r="R48" s="720">
        <f>IFERROR(($J48*VLOOKUP($H48, 'Baumaterialien Matériaux'!$A$11:$AH$318, 34,FALSE)),0)/$G$1</f>
        <v>0</v>
      </c>
      <c r="S48" s="720">
        <f>IFERROR((J48*VLOOKUP(H48, 'Baumaterialien Matériaux'!$A$11:$AD$318, 29,FALSE)),0)/$G$1</f>
        <v>0</v>
      </c>
      <c r="T48" s="720"/>
      <c r="V48" s="638">
        <f t="shared" si="2"/>
        <v>0</v>
      </c>
      <c r="W48" s="638">
        <f t="shared" si="90"/>
        <v>0</v>
      </c>
      <c r="X48" s="638" t="str">
        <f t="shared" si="10"/>
        <v>Structure</v>
      </c>
      <c r="Z48" s="638">
        <f t="shared" si="11"/>
        <v>60</v>
      </c>
      <c r="AA48" s="648" t="s">
        <v>3443</v>
      </c>
      <c r="AB48" t="str">
        <f>_xlfn.XLOOKUP($H48,'[1]Baumaterialien Matériaux'!$A:$A,'[1]Baumaterialien Matériaux'!AK:AK,0,0)</f>
        <v>metal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622" cm="1">
        <f t="array" ref="AD48">IFERROR(_xlfn.SWITCH(I48,"kg",1,"m3",AC48,AC48)*J48/(_xlfn.XLOOKUP(AA48,Métrés!A:A,Métrés!C:C,0)),0)</f>
        <v>23.39821923032283</v>
      </c>
      <c r="AE48" s="1092">
        <f>IFERROR(N48*$G$1/(_xlfn.XLOOKUP($AA48,Métrés!$A:$A,Métrés!$C:$C,0)),0)</f>
        <v>35.097328845484242</v>
      </c>
      <c r="AF48" s="1092">
        <f>IFERROR(O48*$G$1/(_xlfn.XLOOKUP($AA48,Métrés!$A:$A,Métrés!$C:$C,0)),0)</f>
        <v>6.8088817960239432</v>
      </c>
      <c r="AG48" s="1092">
        <f>IFERROR(Q48*$G$1/(_xlfn.XLOOKUP($AA48,Métrés!$A:$A,Métrés!$C:$C,0)),0)</f>
        <v>0.29013791845600306</v>
      </c>
      <c r="AH48" s="1092">
        <f>IFERROR(R48*$G$1/(_xlfn.XLOOKUP($AA48,Métrés!$A:$A,Métrés!$C:$C,0)),0)</f>
        <v>0</v>
      </c>
      <c r="AI48" s="1092">
        <f>IFERROR(S48*$G$1/(_xlfn.XLOOKUP($AA48,Métrés!$A:$A,Métrés!$C:$C,0)),0)</f>
        <v>0</v>
      </c>
      <c r="AJ48" s="1022"/>
      <c r="AK48" s="638">
        <f>IF(L48=60, 0, T48)</f>
        <v>0</v>
      </c>
      <c r="AL48" s="638">
        <f>IF(L48=60, 0, S48)</f>
        <v>0</v>
      </c>
      <c r="AM48" s="638" t="str">
        <f>IF(L48=$L$2, "Structure", IF(L48&gt;0,"Revêtement",0))</f>
        <v>Structure</v>
      </c>
      <c r="AN48" s="1036">
        <f>IF(AM48="Structure",N48,0)</f>
        <v>23.560337919059702</v>
      </c>
      <c r="AO48" s="1037">
        <f>IF(AM48="Structure",P48,0)</f>
        <v>0</v>
      </c>
      <c r="AP48" s="1037">
        <f>IF(AM48="Structure",Q48,0)</f>
        <v>0.19476546013089352</v>
      </c>
      <c r="AQ48" s="1038">
        <f>IF(AM48="Structure",S48,0)</f>
        <v>0</v>
      </c>
      <c r="AR48" s="1038">
        <f>IF(AM48="Structure",T48,0)</f>
        <v>0</v>
      </c>
      <c r="AS48" s="1036">
        <f>IF(AM48="Insulation",N48,0)</f>
        <v>0</v>
      </c>
      <c r="AT48" s="1037">
        <f>IF(AM48="Insulation",P48,0)</f>
        <v>0</v>
      </c>
      <c r="AU48" s="1037">
        <f>IF(AM48="Insulation",Q48,0)</f>
        <v>0</v>
      </c>
      <c r="AV48" s="1038">
        <f>IF(AM48="Insulation",S48,0)</f>
        <v>0</v>
      </c>
      <c r="AW48" s="1038">
        <f>IF(AM48="Insulation",T48,0)</f>
        <v>0</v>
      </c>
      <c r="AX48" s="1036">
        <f>IF(AM48="Revêtement",N48,0)</f>
        <v>0</v>
      </c>
      <c r="AY48" s="1037">
        <f>IF(AM48="Revêtement",P48,0)</f>
        <v>0</v>
      </c>
      <c r="AZ48" s="1037">
        <f>IF(AM48="Revêtement",Q48,0)</f>
        <v>0</v>
      </c>
      <c r="BA48" s="1037">
        <f>IF(AM48="Revêtement",S48,0)</f>
        <v>0</v>
      </c>
      <c r="BB48" s="1038">
        <f>IF(AM48="Revêtement",T48,0)</f>
        <v>0</v>
      </c>
      <c r="BC48" s="1036"/>
      <c r="BD48" s="1037"/>
      <c r="BE48" s="1037"/>
      <c r="BF48" s="1038"/>
      <c r="BG48" s="1036">
        <f>IF($AM48="Structure", IF($I48="kg",$J48,0), 0)</f>
        <v>14111.699999999999</v>
      </c>
      <c r="BH48" s="1037">
        <f>IF($AM48="Insulation", IF($I48="kg",$J48,0), 0)</f>
        <v>0</v>
      </c>
      <c r="BI48" s="1038">
        <f>IF($AM48="Revêtement", IF($I48="kg",$J48,0), 0)</f>
        <v>0</v>
      </c>
      <c r="BJ48" s="1037">
        <f>_xlfn.XLOOKUP(H48, 'Baumaterialien Matériaux'!A:A, 'Baumaterialien Matériaux'!E:E, "-", 0, 1)</f>
        <v>7850</v>
      </c>
      <c r="BK48" s="1036">
        <f t="shared" si="22"/>
        <v>1.797668789808917</v>
      </c>
      <c r="BL48" s="1037">
        <f t="shared" si="23"/>
        <v>0</v>
      </c>
      <c r="BM48" s="1038">
        <f t="shared" si="24"/>
        <v>0</v>
      </c>
      <c r="BN48" s="1037">
        <f>IFERROR((J48*VLOOKUP(H48, 'Baumaterialien Matériaux'!$A$11:$AH$318, 33,FALSE)),0)/$G$1</f>
        <v>4.5707055562975816</v>
      </c>
      <c r="BO48" s="1037">
        <f>(BN48+BP48)*($L$2/L48-1)</f>
        <v>0</v>
      </c>
      <c r="BP48" s="1037">
        <f>IFERROR((J48*VLOOKUP(H48, 'Baumaterialien Matériaux'!$A$11:$AH$318, 34,FALSE)),0)/$G$1</f>
        <v>0</v>
      </c>
      <c r="BQ48" s="1037">
        <f t="shared" si="81"/>
        <v>0</v>
      </c>
      <c r="BR48" s="1037">
        <f>IFERROR((N48+Q48)*($L$2/L48-1),0)</f>
        <v>0</v>
      </c>
    </row>
    <row r="49" spans="2:70">
      <c r="B49" s="1103"/>
      <c r="C49" s="1099"/>
      <c r="D49" s="478"/>
      <c r="F49" s="638" t="s">
        <v>2985</v>
      </c>
      <c r="G49" s="478" t="str">
        <f>_xlfn.XLOOKUP(H49, 'Baumaterialien Matériaux'!A:A, 'Baumaterialien Matériaux'!AD:AD, "-", 0, 1)</f>
        <v>Plaque de plâtre cartonnée</v>
      </c>
      <c r="H49" s="895" t="s">
        <v>107</v>
      </c>
      <c r="I49" s="641" t="str">
        <f>_xlfn.XLOOKUP(H49, 'Baumaterialien Matériaux'!A:A, 'Baumaterialien Matériaux'!F:F, "-", 0, 1)</f>
        <v>kg</v>
      </c>
      <c r="J49" s="649">
        <f t="shared" si="91"/>
        <v>3998.3150000000001</v>
      </c>
      <c r="K49" s="894">
        <f>0.01*850</f>
        <v>8.5</v>
      </c>
      <c r="L49" s="650">
        <v>30</v>
      </c>
      <c r="M49" s="648">
        <f t="shared" si="92"/>
        <v>3.4836839210186539</v>
      </c>
      <c r="N49" s="720">
        <f>IFERROR(($J49*VLOOKUP($H49, 'Baumaterialien Matériaux'!$A$11:$AD$318, 26,FALSE)),0)/$G$1</f>
        <v>1.2594309525399578</v>
      </c>
      <c r="O49" s="720">
        <f>IFERROR(($J49*VLOOKUP($H49, 'Baumaterialien Matériaux'!$A$11:$AH$318, 33,FALSE)),0)/$G$1</f>
        <v>0.79660120319665195</v>
      </c>
      <c r="P49" s="720">
        <f t="shared" si="93"/>
        <v>1.343541358911001</v>
      </c>
      <c r="Q49" s="720">
        <f>IFERROR(($J49*VLOOKUP($H49, 'Baumaterialien Matériaux'!$A$11:$AD$318, 27,FALSE)),0)/$G$1</f>
        <v>8.4110406371043139E-2</v>
      </c>
      <c r="R49" s="720">
        <f>IFERROR(($J49*VLOOKUP($H49, 'Baumaterialien Matériaux'!$A$11:$AH$318, 34,FALSE)),0)/$G$1</f>
        <v>1.4641441109033435E-2</v>
      </c>
      <c r="S49" s="720">
        <f>IFERROR((J49*VLOOKUP(H49, 'Baumaterialien Matériaux'!$A$11:$AD$318, 29,FALSE)),0)/$G$1</f>
        <v>0.29371887939094427</v>
      </c>
      <c r="T49" s="720">
        <f>S49*AJ49</f>
        <v>2.9371887939094428E-3</v>
      </c>
      <c r="U49" s="638">
        <v>0.01</v>
      </c>
      <c r="V49" s="638">
        <f t="shared" si="2"/>
        <v>2.9371887939094428E-3</v>
      </c>
      <c r="W49" s="638">
        <f t="shared" si="90"/>
        <v>0.29371887939094427</v>
      </c>
      <c r="X49" s="638" t="str">
        <f t="shared" si="10"/>
        <v>Revêtement</v>
      </c>
      <c r="Z49" s="638">
        <f t="shared" si="11"/>
        <v>30</v>
      </c>
      <c r="AA49" s="648" t="s">
        <v>3443</v>
      </c>
      <c r="AB49" t="str">
        <f>_xlfn.XLOOKUP($H49,'[1]Baumaterialien Matériaux'!$A:$A,'[1]Baumaterialien Matériaux'!AK:AK,0,0)</f>
        <v>gypsum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622" cm="1">
        <f t="array" ref="AD49">IFERROR(_xlfn.SWITCH(I49,"kg",1,"m3",AC49,AC49)*J49/(_xlfn.XLOOKUP(AA49,Métrés!A:A,Métrés!C:C,0)),0)</f>
        <v>6.6294954485914683</v>
      </c>
      <c r="AE49" s="1092">
        <f>IFERROR(N49*$G$1/(_xlfn.XLOOKUP($AA49,Métrés!$A:$A,Métrés!$C:$C,0)),0)</f>
        <v>1.8761472119513853</v>
      </c>
      <c r="AF49" s="1092">
        <f>IFERROR(O49*$G$1/(_xlfn.XLOOKUP($AA49,Métrés!$A:$A,Métrés!$C:$C,0)),0)</f>
        <v>1.1866796852978729</v>
      </c>
      <c r="AG49" s="1092">
        <f>IFERROR(Q49*$G$1/(_xlfn.XLOOKUP($AA49,Métrés!$A:$A,Métrés!$C:$C,0)),0)</f>
        <v>0.12529746397837876</v>
      </c>
      <c r="AH49" s="1092">
        <f>IFERROR(R49*$G$1/(_xlfn.XLOOKUP($AA49,Métrés!$A:$A,Métrés!$C:$C,0)),0)</f>
        <v>2.1811040025865931E-2</v>
      </c>
      <c r="AI49" s="1092">
        <f>IFERROR(S49*$G$1/(_xlfn.XLOOKUP($AA49,Métrés!$A:$A,Métrés!$C:$C,0)),0)</f>
        <v>0.4375466996070369</v>
      </c>
      <c r="AJ49" s="1022">
        <v>0.01</v>
      </c>
      <c r="AK49" s="638">
        <f>IF(L49=60, 0, T49)</f>
        <v>2.9371887939094428E-3</v>
      </c>
      <c r="AL49" s="638">
        <f>IF(L49=60, 0, S49)</f>
        <v>0.29371887939094427</v>
      </c>
      <c r="AM49" s="638" t="str">
        <f>IF(L49=$L$2, "Structure", IF(L49&gt;0,"Revêtement",0))</f>
        <v>Revêtement</v>
      </c>
      <c r="AN49" s="1036">
        <f>IF(AM49="Structure",N49,0)</f>
        <v>0</v>
      </c>
      <c r="AO49" s="1037">
        <f>IF(AM49="Structure",P49,0)</f>
        <v>0</v>
      </c>
      <c r="AP49" s="1037">
        <f>IF(AM49="Structure",Q49,0)</f>
        <v>0</v>
      </c>
      <c r="AQ49" s="1038">
        <f>IF(AM49="Structure",S49,0)</f>
        <v>0</v>
      </c>
      <c r="AR49" s="1038">
        <f>IF(AM49="Structure",T49,0)</f>
        <v>0</v>
      </c>
      <c r="AS49" s="1036">
        <f>IF(AM49="Insulation",N49,0)</f>
        <v>0</v>
      </c>
      <c r="AT49" s="1037">
        <f>IF(AM49="Insulation",P49,0)</f>
        <v>0</v>
      </c>
      <c r="AU49" s="1037">
        <f>IF(AM49="Insulation",Q49,0)</f>
        <v>0</v>
      </c>
      <c r="AV49" s="1038">
        <f>IF(AM49="Insulation",S49,0)</f>
        <v>0</v>
      </c>
      <c r="AW49" s="1038">
        <f>IF(AM49="Insulation",T49,0)</f>
        <v>0</v>
      </c>
      <c r="AX49" s="1036">
        <f>IF(AM49="Revêtement",N49,0)</f>
        <v>1.2594309525399578</v>
      </c>
      <c r="AY49" s="1037">
        <f>IF(AM49="Revêtement",P49,0)</f>
        <v>1.343541358911001</v>
      </c>
      <c r="AZ49" s="1037">
        <f>IF(AM49="Revêtement",Q49,0)</f>
        <v>8.4110406371043139E-2</v>
      </c>
      <c r="BA49" s="1037">
        <f>IF(AM49="Revêtement",S49,0)</f>
        <v>0.29371887939094427</v>
      </c>
      <c r="BB49" s="1038">
        <f>IF(AM49="Revêtement",T49,0)</f>
        <v>2.9371887939094428E-3</v>
      </c>
      <c r="BC49" s="1036"/>
      <c r="BD49" s="1037"/>
      <c r="BE49" s="1037"/>
      <c r="BF49" s="1038"/>
      <c r="BG49" s="1036">
        <f>IF($AM49="Structure", IF($I49="kg",$J49,0), 0)</f>
        <v>0</v>
      </c>
      <c r="BH49" s="1037">
        <f>IF($AM49="Insulation", IF($I49="kg",$J49,0), 0)</f>
        <v>0</v>
      </c>
      <c r="BI49" s="1038">
        <f>IF($AM49="Revêtement", IF($I49="kg",$J49,0), 0)</f>
        <v>3998.3150000000001</v>
      </c>
      <c r="BJ49" s="1037">
        <f>_xlfn.XLOOKUP(H49, 'Baumaterialien Matériaux'!A:A, 'Baumaterialien Matériaux'!E:E, "-", 0, 1)</f>
        <v>850</v>
      </c>
      <c r="BK49" s="1036">
        <f t="shared" si="22"/>
        <v>0</v>
      </c>
      <c r="BL49" s="1037">
        <f t="shared" si="23"/>
        <v>0</v>
      </c>
      <c r="BM49" s="1038">
        <f t="shared" si="24"/>
        <v>4.7039</v>
      </c>
      <c r="BN49" s="1037">
        <f>IFERROR((J49*VLOOKUP(H49, 'Baumaterialien Matériaux'!$A$11:$AH$318, 33,FALSE)),0)/$G$1</f>
        <v>0.79660120319665195</v>
      </c>
      <c r="BO49" s="1037">
        <f>(BN49+BP49)*($L$2/L49-1)</f>
        <v>0.81124264430568538</v>
      </c>
      <c r="BP49" s="1037">
        <f>IFERROR((J49*VLOOKUP(H49, 'Baumaterialien Matériaux'!$A$11:$AH$318, 34,FALSE)),0)/$G$1</f>
        <v>1.4641441109033435E-2</v>
      </c>
      <c r="BQ49" s="1037">
        <f t="shared" si="81"/>
        <v>0.17407407407407408</v>
      </c>
      <c r="BR49" s="1037">
        <f>IFERROR((N49+Q49)*($L$2/L49-1),0)</f>
        <v>1.343541358911001</v>
      </c>
    </row>
    <row r="50" spans="2:70">
      <c r="B50" s="1103"/>
      <c r="C50" s="1099"/>
      <c r="D50" s="478"/>
      <c r="F50" s="663" t="s">
        <v>3032</v>
      </c>
      <c r="G50" s="663"/>
      <c r="H50" s="663"/>
      <c r="I50" s="459" t="s">
        <v>39</v>
      </c>
      <c r="J50" s="662">
        <v>46.79</v>
      </c>
      <c r="K50" s="663"/>
      <c r="L50" s="663"/>
      <c r="M50" s="664">
        <f>SUM(M51:M53)</f>
        <v>5.7474560349049462</v>
      </c>
      <c r="N50" s="664">
        <f t="shared" ref="N50:T50" si="94">SUM(N51:N53)</f>
        <v>4.4708916789101103</v>
      </c>
      <c r="O50" s="664">
        <f t="shared" ref="O50" si="95">SUM(O51:O53)</f>
        <v>0.95294445928498273</v>
      </c>
      <c r="P50" s="664">
        <f t="shared" si="94"/>
        <v>0</v>
      </c>
      <c r="Q50" s="664">
        <f t="shared" si="94"/>
        <v>0.32361989670985258</v>
      </c>
      <c r="R50" s="664">
        <f t="shared" ref="R50" si="96">SUM(R51:R53)</f>
        <v>6.4203187747651477E-2</v>
      </c>
      <c r="S50" s="664">
        <f t="shared" si="94"/>
        <v>0</v>
      </c>
      <c r="T50" s="664">
        <f t="shared" si="94"/>
        <v>0</v>
      </c>
      <c r="V50" s="638">
        <f t="shared" si="2"/>
        <v>0</v>
      </c>
      <c r="W50" s="638">
        <f t="shared" si="90"/>
        <v>0</v>
      </c>
      <c r="Z50" s="638">
        <f t="shared" si="11"/>
        <v>0</v>
      </c>
      <c r="AA50" s="648" t="s">
        <v>3443</v>
      </c>
      <c r="AB50">
        <f>_xlfn.XLOOKUP($H50,'[1]Baumaterialien Matériaux'!$A:$A,'[1]Baumaterialien Matériaux'!AK:AK,0,0)</f>
        <v>0</v>
      </c>
      <c r="AC50" cm="1">
        <f t="array" ref="AC50">_xlfn.SWITCH(I50,"kg"," ",0," ",_xlfn.XLOOKUP(H50, '[1]Baumaterialien Matériaux'!$A:$A, '[1]Baumaterialien Matériaux'!$AL:$AL, "-", 0, 1))</f>
        <v>0</v>
      </c>
      <c r="AD50" s="622" cm="1">
        <f t="array" ref="AD50">IFERROR(_xlfn.SWITCH(I50,"kg",1,"m3",AC50,AC50)*J50/(_xlfn.XLOOKUP(AA50,Métrés!A:A,Métrés!C:C,0)),0)</f>
        <v>0</v>
      </c>
      <c r="AE50" s="1092">
        <f>IFERROR(N50*$G$1/(_xlfn.XLOOKUP($AA50,Métrés!$A:$A,Métrés!$C:$C,0)),0)</f>
        <v>6.6601912089005326</v>
      </c>
      <c r="AF50" s="1092">
        <f>IFERROR(O50*$G$1/(_xlfn.XLOOKUP($AA50,Métrés!$A:$A,Métrés!$C:$C,0)),0)</f>
        <v>1.4195808724776577</v>
      </c>
      <c r="AG50" s="1092">
        <f>IFERROR(Q50*$G$1/(_xlfn.XLOOKUP($AA50,Métrés!$A:$A,Métrés!$C:$C,0)),0)</f>
        <v>0.48208960222844921</v>
      </c>
      <c r="AH50" s="1092">
        <f>IFERROR(R50*$G$1/(_xlfn.XLOOKUP($AA50,Métrés!$A:$A,Métrés!$C:$C,0)),0)</f>
        <v>9.5642108404768625E-2</v>
      </c>
      <c r="AI50" s="1092">
        <f>IFERROR(S50*$G$1/(_xlfn.XLOOKUP($AA50,Métrés!$A:$A,Métrés!$C:$C,0)),0)</f>
        <v>0</v>
      </c>
      <c r="AJ50" s="664"/>
      <c r="AK50" s="664"/>
      <c r="AL50" s="664"/>
      <c r="AM50" s="1021"/>
      <c r="AN50" s="1059"/>
      <c r="AO50" s="664"/>
      <c r="AP50" s="664"/>
      <c r="AQ50" s="664"/>
      <c r="AR50" s="1058"/>
      <c r="AS50" s="1059"/>
      <c r="AT50" s="664"/>
      <c r="AU50" s="664"/>
      <c r="AV50" s="664"/>
      <c r="AW50" s="1058"/>
      <c r="AX50" s="1059"/>
      <c r="AY50" s="664"/>
      <c r="AZ50" s="664"/>
      <c r="BA50" s="664"/>
      <c r="BB50" s="1058"/>
      <c r="BC50" s="1059"/>
      <c r="BD50" s="664"/>
      <c r="BE50" s="664"/>
      <c r="BF50" s="1058"/>
      <c r="BG50" s="1059"/>
      <c r="BH50" s="664"/>
      <c r="BI50" s="1058"/>
      <c r="BJ50" s="1045"/>
      <c r="BK50" s="1059"/>
      <c r="BL50" s="664"/>
      <c r="BM50" s="1058"/>
      <c r="BN50" s="1037">
        <f>IFERROR((J50*VLOOKUP(H50, 'Baumaterialien Matériaux'!$A$11:$AH$318, 33,FALSE)),0)/$G$1</f>
        <v>0</v>
      </c>
      <c r="BO50" s="1037"/>
      <c r="BP50" s="1037">
        <f>IFERROR((J50*VLOOKUP(H50, 'Baumaterialien Matériaux'!$A$11:$AH$318, 34,FALSE)),0)/$G$1</f>
        <v>0</v>
      </c>
      <c r="BQ50" s="1037">
        <f t="shared" si="81"/>
        <v>0</v>
      </c>
      <c r="BR50" s="1037"/>
    </row>
    <row r="51" spans="2:70">
      <c r="B51" s="1103"/>
      <c r="C51" s="1099"/>
      <c r="D51" s="478"/>
      <c r="F51" s="638" t="s">
        <v>2981</v>
      </c>
      <c r="G51" s="478" t="str">
        <f>_xlfn.XLOOKUP(H51, 'Baumaterialien Matériaux'!A:A, 'Baumaterialien Matériaux'!AD:AD, "-", 0, 1)</f>
        <v>Béton pour bâtiment (sans armature)</v>
      </c>
      <c r="H51" s="891">
        <v>1.0019999999999998</v>
      </c>
      <c r="I51" s="641" t="str">
        <f>_xlfn.XLOOKUP(H51, 'Baumaterialien Matériaux'!A:A, 'Baumaterialien Matériaux'!F:F, "-", 0, 1)</f>
        <v>kg</v>
      </c>
      <c r="J51" s="649">
        <f>$J$50*K51</f>
        <v>21523.399999999998</v>
      </c>
      <c r="K51" s="893">
        <f>0.2*2300</f>
        <v>460</v>
      </c>
      <c r="L51" s="650">
        <v>60</v>
      </c>
      <c r="M51" s="648">
        <f>SUM(N51:Q51)</f>
        <v>2.9298693513200655</v>
      </c>
      <c r="N51" s="720">
        <f>IFERROR(($J51*VLOOKUP($H51, 'Baumaterialien Matériaux'!$A$11:$AD$318, 26,FALSE)),0)/$G$1</f>
        <v>2.1273295044744223</v>
      </c>
      <c r="O51" s="720">
        <f>IFERROR(($J51*VLOOKUP($H51, 'Baumaterialien Matériaux'!$A$11:$AH$318, 33,FALSE)),0)/$G$1</f>
        <v>0.49829339744445916</v>
      </c>
      <c r="P51" s="720">
        <f>IFERROR((N51+Q51)*($L$2/L51-1),0)</f>
        <v>0</v>
      </c>
      <c r="Q51" s="720">
        <f>IFERROR(($J51*VLOOKUP($H51, 'Baumaterialien Matériaux'!$A$11:$AD$318, 27,FALSE)),0)/$G$1</f>
        <v>0.30424644940118423</v>
      </c>
      <c r="R51" s="720">
        <f>IFERROR(($J51*VLOOKUP($H51, 'Baumaterialien Matériaux'!$A$11:$AH$318, 34,FALSE)),0)/$G$1</f>
        <v>6.4203187747651477E-2</v>
      </c>
      <c r="S51" s="720">
        <f>IFERROR((J51*VLOOKUP(H51, 'Baumaterialien Matériaux'!$A$11:$AD$318, 29,FALSE)),0)/$G$1</f>
        <v>0</v>
      </c>
      <c r="T51" s="720"/>
      <c r="V51" s="638">
        <f t="shared" si="2"/>
        <v>0</v>
      </c>
      <c r="W51" s="638">
        <f t="shared" si="90"/>
        <v>0</v>
      </c>
      <c r="Z51" s="638">
        <f t="shared" si="11"/>
        <v>60</v>
      </c>
      <c r="AA51" s="648" t="s">
        <v>3443</v>
      </c>
      <c r="AB51" t="str">
        <f>_xlfn.XLOOKUP($H51,'[1]Baumaterialien Matériaux'!$A:$A,'[1]Baumaterialien Matériaux'!AK:AK,0,0)</f>
        <v>concrete</v>
      </c>
      <c r="AC51" t="str" cm="1">
        <f t="array" ref="AC51">_xlfn.SWITCH(I51,"kg"," ",0," ",_xlfn.XLOOKUP(H51, '[1]Baumaterialien Matériaux'!$A:$A, '[1]Baumaterialien Matériaux'!$AL:$AL, "-", 0, 1))</f>
        <v xml:space="preserve"> </v>
      </c>
      <c r="AD51" s="622" cm="1">
        <f t="array" ref="AD51">IFERROR(_xlfn.SWITCH(I51,"kg",1,"m3",AC51,AC51)*J51/(_xlfn.XLOOKUP(AA51,Métrés!A:A,Métrés!C:C,0)),0)</f>
        <v>35.68735388237635</v>
      </c>
      <c r="AE51" s="1092">
        <f>IFERROR(N51*$G$1/(_xlfn.XLOOKUP($AA51,Métrés!$A:$A,Métrés!$C:$C,0)),0)</f>
        <v>3.1690370247550201</v>
      </c>
      <c r="AF51" s="1092">
        <f>IFERROR(O51*$G$1/(_xlfn.XLOOKUP($AA51,Métrés!$A:$A,Métrés!$C:$C,0)),0)</f>
        <v>0.7422969607534281</v>
      </c>
      <c r="AG51" s="1092">
        <f>IFERROR(Q51*$G$1/(_xlfn.XLOOKUP($AA51,Métrés!$A:$A,Métrés!$C:$C,0)),0)</f>
        <v>0.4532293943061797</v>
      </c>
      <c r="AH51" s="1092">
        <f>IFERROR(R51*$G$1/(_xlfn.XLOOKUP($AA51,Métrés!$A:$A,Métrés!$C:$C,0)),0)</f>
        <v>9.5642108404768625E-2</v>
      </c>
      <c r="AI51" s="1092">
        <f>IFERROR(S51*$G$1/(_xlfn.XLOOKUP($AA51,Métrés!$A:$A,Métrés!$C:$C,0)),0)</f>
        <v>0</v>
      </c>
      <c r="AJ51" s="1022"/>
      <c r="AK51" s="638">
        <f>IF(L51=60, 0, T51)</f>
        <v>0</v>
      </c>
      <c r="AL51" s="638">
        <f>IF(L51=60, 0, S51)</f>
        <v>0</v>
      </c>
      <c r="AM51" s="638" t="str">
        <f>IF(L51=$L$2, "Structure", IF(L51&gt;0,"Revêtement",0))</f>
        <v>Structure</v>
      </c>
      <c r="AN51" s="1036">
        <f>IF(AM51="Structure",N51,0)</f>
        <v>2.1273295044744223</v>
      </c>
      <c r="AO51" s="1037">
        <f>IF(AM51="Structure",P51,0)</f>
        <v>0</v>
      </c>
      <c r="AP51" s="1037">
        <f>IF(AM51="Structure",Q51,0)</f>
        <v>0.30424644940118423</v>
      </c>
      <c r="AQ51" s="1038">
        <f>IF(AM51="Structure",S51,0)</f>
        <v>0</v>
      </c>
      <c r="AR51" s="1038">
        <f>IF(AM51="Structure",T51,0)</f>
        <v>0</v>
      </c>
      <c r="AS51" s="1036">
        <f>IF(AM51="Insulation",N51,0)</f>
        <v>0</v>
      </c>
      <c r="AT51" s="1037">
        <f>IF(AM51="Insulation",P51,0)</f>
        <v>0</v>
      </c>
      <c r="AU51" s="1037">
        <f>IF(AM51="Insulation",Q51,0)</f>
        <v>0</v>
      </c>
      <c r="AV51" s="1038">
        <f>IF(AM51="Insulation",S51,0)</f>
        <v>0</v>
      </c>
      <c r="AW51" s="1038">
        <f>IF(AM51="Insulation",T51,0)</f>
        <v>0</v>
      </c>
      <c r="AX51" s="1036">
        <f>IF(AM51="Revêtement",N51,0)</f>
        <v>0</v>
      </c>
      <c r="AY51" s="1037">
        <f>IF(AM51="Revêtement",P51,0)</f>
        <v>0</v>
      </c>
      <c r="AZ51" s="1037">
        <f>IF(AM51="Revêtement",Q51,0)</f>
        <v>0</v>
      </c>
      <c r="BA51" s="1037">
        <f>IF(AM51="Revêtement",S51,0)</f>
        <v>0</v>
      </c>
      <c r="BB51" s="1038">
        <f>IF(AM51="Revêtement",T51,0)</f>
        <v>0</v>
      </c>
      <c r="BC51" s="1036"/>
      <c r="BD51" s="1037"/>
      <c r="BE51" s="1037"/>
      <c r="BF51" s="1038"/>
      <c r="BG51" s="1036">
        <f>IF($AM51="Structure", IF($I51="kg",$J51,0), 0)</f>
        <v>21523.399999999998</v>
      </c>
      <c r="BH51" s="1037">
        <f>IF($AM51="Insulation", IF($I51="kg",$J51,0), 0)</f>
        <v>0</v>
      </c>
      <c r="BI51" s="1038">
        <f>IF($AM51="Revêtement", IF($I51="kg",$J51,0), 0)</f>
        <v>0</v>
      </c>
      <c r="BJ51" s="1037">
        <f>_xlfn.XLOOKUP(H51, 'Baumaterialien Matériaux'!A:A, 'Baumaterialien Matériaux'!E:E, "-", 0, 1)</f>
        <v>2300</v>
      </c>
      <c r="BK51" s="1036">
        <f t="shared" si="22"/>
        <v>9.3579999999999988</v>
      </c>
      <c r="BL51" s="1037">
        <f t="shared" si="23"/>
        <v>0</v>
      </c>
      <c r="BM51" s="1038">
        <f t="shared" si="24"/>
        <v>0</v>
      </c>
      <c r="BN51" s="1037">
        <f>IFERROR((J51*VLOOKUP(H51, 'Baumaterialien Matériaux'!$A$11:$AH$318, 33,FALSE)),0)/$G$1</f>
        <v>0.49829339744445916</v>
      </c>
      <c r="BO51" s="1037">
        <f>(BN51+BP51)*($L$2/L51-1)</f>
        <v>0</v>
      </c>
      <c r="BP51" s="1037">
        <f>IFERROR((J51*VLOOKUP(H51, 'Baumaterialien Matériaux'!$A$11:$AH$318, 34,FALSE)),0)/$G$1</f>
        <v>6.4203187747651477E-2</v>
      </c>
      <c r="BQ51" s="1037">
        <f t="shared" si="81"/>
        <v>0.21102362204724409</v>
      </c>
      <c r="BR51" s="1037"/>
    </row>
    <row r="52" spans="2:70">
      <c r="B52" s="1103"/>
      <c r="C52" s="1099"/>
      <c r="D52" s="478"/>
      <c r="F52" s="638" t="s">
        <v>3004</v>
      </c>
      <c r="G52" s="478" t="str">
        <f>_xlfn.XLOOKUP(H52, 'Baumaterialien Matériaux'!A:A, 'Baumaterialien Matériaux'!AD:AD, "-", 0, 1)</f>
        <v>Acier d'armature</v>
      </c>
      <c r="H52" s="892" t="s">
        <v>497</v>
      </c>
      <c r="I52" s="641" t="str">
        <f>_xlfn.XLOOKUP(H52, 'Baumaterialien Matériaux'!A:A, 'Baumaterialien Matériaux'!F:F, "-", 0, 1)</f>
        <v>kg</v>
      </c>
      <c r="J52" s="649">
        <f>$J$50*K52</f>
        <v>1403.7</v>
      </c>
      <c r="K52" s="894">
        <f>0.2*150</f>
        <v>30</v>
      </c>
      <c r="L52" s="650">
        <v>60</v>
      </c>
      <c r="M52" s="648">
        <f>SUM(N52:Q52)</f>
        <v>2.8175866835848802</v>
      </c>
      <c r="N52" s="720">
        <f>IFERROR(($J52*VLOOKUP($H52, 'Baumaterialien Matériaux'!$A$11:$AD$318, 26,FALSE)),0)/$G$1</f>
        <v>2.3435621744356885</v>
      </c>
      <c r="O52" s="720">
        <f>IFERROR(($J52*VLOOKUP($H52, 'Baumaterialien Matériaux'!$A$11:$AH$318, 33,FALSE)),0)/$G$1</f>
        <v>0.45465106184052356</v>
      </c>
      <c r="P52" s="720">
        <f>IFERROR((N52+Q52)*($L$2/L52-1),0)</f>
        <v>0</v>
      </c>
      <c r="Q52" s="720">
        <f>IFERROR(($J52*VLOOKUP($H52, 'Baumaterialien Matériaux'!$A$11:$AD$318, 27,FALSE)),0)/$G$1</f>
        <v>1.9373447308668357E-2</v>
      </c>
      <c r="R52" s="720">
        <f>IFERROR(($J52*VLOOKUP($H52, 'Baumaterialien Matériaux'!$A$11:$AH$318, 34,FALSE)),0)/$G$1</f>
        <v>0</v>
      </c>
      <c r="S52" s="720">
        <f>IFERROR((J52*VLOOKUP(H52, 'Baumaterialien Matériaux'!$A$11:$AD$318, 29,FALSE)),0)/$G$1</f>
        <v>0</v>
      </c>
      <c r="T52" s="720"/>
      <c r="V52" s="638">
        <f t="shared" si="2"/>
        <v>0</v>
      </c>
      <c r="W52" s="638">
        <f t="shared" si="90"/>
        <v>0</v>
      </c>
      <c r="Z52" s="638">
        <f t="shared" si="11"/>
        <v>60</v>
      </c>
      <c r="AA52" s="648" t="s">
        <v>3443</v>
      </c>
      <c r="AB52" t="str">
        <f>_xlfn.XLOOKUP($H52,'[1]Baumaterialien Matériaux'!$A:$A,'[1]Baumaterialien Matériaux'!AK:AK,0,0)</f>
        <v>metal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622" cm="1">
        <f t="array" ref="AD52">IFERROR(_xlfn.SWITCH(I52,"kg",1,"m3",AC52,AC52)*J52/(_xlfn.XLOOKUP(AA52,Métrés!A:A,Métrés!C:C,0)),0)</f>
        <v>2.3274361227636753</v>
      </c>
      <c r="AE52" s="1092">
        <f>IFERROR(N52*$G$1/(_xlfn.XLOOKUP($AA52,Métrés!$A:$A,Métrés!$C:$C,0)),0)</f>
        <v>3.4911541841455134</v>
      </c>
      <c r="AF52" s="1092">
        <f>IFERROR(O52*$G$1/(_xlfn.XLOOKUP($AA52,Métrés!$A:$A,Métrés!$C:$C,0)),0)</f>
        <v>0.67728391172422953</v>
      </c>
      <c r="AG52" s="1092">
        <f>IFERROR(Q52*$G$1/(_xlfn.XLOOKUP($AA52,Métrés!$A:$A,Métrés!$C:$C,0)),0)</f>
        <v>2.8860207922269576E-2</v>
      </c>
      <c r="AH52" s="1092">
        <f>IFERROR(R52*$G$1/(_xlfn.XLOOKUP($AA52,Métrés!$A:$A,Métrés!$C:$C,0)),0)</f>
        <v>0</v>
      </c>
      <c r="AI52" s="1092">
        <f>IFERROR(S52*$G$1/(_xlfn.XLOOKUP($AA52,Métrés!$A:$A,Métrés!$C:$C,0)),0)</f>
        <v>0</v>
      </c>
      <c r="AJ52" s="1022"/>
      <c r="AK52" s="638">
        <f>IF(L52=60, 0, T52)</f>
        <v>0</v>
      </c>
      <c r="AL52" s="638">
        <f>IF(L52=60, 0, S52)</f>
        <v>0</v>
      </c>
      <c r="AM52" s="638" t="str">
        <f>IF(L52=$L$2, "Structure", IF(L52&gt;0,"Revêtement",0))</f>
        <v>Structure</v>
      </c>
      <c r="AN52" s="1036">
        <f>IF(AM52="Structure",N52,0)</f>
        <v>2.3435621744356885</v>
      </c>
      <c r="AO52" s="1037">
        <f>IF(AM52="Structure",P52,0)</f>
        <v>0</v>
      </c>
      <c r="AP52" s="1037">
        <f>IF(AM52="Structure",Q52,0)</f>
        <v>1.9373447308668357E-2</v>
      </c>
      <c r="AQ52" s="1038">
        <f>IF(AM52="Structure",S52,0)</f>
        <v>0</v>
      </c>
      <c r="AR52" s="1038">
        <f>IF(AM52="Structure",T52,0)</f>
        <v>0</v>
      </c>
      <c r="AS52" s="1036">
        <f>IF(AM52="Insulation",N52,0)</f>
        <v>0</v>
      </c>
      <c r="AT52" s="1037">
        <f>IF(AM52="Insulation",P52,0)</f>
        <v>0</v>
      </c>
      <c r="AU52" s="1037">
        <f>IF(AM52="Insulation",Q52,0)</f>
        <v>0</v>
      </c>
      <c r="AV52" s="1038">
        <f>IF(AM52="Insulation",S52,0)</f>
        <v>0</v>
      </c>
      <c r="AW52" s="1038">
        <f>IF(AM52="Insulation",T52,0)</f>
        <v>0</v>
      </c>
      <c r="AX52" s="1036">
        <f>IF(AM52="Revêtement",N52,0)</f>
        <v>0</v>
      </c>
      <c r="AY52" s="1037">
        <f>IF(AM52="Revêtement",P52,0)</f>
        <v>0</v>
      </c>
      <c r="AZ52" s="1037">
        <f>IF(AM52="Revêtement",Q52,0)</f>
        <v>0</v>
      </c>
      <c r="BA52" s="1037">
        <f>IF(AM52="Revêtement",S52,0)</f>
        <v>0</v>
      </c>
      <c r="BB52" s="1038">
        <f>IF(AM52="Revêtement",T52,0)</f>
        <v>0</v>
      </c>
      <c r="BC52" s="1036"/>
      <c r="BD52" s="1037"/>
      <c r="BE52" s="1037"/>
      <c r="BF52" s="1038"/>
      <c r="BG52" s="1036">
        <f>IF($AM52="Structure", IF($I52="kg",$J52,0), 0)</f>
        <v>1403.7</v>
      </c>
      <c r="BH52" s="1037">
        <f>IF($AM52="Insulation", IF($I52="kg",$J52,0), 0)</f>
        <v>0</v>
      </c>
      <c r="BI52" s="1038">
        <f>IF($AM52="Revêtement", IF($I52="kg",$J52,0), 0)</f>
        <v>0</v>
      </c>
      <c r="BJ52" s="1037">
        <f>_xlfn.XLOOKUP(H52, 'Baumaterialien Matériaux'!A:A, 'Baumaterialien Matériaux'!E:E, "-", 0, 1)</f>
        <v>7850</v>
      </c>
      <c r="BK52" s="1036">
        <f t="shared" si="22"/>
        <v>0.17881528662420382</v>
      </c>
      <c r="BL52" s="1037">
        <f t="shared" si="23"/>
        <v>0</v>
      </c>
      <c r="BM52" s="1038">
        <f t="shared" si="24"/>
        <v>0</v>
      </c>
      <c r="BN52" s="1037">
        <f>IFERROR((J52*VLOOKUP(H52, 'Baumaterialien Matériaux'!$A$11:$AH$318, 33,FALSE)),0)/$G$1</f>
        <v>0.45465106184052356</v>
      </c>
      <c r="BO52" s="1037">
        <f>(BN52+BP52)*($L$2/L52-1)</f>
        <v>0</v>
      </c>
      <c r="BP52" s="1037">
        <f>IFERROR((J52*VLOOKUP(H52, 'Baumaterialien Matériaux'!$A$11:$AH$318, 34,FALSE)),0)/$G$1</f>
        <v>0</v>
      </c>
      <c r="BQ52" s="1037">
        <f t="shared" si="81"/>
        <v>0</v>
      </c>
      <c r="BR52" s="1037"/>
    </row>
    <row r="53" spans="2:70">
      <c r="B53" s="1103"/>
      <c r="C53" s="1099"/>
      <c r="D53" s="478"/>
      <c r="G53" s="478"/>
      <c r="H53" s="883"/>
      <c r="I53" s="641"/>
      <c r="J53" s="649"/>
      <c r="K53" s="650"/>
      <c r="L53" s="650"/>
      <c r="M53" s="648"/>
      <c r="N53" s="720"/>
      <c r="O53" s="720"/>
      <c r="P53" s="720"/>
      <c r="Q53" s="720"/>
      <c r="R53" s="720"/>
      <c r="S53" s="720"/>
      <c r="T53" s="720"/>
      <c r="V53" s="638">
        <f t="shared" si="2"/>
        <v>0</v>
      </c>
      <c r="W53" s="638">
        <f t="shared" si="90"/>
        <v>0</v>
      </c>
      <c r="Z53" s="638">
        <f t="shared" si="11"/>
        <v>0</v>
      </c>
      <c r="AA53" s="648" t="s">
        <v>3443</v>
      </c>
      <c r="AB53">
        <f>_xlfn.XLOOKUP($H53,'[1]Baumaterialien Matériaux'!$A:$A,'[1]Baumaterialien Matériaux'!AK:AK,0,0)</f>
        <v>0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622" cm="1">
        <f t="array" ref="AD53">IFERROR(_xlfn.SWITCH(I53,"kg",1,"m3",AC53,AC53)*J53/(_xlfn.XLOOKUP(AA53,Métrés!A:A,Métrés!C:C,0)),0)</f>
        <v>0</v>
      </c>
      <c r="AE53" s="1092">
        <f>IFERROR(N53*$G$1/(_xlfn.XLOOKUP($AA53,Métrés!$A:$A,Métrés!$C:$C,0)),0)</f>
        <v>0</v>
      </c>
      <c r="AF53" s="1092">
        <f>IFERROR(O53*$G$1/(_xlfn.XLOOKUP($AA53,Métrés!$A:$A,Métrés!$C:$C,0)),0)</f>
        <v>0</v>
      </c>
      <c r="AG53" s="1092">
        <f>IFERROR(Q53*$G$1/(_xlfn.XLOOKUP($AA53,Métrés!$A:$A,Métrés!$C:$C,0)),0)</f>
        <v>0</v>
      </c>
      <c r="AH53" s="1092">
        <f>IFERROR(R53*$G$1/(_xlfn.XLOOKUP($AA53,Métrés!$A:$A,Métrés!$C:$C,0)),0)</f>
        <v>0</v>
      </c>
      <c r="AI53" s="1092">
        <f>IFERROR(S53*$G$1/(_xlfn.XLOOKUP($AA53,Métrés!$A:$A,Métrés!$C:$C,0)),0)</f>
        <v>0</v>
      </c>
      <c r="AJ53" s="1022"/>
      <c r="AK53" s="638">
        <f>IF(L53=60, 0, T53)</f>
        <v>0</v>
      </c>
      <c r="AL53" s="638">
        <f>IF(L53=60, 0, S53)</f>
        <v>0</v>
      </c>
      <c r="AM53" s="638">
        <f>IF(L53=$L$2, "Structure", IF(L53&gt;0,"Revêtement",0))</f>
        <v>0</v>
      </c>
      <c r="AN53" s="1036">
        <f>IF(AM53="Structure",N53,0)</f>
        <v>0</v>
      </c>
      <c r="AO53" s="1037">
        <f>IF(AM53="Structure",P53,0)</f>
        <v>0</v>
      </c>
      <c r="AP53" s="1037">
        <f>IF(AM53="Structure",Q53,0)</f>
        <v>0</v>
      </c>
      <c r="AQ53" s="1038">
        <f>IF(AM53="Structure",S53,0)</f>
        <v>0</v>
      </c>
      <c r="AR53" s="1038">
        <f>IF(AM53="Structure",T53,0)</f>
        <v>0</v>
      </c>
      <c r="AS53" s="1036">
        <f>IF(AM53="Insulation",N53,0)</f>
        <v>0</v>
      </c>
      <c r="AT53" s="1037">
        <f>IF(AM53="Insulation",P53,0)</f>
        <v>0</v>
      </c>
      <c r="AU53" s="1037">
        <f>IF(AM53="Insulation",Q53,0)</f>
        <v>0</v>
      </c>
      <c r="AV53" s="1038">
        <f>IF(AM53="Insulation",S53,0)</f>
        <v>0</v>
      </c>
      <c r="AW53" s="1038">
        <f>IF(AM53="Insulation",T53,0)</f>
        <v>0</v>
      </c>
      <c r="AX53" s="1036">
        <f>IF(AM53="Revêtement",N53,0)</f>
        <v>0</v>
      </c>
      <c r="AY53" s="1037">
        <f>IF(AM53="Revêtement",P53,0)</f>
        <v>0</v>
      </c>
      <c r="AZ53" s="1037">
        <f>IF(AM53="Revêtement",Q53,0)</f>
        <v>0</v>
      </c>
      <c r="BA53" s="1037">
        <f>IF(AM53="Revêtement",S53,0)</f>
        <v>0</v>
      </c>
      <c r="BB53" s="1038">
        <f>IF(AM53="Revêtement",T53,0)</f>
        <v>0</v>
      </c>
      <c r="BC53" s="1036"/>
      <c r="BD53" s="1037"/>
      <c r="BE53" s="1037"/>
      <c r="BF53" s="1038"/>
      <c r="BG53" s="1036">
        <f>IF($AM53="Structure", IF($I53="kg",$J53,0), 0)</f>
        <v>0</v>
      </c>
      <c r="BH53" s="1037">
        <f>IF($AM53="Insulation", IF($I53="kg",$J53,0), 0)</f>
        <v>0</v>
      </c>
      <c r="BI53" s="1038">
        <f>IF($AM53="Revêtement", IF($I53="kg",$J53,0), 0)</f>
        <v>0</v>
      </c>
      <c r="BJ53" s="1037">
        <f>_xlfn.XLOOKUP(H53, 'Baumaterialien Matériaux'!A:A, 'Baumaterialien Matériaux'!E:E, "-", 0, 1)</f>
        <v>0</v>
      </c>
      <c r="BK53" s="1036">
        <f t="shared" si="22"/>
        <v>0</v>
      </c>
      <c r="BL53" s="1037">
        <f t="shared" si="23"/>
        <v>0</v>
      </c>
      <c r="BM53" s="1038">
        <f t="shared" si="24"/>
        <v>0</v>
      </c>
      <c r="BN53" s="1037">
        <f>IFERROR((J53*VLOOKUP(H53, 'Baumaterialien Matériaux'!$A$11:$AH$318, 33,FALSE)),0)/$G$1</f>
        <v>0</v>
      </c>
      <c r="BO53" s="1037"/>
      <c r="BP53" s="1037">
        <f>IFERROR((J53*VLOOKUP(H53, 'Baumaterialien Matériaux'!$A$11:$AH$318, 34,FALSE)),0)/$G$1</f>
        <v>0</v>
      </c>
      <c r="BQ53" s="1037" t="e">
        <f t="shared" si="81"/>
        <v>#DIV/0!</v>
      </c>
      <c r="BR53" s="1037"/>
    </row>
    <row r="54" spans="2:70">
      <c r="B54" s="1103"/>
      <c r="C54" s="1099"/>
      <c r="D54" s="478"/>
      <c r="F54" s="663" t="s">
        <v>3033</v>
      </c>
      <c r="G54" s="663"/>
      <c r="H54" s="663"/>
      <c r="I54" s="459" t="s">
        <v>39</v>
      </c>
      <c r="J54" s="662">
        <v>85.93</v>
      </c>
      <c r="K54" s="663"/>
      <c r="L54" s="663"/>
      <c r="M54" s="664">
        <f>SUM(M55:M57)</f>
        <v>11.191616395084813</v>
      </c>
      <c r="N54" s="664">
        <f t="shared" ref="N54:O54" si="97">SUM(N55:N57)</f>
        <v>8.4408789179021415</v>
      </c>
      <c r="O54" s="664">
        <f t="shared" si="97"/>
        <v>1.8956075363964204</v>
      </c>
      <c r="P54" s="664">
        <f t="shared" ref="P54" si="98">SUM(P55:P57)</f>
        <v>0.24543572136147099</v>
      </c>
      <c r="Q54" s="664">
        <f t="shared" ref="Q54:R54" si="99">SUM(Q55:Q57)</f>
        <v>0.60969421942478075</v>
      </c>
      <c r="R54" s="664">
        <f t="shared" si="99"/>
        <v>0.1205840528582877</v>
      </c>
      <c r="S54" s="664">
        <f t="shared" ref="S54:T54" si="100">SUM(S55:S57)</f>
        <v>5.3656037131027109E-2</v>
      </c>
      <c r="T54" s="664">
        <f t="shared" si="100"/>
        <v>5.365603713102711E-4</v>
      </c>
      <c r="V54" s="638">
        <f t="shared" si="2"/>
        <v>5.365603713102711E-4</v>
      </c>
      <c r="Z54" s="638">
        <f t="shared" si="11"/>
        <v>0</v>
      </c>
      <c r="AA54" s="648" t="s">
        <v>3443</v>
      </c>
      <c r="AB54">
        <f>_xlfn.XLOOKUP($H54,'[1]Baumaterialien Matériaux'!$A:$A,'[1]Baumaterialien Matériaux'!AK:AK,0,0)</f>
        <v>0</v>
      </c>
      <c r="AC54" cm="1">
        <f t="array" ref="AC54">_xlfn.SWITCH(I54,"kg"," ",0," ",_xlfn.XLOOKUP(H54, '[1]Baumaterialien Matériaux'!$A:$A, '[1]Baumaterialien Matériaux'!$AL:$AL, "-", 0, 1))</f>
        <v>0</v>
      </c>
      <c r="AD54" s="622" cm="1">
        <f t="array" ref="AD54">IFERROR(_xlfn.SWITCH(I54,"kg",1,"m3",AC54,AC54)*J54/(_xlfn.XLOOKUP(AA54,Métrés!A:A,Métrés!C:C,0)),0)</f>
        <v>0</v>
      </c>
      <c r="AE54" s="1092">
        <f>IFERROR(N54*$G$1/(_xlfn.XLOOKUP($AA54,Métrés!$A:$A,Métrés!$C:$C,0)),0)</f>
        <v>12.574195843212683</v>
      </c>
      <c r="AF54" s="1092">
        <f>IFERROR(O54*$G$1/(_xlfn.XLOOKUP($AA54,Métrés!$A:$A,Métrés!$C:$C,0)),0)</f>
        <v>2.8238457909834032</v>
      </c>
      <c r="AG54" s="1092">
        <f>IFERROR(Q54*$G$1/(_xlfn.XLOOKUP($AA54,Métrés!$A:$A,Métrés!$C:$C,0)),0)</f>
        <v>0.90824837011490467</v>
      </c>
      <c r="AH54" s="1092">
        <f>IFERROR(R54*$G$1/(_xlfn.XLOOKUP($AA54,Métrés!$A:$A,Métrés!$C:$C,0)),0)</f>
        <v>0.17963147095886328</v>
      </c>
      <c r="AI54" s="1092">
        <f>IFERROR(S54*$G$1/(_xlfn.XLOOKUP($AA54,Métrés!$A:$A,Métrés!$C:$C,0)),0)</f>
        <v>7.9930244897282426E-2</v>
      </c>
      <c r="AJ54" s="664"/>
      <c r="AK54" s="664"/>
      <c r="AL54" s="664"/>
      <c r="AM54" s="1021"/>
      <c r="AN54" s="1059"/>
      <c r="AO54" s="664"/>
      <c r="AP54" s="664"/>
      <c r="AQ54" s="664"/>
      <c r="AR54" s="1058"/>
      <c r="AS54" s="1059"/>
      <c r="AT54" s="664"/>
      <c r="AU54" s="664"/>
      <c r="AV54" s="664"/>
      <c r="AW54" s="1058"/>
      <c r="AX54" s="1059"/>
      <c r="AY54" s="664"/>
      <c r="AZ54" s="664"/>
      <c r="BA54" s="664"/>
      <c r="BB54" s="1058"/>
      <c r="BC54" s="1059"/>
      <c r="BD54" s="664"/>
      <c r="BE54" s="664"/>
      <c r="BF54" s="1058"/>
      <c r="BG54" s="1059"/>
      <c r="BH54" s="664"/>
      <c r="BI54" s="1058"/>
      <c r="BJ54" s="1045"/>
      <c r="BK54" s="1059"/>
      <c r="BL54" s="664"/>
      <c r="BM54" s="1058"/>
      <c r="BN54" s="1037">
        <f>IFERROR((J54*VLOOKUP(H54, 'Baumaterialien Matériaux'!$A$11:$AH$318, 33,FALSE)),0)/$G$1</f>
        <v>0</v>
      </c>
      <c r="BO54" s="1037"/>
      <c r="BP54" s="1037">
        <f>IFERROR((J54*VLOOKUP(H54, 'Baumaterialien Matériaux'!$A$11:$AH$318, 34,FALSE)),0)/$G$1</f>
        <v>0</v>
      </c>
      <c r="BQ54" s="1037">
        <f t="shared" si="81"/>
        <v>0</v>
      </c>
      <c r="BR54" s="1037"/>
    </row>
    <row r="55" spans="2:70">
      <c r="B55" s="1103"/>
      <c r="C55" s="1099"/>
      <c r="D55" s="478"/>
      <c r="F55" s="638" t="s">
        <v>2981</v>
      </c>
      <c r="G55" s="478" t="str">
        <f>_xlfn.XLOOKUP(H55, 'Baumaterialien Matériaux'!A:A, 'Baumaterialien Matériaux'!AD:AD, "-", 0, 1)</f>
        <v>Béton pour bâtiment (sans armature)</v>
      </c>
      <c r="H55" s="891">
        <v>1.0019999999999998</v>
      </c>
      <c r="I55" s="641" t="str">
        <f>_xlfn.XLOOKUP(H55, 'Baumaterialien Matériaux'!A:A, 'Baumaterialien Matériaux'!F:F, "-", 0, 1)</f>
        <v>kg</v>
      </c>
      <c r="J55" s="649">
        <f>$J$54*K55</f>
        <v>39527.800000000003</v>
      </c>
      <c r="K55" s="893">
        <f>0.2*2300</f>
        <v>460</v>
      </c>
      <c r="L55" s="650">
        <v>60</v>
      </c>
      <c r="M55" s="648">
        <f t="shared" ref="M55:M59" si="101">SUM(N55:Q55)</f>
        <v>5.3807153955745513</v>
      </c>
      <c r="N55" s="720">
        <f>IFERROR(($J55*VLOOKUP($H55, 'Baumaterialien Matériaux'!$A$11:$AD$318, 26,FALSE)),0)/$G$1</f>
        <v>3.9068481367704022</v>
      </c>
      <c r="O55" s="720">
        <f>IFERROR(($J55*VLOOKUP($H55, 'Baumaterialien Matériaux'!$A$11:$AH$318, 33,FALSE)),0)/$G$1</f>
        <v>0.91511758158585998</v>
      </c>
      <c r="P55" s="720">
        <f t="shared" ref="P55:P59" si="102">IFERROR((N55+Q55)*($L$2/L55-1),0)</f>
        <v>0</v>
      </c>
      <c r="Q55" s="720">
        <f>IFERROR(($J55*VLOOKUP($H55, 'Baumaterialien Matériaux'!$A$11:$AD$318, 27,FALSE)),0)/$G$1</f>
        <v>0.5587496772182895</v>
      </c>
      <c r="R55" s="720">
        <f>IFERROR(($J55*VLOOKUP($H55, 'Baumaterialien Matériaux'!$A$11:$AH$318, 34,FALSE)),0)/$G$1</f>
        <v>0.11790938070433196</v>
      </c>
      <c r="S55" s="720">
        <f>IFERROR((J55*VLOOKUP(H55, 'Baumaterialien Matériaux'!$A$11:$AD$318, 29,FALSE)),0)/$G$1</f>
        <v>0</v>
      </c>
      <c r="V55" s="638">
        <f t="shared" si="2"/>
        <v>0</v>
      </c>
      <c r="W55" s="638">
        <f t="shared" ref="W55:W89" si="103">IF(L55=60, 0, S55)</f>
        <v>0</v>
      </c>
      <c r="X55" s="638">
        <f>IF(L50=$L$2, "Structure", IF(L50&gt;0,"Revêtement",0))</f>
        <v>0</v>
      </c>
      <c r="Z55" s="638">
        <f t="shared" si="11"/>
        <v>60</v>
      </c>
      <c r="AA55" s="648" t="s">
        <v>3443</v>
      </c>
      <c r="AB55" t="str">
        <f>_xlfn.XLOOKUP($H55,'[1]Baumaterialien Matériaux'!$A:$A,'[1]Baumaterialien Matériaux'!AK:AK,0,0)</f>
        <v>concrete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622" cm="1">
        <f t="array" ref="AD55">IFERROR(_xlfn.SWITCH(I55,"kg",1,"m3",AC55,AC55)*J55/(_xlfn.XLOOKUP(AA55,Métrés!A:A,Métrés!C:C,0)),0)</f>
        <v>65.53995125267366</v>
      </c>
      <c r="AE55" s="1092">
        <f>IFERROR(N55*$G$1/(_xlfn.XLOOKUP($AA55,Métrés!$A:$A,Métrés!$C:$C,0)),0)</f>
        <v>5.8199476712374212</v>
      </c>
      <c r="AF55" s="1092">
        <f>IFERROR(O55*$G$1/(_xlfn.XLOOKUP($AA55,Métrés!$A:$A,Métrés!$C:$C,0)),0)</f>
        <v>1.363230986055612</v>
      </c>
      <c r="AG55" s="1092">
        <f>IFERROR(Q55*$G$1/(_xlfn.XLOOKUP($AA55,Métrés!$A:$A,Métrés!$C:$C,0)),0)</f>
        <v>0.8323573809089555</v>
      </c>
      <c r="AH55" s="1092">
        <f>IFERROR(R55*$G$1/(_xlfn.XLOOKUP($AA55,Métrés!$A:$A,Métrés!$C:$C,0)),0)</f>
        <v>0.17564706935716543</v>
      </c>
      <c r="AI55" s="1092">
        <f>IFERROR(S55*$G$1/(_xlfn.XLOOKUP($AA55,Métrés!$A:$A,Métrés!$C:$C,0)),0)</f>
        <v>0</v>
      </c>
      <c r="AJ55" s="1022"/>
      <c r="AK55" s="638">
        <f>IF(L55=60, 0, T55)</f>
        <v>0</v>
      </c>
      <c r="AL55" s="638">
        <f>IF(L55=60, 0, S55)</f>
        <v>0</v>
      </c>
      <c r="AM55" s="638" t="str">
        <f>IF(L55=$L$2, "Structure", IF(L55&gt;0,"Revêtement",0))</f>
        <v>Structure</v>
      </c>
      <c r="AN55" s="1036">
        <f>IF(AM55="Structure",N55,0)</f>
        <v>3.9068481367704022</v>
      </c>
      <c r="AO55" s="1037">
        <f>IF(AM55="Structure",P55,0)</f>
        <v>0</v>
      </c>
      <c r="AP55" s="1037">
        <f>IF(AM55="Structure",Q55,0)</f>
        <v>0.5587496772182895</v>
      </c>
      <c r="AQ55" s="1038">
        <f>IF(AM55="Structure",S55,0)</f>
        <v>0</v>
      </c>
      <c r="AR55" s="1038">
        <f>IF(AM55="Structure",T55,0)</f>
        <v>0</v>
      </c>
      <c r="AS55" s="1036">
        <f>IF(AM55="Insulation",N55,0)</f>
        <v>0</v>
      </c>
      <c r="AT55" s="1037">
        <f>IF(AM55="Insulation",P55,0)</f>
        <v>0</v>
      </c>
      <c r="AU55" s="1037">
        <f>IF(AM55="Insulation",Q55,0)</f>
        <v>0</v>
      </c>
      <c r="AV55" s="1038">
        <f>IF(AM55="Insulation",S55,0)</f>
        <v>0</v>
      </c>
      <c r="AW55" s="1038">
        <f>IF(AM55="Insulation",T55,0)</f>
        <v>0</v>
      </c>
      <c r="AX55" s="1036">
        <f>IF(AM55="Revêtement",N55,0)</f>
        <v>0</v>
      </c>
      <c r="AY55" s="1037">
        <f>IF(AM55="Revêtement",P55,0)</f>
        <v>0</v>
      </c>
      <c r="AZ55" s="1037">
        <f>IF(AM55="Revêtement",Q55,0)</f>
        <v>0</v>
      </c>
      <c r="BA55" s="1037">
        <f>IF(AM55="Revêtement",S55,0)</f>
        <v>0</v>
      </c>
      <c r="BB55" s="1038">
        <f>IF(AM55="Revêtement",T55,0)</f>
        <v>0</v>
      </c>
      <c r="BC55" s="1036"/>
      <c r="BD55" s="1037"/>
      <c r="BE55" s="1037"/>
      <c r="BF55" s="1038"/>
      <c r="BG55" s="1036">
        <f>IF($AM55="Structure", IF($I55="kg",$J55,0), 0)</f>
        <v>39527.800000000003</v>
      </c>
      <c r="BH55" s="1037">
        <f>IF($AM55="Insulation", IF($I55="kg",$J55,0), 0)</f>
        <v>0</v>
      </c>
      <c r="BI55" s="1038">
        <f>IF($AM55="Revêtement", IF($I55="kg",$J55,0), 0)</f>
        <v>0</v>
      </c>
      <c r="BJ55" s="1037">
        <f>_xlfn.XLOOKUP(H55, 'Baumaterialien Matériaux'!A:A, 'Baumaterialien Matériaux'!E:E, "-", 0, 1)</f>
        <v>2300</v>
      </c>
      <c r="BK55" s="1036">
        <f t="shared" si="22"/>
        <v>17.186</v>
      </c>
      <c r="BL55" s="1037">
        <f t="shared" si="23"/>
        <v>0</v>
      </c>
      <c r="BM55" s="1038">
        <f t="shared" si="24"/>
        <v>0</v>
      </c>
      <c r="BN55" s="1037">
        <f>IFERROR((J55*VLOOKUP(H55, 'Baumaterialien Matériaux'!$A$11:$AH$318, 33,FALSE)),0)/$G$1</f>
        <v>0.91511758158585998</v>
      </c>
      <c r="BO55" s="1037">
        <f>(BN55+BP55)*($L$2/L55-1)</f>
        <v>0</v>
      </c>
      <c r="BP55" s="1037">
        <f>IFERROR((J55*VLOOKUP(H55, 'Baumaterialien Matériaux'!$A$11:$AH$318, 34,FALSE)),0)/$G$1</f>
        <v>0.11790938070433196</v>
      </c>
      <c r="BQ55" s="1037">
        <f t="shared" si="81"/>
        <v>0.21102362204724409</v>
      </c>
      <c r="BR55" s="1037">
        <f>IFERROR((N50+Q50)*($L$2/L50-1),0)</f>
        <v>0</v>
      </c>
    </row>
    <row r="56" spans="2:70">
      <c r="B56" s="1103"/>
      <c r="C56" s="1099"/>
      <c r="D56" s="478"/>
      <c r="F56" s="483" t="s">
        <v>3008</v>
      </c>
      <c r="G56" s="478" t="str">
        <f>_xlfn.XLOOKUP(H56, 'Baumaterialien Matériaux'!A:A, 'Baumaterialien Matériaux'!AD:AD, "-", 0, 1)</f>
        <v>Acier d'armature</v>
      </c>
      <c r="H56" s="892" t="s">
        <v>497</v>
      </c>
      <c r="I56" s="641" t="str">
        <f>_xlfn.XLOOKUP(H56, 'Baumaterialien Matériaux'!A:A, 'Baumaterialien Matériaux'!F:F, "-", 0, 1)</f>
        <v>kg</v>
      </c>
      <c r="J56" s="649">
        <f t="shared" ref="J56:J59" si="104">$J$54*K56</f>
        <v>2577.9</v>
      </c>
      <c r="K56" s="894">
        <f>0.2*150</f>
        <v>30</v>
      </c>
      <c r="L56" s="650">
        <v>60</v>
      </c>
      <c r="M56" s="648">
        <f t="shared" si="101"/>
        <v>5.1745078803258977</v>
      </c>
      <c r="N56" s="720">
        <f>IFERROR(($J56*VLOOKUP($H56, 'Baumaterialien Matériaux'!$A$11:$AD$318, 26,FALSE)),0)/$G$1</f>
        <v>4.3039601976759716</v>
      </c>
      <c r="O56" s="720">
        <f>IFERROR(($J56*VLOOKUP($H56, 'Baumaterialien Matériaux'!$A$11:$AH$318, 33,FALSE)),0)/$G$1</f>
        <v>0.83496827834913845</v>
      </c>
      <c r="P56" s="720">
        <f t="shared" si="102"/>
        <v>0</v>
      </c>
      <c r="Q56" s="720">
        <f>IFERROR(($J56*VLOOKUP($H56, 'Baumaterialien Matériaux'!$A$11:$AD$318, 27,FALSE)),0)/$G$1</f>
        <v>3.5579404300788028E-2</v>
      </c>
      <c r="R56" s="720">
        <f>IFERROR(($J56*VLOOKUP($H56, 'Baumaterialien Matériaux'!$A$11:$AH$318, 34,FALSE)),0)/$G$1</f>
        <v>0</v>
      </c>
      <c r="S56" s="720">
        <f>IFERROR((J56*VLOOKUP(H56, 'Baumaterialien Matériaux'!$A$11:$AD$318, 29,FALSE)),0)/$G$1</f>
        <v>0</v>
      </c>
      <c r="V56" s="638">
        <f t="shared" si="2"/>
        <v>0</v>
      </c>
      <c r="W56" s="638">
        <f t="shared" si="103"/>
        <v>0</v>
      </c>
      <c r="Z56" s="638">
        <f t="shared" si="11"/>
        <v>60</v>
      </c>
      <c r="AA56" s="648" t="s">
        <v>3443</v>
      </c>
      <c r="AB56" t="str">
        <f>_xlfn.XLOOKUP($H56,'[1]Baumaterialien Matériaux'!$A:$A,'[1]Baumaterialien Matériaux'!AK:AK,0,0)</f>
        <v>metal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622" cm="1">
        <f t="array" ref="AD56">IFERROR(_xlfn.SWITCH(I56,"kg",1,"m3",AC56,AC56)*J56/(_xlfn.XLOOKUP(AA56,Métrés!A:A,Métrés!C:C,0)),0)</f>
        <v>4.2743446469134989</v>
      </c>
      <c r="AE56" s="1092">
        <f>IFERROR(N56*$G$1/(_xlfn.XLOOKUP($AA56,Métrés!$A:$A,Métrés!$C:$C,0)),0)</f>
        <v>6.4115169703702488</v>
      </c>
      <c r="AF56" s="1092">
        <f>IFERROR(O56*$G$1/(_xlfn.XLOOKUP($AA56,Métrés!$A:$A,Métrés!$C:$C,0)),0)</f>
        <v>1.2438342922518282</v>
      </c>
      <c r="AG56" s="1092">
        <f>IFERROR(Q56*$G$1/(_xlfn.XLOOKUP($AA56,Métrés!$A:$A,Métrés!$C:$C,0)),0)</f>
        <v>5.300187362172739E-2</v>
      </c>
      <c r="AH56" s="1092">
        <f>IFERROR(R56*$G$1/(_xlfn.XLOOKUP($AA56,Métrés!$A:$A,Métrés!$C:$C,0)),0)</f>
        <v>0</v>
      </c>
      <c r="AI56" s="1092">
        <f>IFERROR(S56*$G$1/(_xlfn.XLOOKUP($AA56,Métrés!$A:$A,Métrés!$C:$C,0)),0)</f>
        <v>0</v>
      </c>
      <c r="AJ56" s="1022"/>
      <c r="AK56" s="638">
        <f>IF(L56=60, 0, T56)</f>
        <v>0</v>
      </c>
      <c r="AL56" s="638">
        <f>IF(L56=60, 0, S56)</f>
        <v>0</v>
      </c>
      <c r="AM56" s="638" t="str">
        <f>IF(L56=$L$2, "Structure", IF(L56&gt;0,"Revêtement",0))</f>
        <v>Structure</v>
      </c>
      <c r="AN56" s="1036">
        <f>IF(AM56="Structure",N56,0)</f>
        <v>4.3039601976759716</v>
      </c>
      <c r="AO56" s="1037">
        <f>IF(AM56="Structure",P56,0)</f>
        <v>0</v>
      </c>
      <c r="AP56" s="1037">
        <f>IF(AM56="Structure",Q56,0)</f>
        <v>3.5579404300788028E-2</v>
      </c>
      <c r="AQ56" s="1038">
        <f>IF(AM56="Structure",S56,0)</f>
        <v>0</v>
      </c>
      <c r="AR56" s="1038">
        <f>IF(AM56="Structure",T56,0)</f>
        <v>0</v>
      </c>
      <c r="AS56" s="1036">
        <f>IF(AM56="Insulation",N56,0)</f>
        <v>0</v>
      </c>
      <c r="AT56" s="1037">
        <f>IF(AM56="Insulation",P56,0)</f>
        <v>0</v>
      </c>
      <c r="AU56" s="1037">
        <f>IF(AM56="Insulation",Q56,0)</f>
        <v>0</v>
      </c>
      <c r="AV56" s="1038">
        <f>IF(AM56="Insulation",S56,0)</f>
        <v>0</v>
      </c>
      <c r="AW56" s="1038">
        <f>IF(AM56="Insulation",T56,0)</f>
        <v>0</v>
      </c>
      <c r="AX56" s="1036">
        <f>IF(AM56="Revêtement",N56,0)</f>
        <v>0</v>
      </c>
      <c r="AY56" s="1037">
        <f>IF(AM56="Revêtement",P56,0)</f>
        <v>0</v>
      </c>
      <c r="AZ56" s="1037">
        <f>IF(AM56="Revêtement",Q56,0)</f>
        <v>0</v>
      </c>
      <c r="BA56" s="1037">
        <f>IF(AM56="Revêtement",S56,0)</f>
        <v>0</v>
      </c>
      <c r="BB56" s="1038">
        <f>IF(AM56="Revêtement",T56,0)</f>
        <v>0</v>
      </c>
      <c r="BC56" s="1036"/>
      <c r="BD56" s="1037"/>
      <c r="BE56" s="1037"/>
      <c r="BF56" s="1038"/>
      <c r="BG56" s="1036">
        <f>IF($AM56="Structure", IF($I56="kg",$J56,0), 0)</f>
        <v>2577.9</v>
      </c>
      <c r="BH56" s="1037">
        <f>IF($AM56="Insulation", IF($I56="kg",$J56,0), 0)</f>
        <v>0</v>
      </c>
      <c r="BI56" s="1038">
        <f>IF($AM56="Revêtement", IF($I56="kg",$J56,0), 0)</f>
        <v>0</v>
      </c>
      <c r="BJ56" s="1037">
        <f>_xlfn.XLOOKUP(H56, 'Baumaterialien Matériaux'!A:A, 'Baumaterialien Matériaux'!E:E, "-", 0, 1)</f>
        <v>7850</v>
      </c>
      <c r="BK56" s="1036">
        <f t="shared" si="22"/>
        <v>0.32839490445859876</v>
      </c>
      <c r="BL56" s="1037">
        <f t="shared" si="23"/>
        <v>0</v>
      </c>
      <c r="BM56" s="1038">
        <f t="shared" si="24"/>
        <v>0</v>
      </c>
      <c r="BN56" s="1037">
        <f>IFERROR((J56*VLOOKUP(H56, 'Baumaterialien Matériaux'!$A$11:$AH$318, 33,FALSE)),0)/$G$1</f>
        <v>0.83496827834913845</v>
      </c>
      <c r="BO56" s="1037">
        <f>(BN56+BP56)*($L$2/L56-1)</f>
        <v>0</v>
      </c>
      <c r="BP56" s="1037">
        <f>IFERROR((J56*VLOOKUP(H56, 'Baumaterialien Matériaux'!$A$11:$AH$318, 34,FALSE)),0)/$G$1</f>
        <v>0</v>
      </c>
      <c r="BQ56" s="1037">
        <f t="shared" si="81"/>
        <v>0</v>
      </c>
      <c r="BR56" s="1037"/>
    </row>
    <row r="57" spans="2:70">
      <c r="B57" s="1103"/>
      <c r="C57" s="1099"/>
      <c r="D57" s="478"/>
      <c r="F57" s="483" t="s">
        <v>2985</v>
      </c>
      <c r="G57" s="478" t="str">
        <f>_xlfn.XLOOKUP(H57, 'Baumaterialien Matériaux'!A:A, 'Baumaterialien Matériaux'!AD:AD, "-", 0, 1)</f>
        <v>Plaque de plâtre cartonnée</v>
      </c>
      <c r="H57" s="895" t="s">
        <v>107</v>
      </c>
      <c r="I57" s="641" t="str">
        <f>_xlfn.XLOOKUP(H57, 'Baumaterialien Matériaux'!A:A, 'Baumaterialien Matériaux'!F:F, "-", 0, 1)</f>
        <v>kg</v>
      </c>
      <c r="J57" s="649">
        <f t="shared" si="104"/>
        <v>730.40500000000009</v>
      </c>
      <c r="K57" s="894">
        <f>0.01*850</f>
        <v>8.5</v>
      </c>
      <c r="L57" s="650">
        <v>30</v>
      </c>
      <c r="M57" s="648">
        <f t="shared" si="101"/>
        <v>0.63639311918436403</v>
      </c>
      <c r="N57" s="720">
        <f>IFERROR(($J57*VLOOKUP($H57, 'Baumaterialien Matériaux'!$A$11:$AD$318, 26,FALSE)),0)/$G$1</f>
        <v>0.23007058345576778</v>
      </c>
      <c r="O57" s="720">
        <f>IFERROR(($J57*VLOOKUP($H57, 'Baumaterialien Matériaux'!$A$11:$AH$318, 33,FALSE)),0)/$G$1</f>
        <v>0.14552167646142203</v>
      </c>
      <c r="P57" s="720">
        <f t="shared" si="102"/>
        <v>0.24543572136147099</v>
      </c>
      <c r="Q57" s="720">
        <f>IFERROR(($J57*VLOOKUP($H57, 'Baumaterialien Matériaux'!$A$11:$AD$318, 27,FALSE)),0)/$G$1</f>
        <v>1.536513790570322E-2</v>
      </c>
      <c r="R57" s="720">
        <f>IFERROR(($J57*VLOOKUP($H57, 'Baumaterialien Matériaux'!$A$11:$AH$318, 34,FALSE)),0)/$G$1</f>
        <v>2.6746721539557456E-3</v>
      </c>
      <c r="S57" s="720">
        <f>IFERROR((J57*VLOOKUP(H57, 'Baumaterialien Matériaux'!$A$11:$AD$318, 29,FALSE)),0)/$G$1</f>
        <v>5.3656037131027109E-2</v>
      </c>
      <c r="T57" s="720">
        <f>S57*AJ57</f>
        <v>5.365603713102711E-4</v>
      </c>
      <c r="U57" s="638">
        <v>0.01</v>
      </c>
      <c r="V57" s="638">
        <f t="shared" si="2"/>
        <v>5.365603713102711E-4</v>
      </c>
      <c r="W57" s="638">
        <f t="shared" si="103"/>
        <v>5.3656037131027109E-2</v>
      </c>
      <c r="Z57" s="638">
        <f t="shared" si="11"/>
        <v>30</v>
      </c>
      <c r="AA57" s="648" t="s">
        <v>3443</v>
      </c>
      <c r="AB57" t="str">
        <f>_xlfn.XLOOKUP($H57,'[1]Baumaterialien Matériaux'!$A:$A,'[1]Baumaterialien Matériaux'!AK:AK,0,0)</f>
        <v>gypsum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622" cm="1">
        <f t="array" ref="AD57">IFERROR(_xlfn.SWITCH(I57,"kg",1,"m3",AC57,AC57)*J57/(_xlfn.XLOOKUP(AA57,Métrés!A:A,Métrés!C:C,0)),0)</f>
        <v>1.2110643166254915</v>
      </c>
      <c r="AE57" s="1092">
        <f>IFERROR(N57*$G$1/(_xlfn.XLOOKUP($AA57,Métrés!$A:$A,Métrés!$C:$C,0)),0)</f>
        <v>0.34273120160501408</v>
      </c>
      <c r="AF57" s="1092">
        <f>IFERROR(O57*$G$1/(_xlfn.XLOOKUP($AA57,Métrés!$A:$A,Métrés!$C:$C,0)),0)</f>
        <v>0.21678051267596299</v>
      </c>
      <c r="AG57" s="1092">
        <f>IFERROR(Q57*$G$1/(_xlfn.XLOOKUP($AA57,Métrés!$A:$A,Métrés!$C:$C,0)),0)</f>
        <v>2.2889115584221791E-2</v>
      </c>
      <c r="AH57" s="1092">
        <f>IFERROR(R57*$G$1/(_xlfn.XLOOKUP($AA57,Métrés!$A:$A,Métrés!$C:$C,0)),0)</f>
        <v>3.9844016016978671E-3</v>
      </c>
      <c r="AI57" s="1092">
        <f>IFERROR(S57*$G$1/(_xlfn.XLOOKUP($AA57,Métrés!$A:$A,Métrés!$C:$C,0)),0)</f>
        <v>7.9930244897282426E-2</v>
      </c>
      <c r="AJ57" s="1022">
        <v>0.01</v>
      </c>
      <c r="AK57" s="638">
        <f>IF(L57=60, 0, T57)</f>
        <v>5.365603713102711E-4</v>
      </c>
      <c r="AL57" s="638">
        <f>IF(L57=60, 0, S57)</f>
        <v>5.3656037131027109E-2</v>
      </c>
      <c r="AM57" s="638" t="str">
        <f>IF(L57=$L$2, "Structure", IF(L57&gt;0,"Revêtement",0))</f>
        <v>Revêtement</v>
      </c>
      <c r="AN57" s="1036">
        <f>IF(AM57="Structure",N57,0)</f>
        <v>0</v>
      </c>
      <c r="AO57" s="1037">
        <f>IF(AM57="Structure",P57,0)</f>
        <v>0</v>
      </c>
      <c r="AP57" s="1037">
        <f>IF(AM57="Structure",Q57,0)</f>
        <v>0</v>
      </c>
      <c r="AQ57" s="1038">
        <f>IF(AM57="Structure",S57,0)</f>
        <v>0</v>
      </c>
      <c r="AR57" s="1038">
        <f>IF(AM57="Structure",T57,0)</f>
        <v>0</v>
      </c>
      <c r="AS57" s="1036">
        <f>IF(AM57="Insulation",N57,0)</f>
        <v>0</v>
      </c>
      <c r="AT57" s="1037">
        <f>IF(AM57="Insulation",P57,0)</f>
        <v>0</v>
      </c>
      <c r="AU57" s="1037">
        <f>IF(AM57="Insulation",Q57,0)</f>
        <v>0</v>
      </c>
      <c r="AV57" s="1038">
        <f>IF(AM57="Insulation",S57,0)</f>
        <v>0</v>
      </c>
      <c r="AW57" s="1038">
        <f>IF(AM57="Insulation",T57,0)</f>
        <v>0</v>
      </c>
      <c r="AX57" s="1036">
        <f>IF(AM57="Revêtement",N57,0)</f>
        <v>0.23007058345576778</v>
      </c>
      <c r="AY57" s="1037">
        <f>IF(AM57="Revêtement",P57,0)</f>
        <v>0.24543572136147099</v>
      </c>
      <c r="AZ57" s="1037">
        <f>IF(AM57="Revêtement",Q57,0)</f>
        <v>1.536513790570322E-2</v>
      </c>
      <c r="BA57" s="1037">
        <f>IF(AM57="Revêtement",S57,0)</f>
        <v>5.3656037131027109E-2</v>
      </c>
      <c r="BB57" s="1038">
        <f>IF(AM57="Revêtement",T57,0)</f>
        <v>5.365603713102711E-4</v>
      </c>
      <c r="BC57" s="1036"/>
      <c r="BD57" s="1037"/>
      <c r="BE57" s="1037"/>
      <c r="BF57" s="1038"/>
      <c r="BG57" s="1036">
        <f>IF($AM57="Structure", IF($I57="kg",$J57,0), 0)</f>
        <v>0</v>
      </c>
      <c r="BH57" s="1037">
        <f>IF($AM57="Insulation", IF($I57="kg",$J57,0), 0)</f>
        <v>0</v>
      </c>
      <c r="BI57" s="1038">
        <f>IF($AM57="Revêtement", IF($I57="kg",$J57,0), 0)</f>
        <v>730.40500000000009</v>
      </c>
      <c r="BJ57" s="1037">
        <f>_xlfn.XLOOKUP(H57, 'Baumaterialien Matériaux'!A:A, 'Baumaterialien Matériaux'!E:E, "-", 0, 1)</f>
        <v>850</v>
      </c>
      <c r="BK57" s="1036">
        <f t="shared" si="22"/>
        <v>0</v>
      </c>
      <c r="BL57" s="1037">
        <f t="shared" si="23"/>
        <v>0</v>
      </c>
      <c r="BM57" s="1038">
        <f t="shared" si="24"/>
        <v>0.85930000000000006</v>
      </c>
      <c r="BN57" s="1037">
        <f>IFERROR((J57*VLOOKUP(H57, 'Baumaterialien Matériaux'!$A$11:$AH$318, 33,FALSE)),0)/$G$1</f>
        <v>0.14552167646142203</v>
      </c>
      <c r="BO57" s="1037">
        <f>(BN57+BP57)*($L$2/L57-1)</f>
        <v>0.14819634861537778</v>
      </c>
      <c r="BP57" s="1037">
        <f>IFERROR((J57*VLOOKUP(H57, 'Baumaterialien Matériaux'!$A$11:$AH$318, 34,FALSE)),0)/$G$1</f>
        <v>2.6746721539557456E-3</v>
      </c>
      <c r="BQ57" s="1037">
        <f t="shared" si="81"/>
        <v>0.17407407407407408</v>
      </c>
      <c r="BR57" s="1037"/>
    </row>
    <row r="58" spans="2:70">
      <c r="B58" s="1103"/>
      <c r="C58" s="1099"/>
      <c r="D58" s="478"/>
      <c r="F58" s="483"/>
      <c r="G58" s="478"/>
      <c r="H58" s="892"/>
      <c r="I58" s="641">
        <f>_xlfn.XLOOKUP(H58, 'Baumaterialien Matériaux'!A:A, 'Baumaterialien Matériaux'!F:F, "-", 0, 1)</f>
        <v>0</v>
      </c>
      <c r="J58" s="649">
        <f t="shared" si="104"/>
        <v>0</v>
      </c>
      <c r="K58" s="894"/>
      <c r="L58" s="650"/>
      <c r="M58" s="648">
        <f t="shared" si="101"/>
        <v>0</v>
      </c>
      <c r="N58" s="720">
        <f>IFERROR(($J58*VLOOKUP($H58, 'Baumaterialien Matériaux'!$A$11:$AD$318, 26,FALSE)),0)/$G$1</f>
        <v>0</v>
      </c>
      <c r="O58" s="720">
        <f>IFERROR(($J58*VLOOKUP($H58, 'Baumaterialien Matériaux'!$A$11:$AH$318, 33,FALSE)),0)/$G$1</f>
        <v>0</v>
      </c>
      <c r="P58" s="720">
        <f t="shared" si="102"/>
        <v>0</v>
      </c>
      <c r="Q58" s="720">
        <f>IFERROR(($J58*VLOOKUP($H58, 'Baumaterialien Matériaux'!$A$11:$AD$318, 27,FALSE)),0)/$G$1</f>
        <v>0</v>
      </c>
      <c r="R58" s="720">
        <f>IFERROR(($J58*VLOOKUP($H58, 'Baumaterialien Matériaux'!$A$11:$AH$318, 34,FALSE)),0)/$G$1</f>
        <v>0</v>
      </c>
      <c r="S58" s="720">
        <f>IFERROR((J58*VLOOKUP(H58, 'Baumaterialien Matériaux'!$A$11:$AD$318, 29,FALSE)),0)/$G$1</f>
        <v>0</v>
      </c>
      <c r="T58" s="720"/>
      <c r="V58" s="638">
        <f t="shared" si="2"/>
        <v>0</v>
      </c>
      <c r="W58" s="638">
        <f t="shared" si="103"/>
        <v>0</v>
      </c>
      <c r="X58" s="638">
        <f t="shared" si="10"/>
        <v>0</v>
      </c>
      <c r="Z58" s="638">
        <f t="shared" si="11"/>
        <v>0</v>
      </c>
      <c r="AA58" s="648" t="s">
        <v>3443</v>
      </c>
      <c r="AB58">
        <f>_xlfn.XLOOKUP($H58,'[1]Baumaterialien Matériaux'!$A:$A,'[1]Baumaterialien Matériaux'!AK:AK,0,0)</f>
        <v>0</v>
      </c>
      <c r="AC58" t="str" cm="1">
        <f t="array" ref="AC58">_xlfn.SWITCH(I58,"kg"," ",0," ",_xlfn.XLOOKUP(H58, '[1]Baumaterialien Matériaux'!$A:$A, '[1]Baumaterialien Matériaux'!$AL:$AL, "-", 0, 1))</f>
        <v xml:space="preserve"> </v>
      </c>
      <c r="AD58" s="622" cm="1">
        <f t="array" ref="AD58">IFERROR(_xlfn.SWITCH(I58,"kg",1,"m3",AC58,AC58)*J58/(_xlfn.XLOOKUP(AA58,Métrés!A:A,Métrés!C:C,0)),0)</f>
        <v>0</v>
      </c>
      <c r="AE58" s="1092">
        <f>IFERROR(N58*$G$1/(_xlfn.XLOOKUP($AA58,Métrés!$A:$A,Métrés!$C:$C,0)),0)</f>
        <v>0</v>
      </c>
      <c r="AF58" s="1092">
        <f>IFERROR(O58*$G$1/(_xlfn.XLOOKUP($AA58,Métrés!$A:$A,Métrés!$C:$C,0)),0)</f>
        <v>0</v>
      </c>
      <c r="AG58" s="1092">
        <f>IFERROR(Q58*$G$1/(_xlfn.XLOOKUP($AA58,Métrés!$A:$A,Métrés!$C:$C,0)),0)</f>
        <v>0</v>
      </c>
      <c r="AH58" s="1092">
        <f>IFERROR(R58*$G$1/(_xlfn.XLOOKUP($AA58,Métrés!$A:$A,Métrés!$C:$C,0)),0)</f>
        <v>0</v>
      </c>
      <c r="AI58" s="1092">
        <f>IFERROR(S58*$G$1/(_xlfn.XLOOKUP($AA58,Métrés!$A:$A,Métrés!$C:$C,0)),0)</f>
        <v>0</v>
      </c>
      <c r="AJ58" s="1022"/>
      <c r="AK58" s="638">
        <f>IF(L58=60, 0, T58)</f>
        <v>0</v>
      </c>
      <c r="AL58" s="638">
        <f>IF(L58=60, 0, S58)</f>
        <v>0</v>
      </c>
      <c r="AM58" s="638">
        <f>IF(L58=$L$2, "Structure", IF(L58&gt;0,"Revêtement",0))</f>
        <v>0</v>
      </c>
      <c r="AN58" s="1036">
        <f>IF(AM58="Structure",N58,0)</f>
        <v>0</v>
      </c>
      <c r="AO58" s="1037">
        <f>IF(AM58="Structure",P58,0)</f>
        <v>0</v>
      </c>
      <c r="AP58" s="1037">
        <f>IF(AM58="Structure",Q58,0)</f>
        <v>0</v>
      </c>
      <c r="AQ58" s="1038">
        <f>IF(AM58="Structure",S58,0)</f>
        <v>0</v>
      </c>
      <c r="AR58" s="1038">
        <f>IF(AM58="Structure",T58,0)</f>
        <v>0</v>
      </c>
      <c r="AS58" s="1036">
        <f>IF(AM58="Insulation",N58,0)</f>
        <v>0</v>
      </c>
      <c r="AT58" s="1037">
        <f>IF(AM58="Insulation",P58,0)</f>
        <v>0</v>
      </c>
      <c r="AU58" s="1037">
        <f>IF(AM58="Insulation",Q58,0)</f>
        <v>0</v>
      </c>
      <c r="AV58" s="1038">
        <f>IF(AM58="Insulation",S58,0)</f>
        <v>0</v>
      </c>
      <c r="AW58" s="1038">
        <f>IF(AM58="Insulation",T58,0)</f>
        <v>0</v>
      </c>
      <c r="AX58" s="1036">
        <f>IF(AM58="Revêtement",N58,0)</f>
        <v>0</v>
      </c>
      <c r="AY58" s="1037">
        <f>IF(AM58="Revêtement",P58,0)</f>
        <v>0</v>
      </c>
      <c r="AZ58" s="1037">
        <f>IF(AM58="Revêtement",Q58,0)</f>
        <v>0</v>
      </c>
      <c r="BA58" s="1037">
        <f>IF(AM58="Revêtement",S58,0)</f>
        <v>0</v>
      </c>
      <c r="BB58" s="1038">
        <f>IF(AM58="Revêtement",T58,0)</f>
        <v>0</v>
      </c>
      <c r="BC58" s="1036"/>
      <c r="BD58" s="1037"/>
      <c r="BE58" s="1037"/>
      <c r="BF58" s="1038"/>
      <c r="BG58" s="1036">
        <f>IF($AM58="Structure", IF($I58="kg",$J58,0), 0)</f>
        <v>0</v>
      </c>
      <c r="BH58" s="1037">
        <f>IF($AM58="Insulation", IF($I58="kg",$J58,0), 0)</f>
        <v>0</v>
      </c>
      <c r="BI58" s="1038">
        <f>IF($AM58="Revêtement", IF($I58="kg",$J58,0), 0)</f>
        <v>0</v>
      </c>
      <c r="BJ58" s="1037">
        <f>_xlfn.XLOOKUP(H58, 'Baumaterialien Matériaux'!A:A, 'Baumaterialien Matériaux'!E:E, "-", 0, 1)</f>
        <v>0</v>
      </c>
      <c r="BK58" s="1036">
        <f t="shared" si="22"/>
        <v>0</v>
      </c>
      <c r="BL58" s="1037">
        <f t="shared" si="23"/>
        <v>0</v>
      </c>
      <c r="BM58" s="1038">
        <f t="shared" si="24"/>
        <v>0</v>
      </c>
      <c r="BN58" s="1037">
        <f>IFERROR((J58*VLOOKUP(H58, 'Baumaterialien Matériaux'!$A$11:$AH$318, 33,FALSE)),0)/$G$1</f>
        <v>0</v>
      </c>
      <c r="BO58" s="1037"/>
      <c r="BP58" s="1037">
        <f>IFERROR((J58*VLOOKUP(H58, 'Baumaterialien Matériaux'!$A$11:$AH$318, 34,FALSE)),0)/$G$1</f>
        <v>0</v>
      </c>
      <c r="BQ58" s="1037" t="e">
        <f t="shared" si="81"/>
        <v>#DIV/0!</v>
      </c>
      <c r="BR58" s="1037">
        <f>IFERROR((N58+Q58)*($L$2/L58-1),0)</f>
        <v>0</v>
      </c>
    </row>
    <row r="59" spans="2:70">
      <c r="B59" s="1103"/>
      <c r="C59" s="1099"/>
      <c r="D59" s="478"/>
      <c r="F59" s="483"/>
      <c r="G59" s="478"/>
      <c r="H59" s="895"/>
      <c r="I59" s="641">
        <f>_xlfn.XLOOKUP(H59, 'Baumaterialien Matériaux'!A:A, 'Baumaterialien Matériaux'!F:F, "-", 0, 1)</f>
        <v>0</v>
      </c>
      <c r="J59" s="649">
        <f t="shared" si="104"/>
        <v>0</v>
      </c>
      <c r="K59" s="894"/>
      <c r="L59" s="650"/>
      <c r="M59" s="648">
        <f t="shared" si="101"/>
        <v>0</v>
      </c>
      <c r="N59" s="720">
        <f>IFERROR(($J59*VLOOKUP($H59, 'Baumaterialien Matériaux'!$A$11:$AD$318, 26,FALSE)),0)/$G$1</f>
        <v>0</v>
      </c>
      <c r="O59" s="720">
        <f>IFERROR(($J59*VLOOKUP($H59, 'Baumaterialien Matériaux'!$A$11:$AH$318, 33,FALSE)),0)/$G$1</f>
        <v>0</v>
      </c>
      <c r="P59" s="720">
        <f t="shared" si="102"/>
        <v>0</v>
      </c>
      <c r="Q59" s="720">
        <f>IFERROR(($J59*VLOOKUP($H59, 'Baumaterialien Matériaux'!$A$11:$AD$318, 27,FALSE)),0)/$G$1</f>
        <v>0</v>
      </c>
      <c r="R59" s="720">
        <f>IFERROR(($J59*VLOOKUP($H59, 'Baumaterialien Matériaux'!$A$11:$AH$318, 34,FALSE)),0)/$G$1</f>
        <v>0</v>
      </c>
      <c r="S59" s="720">
        <f>IFERROR((J59*VLOOKUP(H59, 'Baumaterialien Matériaux'!$A$11:$AD$318, 29,FALSE)),0)/$G$1</f>
        <v>0</v>
      </c>
      <c r="T59" s="720"/>
      <c r="V59" s="638">
        <f t="shared" si="2"/>
        <v>0</v>
      </c>
      <c r="W59" s="638">
        <f t="shared" si="103"/>
        <v>0</v>
      </c>
      <c r="Z59" s="638">
        <f t="shared" si="11"/>
        <v>0</v>
      </c>
      <c r="AA59" s="648" t="s">
        <v>3443</v>
      </c>
      <c r="AB59">
        <f>_xlfn.XLOOKUP($H59,'[1]Baumaterialien Matériaux'!$A:$A,'[1]Baumaterialien Matériaux'!AK:AK,0,0)</f>
        <v>0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622" cm="1">
        <f t="array" ref="AD59">IFERROR(_xlfn.SWITCH(I59,"kg",1,"m3",AC59,AC59)*J59/(_xlfn.XLOOKUP(AA59,Métrés!A:A,Métrés!C:C,0)),0)</f>
        <v>0</v>
      </c>
      <c r="AE59" s="1092">
        <f>IFERROR(N59*$G$1/(_xlfn.XLOOKUP($AA59,Métrés!$A:$A,Métrés!$C:$C,0)),0)</f>
        <v>0</v>
      </c>
      <c r="AF59" s="1092">
        <f>IFERROR(O59*$G$1/(_xlfn.XLOOKUP($AA59,Métrés!$A:$A,Métrés!$C:$C,0)),0)</f>
        <v>0</v>
      </c>
      <c r="AG59" s="1092">
        <f>IFERROR(Q59*$G$1/(_xlfn.XLOOKUP($AA59,Métrés!$A:$A,Métrés!$C:$C,0)),0)</f>
        <v>0</v>
      </c>
      <c r="AH59" s="1092">
        <f>IFERROR(R59*$G$1/(_xlfn.XLOOKUP($AA59,Métrés!$A:$A,Métrés!$C:$C,0)),0)</f>
        <v>0</v>
      </c>
      <c r="AI59" s="1092">
        <f>IFERROR(S59*$G$1/(_xlfn.XLOOKUP($AA59,Métrés!$A:$A,Métrés!$C:$C,0)),0)</f>
        <v>0</v>
      </c>
      <c r="AJ59" s="1022"/>
      <c r="AK59" s="638">
        <f>IF(L59=60, 0, T59)</f>
        <v>0</v>
      </c>
      <c r="AL59" s="638">
        <f>IF(L59=60, 0, S59)</f>
        <v>0</v>
      </c>
      <c r="AM59" s="638">
        <f>IF(L59=$L$2, "Structure", IF(L59&gt;0,"Revêtement",0))</f>
        <v>0</v>
      </c>
      <c r="AN59" s="1036">
        <f>IF(AM59="Structure",N59,0)</f>
        <v>0</v>
      </c>
      <c r="AO59" s="1037">
        <f>IF(AM59="Structure",P59,0)</f>
        <v>0</v>
      </c>
      <c r="AP59" s="1037">
        <f>IF(AM59="Structure",Q59,0)</f>
        <v>0</v>
      </c>
      <c r="AQ59" s="1038">
        <f>IF(AM59="Structure",S59,0)</f>
        <v>0</v>
      </c>
      <c r="AR59" s="1038">
        <f>IF(AM59="Structure",T59,0)</f>
        <v>0</v>
      </c>
      <c r="AS59" s="1036">
        <f>IF(AM59="Insulation",N59,0)</f>
        <v>0</v>
      </c>
      <c r="AT59" s="1037">
        <f>IF(AM59="Insulation",P59,0)</f>
        <v>0</v>
      </c>
      <c r="AU59" s="1037">
        <f>IF(AM59="Insulation",Q59,0)</f>
        <v>0</v>
      </c>
      <c r="AV59" s="1038">
        <f>IF(AM59="Insulation",S59,0)</f>
        <v>0</v>
      </c>
      <c r="AW59" s="1038">
        <f>IF(AM59="Insulation",T59,0)</f>
        <v>0</v>
      </c>
      <c r="AX59" s="1036">
        <f>IF(AM59="Revêtement",N59,0)</f>
        <v>0</v>
      </c>
      <c r="AY59" s="1037">
        <f>IF(AM59="Revêtement",P59,0)</f>
        <v>0</v>
      </c>
      <c r="AZ59" s="1037">
        <f>IF(AM59="Revêtement",Q59,0)</f>
        <v>0</v>
      </c>
      <c r="BA59" s="1037">
        <f>IF(AM59="Revêtement",S59,0)</f>
        <v>0</v>
      </c>
      <c r="BB59" s="1038">
        <f>IF(AM59="Revêtement",T59,0)</f>
        <v>0</v>
      </c>
      <c r="BC59" s="1036"/>
      <c r="BD59" s="1037"/>
      <c r="BE59" s="1037"/>
      <c r="BF59" s="1038"/>
      <c r="BG59" s="1036">
        <f>IF($AM59="Structure", IF($I59="kg",$J59,0), 0)</f>
        <v>0</v>
      </c>
      <c r="BH59" s="1037">
        <f>IF($AM59="Insulation", IF($I59="kg",$J59,0), 0)</f>
        <v>0</v>
      </c>
      <c r="BI59" s="1038">
        <f>IF($AM59="Revêtement", IF($I59="kg",$J59,0), 0)</f>
        <v>0</v>
      </c>
      <c r="BJ59" s="1037">
        <f>_xlfn.XLOOKUP(H59, 'Baumaterialien Matériaux'!A:A, 'Baumaterialien Matériaux'!E:E, "-", 0, 1)</f>
        <v>0</v>
      </c>
      <c r="BK59" s="1036">
        <f t="shared" si="22"/>
        <v>0</v>
      </c>
      <c r="BL59" s="1037">
        <f t="shared" si="23"/>
        <v>0</v>
      </c>
      <c r="BM59" s="1038">
        <f t="shared" si="24"/>
        <v>0</v>
      </c>
      <c r="BN59" s="1037">
        <f>IFERROR((J59*VLOOKUP(H59, 'Baumaterialien Matériaux'!$A$11:$AH$318, 33,FALSE)),0)/$G$1</f>
        <v>0</v>
      </c>
      <c r="BO59" s="1037"/>
      <c r="BP59" s="1037">
        <f>IFERROR((J59*VLOOKUP(H59, 'Baumaterialien Matériaux'!$A$11:$AH$318, 34,FALSE)),0)/$G$1</f>
        <v>0</v>
      </c>
      <c r="BQ59" s="1037" t="e">
        <f t="shared" si="81"/>
        <v>#DIV/0!</v>
      </c>
      <c r="BR59" s="1037"/>
    </row>
    <row r="60" spans="2:70">
      <c r="B60" s="1103"/>
      <c r="C60" s="1099"/>
      <c r="D60" s="478"/>
      <c r="F60" s="663"/>
      <c r="G60" s="663"/>
      <c r="H60" s="663"/>
      <c r="I60" s="459"/>
      <c r="J60" s="662"/>
      <c r="K60" s="663"/>
      <c r="L60" s="663"/>
      <c r="M60" s="664"/>
      <c r="N60" s="664"/>
      <c r="O60" s="664"/>
      <c r="P60" s="664"/>
      <c r="Q60" s="664"/>
      <c r="R60" s="664"/>
      <c r="S60" s="664"/>
      <c r="T60" s="664"/>
      <c r="V60" s="638">
        <f t="shared" si="2"/>
        <v>0</v>
      </c>
      <c r="W60" s="638">
        <f t="shared" si="103"/>
        <v>0</v>
      </c>
      <c r="Z60" s="638">
        <f t="shared" si="11"/>
        <v>0</v>
      </c>
      <c r="AA60" s="648" t="s">
        <v>3443</v>
      </c>
      <c r="AB60">
        <f>_xlfn.XLOOKUP($H60,'[1]Baumaterialien Matériaux'!$A:$A,'[1]Baumaterialien Matériaux'!AK:AK,0,0)</f>
        <v>0</v>
      </c>
      <c r="AC60" t="str" cm="1">
        <f t="array" ref="AC60">_xlfn.SWITCH(I60,"kg"," ",0," ",_xlfn.XLOOKUP(H60, '[1]Baumaterialien Matériaux'!$A:$A, '[1]Baumaterialien Matériaux'!$AL:$AL, "-", 0, 1))</f>
        <v xml:space="preserve"> </v>
      </c>
      <c r="AD60" s="622" cm="1">
        <f t="array" ref="AD60">IFERROR(_xlfn.SWITCH(I60,"kg",1,"m3",AC60,AC60)*J60/(_xlfn.XLOOKUP(AA60,Métrés!A:A,Métrés!C:C,0)),0)</f>
        <v>0</v>
      </c>
      <c r="AE60" s="1092">
        <f>IFERROR(N60*$G$1/(_xlfn.XLOOKUP($AA60,Métrés!$A:$A,Métrés!$C:$C,0)),0)</f>
        <v>0</v>
      </c>
      <c r="AF60" s="1092">
        <f>IFERROR(O60*$G$1/(_xlfn.XLOOKUP($AA60,Métrés!$A:$A,Métrés!$C:$C,0)),0)</f>
        <v>0</v>
      </c>
      <c r="AG60" s="1092">
        <f>IFERROR(Q60*$G$1/(_xlfn.XLOOKUP($AA60,Métrés!$A:$A,Métrés!$C:$C,0)),0)</f>
        <v>0</v>
      </c>
      <c r="AH60" s="1092">
        <f>IFERROR(R60*$G$1/(_xlfn.XLOOKUP($AA60,Métrés!$A:$A,Métrés!$C:$C,0)),0)</f>
        <v>0</v>
      </c>
      <c r="AI60" s="1092">
        <f>IFERROR(S60*$G$1/(_xlfn.XLOOKUP($AA60,Métrés!$A:$A,Métrés!$C:$C,0)),0)</f>
        <v>0</v>
      </c>
      <c r="AJ60" s="664"/>
      <c r="AK60" s="664"/>
      <c r="AL60" s="664"/>
      <c r="AM60" s="1021"/>
      <c r="AN60" s="1059"/>
      <c r="AO60" s="664"/>
      <c r="AP60" s="664"/>
      <c r="AQ60" s="664"/>
      <c r="AR60" s="1058"/>
      <c r="AS60" s="1059"/>
      <c r="AT60" s="664"/>
      <c r="AU60" s="664"/>
      <c r="AV60" s="664"/>
      <c r="AW60" s="1058"/>
      <c r="AX60" s="1059"/>
      <c r="AY60" s="664"/>
      <c r="AZ60" s="664"/>
      <c r="BA60" s="664"/>
      <c r="BB60" s="1058"/>
      <c r="BC60" s="1059"/>
      <c r="BD60" s="664"/>
      <c r="BE60" s="664"/>
      <c r="BF60" s="1058"/>
      <c r="BG60" s="1059"/>
      <c r="BH60" s="664"/>
      <c r="BI60" s="1058"/>
      <c r="BJ60" s="1045"/>
      <c r="BK60" s="1059"/>
      <c r="BL60" s="664"/>
      <c r="BM60" s="1058"/>
      <c r="BN60" s="1037">
        <f>IFERROR((J60*VLOOKUP(H60, 'Baumaterialien Matériaux'!$A$11:$AH$318, 33,FALSE)),0)/$G$1</f>
        <v>0</v>
      </c>
      <c r="BO60" s="1037"/>
      <c r="BP60" s="1037">
        <f>IFERROR((J60*VLOOKUP(H60, 'Baumaterialien Matériaux'!$A$11:$AH$318, 34,FALSE)),0)/$G$1</f>
        <v>0</v>
      </c>
      <c r="BQ60" s="1037" t="e">
        <f t="shared" si="81"/>
        <v>#DIV/0!</v>
      </c>
      <c r="BR60" s="1037"/>
    </row>
    <row r="61" spans="2:70">
      <c r="B61" s="1103"/>
      <c r="C61" s="1099"/>
      <c r="D61" s="478"/>
      <c r="F61" s="454"/>
      <c r="G61" s="478"/>
      <c r="H61" s="642"/>
      <c r="I61" s="641" t="str">
        <f>_xlfn.XLOOKUP(H61, 'Baumaterialien Matériaux'!A:A, 'Baumaterialien Matériaux'!F:F, "-", 0, 1)</f>
        <v>-</v>
      </c>
      <c r="J61" s="649"/>
      <c r="K61" s="650"/>
      <c r="L61" s="650"/>
      <c r="M61" s="648">
        <f t="shared" si="92"/>
        <v>0</v>
      </c>
      <c r="N61" s="720">
        <f>IFERROR(($J61*VLOOKUP($H61, 'Baumaterialien Matériaux'!$A$11:$AD$318, 26,FALSE)),0)/$G$1</f>
        <v>0</v>
      </c>
      <c r="O61" s="720">
        <f>IFERROR(($J61*VLOOKUP($H61, 'Baumaterialien Matériaux'!$A$11:$AH$318, 33,FALSE)),0)/$G$1</f>
        <v>0</v>
      </c>
      <c r="P61" s="720">
        <f t="shared" si="93"/>
        <v>0</v>
      </c>
      <c r="Q61" s="720">
        <f>IFERROR(($J61*VLOOKUP($H61, 'Baumaterialien Matériaux'!$A$11:$AD$318, 27,FALSE)),0)/$G$1</f>
        <v>0</v>
      </c>
      <c r="R61" s="720">
        <f>IFERROR(($J61*VLOOKUP($H61, 'Baumaterialien Matériaux'!$A$11:$AH$318, 34,FALSE)),0)/$G$1</f>
        <v>0</v>
      </c>
      <c r="S61" s="720">
        <f>IFERROR((J61*VLOOKUP(H61, 'Baumaterialien Matériaux'!$A$11:$AD$318, 29,FALSE)),0)/$G$1</f>
        <v>0</v>
      </c>
      <c r="T61" s="720"/>
      <c r="V61" s="638">
        <f t="shared" si="2"/>
        <v>0</v>
      </c>
      <c r="W61" s="638">
        <f t="shared" si="103"/>
        <v>0</v>
      </c>
      <c r="X61" s="638">
        <f t="shared" si="10"/>
        <v>0</v>
      </c>
      <c r="Z61" s="638">
        <f t="shared" si="11"/>
        <v>0</v>
      </c>
      <c r="AA61" s="648" t="s">
        <v>3443</v>
      </c>
      <c r="AB61">
        <f>_xlfn.XLOOKUP($H61,'[1]Baumaterialien Matériaux'!$A:$A,'[1]Baumaterialien Matériaux'!AK:AK,0,0)</f>
        <v>0</v>
      </c>
      <c r="AC61" cm="1">
        <f t="array" ref="AC61">_xlfn.SWITCH(I61,"kg"," ",0," ",_xlfn.XLOOKUP(H61, '[1]Baumaterialien Matériaux'!$A:$A, '[1]Baumaterialien Matériaux'!$AL:$AL, "-", 0, 1))</f>
        <v>0</v>
      </c>
      <c r="AD61" s="622" cm="1">
        <f t="array" ref="AD61">IFERROR(_xlfn.SWITCH(I61,"kg",1,"m3",AC61,AC61)*J61/(_xlfn.XLOOKUP(AA61,Métrés!A:A,Métrés!C:C,0)),0)</f>
        <v>0</v>
      </c>
      <c r="AE61" s="1092">
        <f>IFERROR(N61*$G$1/(_xlfn.XLOOKUP($AA61,Métrés!$A:$A,Métrés!$C:$C,0)),0)</f>
        <v>0</v>
      </c>
      <c r="AF61" s="1092">
        <f>IFERROR(O61*$G$1/(_xlfn.XLOOKUP($AA61,Métrés!$A:$A,Métrés!$C:$C,0)),0)</f>
        <v>0</v>
      </c>
      <c r="AG61" s="1092">
        <f>IFERROR(Q61*$G$1/(_xlfn.XLOOKUP($AA61,Métrés!$A:$A,Métrés!$C:$C,0)),0)</f>
        <v>0</v>
      </c>
      <c r="AH61" s="1092">
        <f>IFERROR(R61*$G$1/(_xlfn.XLOOKUP($AA61,Métrés!$A:$A,Métrés!$C:$C,0)),0)</f>
        <v>0</v>
      </c>
      <c r="AI61" s="1092">
        <f>IFERROR(S61*$G$1/(_xlfn.XLOOKUP($AA61,Métrés!$A:$A,Métrés!$C:$C,0)),0)</f>
        <v>0</v>
      </c>
      <c r="AJ61" s="1022"/>
      <c r="AK61" s="638">
        <f>IF(L61=60, 0, T61)</f>
        <v>0</v>
      </c>
      <c r="AL61" s="638">
        <f>IF(L61=60, 0, S61)</f>
        <v>0</v>
      </c>
      <c r="AM61" s="638">
        <f>IF(L61=$L$2, "Structure", IF(L61&gt;0,"Revêtement",0))</f>
        <v>0</v>
      </c>
      <c r="AN61" s="1036">
        <f>IF(AM61="Structure",N61,0)</f>
        <v>0</v>
      </c>
      <c r="AO61" s="1037">
        <f>IF(AM61="Structure",P61,0)</f>
        <v>0</v>
      </c>
      <c r="AP61" s="1037">
        <f>IF(AM61="Structure",Q61,0)</f>
        <v>0</v>
      </c>
      <c r="AQ61" s="1038">
        <f>IF(AM61="Structure",S61,0)</f>
        <v>0</v>
      </c>
      <c r="AR61" s="1038">
        <f>IF(AM61="Structure",T61,0)</f>
        <v>0</v>
      </c>
      <c r="AS61" s="1036">
        <f>IF(AM61="Insulation",N61,0)</f>
        <v>0</v>
      </c>
      <c r="AT61" s="1037">
        <f>IF(AM61="Insulation",P61,0)</f>
        <v>0</v>
      </c>
      <c r="AU61" s="1037">
        <f>IF(AM61="Insulation",Q61,0)</f>
        <v>0</v>
      </c>
      <c r="AV61" s="1038">
        <f>IF(AM61="Insulation",S61,0)</f>
        <v>0</v>
      </c>
      <c r="AW61" s="1038">
        <f>IF(AM61="Insulation",T61,0)</f>
        <v>0</v>
      </c>
      <c r="AX61" s="1036">
        <f>IF(AM61="Revêtement",N61,0)</f>
        <v>0</v>
      </c>
      <c r="AY61" s="1037">
        <f>IF(AM61="Revêtement",P61,0)</f>
        <v>0</v>
      </c>
      <c r="AZ61" s="1037">
        <f>IF(AM61="Revêtement",Q61,0)</f>
        <v>0</v>
      </c>
      <c r="BA61" s="1037">
        <f>IF(AM61="Revêtement",S61,0)</f>
        <v>0</v>
      </c>
      <c r="BB61" s="1038">
        <f>IF(AM61="Revêtement",T61,0)</f>
        <v>0</v>
      </c>
      <c r="BC61" s="1036"/>
      <c r="BD61" s="1037"/>
      <c r="BE61" s="1037"/>
      <c r="BF61" s="1038"/>
      <c r="BG61" s="1036">
        <f>IF($AM61="Structure", IF($I61="kg",$J61,0), 0)</f>
        <v>0</v>
      </c>
      <c r="BH61" s="1037">
        <f>IF($AM61="Insulation", IF($I61="kg",$J61,0), 0)</f>
        <v>0</v>
      </c>
      <c r="BI61" s="1038">
        <f>IF($AM61="Revêtement", IF($I61="kg",$J61,0), 0)</f>
        <v>0</v>
      </c>
      <c r="BJ61" s="1037">
        <f>_xlfn.XLOOKUP(H61, 'Baumaterialien Matériaux'!A:A, 'Baumaterialien Matériaux'!E:E, "-", 0, 1)</f>
        <v>0</v>
      </c>
      <c r="BK61" s="1036">
        <f t="shared" si="22"/>
        <v>0</v>
      </c>
      <c r="BL61" s="1037">
        <f t="shared" si="23"/>
        <v>0</v>
      </c>
      <c r="BM61" s="1038">
        <f t="shared" si="24"/>
        <v>0</v>
      </c>
      <c r="BN61" s="1037">
        <f>IFERROR((J61*VLOOKUP(H61, 'Baumaterialien Matériaux'!$A$11:$AH$318, 33,FALSE)),0)/$G$1</f>
        <v>0</v>
      </c>
      <c r="BO61" s="1037"/>
      <c r="BP61" s="1037">
        <f>IFERROR((J61*VLOOKUP(H61, 'Baumaterialien Matériaux'!$A$11:$AH$318, 34,FALSE)),0)/$G$1</f>
        <v>0</v>
      </c>
      <c r="BQ61" s="1037" t="e">
        <f t="shared" si="81"/>
        <v>#DIV/0!</v>
      </c>
      <c r="BR61" s="1037">
        <f>IFERROR((N61+Q61)*($L$2/L61-1),0)</f>
        <v>0</v>
      </c>
    </row>
    <row r="62" spans="2:70">
      <c r="B62" s="1103"/>
      <c r="C62" s="1097" t="s">
        <v>116</v>
      </c>
      <c r="D62" s="473" t="s">
        <v>117</v>
      </c>
      <c r="E62" s="655"/>
      <c r="F62" s="473"/>
      <c r="G62" s="473"/>
      <c r="H62" s="473"/>
      <c r="I62" s="463"/>
      <c r="J62" s="652"/>
      <c r="K62" s="652"/>
      <c r="L62" s="652"/>
      <c r="M62" s="653">
        <f ca="1">M63+M72+M76</f>
        <v>60.722547446407098</v>
      </c>
      <c r="N62" s="653">
        <f t="shared" ref="N62:S62" si="105">N63+N72+N76</f>
        <v>17.20573785394684</v>
      </c>
      <c r="O62" s="653">
        <f t="shared" ref="O62" si="106">O63+O72+O76</f>
        <v>7.3471246819487099</v>
      </c>
      <c r="P62" s="653">
        <f t="shared" ca="1" si="105"/>
        <v>26.687711382229196</v>
      </c>
      <c r="Q62" s="653">
        <f t="shared" si="105"/>
        <v>9.4819735282823547</v>
      </c>
      <c r="R62" s="653">
        <f t="shared" ref="R62" si="107">R63+R72+R76</f>
        <v>2.3433138813109387</v>
      </c>
      <c r="S62" s="653">
        <f t="shared" si="105"/>
        <v>0</v>
      </c>
      <c r="T62" s="653">
        <f t="shared" ref="T62" si="108">T63+T72+T76</f>
        <v>0</v>
      </c>
      <c r="V62" s="638">
        <f t="shared" si="2"/>
        <v>0</v>
      </c>
      <c r="W62" s="638">
        <f t="shared" si="103"/>
        <v>0</v>
      </c>
      <c r="X62" s="638">
        <f t="shared" si="10"/>
        <v>0</v>
      </c>
      <c r="Z62" s="638">
        <f t="shared" si="11"/>
        <v>0</v>
      </c>
      <c r="AB62">
        <f>_xlfn.XLOOKUP($H62,'[1]Baumaterialien Matériaux'!$A:$A,'[1]Baumaterialien Matériaux'!AK:AK,0,0)</f>
        <v>0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622" cm="1">
        <f t="array" ref="AD62">IFERROR(_xlfn.SWITCH(I62,"kg",1,"m3",AC62,AC62)*J62/(_xlfn.XLOOKUP(AA62,Métrés!A:A,Métrés!C:C,0)),0)</f>
        <v>0</v>
      </c>
      <c r="AE62" s="1092">
        <f>IFERROR(N62*$G$1/(_xlfn.XLOOKUP($AA62,Métrés!$A:$A,Métrés!$C:$C,0)),0)</f>
        <v>0</v>
      </c>
      <c r="AF62" s="1092">
        <f>IFERROR(O62*$G$1/(_xlfn.XLOOKUP($AA62,Métrés!$A:$A,Métrés!$C:$C,0)),0)</f>
        <v>0</v>
      </c>
      <c r="AG62" s="1092">
        <f>IFERROR(Q62*$G$1/(_xlfn.XLOOKUP($AA62,Métrés!$A:$A,Métrés!$C:$C,0)),0)</f>
        <v>0</v>
      </c>
      <c r="AH62" s="1092">
        <f>IFERROR(R62*$G$1/(_xlfn.XLOOKUP($AA62,Métrés!$A:$A,Métrés!$C:$C,0)),0)</f>
        <v>0</v>
      </c>
      <c r="AI62" s="1092">
        <f>IFERROR(S62*$G$1/(_xlfn.XLOOKUP($AA62,Métrés!$A:$A,Métrés!$C:$C,0)),0)</f>
        <v>0</v>
      </c>
      <c r="AJ62" s="666"/>
      <c r="AK62" s="666"/>
      <c r="AL62" s="666"/>
      <c r="AM62" s="666"/>
      <c r="AN62" s="1051"/>
      <c r="AO62" s="666"/>
      <c r="AP62" s="666"/>
      <c r="AQ62" s="666"/>
      <c r="AR62" s="1052"/>
      <c r="AS62" s="1051"/>
      <c r="AT62" s="666"/>
      <c r="AU62" s="666"/>
      <c r="AV62" s="666"/>
      <c r="AW62" s="1052"/>
      <c r="AX62" s="1051"/>
      <c r="AY62" s="666"/>
      <c r="AZ62" s="666"/>
      <c r="BA62" s="666"/>
      <c r="BB62" s="1052"/>
      <c r="BC62" s="1051"/>
      <c r="BD62" s="666"/>
      <c r="BE62" s="666"/>
      <c r="BF62" s="1052"/>
      <c r="BG62" s="1051"/>
      <c r="BH62" s="666"/>
      <c r="BI62" s="1052"/>
      <c r="BJ62" s="666"/>
      <c r="BK62" s="1051"/>
      <c r="BL62" s="666"/>
      <c r="BM62" s="1052"/>
      <c r="BN62" s="1037">
        <f>IFERROR((J62*VLOOKUP(H62, 'Baumaterialien Matériaux'!$A$11:$AH$318, 33,FALSE)),0)/$G$1</f>
        <v>0</v>
      </c>
      <c r="BO62" s="1037"/>
      <c r="BP62" s="1037">
        <f>IFERROR((J62*VLOOKUP(H62, 'Baumaterialien Matériaux'!$A$11:$AH$318, 34,FALSE)),0)/$G$1</f>
        <v>0</v>
      </c>
      <c r="BQ62" s="1037">
        <f t="shared" si="81"/>
        <v>0</v>
      </c>
      <c r="BR62" s="1037"/>
    </row>
    <row r="63" spans="2:70">
      <c r="B63" s="1103"/>
      <c r="C63" s="1099"/>
      <c r="D63" s="478"/>
      <c r="E63" s="479" t="str">
        <f>BillQuantities!E16</f>
        <v>Isolation thermique extérieure, enduit</v>
      </c>
      <c r="F63" s="663" t="s">
        <v>3030</v>
      </c>
      <c r="G63" s="479"/>
      <c r="H63" s="479"/>
      <c r="I63" s="459" t="s">
        <v>39</v>
      </c>
      <c r="J63" s="662">
        <v>470.39</v>
      </c>
      <c r="K63" s="663"/>
      <c r="L63" s="663"/>
      <c r="M63" s="664">
        <f ca="1">SUM(M64:M71)</f>
        <v>48.014515791538663</v>
      </c>
      <c r="N63" s="664">
        <f t="shared" ref="N63:S63" si="109">SUM(N64:N71)</f>
        <v>13.656749874782955</v>
      </c>
      <c r="O63" s="664">
        <f t="shared" ref="O63" si="110">SUM(O64:O71)</f>
        <v>5.8266679035327895</v>
      </c>
      <c r="P63" s="664">
        <f t="shared" ca="1" si="109"/>
        <v>21.093923944002935</v>
      </c>
      <c r="Q63" s="664">
        <f t="shared" si="109"/>
        <v>7.4371740692199806</v>
      </c>
      <c r="R63" s="664">
        <f t="shared" ref="R63" si="111">SUM(R64:R71)</f>
        <v>1.7031650479998663</v>
      </c>
      <c r="S63" s="664">
        <f t="shared" si="109"/>
        <v>0</v>
      </c>
      <c r="T63" s="664">
        <f t="shared" ref="T63" si="112">SUM(T64:T71)</f>
        <v>0</v>
      </c>
      <c r="V63" s="638">
        <f t="shared" si="2"/>
        <v>0</v>
      </c>
      <c r="W63" s="638">
        <f t="shared" si="103"/>
        <v>0</v>
      </c>
      <c r="X63" s="638">
        <f t="shared" si="10"/>
        <v>0</v>
      </c>
      <c r="Z63" s="638">
        <f t="shared" si="11"/>
        <v>0</v>
      </c>
      <c r="AA63" s="648" t="s">
        <v>3443</v>
      </c>
      <c r="AB63">
        <f>_xlfn.XLOOKUP($H63,'[1]Baumaterialien Matériaux'!$A:$A,'[1]Baumaterialien Matériaux'!AK:AK,0,0)</f>
        <v>0</v>
      </c>
      <c r="AC63" cm="1">
        <f t="array" ref="AC63">_xlfn.SWITCH(I63,"kg"," ",0," ",_xlfn.XLOOKUP(H63, '[1]Baumaterialien Matériaux'!$A:$A, '[1]Baumaterialien Matériaux'!$AL:$AL, "-", 0, 1))</f>
        <v>0</v>
      </c>
      <c r="AD63" s="622" cm="1">
        <f t="array" ref="AD63">IFERROR(_xlfn.SWITCH(I63,"kg",1,"m3",AC63,AC63)*J63/(_xlfn.XLOOKUP(AA63,Métrés!A:A,Métrés!C:C,0)),0)</f>
        <v>0</v>
      </c>
      <c r="AE63" s="1092">
        <f>IFERROR(N63*$G$1/(_xlfn.XLOOKUP($AA63,Métrés!$A:$A,Métrés!$C:$C,0)),0)</f>
        <v>20.344166665284941</v>
      </c>
      <c r="AF63" s="1092">
        <f>IFERROR(O63*$G$1/(_xlfn.XLOOKUP($AA63,Métrés!$A:$A,Métrés!$C:$C,0)),0)</f>
        <v>8.679861901228632</v>
      </c>
      <c r="AG63" s="1092">
        <f>IFERROR(Q63*$G$1/(_xlfn.XLOOKUP($AA63,Métrés!$A:$A,Métrés!$C:$C,0)),0)</f>
        <v>11.078998310009785</v>
      </c>
      <c r="AH63" s="1092">
        <f>IFERROR(R63*$G$1/(_xlfn.XLOOKUP($AA63,Métrés!$A:$A,Métrés!$C:$C,0)),0)</f>
        <v>2.5371683535756335</v>
      </c>
      <c r="AI63" s="1092">
        <f>IFERROR(S63*$G$1/(_xlfn.XLOOKUP($AA63,Métrés!$A:$A,Métrés!$C:$C,0)),0)</f>
        <v>0</v>
      </c>
      <c r="AJ63" s="878"/>
      <c r="AK63" s="878"/>
      <c r="AL63" s="878"/>
      <c r="AM63" s="878"/>
      <c r="AN63" s="1053"/>
      <c r="AO63" s="878"/>
      <c r="AP63" s="878"/>
      <c r="AQ63" s="878"/>
      <c r="AR63" s="1054"/>
      <c r="AS63" s="1053"/>
      <c r="AT63" s="878"/>
      <c r="AU63" s="878"/>
      <c r="AV63" s="878"/>
      <c r="AW63" s="1054"/>
      <c r="AX63" s="1053"/>
      <c r="AY63" s="878"/>
      <c r="AZ63" s="878"/>
      <c r="BA63" s="878"/>
      <c r="BB63" s="1054"/>
      <c r="BC63" s="1053"/>
      <c r="BD63" s="878"/>
      <c r="BE63" s="878"/>
      <c r="BF63" s="1054"/>
      <c r="BG63" s="1053"/>
      <c r="BH63" s="878"/>
      <c r="BI63" s="1054"/>
      <c r="BJ63" s="878"/>
      <c r="BK63" s="1053"/>
      <c r="BL63" s="878"/>
      <c r="BM63" s="1054"/>
      <c r="BN63" s="1037">
        <f>IFERROR((J63*VLOOKUP(H63, 'Baumaterialien Matériaux'!$A$11:$AH$318, 33,FALSE)),0)/$G$1</f>
        <v>0</v>
      </c>
      <c r="BO63" s="1037"/>
      <c r="BP63" s="1037">
        <f>IFERROR((J63*VLOOKUP(H63, 'Baumaterialien Matériaux'!$A$11:$AH$318, 34,FALSE)),0)/$G$1</f>
        <v>0</v>
      </c>
      <c r="BQ63" s="1037">
        <f t="shared" si="81"/>
        <v>0</v>
      </c>
      <c r="BR63" s="1037"/>
    </row>
    <row r="64" spans="2:70">
      <c r="B64" s="1103"/>
      <c r="C64" s="1099"/>
      <c r="D64" s="454"/>
      <c r="E64" s="478"/>
      <c r="F64" s="454" t="s">
        <v>2986</v>
      </c>
      <c r="G64" s="478" t="str">
        <f>_xlfn.XLOOKUP(H64, 'Baumaterialien Matériaux'!A:A, 'Baumaterialien Matériaux'!AD:AD, "-", 0, 1)</f>
        <v>Enduit de ciment</v>
      </c>
      <c r="H64" s="892">
        <v>4.0090000000000003</v>
      </c>
      <c r="I64" s="641" t="str">
        <f>_xlfn.XLOOKUP(H64, 'Baumaterialien Matériaux'!A:A, 'Baumaterialien Matériaux'!F:F, "-", 0, 1)</f>
        <v>kg</v>
      </c>
      <c r="J64" s="649">
        <f>$J$63*K64</f>
        <v>10936.567499999999</v>
      </c>
      <c r="K64" s="893">
        <f>0.015*1550</f>
        <v>23.25</v>
      </c>
      <c r="L64" s="647" cm="1">
        <f t="array" aca="1" ref="L64" ca="1">INDEX('Enveloppe du bâtiment hors terr'!N49:N149, 'Enveloppe du bâtiment hors terr'!W48)</f>
        <v>30</v>
      </c>
      <c r="M64" s="648">
        <f ca="1">SUM(N64:Q64)</f>
        <v>7.5142949086750361</v>
      </c>
      <c r="N64" s="720">
        <f>IFERROR(($J64*VLOOKUP($H64, 'Baumaterialien Matériaux'!$A$11:$AD$318, 26,FALSE)),0)/$G$1</f>
        <v>3.0310374732870304</v>
      </c>
      <c r="O64" s="720">
        <f>IFERROR(($J64*VLOOKUP($H64, 'Baumaterialien Matériaux'!$A$11:$AH$318, 33,FALSE)),0)/$G$1</f>
        <v>1.138160657639909</v>
      </c>
      <c r="P64" s="720">
        <f ca="1">IFERROR((N64+Q64)*($L$2/L64-1),0)</f>
        <v>3.1880671255175632</v>
      </c>
      <c r="Q64" s="720">
        <f>IFERROR(($J64*VLOOKUP($H64, 'Baumaterialien Matériaux'!$A$11:$AD$318, 27,FALSE)),0)/$G$1</f>
        <v>0.15702965223053289</v>
      </c>
      <c r="R64" s="720">
        <f>IFERROR(($J64*VLOOKUP($H64, 'Baumaterialien Matériaux'!$A$11:$AH$318, 34,FALSE)),0)/$G$1</f>
        <v>3.9805190914251366E-2</v>
      </c>
      <c r="S64" s="720">
        <f>IFERROR((J64*VLOOKUP(H64, 'Baumaterialien Matériaux'!$A$11:$AD$318, 29,FALSE)),0)/$G$1</f>
        <v>0</v>
      </c>
      <c r="T64" s="720"/>
      <c r="V64" s="638">
        <f t="shared" ca="1" si="2"/>
        <v>0</v>
      </c>
      <c r="W64" s="638">
        <f t="shared" ca="1" si="103"/>
        <v>0</v>
      </c>
      <c r="X64" s="638" t="str">
        <f t="shared" ca="1" si="10"/>
        <v>Revêtement</v>
      </c>
      <c r="Z64" s="638">
        <f t="shared" ca="1" si="11"/>
        <v>30</v>
      </c>
      <c r="AA64" s="648" t="s">
        <v>3443</v>
      </c>
      <c r="AB64" t="str">
        <f>_xlfn.XLOOKUP($H64,'[1]Baumaterialien Matériaux'!$A:$A,'[1]Baumaterialien Matériaux'!AK:AK,0,0)</f>
        <v>concrete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622" cm="1">
        <f t="array" ref="AD64">IFERROR(_xlfn.SWITCH(I64,"kg",1,"m3",AC64,AC64)*J64/(_xlfn.XLOOKUP(AA64,Métrés!A:A,Métrés!C:C,0)),0)</f>
        <v>18.133619903500193</v>
      </c>
      <c r="AE64" s="1092">
        <f>IFERROR(N64*$G$1/(_xlfn.XLOOKUP($AA64,Métrés!$A:$A,Métrés!$C:$C,0)),0)</f>
        <v>4.5152713559715476</v>
      </c>
      <c r="AF64" s="1092">
        <f>IFERROR(O64*$G$1/(_xlfn.XLOOKUP($AA64,Métrés!$A:$A,Métrés!$C:$C,0)),0)</f>
        <v>1.6954934609772678</v>
      </c>
      <c r="AG64" s="1092">
        <f>IFERROR(Q64*$G$1/(_xlfn.XLOOKUP($AA64,Métrés!$A:$A,Métrés!$C:$C,0)),0)</f>
        <v>0.23392369675515248</v>
      </c>
      <c r="AH64" s="1092">
        <f>IFERROR(R64*$G$1/(_xlfn.XLOOKUP($AA64,Métrés!$A:$A,Métrés!$C:$C,0)),0)</f>
        <v>5.9296937084445632E-2</v>
      </c>
      <c r="AI64" s="1092">
        <f>IFERROR(S64*$G$1/(_xlfn.XLOOKUP($AA64,Métrés!$A:$A,Métrés!$C:$C,0)),0)</f>
        <v>0</v>
      </c>
      <c r="AJ64" s="1022"/>
      <c r="AK64" s="638">
        <f t="shared" ref="AK64:AK71" ca="1" si="113">IF(L64=60, 0, T64)</f>
        <v>0</v>
      </c>
      <c r="AL64" s="638">
        <f t="shared" ref="AL64:AL71" ca="1" si="114">IF(L64=60, 0, S64)</f>
        <v>0</v>
      </c>
      <c r="AM64" s="638" t="str">
        <f ca="1">IF(L64=$L$2, "Structure", IF(L64&gt;0,"Revêtement",0))</f>
        <v>Revêtement</v>
      </c>
      <c r="AN64" s="1036">
        <f t="shared" ref="AN64:AN71" ca="1" si="115">IF(AM64="Structure",N64,0)</f>
        <v>0</v>
      </c>
      <c r="AO64" s="1037">
        <f t="shared" ref="AO64:AO71" ca="1" si="116">IF(AM64="Structure",P64,0)</f>
        <v>0</v>
      </c>
      <c r="AP64" s="1037">
        <f t="shared" ref="AP64:AP71" ca="1" si="117">IF(AM64="Structure",Q64,0)</f>
        <v>0</v>
      </c>
      <c r="AQ64" s="1038">
        <f t="shared" ref="AQ64:AQ71" ca="1" si="118">IF(AM64="Structure",S64,0)</f>
        <v>0</v>
      </c>
      <c r="AR64" s="1038">
        <f t="shared" ref="AR64:AR71" ca="1" si="119">IF(AM64="Structure",T64,0)</f>
        <v>0</v>
      </c>
      <c r="AS64" s="1036">
        <f t="shared" ref="AS64:AS71" ca="1" si="120">IF(AM64="Insulation",N64,0)</f>
        <v>0</v>
      </c>
      <c r="AT64" s="1037">
        <f t="shared" ref="AT64:AT71" ca="1" si="121">IF(AM64="Insulation",P64,0)</f>
        <v>0</v>
      </c>
      <c r="AU64" s="1037">
        <f t="shared" ref="AU64:AU71" ca="1" si="122">IF(AM64="Insulation",Q64,0)</f>
        <v>0</v>
      </c>
      <c r="AV64" s="1038">
        <f t="shared" ref="AV64:AV71" ca="1" si="123">IF(AM64="Insulation",S64,0)</f>
        <v>0</v>
      </c>
      <c r="AW64" s="1038">
        <f t="shared" ref="AW64:AW71" ca="1" si="124">IF(AM64="Insulation",T64,0)</f>
        <v>0</v>
      </c>
      <c r="AX64" s="1036">
        <f t="shared" ref="AX64:AX71" ca="1" si="125">IF(AM64="Revêtement",N64,0)</f>
        <v>3.0310374732870304</v>
      </c>
      <c r="AY64" s="1037">
        <f t="shared" ref="AY64:AY71" ca="1" si="126">IF(AM64="Revêtement",P64,0)</f>
        <v>3.1880671255175632</v>
      </c>
      <c r="AZ64" s="1037">
        <f t="shared" ref="AZ64:AZ71" ca="1" si="127">IF(AM64="Revêtement",Q64,0)</f>
        <v>0.15702965223053289</v>
      </c>
      <c r="BA64" s="1037">
        <f t="shared" ref="BA64:BA71" ca="1" si="128">IF(AM64="Revêtement",S64,0)</f>
        <v>0</v>
      </c>
      <c r="BB64" s="1038">
        <f t="shared" ref="BB64:BB71" ca="1" si="129">IF(AM64="Revêtement",T64,0)</f>
        <v>0</v>
      </c>
      <c r="BC64" s="1036"/>
      <c r="BD64" s="1037"/>
      <c r="BE64" s="1037"/>
      <c r="BF64" s="1038"/>
      <c r="BG64" s="1036">
        <f t="shared" ref="BG64:BG71" ca="1" si="130">IF($AM64="Structure", IF($I64="kg",$J64,0), 0)</f>
        <v>0</v>
      </c>
      <c r="BH64" s="1037">
        <f t="shared" ref="BH64:BH71" ca="1" si="131">IF($AM64="Insulation", IF($I64="kg",$J64,0), 0)</f>
        <v>0</v>
      </c>
      <c r="BI64" s="1038">
        <f t="shared" ref="BI64:BI71" ca="1" si="132">IF($AM64="Revêtement", IF($I64="kg",$J64,0), 0)</f>
        <v>10936.567499999999</v>
      </c>
      <c r="BJ64" s="1037">
        <f>_xlfn.XLOOKUP(H64, 'Baumaterialien Matériaux'!A:A, 'Baumaterialien Matériaux'!E:E, "-", 0, 1)</f>
        <v>1550</v>
      </c>
      <c r="BK64" s="1036">
        <f t="shared" ca="1" si="22"/>
        <v>0</v>
      </c>
      <c r="BL64" s="1037">
        <f t="shared" ca="1" si="23"/>
        <v>0</v>
      </c>
      <c r="BM64" s="1038">
        <f t="shared" ca="1" si="24"/>
        <v>7.0558499999999995</v>
      </c>
      <c r="BN64" s="1037">
        <f>IFERROR((J64*VLOOKUP(H64, 'Baumaterialien Matériaux'!$A$11:$AH$318, 33,FALSE)),0)/$G$1</f>
        <v>1.138160657639909</v>
      </c>
      <c r="BO64" s="1037">
        <f t="shared" ref="BO64:BO70" ca="1" si="133">(BN64+BP64)*($L$2/L64-1)</f>
        <v>1.1779658485541604</v>
      </c>
      <c r="BP64" s="1037">
        <f>IFERROR((J64*VLOOKUP(H64, 'Baumaterialien Matériaux'!$A$11:$AH$318, 34,FALSE)),0)/$G$1</f>
        <v>3.9805190914251366E-2</v>
      </c>
      <c r="BQ64" s="1037">
        <f t="shared" si="81"/>
        <v>0.25348837209302327</v>
      </c>
      <c r="BR64" s="1037">
        <f t="shared" ref="BR64:BR71" ca="1" si="134">IFERROR((N64+Q64)*($L$2/L64-1),0)</f>
        <v>3.1880671255175632</v>
      </c>
    </row>
    <row r="65" spans="1:70">
      <c r="B65" s="1103"/>
      <c r="C65" s="1099"/>
      <c r="D65" s="478"/>
      <c r="E65" s="478"/>
      <c r="F65" s="454" t="s">
        <v>3031</v>
      </c>
      <c r="G65" s="478" t="str">
        <f>_xlfn.XLOOKUP(H65, 'Baumaterialien Matériaux'!A:A, 'Baumaterialien Matériaux'!AD:AD, "-", 0, 1)</f>
        <v>Polystyrène expansé (EPS)</v>
      </c>
      <c r="H65" s="892" t="s">
        <v>118</v>
      </c>
      <c r="I65" s="641" t="str">
        <f>_xlfn.XLOOKUP(H65, 'Baumaterialien Matériaux'!A:A, 'Baumaterialien Matériaux'!F:F, "-", 0, 1)</f>
        <v>kg</v>
      </c>
      <c r="J65" s="649">
        <f>$J$63*K65</f>
        <v>2116.7550000000001</v>
      </c>
      <c r="K65" s="893">
        <f>0.3*15</f>
        <v>4.5</v>
      </c>
      <c r="L65" s="647" cm="1">
        <f t="array" aca="1" ref="L65" ca="1">INDEX('Enveloppe du bâtiment hors terr'!N50:N150, 'Enveloppe du bâtiment hors terr'!W49)</f>
        <v>30</v>
      </c>
      <c r="M65" s="648">
        <f t="shared" ref="M65" ca="1" si="135">SUM(N65:Q65)</f>
        <v>40.50022088286363</v>
      </c>
      <c r="N65" s="720">
        <f>IFERROR(($J65*VLOOKUP($H65, 'Baumaterialien Matériaux'!$A$11:$AD$318, 26,FALSE)),0)/$G$1</f>
        <v>10.625712401495925</v>
      </c>
      <c r="O65" s="720">
        <f>IFERROR(($J65*VLOOKUP($H65, 'Baumaterialien Matériaux'!$A$11:$AH$318, 33,FALSE)),0)/$G$1</f>
        <v>4.6885072458928807</v>
      </c>
      <c r="P65" s="720">
        <f t="shared" ref="P65" ca="1" si="136">IFERROR((N65+Q65)*($L$2/L65-1),0)</f>
        <v>17.905856818485372</v>
      </c>
      <c r="Q65" s="720">
        <f>IFERROR(($J65*VLOOKUP($H65, 'Baumaterialien Matériaux'!$A$11:$AD$318, 27,FALSE)),0)/$G$1</f>
        <v>7.2801444169894474</v>
      </c>
      <c r="R65" s="720">
        <f>IFERROR(($J65*VLOOKUP($H65, 'Baumaterialien Matériaux'!$A$11:$AH$318, 34,FALSE)),0)/$G$1</f>
        <v>1.663359857085615</v>
      </c>
      <c r="S65" s="720">
        <f>IFERROR((J65*VLOOKUP(H65, 'Baumaterialien Matériaux'!$A$11:$AD$318, 29,FALSE)),0)/$G$1</f>
        <v>0</v>
      </c>
      <c r="T65" s="720"/>
      <c r="V65" s="638">
        <f t="shared" ca="1" si="2"/>
        <v>0</v>
      </c>
      <c r="W65" s="638">
        <f t="shared" ca="1" si="103"/>
        <v>0</v>
      </c>
      <c r="X65" s="638" t="str">
        <f t="shared" ca="1" si="10"/>
        <v>Revêtement</v>
      </c>
      <c r="Z65" s="638">
        <f t="shared" ca="1" si="11"/>
        <v>30</v>
      </c>
      <c r="AA65" s="648" t="s">
        <v>3443</v>
      </c>
      <c r="AB65" t="str">
        <f>_xlfn.XLOOKUP($H65,'[1]Baumaterialien Matériaux'!$A:$A,'[1]Baumaterialien Matériaux'!AK:AK,0,0)</f>
        <v>oil_product</v>
      </c>
      <c r="AC65" t="str" cm="1">
        <f t="array" ref="AC65">_xlfn.SWITCH(I65,"kg"," ",0," ",_xlfn.XLOOKUP(H65, '[1]Baumaterialien Matériaux'!$A:$A, '[1]Baumaterialien Matériaux'!$AL:$AL, "-", 0, 1))</f>
        <v xml:space="preserve"> </v>
      </c>
      <c r="AD65" s="622" cm="1">
        <f t="array" ref="AD65">IFERROR(_xlfn.SWITCH(I65,"kg",1,"m3",AC65,AC65)*J65/(_xlfn.XLOOKUP(AA65,Métrés!A:A,Métrés!C:C,0)),0)</f>
        <v>3.5097328845484248</v>
      </c>
      <c r="AE65" s="1092">
        <f>IFERROR(N65*$G$1/(_xlfn.XLOOKUP($AA65,Métrés!$A:$A,Métrés!$C:$C,0)),0)</f>
        <v>15.828895309313394</v>
      </c>
      <c r="AF65" s="1092">
        <f>IFERROR(O65*$G$1/(_xlfn.XLOOKUP($AA65,Métrés!$A:$A,Métrés!$C:$C,0)),0)</f>
        <v>6.9843684402513651</v>
      </c>
      <c r="AG65" s="1092">
        <f>IFERROR(Q65*$G$1/(_xlfn.XLOOKUP($AA65,Métrés!$A:$A,Métrés!$C:$C,0)),0)</f>
        <v>10.845074613254631</v>
      </c>
      <c r="AH65" s="1092">
        <f>IFERROR(R65*$G$1/(_xlfn.XLOOKUP($AA65,Métrés!$A:$A,Métrés!$C:$C,0)),0)</f>
        <v>2.4778714164911877</v>
      </c>
      <c r="AI65" s="1092">
        <f>IFERROR(S65*$G$1/(_xlfn.XLOOKUP($AA65,Métrés!$A:$A,Métrés!$C:$C,0)),0)</f>
        <v>0</v>
      </c>
      <c r="AJ65" s="1022"/>
      <c r="AK65" s="638">
        <f t="shared" ca="1" si="113"/>
        <v>0</v>
      </c>
      <c r="AL65" s="638">
        <f t="shared" ca="1" si="114"/>
        <v>0</v>
      </c>
      <c r="AM65" s="638" t="s">
        <v>3388</v>
      </c>
      <c r="AN65" s="1036">
        <f t="shared" si="115"/>
        <v>0</v>
      </c>
      <c r="AO65" s="1037">
        <f t="shared" si="116"/>
        <v>0</v>
      </c>
      <c r="AP65" s="1037">
        <f t="shared" si="117"/>
        <v>0</v>
      </c>
      <c r="AQ65" s="1038">
        <f t="shared" si="118"/>
        <v>0</v>
      </c>
      <c r="AR65" s="1038">
        <f t="shared" si="119"/>
        <v>0</v>
      </c>
      <c r="AS65" s="1036">
        <f t="shared" si="120"/>
        <v>10.625712401495925</v>
      </c>
      <c r="AT65" s="1037">
        <f t="shared" ca="1" si="121"/>
        <v>17.905856818485372</v>
      </c>
      <c r="AU65" s="1037">
        <f t="shared" si="122"/>
        <v>7.2801444169894474</v>
      </c>
      <c r="AV65" s="1038">
        <f t="shared" si="123"/>
        <v>0</v>
      </c>
      <c r="AW65" s="1038">
        <f t="shared" si="124"/>
        <v>0</v>
      </c>
      <c r="AX65" s="1036">
        <f t="shared" si="125"/>
        <v>0</v>
      </c>
      <c r="AY65" s="1037">
        <f t="shared" si="126"/>
        <v>0</v>
      </c>
      <c r="AZ65" s="1037">
        <f t="shared" si="127"/>
        <v>0</v>
      </c>
      <c r="BA65" s="1037">
        <f t="shared" si="128"/>
        <v>0</v>
      </c>
      <c r="BB65" s="1038">
        <f t="shared" si="129"/>
        <v>0</v>
      </c>
      <c r="BC65" s="1036"/>
      <c r="BD65" s="1037"/>
      <c r="BE65" s="1037"/>
      <c r="BF65" s="1038"/>
      <c r="BG65" s="1036">
        <f t="shared" si="130"/>
        <v>0</v>
      </c>
      <c r="BH65" s="1037">
        <f t="shared" si="131"/>
        <v>2116.7550000000001</v>
      </c>
      <c r="BI65" s="1038">
        <f t="shared" si="132"/>
        <v>0</v>
      </c>
      <c r="BJ65" s="1037">
        <v>15</v>
      </c>
      <c r="BK65" s="1036">
        <f t="shared" si="22"/>
        <v>0</v>
      </c>
      <c r="BL65" s="1037">
        <f t="shared" si="23"/>
        <v>141.11700000000002</v>
      </c>
      <c r="BM65" s="1038">
        <f t="shared" si="24"/>
        <v>0</v>
      </c>
      <c r="BN65" s="1037">
        <f>IFERROR((J65*VLOOKUP(H65, 'Baumaterialien Matériaux'!$A$11:$AH$318, 33,FALSE)),0)/$G$1</f>
        <v>4.6885072458928807</v>
      </c>
      <c r="BO65" s="1037">
        <f t="shared" ca="1" si="133"/>
        <v>6.3518671029784954</v>
      </c>
      <c r="BP65" s="1037">
        <f>IFERROR((J65*VLOOKUP(H65, 'Baumaterialien Matériaux'!$A$11:$AH$318, 34,FALSE)),0)/$G$1</f>
        <v>1.663359857085615</v>
      </c>
      <c r="BQ65" s="1037">
        <f t="shared" si="81"/>
        <v>0.2284789644012945</v>
      </c>
      <c r="BR65" s="1037">
        <f t="shared" ca="1" si="134"/>
        <v>17.905856818485372</v>
      </c>
    </row>
    <row r="66" spans="1:70">
      <c r="B66" s="1103"/>
      <c r="C66" s="1099"/>
      <c r="D66" s="478"/>
      <c r="E66" s="478"/>
      <c r="F66" s="454"/>
      <c r="G66" s="478"/>
      <c r="H66" s="478"/>
      <c r="I66" s="641"/>
      <c r="J66" s="649"/>
      <c r="K66" s="647"/>
      <c r="L66" s="647"/>
      <c r="M66" s="648"/>
      <c r="N66" s="720"/>
      <c r="O66" s="720"/>
      <c r="P66" s="720"/>
      <c r="Q66" s="720"/>
      <c r="R66" s="720"/>
      <c r="S66" s="720"/>
      <c r="T66" s="720"/>
      <c r="V66" s="638">
        <f t="shared" si="2"/>
        <v>0</v>
      </c>
      <c r="W66" s="638">
        <f t="shared" si="103"/>
        <v>0</v>
      </c>
      <c r="X66" s="638">
        <f t="shared" si="10"/>
        <v>0</v>
      </c>
      <c r="Z66" s="638">
        <f t="shared" si="11"/>
        <v>0</v>
      </c>
      <c r="AA66" s="648" t="s">
        <v>3443</v>
      </c>
      <c r="AB66">
        <f>_xlfn.XLOOKUP($H66,'[1]Baumaterialien Matériaux'!$A:$A,'[1]Baumaterialien Matériaux'!AK:AK,0,0)</f>
        <v>0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622" cm="1">
        <f t="array" ref="AD66">IFERROR(_xlfn.SWITCH(I66,"kg",1,"m3",AC66,AC66)*J66/(_xlfn.XLOOKUP(AA66,Métrés!A:A,Métrés!C:C,0)),0)</f>
        <v>0</v>
      </c>
      <c r="AE66" s="1092">
        <f>IFERROR(N66*$G$1/(_xlfn.XLOOKUP($AA66,Métrés!$A:$A,Métrés!$C:$C,0)),0)</f>
        <v>0</v>
      </c>
      <c r="AF66" s="1092">
        <f>IFERROR(O66*$G$1/(_xlfn.XLOOKUP($AA66,Métrés!$A:$A,Métrés!$C:$C,0)),0)</f>
        <v>0</v>
      </c>
      <c r="AG66" s="1092">
        <f>IFERROR(Q66*$G$1/(_xlfn.XLOOKUP($AA66,Métrés!$A:$A,Métrés!$C:$C,0)),0)</f>
        <v>0</v>
      </c>
      <c r="AH66" s="1092">
        <f>IFERROR(R66*$G$1/(_xlfn.XLOOKUP($AA66,Métrés!$A:$A,Métrés!$C:$C,0)),0)</f>
        <v>0</v>
      </c>
      <c r="AI66" s="1092">
        <f>IFERROR(S66*$G$1/(_xlfn.XLOOKUP($AA66,Métrés!$A:$A,Métrés!$C:$C,0)),0)</f>
        <v>0</v>
      </c>
      <c r="AJ66" s="1022"/>
      <c r="AK66" s="638">
        <f t="shared" si="113"/>
        <v>0</v>
      </c>
      <c r="AL66" s="638">
        <f t="shared" si="114"/>
        <v>0</v>
      </c>
      <c r="AM66" s="638">
        <f t="shared" ref="AM66:AM71" si="137">IF(L66=$L$2, "Structure", IF(L66&gt;0,"Revêtement",0))</f>
        <v>0</v>
      </c>
      <c r="AN66" s="1036">
        <f t="shared" si="115"/>
        <v>0</v>
      </c>
      <c r="AO66" s="1037">
        <f t="shared" si="116"/>
        <v>0</v>
      </c>
      <c r="AP66" s="1037">
        <f t="shared" si="117"/>
        <v>0</v>
      </c>
      <c r="AQ66" s="1038">
        <f t="shared" si="118"/>
        <v>0</v>
      </c>
      <c r="AR66" s="1038">
        <f t="shared" si="119"/>
        <v>0</v>
      </c>
      <c r="AS66" s="1036">
        <f t="shared" si="120"/>
        <v>0</v>
      </c>
      <c r="AT66" s="1037">
        <f t="shared" si="121"/>
        <v>0</v>
      </c>
      <c r="AU66" s="1037">
        <f t="shared" si="122"/>
        <v>0</v>
      </c>
      <c r="AV66" s="1038">
        <f t="shared" si="123"/>
        <v>0</v>
      </c>
      <c r="AW66" s="1038">
        <f t="shared" si="124"/>
        <v>0</v>
      </c>
      <c r="AX66" s="1036">
        <f t="shared" si="125"/>
        <v>0</v>
      </c>
      <c r="AY66" s="1037">
        <f t="shared" si="126"/>
        <v>0</v>
      </c>
      <c r="AZ66" s="1037">
        <f t="shared" si="127"/>
        <v>0</v>
      </c>
      <c r="BA66" s="1037">
        <f t="shared" si="128"/>
        <v>0</v>
      </c>
      <c r="BB66" s="1038">
        <f t="shared" si="129"/>
        <v>0</v>
      </c>
      <c r="BC66" s="1036"/>
      <c r="BD66" s="1037"/>
      <c r="BE66" s="1037"/>
      <c r="BF66" s="1038"/>
      <c r="BG66" s="1036">
        <f t="shared" si="130"/>
        <v>0</v>
      </c>
      <c r="BH66" s="1037">
        <f t="shared" si="131"/>
        <v>0</v>
      </c>
      <c r="BI66" s="1038">
        <f t="shared" si="132"/>
        <v>0</v>
      </c>
      <c r="BJ66" s="1037">
        <f>_xlfn.XLOOKUP(H66, 'Baumaterialien Matériaux'!A:A, 'Baumaterialien Matériaux'!E:E, "-", 0, 1)</f>
        <v>0</v>
      </c>
      <c r="BK66" s="1036">
        <f t="shared" si="22"/>
        <v>0</v>
      </c>
      <c r="BL66" s="1037">
        <f t="shared" si="23"/>
        <v>0</v>
      </c>
      <c r="BM66" s="1038">
        <f t="shared" si="24"/>
        <v>0</v>
      </c>
      <c r="BN66" s="1037">
        <f>IFERROR((J66*VLOOKUP(H66, 'Baumaterialien Matériaux'!$A$11:$AH$318, 33,FALSE)),0)/$G$1</f>
        <v>0</v>
      </c>
      <c r="BO66" s="1037" t="e">
        <f t="shared" si="133"/>
        <v>#DIV/0!</v>
      </c>
      <c r="BP66" s="1037">
        <f>IFERROR((J66*VLOOKUP(H66, 'Baumaterialien Matériaux'!$A$11:$AH$318, 34,FALSE)),0)/$G$1</f>
        <v>0</v>
      </c>
      <c r="BQ66" s="1037" t="e">
        <f t="shared" si="81"/>
        <v>#DIV/0!</v>
      </c>
      <c r="BR66" s="1037">
        <f t="shared" si="134"/>
        <v>0</v>
      </c>
    </row>
    <row r="67" spans="1:70">
      <c r="B67" s="1103"/>
      <c r="C67" s="1099"/>
      <c r="D67" s="478"/>
      <c r="E67" s="478"/>
      <c r="F67" s="454"/>
      <c r="G67" s="478"/>
      <c r="H67" s="478"/>
      <c r="I67" s="641"/>
      <c r="J67" s="649"/>
      <c r="K67" s="647"/>
      <c r="L67" s="647"/>
      <c r="M67" s="648"/>
      <c r="N67" s="720"/>
      <c r="O67" s="720"/>
      <c r="P67" s="720"/>
      <c r="Q67" s="720"/>
      <c r="R67" s="720"/>
      <c r="S67" s="720"/>
      <c r="T67" s="720"/>
      <c r="V67" s="638">
        <f t="shared" si="2"/>
        <v>0</v>
      </c>
      <c r="W67" s="638">
        <f t="shared" si="103"/>
        <v>0</v>
      </c>
      <c r="X67" s="638">
        <f t="shared" si="10"/>
        <v>0</v>
      </c>
      <c r="Z67" s="638">
        <f t="shared" si="11"/>
        <v>0</v>
      </c>
      <c r="AA67" s="648" t="s">
        <v>3443</v>
      </c>
      <c r="AB67">
        <f>_xlfn.XLOOKUP($H67,'[1]Baumaterialien Matériaux'!$A:$A,'[1]Baumaterialien Matériaux'!AK:AK,0,0)</f>
        <v>0</v>
      </c>
      <c r="AC67" t="str" cm="1">
        <f t="array" ref="AC67">_xlfn.SWITCH(I67,"kg"," ",0," ",_xlfn.XLOOKUP(H67, '[1]Baumaterialien Matériaux'!$A:$A, '[1]Baumaterialien Matériaux'!$AL:$AL, "-", 0, 1))</f>
        <v xml:space="preserve"> </v>
      </c>
      <c r="AD67" s="622" cm="1">
        <f t="array" ref="AD67">IFERROR(_xlfn.SWITCH(I67,"kg",1,"m3",AC67,AC67)*J67/(_xlfn.XLOOKUP(AA67,Métrés!A:A,Métrés!C:C,0)),0)</f>
        <v>0</v>
      </c>
      <c r="AE67" s="1092">
        <f>IFERROR(N67*$G$1/(_xlfn.XLOOKUP($AA67,Métrés!$A:$A,Métrés!$C:$C,0)),0)</f>
        <v>0</v>
      </c>
      <c r="AF67" s="1092">
        <f>IFERROR(O67*$G$1/(_xlfn.XLOOKUP($AA67,Métrés!$A:$A,Métrés!$C:$C,0)),0)</f>
        <v>0</v>
      </c>
      <c r="AG67" s="1092">
        <f>IFERROR(Q67*$G$1/(_xlfn.XLOOKUP($AA67,Métrés!$A:$A,Métrés!$C:$C,0)),0)</f>
        <v>0</v>
      </c>
      <c r="AH67" s="1092">
        <f>IFERROR(R67*$G$1/(_xlfn.XLOOKUP($AA67,Métrés!$A:$A,Métrés!$C:$C,0)),0)</f>
        <v>0</v>
      </c>
      <c r="AI67" s="1092">
        <f>IFERROR(S67*$G$1/(_xlfn.XLOOKUP($AA67,Métrés!$A:$A,Métrés!$C:$C,0)),0)</f>
        <v>0</v>
      </c>
      <c r="AJ67" s="1022"/>
      <c r="AK67" s="638">
        <f t="shared" si="113"/>
        <v>0</v>
      </c>
      <c r="AL67" s="638">
        <f t="shared" si="114"/>
        <v>0</v>
      </c>
      <c r="AM67" s="638">
        <f t="shared" si="137"/>
        <v>0</v>
      </c>
      <c r="AN67" s="1036">
        <f t="shared" si="115"/>
        <v>0</v>
      </c>
      <c r="AO67" s="1037">
        <f t="shared" si="116"/>
        <v>0</v>
      </c>
      <c r="AP67" s="1037">
        <f t="shared" si="117"/>
        <v>0</v>
      </c>
      <c r="AQ67" s="1038">
        <f t="shared" si="118"/>
        <v>0</v>
      </c>
      <c r="AR67" s="1038">
        <f t="shared" si="119"/>
        <v>0</v>
      </c>
      <c r="AS67" s="1036">
        <f t="shared" si="120"/>
        <v>0</v>
      </c>
      <c r="AT67" s="1037">
        <f t="shared" si="121"/>
        <v>0</v>
      </c>
      <c r="AU67" s="1037">
        <f t="shared" si="122"/>
        <v>0</v>
      </c>
      <c r="AV67" s="1038">
        <f t="shared" si="123"/>
        <v>0</v>
      </c>
      <c r="AW67" s="1038">
        <f t="shared" si="124"/>
        <v>0</v>
      </c>
      <c r="AX67" s="1036">
        <f t="shared" si="125"/>
        <v>0</v>
      </c>
      <c r="AY67" s="1037">
        <f t="shared" si="126"/>
        <v>0</v>
      </c>
      <c r="AZ67" s="1037">
        <f t="shared" si="127"/>
        <v>0</v>
      </c>
      <c r="BA67" s="1037">
        <f t="shared" si="128"/>
        <v>0</v>
      </c>
      <c r="BB67" s="1038">
        <f t="shared" si="129"/>
        <v>0</v>
      </c>
      <c r="BC67" s="1036"/>
      <c r="BD67" s="1037"/>
      <c r="BE67" s="1037"/>
      <c r="BF67" s="1038"/>
      <c r="BG67" s="1036">
        <f t="shared" si="130"/>
        <v>0</v>
      </c>
      <c r="BH67" s="1037">
        <f t="shared" si="131"/>
        <v>0</v>
      </c>
      <c r="BI67" s="1038">
        <f t="shared" si="132"/>
        <v>0</v>
      </c>
      <c r="BJ67" s="1037">
        <f>_xlfn.XLOOKUP(H67, 'Baumaterialien Matériaux'!A:A, 'Baumaterialien Matériaux'!E:E, "-", 0, 1)</f>
        <v>0</v>
      </c>
      <c r="BK67" s="1036">
        <f t="shared" si="22"/>
        <v>0</v>
      </c>
      <c r="BL67" s="1037">
        <f t="shared" si="23"/>
        <v>0</v>
      </c>
      <c r="BM67" s="1038">
        <f t="shared" si="24"/>
        <v>0</v>
      </c>
      <c r="BN67" s="1037">
        <f>IFERROR((J67*VLOOKUP(H67, 'Baumaterialien Matériaux'!$A$11:$AH$318, 33,FALSE)),0)/$G$1</f>
        <v>0</v>
      </c>
      <c r="BO67" s="1037" t="e">
        <f t="shared" si="133"/>
        <v>#DIV/0!</v>
      </c>
      <c r="BP67" s="1037">
        <f>IFERROR((J67*VLOOKUP(H67, 'Baumaterialien Matériaux'!$A$11:$AH$318, 34,FALSE)),0)/$G$1</f>
        <v>0</v>
      </c>
      <c r="BQ67" s="1037" t="e">
        <f t="shared" si="81"/>
        <v>#DIV/0!</v>
      </c>
      <c r="BR67" s="1037">
        <f t="shared" si="134"/>
        <v>0</v>
      </c>
    </row>
    <row r="68" spans="1:70">
      <c r="B68" s="1103"/>
      <c r="C68" s="1099"/>
      <c r="D68" s="478"/>
      <c r="E68" s="478"/>
      <c r="F68" s="454"/>
      <c r="G68" s="478"/>
      <c r="H68" s="478"/>
      <c r="I68" s="641"/>
      <c r="J68" s="649"/>
      <c r="K68" s="647"/>
      <c r="L68" s="647"/>
      <c r="M68" s="648"/>
      <c r="N68" s="720"/>
      <c r="O68" s="720"/>
      <c r="P68" s="720"/>
      <c r="Q68" s="720"/>
      <c r="R68" s="720"/>
      <c r="S68" s="720"/>
      <c r="T68" s="720"/>
      <c r="V68" s="638">
        <f t="shared" ref="V68:V123" si="138">IF(L68=60, 0, T68)</f>
        <v>0</v>
      </c>
      <c r="W68" s="638">
        <f t="shared" si="103"/>
        <v>0</v>
      </c>
      <c r="X68" s="638">
        <f t="shared" si="10"/>
        <v>0</v>
      </c>
      <c r="Z68" s="638">
        <f t="shared" si="11"/>
        <v>0</v>
      </c>
      <c r="AA68" s="648" t="s">
        <v>3443</v>
      </c>
      <c r="AB68">
        <f>_xlfn.XLOOKUP($H68,'[1]Baumaterialien Matériaux'!$A:$A,'[1]Baumaterialien Matériaux'!AK:AK,0,0)</f>
        <v>0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622" cm="1">
        <f t="array" ref="AD68">IFERROR(_xlfn.SWITCH(I68,"kg",1,"m3",AC68,AC68)*J68/(_xlfn.XLOOKUP(AA68,Métrés!A:A,Métrés!C:C,0)),0)</f>
        <v>0</v>
      </c>
      <c r="AE68" s="1092">
        <f>IFERROR(N68*$G$1/(_xlfn.XLOOKUP($AA68,Métrés!$A:$A,Métrés!$C:$C,0)),0)</f>
        <v>0</v>
      </c>
      <c r="AF68" s="1092">
        <f>IFERROR(O68*$G$1/(_xlfn.XLOOKUP($AA68,Métrés!$A:$A,Métrés!$C:$C,0)),0)</f>
        <v>0</v>
      </c>
      <c r="AG68" s="1092">
        <f>IFERROR(Q68*$G$1/(_xlfn.XLOOKUP($AA68,Métrés!$A:$A,Métrés!$C:$C,0)),0)</f>
        <v>0</v>
      </c>
      <c r="AH68" s="1092">
        <f>IFERROR(R68*$G$1/(_xlfn.XLOOKUP($AA68,Métrés!$A:$A,Métrés!$C:$C,0)),0)</f>
        <v>0</v>
      </c>
      <c r="AI68" s="1092">
        <f>IFERROR(S68*$G$1/(_xlfn.XLOOKUP($AA68,Métrés!$A:$A,Métrés!$C:$C,0)),0)</f>
        <v>0</v>
      </c>
      <c r="AJ68" s="1022"/>
      <c r="AK68" s="638">
        <f t="shared" si="113"/>
        <v>0</v>
      </c>
      <c r="AL68" s="638">
        <f t="shared" si="114"/>
        <v>0</v>
      </c>
      <c r="AM68" s="638">
        <f t="shared" si="137"/>
        <v>0</v>
      </c>
      <c r="AN68" s="1036">
        <f t="shared" si="115"/>
        <v>0</v>
      </c>
      <c r="AO68" s="1037">
        <f t="shared" si="116"/>
        <v>0</v>
      </c>
      <c r="AP68" s="1037">
        <f t="shared" si="117"/>
        <v>0</v>
      </c>
      <c r="AQ68" s="1038">
        <f t="shared" si="118"/>
        <v>0</v>
      </c>
      <c r="AR68" s="1038">
        <f t="shared" si="119"/>
        <v>0</v>
      </c>
      <c r="AS68" s="1036">
        <f t="shared" si="120"/>
        <v>0</v>
      </c>
      <c r="AT68" s="1037">
        <f t="shared" si="121"/>
        <v>0</v>
      </c>
      <c r="AU68" s="1037">
        <f t="shared" si="122"/>
        <v>0</v>
      </c>
      <c r="AV68" s="1038">
        <f t="shared" si="123"/>
        <v>0</v>
      </c>
      <c r="AW68" s="1038">
        <f t="shared" si="124"/>
        <v>0</v>
      </c>
      <c r="AX68" s="1036">
        <f t="shared" si="125"/>
        <v>0</v>
      </c>
      <c r="AY68" s="1037">
        <f t="shared" si="126"/>
        <v>0</v>
      </c>
      <c r="AZ68" s="1037">
        <f t="shared" si="127"/>
        <v>0</v>
      </c>
      <c r="BA68" s="1037">
        <f t="shared" si="128"/>
        <v>0</v>
      </c>
      <c r="BB68" s="1038">
        <f t="shared" si="129"/>
        <v>0</v>
      </c>
      <c r="BC68" s="1036"/>
      <c r="BD68" s="1037"/>
      <c r="BE68" s="1037"/>
      <c r="BF68" s="1038"/>
      <c r="BG68" s="1036">
        <f t="shared" si="130"/>
        <v>0</v>
      </c>
      <c r="BH68" s="1037">
        <f t="shared" si="131"/>
        <v>0</v>
      </c>
      <c r="BI68" s="1038">
        <f t="shared" si="132"/>
        <v>0</v>
      </c>
      <c r="BJ68" s="1037">
        <f>_xlfn.XLOOKUP(H68, 'Baumaterialien Matériaux'!A:A, 'Baumaterialien Matériaux'!E:E, "-", 0, 1)</f>
        <v>0</v>
      </c>
      <c r="BK68" s="1036">
        <f t="shared" si="22"/>
        <v>0</v>
      </c>
      <c r="BL68" s="1037">
        <f t="shared" si="23"/>
        <v>0</v>
      </c>
      <c r="BM68" s="1038">
        <f t="shared" si="24"/>
        <v>0</v>
      </c>
      <c r="BN68" s="1037">
        <f>IFERROR((J68*VLOOKUP(H68, 'Baumaterialien Matériaux'!$A$11:$AH$318, 33,FALSE)),0)/$G$1</f>
        <v>0</v>
      </c>
      <c r="BO68" s="1037" t="e">
        <f t="shared" si="133"/>
        <v>#DIV/0!</v>
      </c>
      <c r="BP68" s="1037">
        <f>IFERROR((J68*VLOOKUP(H68, 'Baumaterialien Matériaux'!$A$11:$AH$318, 34,FALSE)),0)/$G$1</f>
        <v>0</v>
      </c>
      <c r="BQ68" s="1037" t="e">
        <f t="shared" si="81"/>
        <v>#DIV/0!</v>
      </c>
      <c r="BR68" s="1037">
        <f t="shared" si="134"/>
        <v>0</v>
      </c>
    </row>
    <row r="69" spans="1:70">
      <c r="A69" s="638">
        <f>(J63+J72+J76+J82+J91+J148)/G1</f>
        <v>1.3968322870753749</v>
      </c>
      <c r="B69" s="1103"/>
      <c r="C69" s="1099"/>
      <c r="D69" s="478"/>
      <c r="E69" s="478"/>
      <c r="F69" s="454"/>
      <c r="G69" s="478"/>
      <c r="H69" s="478"/>
      <c r="I69" s="641"/>
      <c r="J69" s="649"/>
      <c r="K69" s="647"/>
      <c r="L69" s="647"/>
      <c r="M69" s="648"/>
      <c r="N69" s="720"/>
      <c r="O69" s="720"/>
      <c r="P69" s="720"/>
      <c r="Q69" s="720"/>
      <c r="R69" s="720"/>
      <c r="S69" s="720"/>
      <c r="T69" s="720"/>
      <c r="V69" s="638">
        <f t="shared" si="138"/>
        <v>0</v>
      </c>
      <c r="W69" s="638">
        <f t="shared" si="103"/>
        <v>0</v>
      </c>
      <c r="X69" s="638">
        <f t="shared" si="10"/>
        <v>0</v>
      </c>
      <c r="Z69" s="638">
        <f t="shared" si="11"/>
        <v>0</v>
      </c>
      <c r="AA69" s="648" t="s">
        <v>3443</v>
      </c>
      <c r="AB69">
        <f>_xlfn.XLOOKUP($H69,'[1]Baumaterialien Matériaux'!$A:$A,'[1]Baumaterialien Matériaux'!AK:AK,0,0)</f>
        <v>0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622" cm="1">
        <f t="array" ref="AD69">IFERROR(_xlfn.SWITCH(I69,"kg",1,"m3",AC69,AC69)*J69/(_xlfn.XLOOKUP(AA69,Métrés!A:A,Métrés!C:C,0)),0)</f>
        <v>0</v>
      </c>
      <c r="AE69" s="1092">
        <f>IFERROR(N69*$G$1/(_xlfn.XLOOKUP($AA69,Métrés!$A:$A,Métrés!$C:$C,0)),0)</f>
        <v>0</v>
      </c>
      <c r="AF69" s="1092">
        <f>IFERROR(O69*$G$1/(_xlfn.XLOOKUP($AA69,Métrés!$A:$A,Métrés!$C:$C,0)),0)</f>
        <v>0</v>
      </c>
      <c r="AG69" s="1092">
        <f>IFERROR(Q69*$G$1/(_xlfn.XLOOKUP($AA69,Métrés!$A:$A,Métrés!$C:$C,0)),0)</f>
        <v>0</v>
      </c>
      <c r="AH69" s="1092">
        <f>IFERROR(R69*$G$1/(_xlfn.XLOOKUP($AA69,Métrés!$A:$A,Métrés!$C:$C,0)),0)</f>
        <v>0</v>
      </c>
      <c r="AI69" s="1092">
        <f>IFERROR(S69*$G$1/(_xlfn.XLOOKUP($AA69,Métrés!$A:$A,Métrés!$C:$C,0)),0)</f>
        <v>0</v>
      </c>
      <c r="AJ69" s="1022"/>
      <c r="AK69" s="638">
        <f t="shared" si="113"/>
        <v>0</v>
      </c>
      <c r="AL69" s="638">
        <f t="shared" si="114"/>
        <v>0</v>
      </c>
      <c r="AM69" s="638">
        <f t="shared" si="137"/>
        <v>0</v>
      </c>
      <c r="AN69" s="1036">
        <f t="shared" si="115"/>
        <v>0</v>
      </c>
      <c r="AO69" s="1037">
        <f t="shared" si="116"/>
        <v>0</v>
      </c>
      <c r="AP69" s="1037">
        <f t="shared" si="117"/>
        <v>0</v>
      </c>
      <c r="AQ69" s="1038">
        <f t="shared" si="118"/>
        <v>0</v>
      </c>
      <c r="AR69" s="1038">
        <f t="shared" si="119"/>
        <v>0</v>
      </c>
      <c r="AS69" s="1036">
        <f t="shared" si="120"/>
        <v>0</v>
      </c>
      <c r="AT69" s="1037">
        <f t="shared" si="121"/>
        <v>0</v>
      </c>
      <c r="AU69" s="1037">
        <f t="shared" si="122"/>
        <v>0</v>
      </c>
      <c r="AV69" s="1038">
        <f t="shared" si="123"/>
        <v>0</v>
      </c>
      <c r="AW69" s="1038">
        <f t="shared" si="124"/>
        <v>0</v>
      </c>
      <c r="AX69" s="1036">
        <f t="shared" si="125"/>
        <v>0</v>
      </c>
      <c r="AY69" s="1037">
        <f t="shared" si="126"/>
        <v>0</v>
      </c>
      <c r="AZ69" s="1037">
        <f t="shared" si="127"/>
        <v>0</v>
      </c>
      <c r="BA69" s="1037">
        <f t="shared" si="128"/>
        <v>0</v>
      </c>
      <c r="BB69" s="1038">
        <f t="shared" si="129"/>
        <v>0</v>
      </c>
      <c r="BC69" s="1036"/>
      <c r="BD69" s="1037"/>
      <c r="BE69" s="1037"/>
      <c r="BF69" s="1038"/>
      <c r="BG69" s="1036">
        <f t="shared" si="130"/>
        <v>0</v>
      </c>
      <c r="BH69" s="1037">
        <f t="shared" si="131"/>
        <v>0</v>
      </c>
      <c r="BI69" s="1038">
        <f t="shared" si="132"/>
        <v>0</v>
      </c>
      <c r="BJ69" s="1037">
        <f>_xlfn.XLOOKUP(H69, 'Baumaterialien Matériaux'!A:A, 'Baumaterialien Matériaux'!E:E, "-", 0, 1)</f>
        <v>0</v>
      </c>
      <c r="BK69" s="1036">
        <f t="shared" si="22"/>
        <v>0</v>
      </c>
      <c r="BL69" s="1037">
        <f t="shared" si="23"/>
        <v>0</v>
      </c>
      <c r="BM69" s="1038">
        <f t="shared" si="24"/>
        <v>0</v>
      </c>
      <c r="BN69" s="1037">
        <f>IFERROR((J69*VLOOKUP(H69, 'Baumaterialien Matériaux'!$A$11:$AH$318, 33,FALSE)),0)/$G$1</f>
        <v>0</v>
      </c>
      <c r="BO69" s="1037" t="e">
        <f t="shared" si="133"/>
        <v>#DIV/0!</v>
      </c>
      <c r="BP69" s="1037">
        <f>IFERROR((J69*VLOOKUP(H69, 'Baumaterialien Matériaux'!$A$11:$AH$318, 34,FALSE)),0)/$G$1</f>
        <v>0</v>
      </c>
      <c r="BQ69" s="1037" t="e">
        <f t="shared" si="81"/>
        <v>#DIV/0!</v>
      </c>
      <c r="BR69" s="1037">
        <f t="shared" si="134"/>
        <v>0</v>
      </c>
    </row>
    <row r="70" spans="1:70">
      <c r="B70" s="1103"/>
      <c r="C70" s="1099"/>
      <c r="D70" s="478"/>
      <c r="E70" s="478"/>
      <c r="F70" s="454"/>
      <c r="G70" s="478"/>
      <c r="H70" s="478"/>
      <c r="I70" s="641"/>
      <c r="J70" s="649"/>
      <c r="K70" s="647"/>
      <c r="L70" s="647"/>
      <c r="M70" s="648"/>
      <c r="N70" s="720"/>
      <c r="O70" s="720"/>
      <c r="P70" s="720"/>
      <c r="Q70" s="720"/>
      <c r="R70" s="720"/>
      <c r="S70" s="720"/>
      <c r="T70" s="720"/>
      <c r="V70" s="638">
        <f t="shared" si="138"/>
        <v>0</v>
      </c>
      <c r="W70" s="638">
        <f t="shared" si="103"/>
        <v>0</v>
      </c>
      <c r="X70" s="638">
        <f t="shared" si="10"/>
        <v>0</v>
      </c>
      <c r="Z70" s="638">
        <f t="shared" si="11"/>
        <v>0</v>
      </c>
      <c r="AA70" s="648" t="s">
        <v>3443</v>
      </c>
      <c r="AB70">
        <f>_xlfn.XLOOKUP($H70,'[1]Baumaterialien Matériaux'!$A:$A,'[1]Baumaterialien Matériaux'!AK:AK,0,0)</f>
        <v>0</v>
      </c>
      <c r="AC70" t="str" cm="1">
        <f t="array" ref="AC70">_xlfn.SWITCH(I70,"kg"," ",0," ",_xlfn.XLOOKUP(H70, '[1]Baumaterialien Matériaux'!$A:$A, '[1]Baumaterialien Matériaux'!$AL:$AL, "-", 0, 1))</f>
        <v xml:space="preserve"> </v>
      </c>
      <c r="AD70" s="622" cm="1">
        <f t="array" ref="AD70">IFERROR(_xlfn.SWITCH(I70,"kg",1,"m3",AC70,AC70)*J70/(_xlfn.XLOOKUP(AA70,Métrés!A:A,Métrés!C:C,0)),0)</f>
        <v>0</v>
      </c>
      <c r="AE70" s="1092">
        <f>IFERROR(N70*$G$1/(_xlfn.XLOOKUP($AA70,Métrés!$A:$A,Métrés!$C:$C,0)),0)</f>
        <v>0</v>
      </c>
      <c r="AF70" s="1092">
        <f>IFERROR(O70*$G$1/(_xlfn.XLOOKUP($AA70,Métrés!$A:$A,Métrés!$C:$C,0)),0)</f>
        <v>0</v>
      </c>
      <c r="AG70" s="1092">
        <f>IFERROR(Q70*$G$1/(_xlfn.XLOOKUP($AA70,Métrés!$A:$A,Métrés!$C:$C,0)),0)</f>
        <v>0</v>
      </c>
      <c r="AH70" s="1092">
        <f>IFERROR(R70*$G$1/(_xlfn.XLOOKUP($AA70,Métrés!$A:$A,Métrés!$C:$C,0)),0)</f>
        <v>0</v>
      </c>
      <c r="AI70" s="1092">
        <f>IFERROR(S70*$G$1/(_xlfn.XLOOKUP($AA70,Métrés!$A:$A,Métrés!$C:$C,0)),0)</f>
        <v>0</v>
      </c>
      <c r="AJ70" s="1022"/>
      <c r="AK70" s="638">
        <f t="shared" si="113"/>
        <v>0</v>
      </c>
      <c r="AL70" s="638">
        <f t="shared" si="114"/>
        <v>0</v>
      </c>
      <c r="AM70" s="638">
        <f t="shared" si="137"/>
        <v>0</v>
      </c>
      <c r="AN70" s="1036">
        <f t="shared" si="115"/>
        <v>0</v>
      </c>
      <c r="AO70" s="1037">
        <f t="shared" si="116"/>
        <v>0</v>
      </c>
      <c r="AP70" s="1037">
        <f t="shared" si="117"/>
        <v>0</v>
      </c>
      <c r="AQ70" s="1038">
        <f t="shared" si="118"/>
        <v>0</v>
      </c>
      <c r="AR70" s="1038">
        <f t="shared" si="119"/>
        <v>0</v>
      </c>
      <c r="AS70" s="1036">
        <f t="shared" si="120"/>
        <v>0</v>
      </c>
      <c r="AT70" s="1037">
        <f t="shared" si="121"/>
        <v>0</v>
      </c>
      <c r="AU70" s="1037">
        <f t="shared" si="122"/>
        <v>0</v>
      </c>
      <c r="AV70" s="1038">
        <f t="shared" si="123"/>
        <v>0</v>
      </c>
      <c r="AW70" s="1038">
        <f t="shared" si="124"/>
        <v>0</v>
      </c>
      <c r="AX70" s="1036">
        <f t="shared" si="125"/>
        <v>0</v>
      </c>
      <c r="AY70" s="1037">
        <f t="shared" si="126"/>
        <v>0</v>
      </c>
      <c r="AZ70" s="1037">
        <f t="shared" si="127"/>
        <v>0</v>
      </c>
      <c r="BA70" s="1037">
        <f t="shared" si="128"/>
        <v>0</v>
      </c>
      <c r="BB70" s="1038">
        <f t="shared" si="129"/>
        <v>0</v>
      </c>
      <c r="BC70" s="1036"/>
      <c r="BD70" s="1037"/>
      <c r="BE70" s="1037"/>
      <c r="BF70" s="1038"/>
      <c r="BG70" s="1036">
        <f t="shared" si="130"/>
        <v>0</v>
      </c>
      <c r="BH70" s="1037">
        <f t="shared" si="131"/>
        <v>0</v>
      </c>
      <c r="BI70" s="1038">
        <f t="shared" si="132"/>
        <v>0</v>
      </c>
      <c r="BJ70" s="1037">
        <f>_xlfn.XLOOKUP(H70, 'Baumaterialien Matériaux'!A:A, 'Baumaterialien Matériaux'!E:E, "-", 0, 1)</f>
        <v>0</v>
      </c>
      <c r="BK70" s="1036">
        <f t="shared" si="22"/>
        <v>0</v>
      </c>
      <c r="BL70" s="1037">
        <f t="shared" si="23"/>
        <v>0</v>
      </c>
      <c r="BM70" s="1038">
        <f t="shared" si="24"/>
        <v>0</v>
      </c>
      <c r="BN70" s="1037">
        <f>IFERROR((J70*VLOOKUP(H70, 'Baumaterialien Matériaux'!$A$11:$AH$318, 33,FALSE)),0)/$G$1</f>
        <v>0</v>
      </c>
      <c r="BO70" s="1037" t="e">
        <f t="shared" si="133"/>
        <v>#DIV/0!</v>
      </c>
      <c r="BP70" s="1037">
        <f>IFERROR((J70*VLOOKUP(H70, 'Baumaterialien Matériaux'!$A$11:$AH$318, 34,FALSE)),0)/$G$1</f>
        <v>0</v>
      </c>
      <c r="BQ70" s="1037" t="e">
        <f t="shared" si="81"/>
        <v>#DIV/0!</v>
      </c>
      <c r="BR70" s="1037">
        <f t="shared" si="134"/>
        <v>0</v>
      </c>
    </row>
    <row r="71" spans="1:70">
      <c r="B71" s="1103"/>
      <c r="C71" s="1099"/>
      <c r="D71" s="478"/>
      <c r="E71" s="478"/>
      <c r="F71" s="454"/>
      <c r="G71" s="478"/>
      <c r="H71" s="478"/>
      <c r="I71" s="641"/>
      <c r="J71" s="649"/>
      <c r="K71" s="647"/>
      <c r="L71" s="647"/>
      <c r="M71" s="648"/>
      <c r="N71" s="720"/>
      <c r="O71" s="720"/>
      <c r="P71" s="720"/>
      <c r="Q71" s="720"/>
      <c r="R71" s="720"/>
      <c r="S71" s="720"/>
      <c r="T71" s="720"/>
      <c r="V71" s="638">
        <f t="shared" si="138"/>
        <v>0</v>
      </c>
      <c r="W71" s="638">
        <f t="shared" si="103"/>
        <v>0</v>
      </c>
      <c r="X71" s="638">
        <f t="shared" si="10"/>
        <v>0</v>
      </c>
      <c r="Z71" s="638">
        <f t="shared" si="11"/>
        <v>0</v>
      </c>
      <c r="AA71" s="648" t="s">
        <v>3443</v>
      </c>
      <c r="AB71">
        <f>_xlfn.XLOOKUP($H71,'[1]Baumaterialien Matériaux'!$A:$A,'[1]Baumaterialien Matériaux'!AK:AK,0,0)</f>
        <v>0</v>
      </c>
      <c r="AC71" t="str" cm="1">
        <f t="array" ref="AC71">_xlfn.SWITCH(I71,"kg"," ",0," ",_xlfn.XLOOKUP(H71, '[1]Baumaterialien Matériaux'!$A:$A, '[1]Baumaterialien Matériaux'!$AL:$AL, "-", 0, 1))</f>
        <v xml:space="preserve"> </v>
      </c>
      <c r="AD71" s="622" cm="1">
        <f t="array" ref="AD71">IFERROR(_xlfn.SWITCH(I71,"kg",1,"m3",AC71,AC71)*J71/(_xlfn.XLOOKUP(AA71,Métrés!A:A,Métrés!C:C,0)),0)</f>
        <v>0</v>
      </c>
      <c r="AE71" s="1092">
        <f>IFERROR(N71*$G$1/(_xlfn.XLOOKUP($AA71,Métrés!$A:$A,Métrés!$C:$C,0)),0)</f>
        <v>0</v>
      </c>
      <c r="AF71" s="1092">
        <f>IFERROR(O71*$G$1/(_xlfn.XLOOKUP($AA71,Métrés!$A:$A,Métrés!$C:$C,0)),0)</f>
        <v>0</v>
      </c>
      <c r="AG71" s="1092">
        <f>IFERROR(Q71*$G$1/(_xlfn.XLOOKUP($AA71,Métrés!$A:$A,Métrés!$C:$C,0)),0)</f>
        <v>0</v>
      </c>
      <c r="AH71" s="1092">
        <f>IFERROR(R71*$G$1/(_xlfn.XLOOKUP($AA71,Métrés!$A:$A,Métrés!$C:$C,0)),0)</f>
        <v>0</v>
      </c>
      <c r="AI71" s="1092">
        <f>IFERROR(S71*$G$1/(_xlfn.XLOOKUP($AA71,Métrés!$A:$A,Métrés!$C:$C,0)),0)</f>
        <v>0</v>
      </c>
      <c r="AJ71" s="1022"/>
      <c r="AK71" s="638">
        <f t="shared" si="113"/>
        <v>0</v>
      </c>
      <c r="AL71" s="638">
        <f t="shared" si="114"/>
        <v>0</v>
      </c>
      <c r="AM71" s="638">
        <f t="shared" si="137"/>
        <v>0</v>
      </c>
      <c r="AN71" s="1036">
        <f t="shared" si="115"/>
        <v>0</v>
      </c>
      <c r="AO71" s="1037">
        <f t="shared" si="116"/>
        <v>0</v>
      </c>
      <c r="AP71" s="1037">
        <f t="shared" si="117"/>
        <v>0</v>
      </c>
      <c r="AQ71" s="1038">
        <f t="shared" si="118"/>
        <v>0</v>
      </c>
      <c r="AR71" s="1038">
        <f t="shared" si="119"/>
        <v>0</v>
      </c>
      <c r="AS71" s="1036">
        <f t="shared" si="120"/>
        <v>0</v>
      </c>
      <c r="AT71" s="1037">
        <f t="shared" si="121"/>
        <v>0</v>
      </c>
      <c r="AU71" s="1037">
        <f t="shared" si="122"/>
        <v>0</v>
      </c>
      <c r="AV71" s="1038">
        <f t="shared" si="123"/>
        <v>0</v>
      </c>
      <c r="AW71" s="1038">
        <f t="shared" si="124"/>
        <v>0</v>
      </c>
      <c r="AX71" s="1036">
        <f t="shared" si="125"/>
        <v>0</v>
      </c>
      <c r="AY71" s="1037">
        <f t="shared" si="126"/>
        <v>0</v>
      </c>
      <c r="AZ71" s="1037">
        <f t="shared" si="127"/>
        <v>0</v>
      </c>
      <c r="BA71" s="1037">
        <f t="shared" si="128"/>
        <v>0</v>
      </c>
      <c r="BB71" s="1038">
        <f t="shared" si="129"/>
        <v>0</v>
      </c>
      <c r="BC71" s="1036"/>
      <c r="BD71" s="1037"/>
      <c r="BE71" s="1037"/>
      <c r="BF71" s="1038"/>
      <c r="BG71" s="1036">
        <f t="shared" si="130"/>
        <v>0</v>
      </c>
      <c r="BH71" s="1037">
        <f t="shared" si="131"/>
        <v>0</v>
      </c>
      <c r="BI71" s="1038">
        <f t="shared" si="132"/>
        <v>0</v>
      </c>
      <c r="BJ71" s="1037">
        <f>_xlfn.XLOOKUP(H71, 'Baumaterialien Matériaux'!A:A, 'Baumaterialien Matériaux'!E:E, "-", 0, 1)</f>
        <v>0</v>
      </c>
      <c r="BK71" s="1036">
        <f t="shared" si="22"/>
        <v>0</v>
      </c>
      <c r="BL71" s="1037">
        <f t="shared" si="23"/>
        <v>0</v>
      </c>
      <c r="BM71" s="1038">
        <f t="shared" si="24"/>
        <v>0</v>
      </c>
      <c r="BN71" s="1037">
        <f>IFERROR((J71*VLOOKUP(H71, 'Baumaterialien Matériaux'!$A$11:$AH$318, 33,FALSE)),0)/$G$1</f>
        <v>0</v>
      </c>
      <c r="BO71" s="1037"/>
      <c r="BP71" s="1037">
        <f>IFERROR((J71*VLOOKUP(H71, 'Baumaterialien Matériaux'!$A$11:$AH$318, 34,FALSE)),0)/$G$1</f>
        <v>0</v>
      </c>
      <c r="BQ71" s="1037" t="e">
        <f t="shared" si="81"/>
        <v>#DIV/0!</v>
      </c>
      <c r="BR71" s="1037">
        <f t="shared" si="134"/>
        <v>0</v>
      </c>
    </row>
    <row r="72" spans="1:70">
      <c r="B72" s="1103"/>
      <c r="C72" s="1099"/>
      <c r="D72" s="478"/>
      <c r="E72" s="479" t="str">
        <f>BillQuantities!E25</f>
        <v>Non porteuse (moyenne) (avec enduit intérieur)</v>
      </c>
      <c r="F72" s="663" t="s">
        <v>3032</v>
      </c>
      <c r="G72" s="479"/>
      <c r="H72" s="479"/>
      <c r="I72" s="459" t="s">
        <v>39</v>
      </c>
      <c r="J72" s="662">
        <v>46.79</v>
      </c>
      <c r="K72" s="663"/>
      <c r="L72" s="663"/>
      <c r="M72" s="664">
        <f>SUM(M73:M75)</f>
        <v>4.9232938601909977</v>
      </c>
      <c r="N72" s="664">
        <f t="shared" ref="N72:T72" si="139">SUM(N73:N75)</f>
        <v>1.3130089238012557</v>
      </c>
      <c r="O72" s="664">
        <f t="shared" ref="O72" si="140">SUM(O73:O75)</f>
        <v>0.57024996577400822</v>
      </c>
      <c r="P72" s="664">
        <f t="shared" si="139"/>
        <v>2.1765219472084949</v>
      </c>
      <c r="Q72" s="664">
        <f t="shared" si="139"/>
        <v>0.86351302340723923</v>
      </c>
      <c r="R72" s="664">
        <f t="shared" ref="R72" si="141">SUM(R73:R75)</f>
        <v>0.36953231459529845</v>
      </c>
      <c r="S72" s="664">
        <f t="shared" si="139"/>
        <v>0</v>
      </c>
      <c r="T72" s="664">
        <f t="shared" si="139"/>
        <v>0</v>
      </c>
      <c r="V72" s="638">
        <f t="shared" si="138"/>
        <v>0</v>
      </c>
      <c r="W72" s="638">
        <f t="shared" si="103"/>
        <v>0</v>
      </c>
      <c r="X72" s="638">
        <f t="shared" si="10"/>
        <v>0</v>
      </c>
      <c r="Z72" s="638">
        <f t="shared" si="11"/>
        <v>0</v>
      </c>
      <c r="AA72" s="648" t="s">
        <v>3443</v>
      </c>
      <c r="AB72">
        <f>_xlfn.XLOOKUP($H72,'[1]Baumaterialien Matériaux'!$A:$A,'[1]Baumaterialien Matériaux'!AK:AK,0,0)</f>
        <v>0</v>
      </c>
      <c r="AC72" cm="1">
        <f t="array" ref="AC72">_xlfn.SWITCH(I72,"kg"," ",0," ",_xlfn.XLOOKUP(H72, '[1]Baumaterialien Matériaux'!$A:$A, '[1]Baumaterialien Matériaux'!$AL:$AL, "-", 0, 1))</f>
        <v>0</v>
      </c>
      <c r="AD72" s="622" cm="1">
        <f t="array" ref="AD72">IFERROR(_xlfn.SWITCH(I72,"kg",1,"m3",AC72,AC72)*J72/(_xlfn.XLOOKUP(AA72,Métrés!A:A,Métrés!C:C,0)),0)</f>
        <v>0</v>
      </c>
      <c r="AE72" s="1092">
        <f>IFERROR(N72*$G$1/(_xlfn.XLOOKUP($AA72,Métrés!$A:$A,Métrés!$C:$C,0)),0)</f>
        <v>1.9559611638009655</v>
      </c>
      <c r="AF72" s="1092">
        <f>IFERROR(O72*$G$1/(_xlfn.XLOOKUP($AA72,Métrés!$A:$A,Métrés!$C:$C,0)),0)</f>
        <v>0.84948911351163148</v>
      </c>
      <c r="AG72" s="1092">
        <f>IFERROR(Q72*$G$1/(_xlfn.XLOOKUP($AA72,Métrés!$A:$A,Métrés!$C:$C,0)),0)</f>
        <v>1.2863567852464728</v>
      </c>
      <c r="AH72" s="1092">
        <f>IFERROR(R72*$G$1/(_xlfn.XLOOKUP($AA72,Métrés!$A:$A,Métrés!$C:$C,0)),0)</f>
        <v>0.55048434402513635</v>
      </c>
      <c r="AI72" s="1092">
        <f>IFERROR(S72*$G$1/(_xlfn.XLOOKUP($AA72,Métrés!$A:$A,Métrés!$C:$C,0)),0)</f>
        <v>0</v>
      </c>
      <c r="AJ72" s="664"/>
      <c r="AK72" s="664"/>
      <c r="AL72" s="664"/>
      <c r="AM72" s="1021"/>
      <c r="AN72" s="1059"/>
      <c r="AO72" s="664"/>
      <c r="AP72" s="664"/>
      <c r="AQ72" s="664"/>
      <c r="AR72" s="1058"/>
      <c r="AS72" s="1059"/>
      <c r="AT72" s="664"/>
      <c r="AU72" s="664"/>
      <c r="AV72" s="664"/>
      <c r="AW72" s="1058"/>
      <c r="AX72" s="1059"/>
      <c r="AY72" s="664"/>
      <c r="AZ72" s="664"/>
      <c r="BA72" s="664"/>
      <c r="BB72" s="1058"/>
      <c r="BC72" s="1059"/>
      <c r="BD72" s="664"/>
      <c r="BE72" s="664"/>
      <c r="BF72" s="1058"/>
      <c r="BG72" s="1059"/>
      <c r="BH72" s="664"/>
      <c r="BI72" s="1058"/>
      <c r="BJ72" s="1045"/>
      <c r="BK72" s="1059"/>
      <c r="BL72" s="664"/>
      <c r="BM72" s="1058"/>
      <c r="BN72" s="1037">
        <f>IFERROR((J72*VLOOKUP(H72, 'Baumaterialien Matériaux'!$A$11:$AH$318, 33,FALSE)),0)/$G$1</f>
        <v>0</v>
      </c>
      <c r="BO72" s="1037"/>
      <c r="BP72" s="1037">
        <f>IFERROR((J72*VLOOKUP(H72, 'Baumaterialien Matériaux'!$A$11:$AH$318, 34,FALSE)),0)/$G$1</f>
        <v>0</v>
      </c>
      <c r="BQ72" s="1037">
        <f t="shared" si="81"/>
        <v>0</v>
      </c>
      <c r="BR72" s="1037"/>
    </row>
    <row r="73" spans="1:70">
      <c r="B73" s="1103"/>
      <c r="C73" s="1099"/>
      <c r="D73" s="478"/>
      <c r="E73" s="478"/>
      <c r="F73" s="454" t="s">
        <v>2986</v>
      </c>
      <c r="G73" s="478" t="str">
        <f>_xlfn.XLOOKUP(H73, 'Baumaterialien Matériaux'!A:A, 'Baumaterialien Matériaux'!AD:AD, "-", 0, 1)</f>
        <v>Enduit de ciment</v>
      </c>
      <c r="H73" s="892">
        <v>4.0090000000000003</v>
      </c>
      <c r="I73" s="641" t="str">
        <f>_xlfn.XLOOKUP(H73, 'Baumaterialien Matériaux'!A:A, 'Baumaterialien Matériaux'!F:F, "-", 0, 1)</f>
        <v>kg</v>
      </c>
      <c r="J73" s="649">
        <f>$J$72*K73</f>
        <v>1087.8675000000001</v>
      </c>
      <c r="K73" s="893">
        <f>0.015*1550</f>
        <v>23.25</v>
      </c>
      <c r="L73" s="647">
        <v>30</v>
      </c>
      <c r="M73" s="648">
        <f>SUM(N73:Q73)</f>
        <v>0.74745181397756111</v>
      </c>
      <c r="N73" s="720">
        <f>IFERROR(($J73*VLOOKUP($H73, 'Baumaterialien Matériaux'!$A$11:$AD$318, 26,FALSE)),0)/$G$1</f>
        <v>0.30149927374115132</v>
      </c>
      <c r="O73" s="720">
        <f>IFERROR(($J73*VLOOKUP($H73, 'Baumaterialien Matériaux'!$A$11:$AH$318, 33,FALSE)),0)/$G$1</f>
        <v>0.11321358271003072</v>
      </c>
      <c r="P73" s="720">
        <f>IFERROR((N73+Q73)*($L$2/L73-1),0)</f>
        <v>0.31711911563376516</v>
      </c>
      <c r="Q73" s="720">
        <f>IFERROR(($J73*VLOOKUP($H73, 'Baumaterialien Matériaux'!$A$11:$AD$318, 27,FALSE)),0)/$G$1</f>
        <v>1.5619841892613864E-2</v>
      </c>
      <c r="R73" s="720">
        <f>IFERROR(($J73*VLOOKUP($H73, 'Baumaterialien Matériaux'!$A$11:$AH$318, 34,FALSE)),0)/$G$1</f>
        <v>3.9594482937090961E-3</v>
      </c>
      <c r="S73" s="720">
        <f>IFERROR((J73*VLOOKUP(H73, 'Baumaterialien Matériaux'!$A$11:$AD$318, 29,FALSE)),0)/$G$1</f>
        <v>0</v>
      </c>
      <c r="T73" s="720"/>
      <c r="V73" s="638">
        <f t="shared" si="138"/>
        <v>0</v>
      </c>
      <c r="W73" s="638">
        <f t="shared" si="103"/>
        <v>0</v>
      </c>
      <c r="X73" s="638" t="str">
        <f t="shared" si="10"/>
        <v>Revêtement</v>
      </c>
      <c r="Z73" s="638">
        <f t="shared" ref="Z73:Z136" si="142">L73</f>
        <v>30</v>
      </c>
      <c r="AA73" s="648" t="s">
        <v>3443</v>
      </c>
      <c r="AB73" t="str">
        <f>_xlfn.XLOOKUP($H73,'[1]Baumaterialien Matériaux'!$A:$A,'[1]Baumaterialien Matériaux'!AK:AK,0,0)</f>
        <v>concrete</v>
      </c>
      <c r="AC73" t="str" cm="1">
        <f t="array" ref="AC73">_xlfn.SWITCH(I73,"kg"," ",0," ",_xlfn.XLOOKUP(H73, '[1]Baumaterialien Matériaux'!$A:$A, '[1]Baumaterialien Matériaux'!$AL:$AL, "-", 0, 1))</f>
        <v xml:space="preserve"> </v>
      </c>
      <c r="AD73" s="622" cm="1">
        <f t="array" ref="AD73">IFERROR(_xlfn.SWITCH(I73,"kg",1,"m3",AC73,AC73)*J73/(_xlfn.XLOOKUP(AA73,Métrés!A:A,Métrés!C:C,0)),0)</f>
        <v>1.8037629951418486</v>
      </c>
      <c r="AE73" s="1092">
        <f>IFERROR(N73*$G$1/(_xlfn.XLOOKUP($AA73,Métrés!$A:$A,Métrés!$C:$C,0)),0)</f>
        <v>0.44913698579032024</v>
      </c>
      <c r="AF73" s="1092">
        <f>IFERROR(O73*$G$1/(_xlfn.XLOOKUP($AA73,Métrés!$A:$A,Métrés!$C:$C,0)),0)</f>
        <v>0.16865184004576284</v>
      </c>
      <c r="AG73" s="1092">
        <f>IFERROR(Q73*$G$1/(_xlfn.XLOOKUP($AA73,Métrés!$A:$A,Métrés!$C:$C,0)),0)</f>
        <v>2.3268542637329845E-2</v>
      </c>
      <c r="AH73" s="1092">
        <f>IFERROR(R73*$G$1/(_xlfn.XLOOKUP($AA73,Métrés!$A:$A,Métrés!$C:$C,0)),0)</f>
        <v>5.8983049941138451E-3</v>
      </c>
      <c r="AI73" s="1092">
        <f>IFERROR(S73*$G$1/(_xlfn.XLOOKUP($AA73,Métrés!$A:$A,Métrés!$C:$C,0)),0)</f>
        <v>0</v>
      </c>
      <c r="AJ73" s="1022"/>
      <c r="AK73" s="638">
        <f>IF(L73=60, 0, T73)</f>
        <v>0</v>
      </c>
      <c r="AL73" s="638">
        <f>IF(L73=60, 0, S73)</f>
        <v>0</v>
      </c>
      <c r="AM73" s="638" t="str">
        <f>IF(L73=$L$2, "Structure", IF(L73&gt;0,"Revêtement",0))</f>
        <v>Revêtement</v>
      </c>
      <c r="AN73" s="1036">
        <f>IF(AM73="Structure",N73,0)</f>
        <v>0</v>
      </c>
      <c r="AO73" s="1037">
        <f>IF(AM73="Structure",P73,0)</f>
        <v>0</v>
      </c>
      <c r="AP73" s="1037">
        <f>IF(AM73="Structure",Q73,0)</f>
        <v>0</v>
      </c>
      <c r="AQ73" s="1038">
        <f>IF(AM73="Structure",S73,0)</f>
        <v>0</v>
      </c>
      <c r="AR73" s="1038">
        <f>IF(AM73="Structure",T73,0)</f>
        <v>0</v>
      </c>
      <c r="AS73" s="1036">
        <f>IF(AM73="Insulation",N73,0)</f>
        <v>0</v>
      </c>
      <c r="AT73" s="1037">
        <f>IF(AM73="Insulation",P73,0)</f>
        <v>0</v>
      </c>
      <c r="AU73" s="1037">
        <f>IF(AM73="Insulation",Q73,0)</f>
        <v>0</v>
      </c>
      <c r="AV73" s="1038">
        <f>IF(AM73="Insulation",S73,0)</f>
        <v>0</v>
      </c>
      <c r="AW73" s="1038">
        <f>IF(AM73="Insulation",T73,0)</f>
        <v>0</v>
      </c>
      <c r="AX73" s="1036">
        <f>IF(AM73="Revêtement",N73,0)</f>
        <v>0.30149927374115132</v>
      </c>
      <c r="AY73" s="1037">
        <f>IF(AM73="Revêtement",P73,0)</f>
        <v>0.31711911563376516</v>
      </c>
      <c r="AZ73" s="1037">
        <f>IF(AM73="Revêtement",Q73,0)</f>
        <v>1.5619841892613864E-2</v>
      </c>
      <c r="BA73" s="1037">
        <f>IF(AM73="Revêtement",S73,0)</f>
        <v>0</v>
      </c>
      <c r="BB73" s="1038">
        <f>IF(AM73="Revêtement",T73,0)</f>
        <v>0</v>
      </c>
      <c r="BC73" s="1036"/>
      <c r="BD73" s="1037"/>
      <c r="BE73" s="1037"/>
      <c r="BF73" s="1038"/>
      <c r="BG73" s="1036">
        <f>IF($AM73="Structure", IF($I73="kg",$J73,0), 0)</f>
        <v>0</v>
      </c>
      <c r="BH73" s="1037">
        <f>IF($AM73="Insulation", IF($I73="kg",$J73,0), 0)</f>
        <v>0</v>
      </c>
      <c r="BI73" s="1038">
        <f>IF($AM73="Revêtement", IF($I73="kg",$J73,0), 0)</f>
        <v>1087.8675000000001</v>
      </c>
      <c r="BJ73" s="1037">
        <f>_xlfn.XLOOKUP(H73, 'Baumaterialien Matériaux'!A:A, 'Baumaterialien Matériaux'!E:E, "-", 0, 1)</f>
        <v>1550</v>
      </c>
      <c r="BK73" s="1036">
        <f t="shared" si="22"/>
        <v>0</v>
      </c>
      <c r="BL73" s="1037">
        <f t="shared" si="23"/>
        <v>0</v>
      </c>
      <c r="BM73" s="1038">
        <f t="shared" si="24"/>
        <v>0.70185000000000008</v>
      </c>
      <c r="BN73" s="1037">
        <f>IFERROR((J73*VLOOKUP(H73, 'Baumaterialien Matériaux'!$A$11:$AH$318, 33,FALSE)),0)/$G$1</f>
        <v>0.11321358271003072</v>
      </c>
      <c r="BO73" s="1037">
        <f>(BN73+BP73)*($L$2/L73-1)</f>
        <v>0.11717303100373982</v>
      </c>
      <c r="BP73" s="1037">
        <f>IFERROR((J73*VLOOKUP(H73, 'Baumaterialien Matériaux'!$A$11:$AH$318, 34,FALSE)),0)/$G$1</f>
        <v>3.9594482937090961E-3</v>
      </c>
      <c r="BQ73" s="1037">
        <f t="shared" si="81"/>
        <v>0.25348837209302327</v>
      </c>
      <c r="BR73" s="1037">
        <f t="shared" ref="BR73:BR80" si="143">IFERROR((N73+Q73)*($L$2/L73-1),0)</f>
        <v>0.31711911563376516</v>
      </c>
    </row>
    <row r="74" spans="1:70">
      <c r="B74" s="1103"/>
      <c r="C74" s="1099"/>
      <c r="D74" s="478"/>
      <c r="E74" s="478"/>
      <c r="F74" s="454" t="s">
        <v>3059</v>
      </c>
      <c r="G74" s="478" t="str">
        <f>_xlfn.XLOOKUP(H74, 'Baumaterialien Matériaux'!A:A, 'Baumaterialien Matériaux'!AD:AD, "-", 0, 1)</f>
        <v>Polystyrène expansé (EPS)</v>
      </c>
      <c r="H74" s="892" t="s">
        <v>118</v>
      </c>
      <c r="I74" s="641" t="str">
        <f>_xlfn.XLOOKUP(H74, 'Baumaterialien Matériaux'!A:A, 'Baumaterialien Matériaux'!F:F, "-", 0, 1)</f>
        <v>kg</v>
      </c>
      <c r="J74" s="649">
        <f>$J$72*K74</f>
        <v>182.48100000000002</v>
      </c>
      <c r="K74" s="893">
        <f>0.26*15</f>
        <v>3.9000000000000004</v>
      </c>
      <c r="L74" s="647">
        <v>30</v>
      </c>
      <c r="M74" s="648">
        <f t="shared" ref="M74" si="144">SUM(N74:Q74)</f>
        <v>3.491438927474289</v>
      </c>
      <c r="N74" s="720">
        <f>IFERROR(($J74*VLOOKUP($H74, 'Baumaterialien Matériaux'!$A$11:$AD$318, 26,FALSE)),0)/$G$1</f>
        <v>0.91602033524776283</v>
      </c>
      <c r="O74" s="720">
        <f>IFERROR(($J74*VLOOKUP($H74, 'Baumaterialien Matériaux'!$A$11:$AH$318, 33,FALSE)),0)/$G$1</f>
        <v>0.40418635635100841</v>
      </c>
      <c r="P74" s="720">
        <f t="shared" ref="P74" si="145">IFERROR((N74+Q74)*($L$2/L74-1),0)</f>
        <v>1.5436262855616403</v>
      </c>
      <c r="Q74" s="720">
        <f>IFERROR(($J74*VLOOKUP($H74, 'Baumaterialien Matériaux'!$A$11:$AD$318, 27,FALSE)),0)/$G$1</f>
        <v>0.62760595031387745</v>
      </c>
      <c r="R74" s="720">
        <f>IFERROR(($J74*VLOOKUP($H74, 'Baumaterialien Matériaux'!$A$11:$AH$318, 34,FALSE)),0)/$G$1</f>
        <v>0.14339475757980499</v>
      </c>
      <c r="S74" s="720">
        <f>IFERROR((J74*VLOOKUP(H74, 'Baumaterialien Matériaux'!$A$11:$AD$318, 29,FALSE)),0)/$G$1</f>
        <v>0</v>
      </c>
      <c r="T74" s="720"/>
      <c r="V74" s="638">
        <f t="shared" si="138"/>
        <v>0</v>
      </c>
      <c r="W74" s="638">
        <f t="shared" si="103"/>
        <v>0</v>
      </c>
      <c r="X74" s="638" t="str">
        <f t="shared" si="10"/>
        <v>Revêtement</v>
      </c>
      <c r="Z74" s="638">
        <f t="shared" si="142"/>
        <v>30</v>
      </c>
      <c r="AA74" s="648" t="s">
        <v>3443</v>
      </c>
      <c r="AB74" t="str">
        <f>_xlfn.XLOOKUP($H74,'[1]Baumaterialien Matériaux'!$A:$A,'[1]Baumaterialien Matériaux'!AK:AK,0,0)</f>
        <v>oil_product</v>
      </c>
      <c r="AC74" t="str" cm="1">
        <f t="array" ref="AC74">_xlfn.SWITCH(I74,"kg"," ",0," ",_xlfn.XLOOKUP(H74, '[1]Baumaterialien Matériaux'!$A:$A, '[1]Baumaterialien Matériaux'!$AL:$AL, "-", 0, 1))</f>
        <v xml:space="preserve"> </v>
      </c>
      <c r="AD74" s="622" cm="1">
        <f t="array" ref="AD74">IFERROR(_xlfn.SWITCH(I74,"kg",1,"m3",AC74,AC74)*J74/(_xlfn.XLOOKUP(AA74,Métrés!A:A,Métrés!C:C,0)),0)</f>
        <v>0.30256669595927782</v>
      </c>
      <c r="AE74" s="1092">
        <f>IFERROR(N74*$G$1/(_xlfn.XLOOKUP($AA74,Métrés!$A:$A,Métrés!$C:$C,0)),0)</f>
        <v>1.3645757987763429</v>
      </c>
      <c r="AF74" s="1092">
        <f>IFERROR(O74*$G$1/(_xlfn.XLOOKUP($AA74,Métrés!$A:$A,Métrés!$C:$C,0)),0)</f>
        <v>0.60210772495896281</v>
      </c>
      <c r="AG74" s="1092">
        <f>IFERROR(Q74*$G$1/(_xlfn.XLOOKUP($AA74,Métrés!$A:$A,Métrés!$C:$C,0)),0)</f>
        <v>0.93493109051416845</v>
      </c>
      <c r="AH74" s="1092">
        <f>IFERROR(R74*$G$1/(_xlfn.XLOOKUP($AA74,Métrés!$A:$A,Métrés!$C:$C,0)),0)</f>
        <v>0.21361208734725015</v>
      </c>
      <c r="AI74" s="1092">
        <f>IFERROR(S74*$G$1/(_xlfn.XLOOKUP($AA74,Métrés!$A:$A,Métrés!$C:$C,0)),0)</f>
        <v>0</v>
      </c>
      <c r="AJ74" s="1022"/>
      <c r="AK74" s="638">
        <f>IF(L74=60, 0, T74)</f>
        <v>0</v>
      </c>
      <c r="AL74" s="638">
        <f>IF(L74=60, 0, S74)</f>
        <v>0</v>
      </c>
      <c r="AM74" s="638" t="s">
        <v>3388</v>
      </c>
      <c r="AN74" s="1036">
        <f>IF(AM74="Structure",N74,0)</f>
        <v>0</v>
      </c>
      <c r="AO74" s="1037">
        <f>IF(AM74="Structure",P74,0)</f>
        <v>0</v>
      </c>
      <c r="AP74" s="1037">
        <f>IF(AM74="Structure",Q74,0)</f>
        <v>0</v>
      </c>
      <c r="AQ74" s="1038">
        <f>IF(AM74="Structure",S74,0)</f>
        <v>0</v>
      </c>
      <c r="AR74" s="1038">
        <f>IF(AM74="Structure",T74,0)</f>
        <v>0</v>
      </c>
      <c r="AS74" s="1036">
        <f>IF(AM74="Insulation",N74,0)</f>
        <v>0.91602033524776283</v>
      </c>
      <c r="AT74" s="1037">
        <f>IF(AM74="Insulation",P74,0)</f>
        <v>1.5436262855616403</v>
      </c>
      <c r="AU74" s="1037">
        <f>IF(AM74="Insulation",Q74,0)</f>
        <v>0.62760595031387745</v>
      </c>
      <c r="AV74" s="1038">
        <f>IF(AM74="Insulation",S74,0)</f>
        <v>0</v>
      </c>
      <c r="AW74" s="1038">
        <f>IF(AM74="Insulation",T74,0)</f>
        <v>0</v>
      </c>
      <c r="AX74" s="1036">
        <f>IF(AM74="Revêtement",N74,0)</f>
        <v>0</v>
      </c>
      <c r="AY74" s="1037">
        <f>IF(AM74="Revêtement",P74,0)</f>
        <v>0</v>
      </c>
      <c r="AZ74" s="1037">
        <f>IF(AM74="Revêtement",Q74,0)</f>
        <v>0</v>
      </c>
      <c r="BA74" s="1037">
        <f>IF(AM74="Revêtement",S74,0)</f>
        <v>0</v>
      </c>
      <c r="BB74" s="1038">
        <f>IF(AM74="Revêtement",T74,0)</f>
        <v>0</v>
      </c>
      <c r="BC74" s="1036"/>
      <c r="BD74" s="1037"/>
      <c r="BE74" s="1037"/>
      <c r="BF74" s="1038"/>
      <c r="BG74" s="1036">
        <f>IF($AM74="Structure", IF($I74="kg",$J74,0), 0)</f>
        <v>0</v>
      </c>
      <c r="BH74" s="1037">
        <f>IF($AM74="Insulation", IF($I74="kg",$J74,0), 0)</f>
        <v>182.48100000000002</v>
      </c>
      <c r="BI74" s="1038">
        <f>IF($AM74="Revêtement", IF($I74="kg",$J74,0), 0)</f>
        <v>0</v>
      </c>
      <c r="BJ74" s="1037">
        <v>15</v>
      </c>
      <c r="BK74" s="1036">
        <f t="shared" si="22"/>
        <v>0</v>
      </c>
      <c r="BL74" s="1037">
        <f t="shared" si="23"/>
        <v>12.165400000000002</v>
      </c>
      <c r="BM74" s="1038">
        <f t="shared" si="24"/>
        <v>0</v>
      </c>
      <c r="BN74" s="1037">
        <f>IFERROR((J74*VLOOKUP(H74, 'Baumaterialien Matériaux'!$A$11:$AH$318, 33,FALSE)),0)/$G$1</f>
        <v>0.40418635635100841</v>
      </c>
      <c r="BO74" s="1037">
        <f>(BN74+BP74)*($L$2/L74-1)</f>
        <v>0.54758111393081343</v>
      </c>
      <c r="BP74" s="1037">
        <f>IFERROR((J74*VLOOKUP(H74, 'Baumaterialien Matériaux'!$A$11:$AH$318, 34,FALSE)),0)/$G$1</f>
        <v>0.14339475757980499</v>
      </c>
      <c r="BQ74" s="1037">
        <f t="shared" si="81"/>
        <v>0.22847896440129448</v>
      </c>
      <c r="BR74" s="1037">
        <f t="shared" si="143"/>
        <v>1.5436262855616403</v>
      </c>
    </row>
    <row r="75" spans="1:70">
      <c r="B75" s="1103"/>
      <c r="C75" s="1099"/>
      <c r="D75" s="478"/>
      <c r="E75" s="478"/>
      <c r="F75" s="478" t="s">
        <v>3401</v>
      </c>
      <c r="G75" s="478" t="str">
        <f>_xlfn.XLOOKUP(H75, 'Baumaterialien Matériaux'!A:A, 'Baumaterialien Matériaux'!AD:AD, "-", 0, 1)</f>
        <v>Lé d'étanchéité bitumineux</v>
      </c>
      <c r="H75" s="892" t="s">
        <v>696</v>
      </c>
      <c r="I75" s="641" t="str">
        <f>_xlfn.XLOOKUP(H75, 'Baumaterialien Matériaux'!A:A, 'Baumaterialien Matériaux'!F:F, "-", 0, 1)</f>
        <v>kg</v>
      </c>
      <c r="J75" s="649">
        <f>14.85*K75</f>
        <v>84.941999999999993</v>
      </c>
      <c r="K75" s="893">
        <f>0.0052*1100</f>
        <v>5.72</v>
      </c>
      <c r="L75" s="647">
        <v>30</v>
      </c>
      <c r="M75" s="648">
        <f t="shared" ref="M75" si="146">SUM(N75:Q75)</f>
        <v>0.68440311873914772</v>
      </c>
      <c r="N75" s="720">
        <f>IFERROR(($J75*VLOOKUP($H75, 'Baumaterialien Matériaux'!$A$11:$AD$318, 26,FALSE)),0)/$G$1</f>
        <v>9.5489314812341367E-2</v>
      </c>
      <c r="O75" s="720">
        <f>IFERROR(($J75*VLOOKUP($H75, 'Baumaterialien Matériaux'!$A$11:$AH$318, 33,FALSE)),0)/$G$1</f>
        <v>5.285002671296915E-2</v>
      </c>
      <c r="P75" s="720">
        <f t="shared" ref="P75" si="147">IFERROR((N75+Q75)*($L$2/L75-1),0)</f>
        <v>0.3157765460130893</v>
      </c>
      <c r="Q75" s="720">
        <f>IFERROR(($J75*VLOOKUP($H75, 'Baumaterialien Matériaux'!$A$11:$AD$318, 27,FALSE)),0)/$G$1</f>
        <v>0.22028723120074792</v>
      </c>
      <c r="R75" s="720">
        <f>IFERROR(($J75*VLOOKUP($H75, 'Baumaterialien Matériaux'!$A$11:$AH$318, 34,FALSE)),0)/$G$1</f>
        <v>0.2221781087217844</v>
      </c>
      <c r="S75" s="720">
        <f>IFERROR((J75*VLOOKUP(H75, 'Baumaterialien Matériaux'!$A$11:$AD$318, 29,FALSE)),0)/$G$1</f>
        <v>0</v>
      </c>
      <c r="T75" s="720"/>
      <c r="V75" s="638">
        <f t="shared" si="138"/>
        <v>0</v>
      </c>
      <c r="W75" s="638">
        <f t="shared" si="103"/>
        <v>0</v>
      </c>
      <c r="X75" s="638" t="str">
        <f t="shared" si="10"/>
        <v>Revêtement</v>
      </c>
      <c r="Z75" s="638">
        <f t="shared" si="142"/>
        <v>30</v>
      </c>
      <c r="AA75" s="648" t="s">
        <v>3443</v>
      </c>
      <c r="AB75" t="str">
        <f>_xlfn.XLOOKUP($H75,'[1]Baumaterialien Matériaux'!$A:$A,'[1]Baumaterialien Matériaux'!AK:AK,0,0)</f>
        <v>oil_product</v>
      </c>
      <c r="AC75" t="str" cm="1">
        <f t="array" ref="AC75">_xlfn.SWITCH(I75,"kg"," ",0," ",_xlfn.XLOOKUP(H75, '[1]Baumaterialien Matériaux'!$A:$A, '[1]Baumaterialien Matériaux'!$AL:$AL, "-", 0, 1))</f>
        <v xml:space="preserve"> </v>
      </c>
      <c r="AD75" s="622" cm="1">
        <f t="array" ref="AD75">IFERROR(_xlfn.SWITCH(I75,"kg",1,"m3",AC75,AC75)*J75/(_xlfn.XLOOKUP(AA75,Métrés!A:A,Métrés!C:C,0)),0)</f>
        <v>0.14083997943990317</v>
      </c>
      <c r="AE75" s="1092">
        <f>IFERROR(N75*$G$1/(_xlfn.XLOOKUP($AA75,Métrés!$A:$A,Métrés!$C:$C,0)),0)</f>
        <v>0.1422483792343022</v>
      </c>
      <c r="AF75" s="1092">
        <f>IFERROR(O75*$G$1/(_xlfn.XLOOKUP($AA75,Métrés!$A:$A,Métrés!$C:$C,0)),0)</f>
        <v>7.8729548506905889E-2</v>
      </c>
      <c r="AG75" s="1092">
        <f>IFERROR(Q75*$G$1/(_xlfn.XLOOKUP($AA75,Métrés!$A:$A,Métrés!$C:$C,0)),0)</f>
        <v>0.32815715209497442</v>
      </c>
      <c r="AH75" s="1092">
        <f>IFERROR(R75*$G$1/(_xlfn.XLOOKUP($AA75,Métrés!$A:$A,Métrés!$C:$C,0)),0)</f>
        <v>0.33097395168377247</v>
      </c>
      <c r="AI75" s="1092">
        <f>IFERROR(S75*$G$1/(_xlfn.XLOOKUP($AA75,Métrés!$A:$A,Métrés!$C:$C,0)),0)</f>
        <v>0</v>
      </c>
      <c r="AJ75" s="1022"/>
      <c r="AK75" s="638">
        <f>IF(L75=60, 0, T75)</f>
        <v>0</v>
      </c>
      <c r="AL75" s="638">
        <f>IF(L75=60, 0, S75)</f>
        <v>0</v>
      </c>
      <c r="AM75" s="638" t="str">
        <f>IF(L75=$L$2, "Structure", IF(L75&gt;0,"Revêtement",0))</f>
        <v>Revêtement</v>
      </c>
      <c r="AN75" s="1036">
        <f>IF(AM75="Structure",N75,0)</f>
        <v>0</v>
      </c>
      <c r="AO75" s="1037">
        <f>IF(AM75="Structure",P75,0)</f>
        <v>0</v>
      </c>
      <c r="AP75" s="1037">
        <f>IF(AM75="Structure",Q75,0)</f>
        <v>0</v>
      </c>
      <c r="AQ75" s="1038">
        <f>IF(AM75="Structure",S75,0)</f>
        <v>0</v>
      </c>
      <c r="AR75" s="1038">
        <f>IF(AM75="Structure",T75,0)</f>
        <v>0</v>
      </c>
      <c r="AS75" s="1036">
        <f>IF(AM75="Insulation",N75,0)</f>
        <v>0</v>
      </c>
      <c r="AT75" s="1037">
        <f>IF(AM75="Insulation",P75,0)</f>
        <v>0</v>
      </c>
      <c r="AU75" s="1037">
        <f>IF(AM75="Insulation",Q75,0)</f>
        <v>0</v>
      </c>
      <c r="AV75" s="1038">
        <f>IF(AM75="Insulation",S75,0)</f>
        <v>0</v>
      </c>
      <c r="AW75" s="1038">
        <f>IF(AM75="Insulation",T75,0)</f>
        <v>0</v>
      </c>
      <c r="AX75" s="1036">
        <f>IF(AM75="Revêtement",N75,0)</f>
        <v>9.5489314812341367E-2</v>
      </c>
      <c r="AY75" s="1037">
        <f>IF(AM75="Revêtement",P75,0)</f>
        <v>0.3157765460130893</v>
      </c>
      <c r="AZ75" s="1037">
        <f>IF(AM75="Revêtement",Q75,0)</f>
        <v>0.22028723120074792</v>
      </c>
      <c r="BA75" s="1037">
        <f>IF(AM75="Revêtement",S75,0)</f>
        <v>0</v>
      </c>
      <c r="BB75" s="1038">
        <f>IF(AM75="Revêtement",T75,0)</f>
        <v>0</v>
      </c>
      <c r="BC75" s="1036"/>
      <c r="BD75" s="1037"/>
      <c r="BE75" s="1037"/>
      <c r="BF75" s="1038"/>
      <c r="BG75" s="1036">
        <f>IF($AM75="Structure", IF($I75="kg",$J75,0), 0)</f>
        <v>0</v>
      </c>
      <c r="BH75" s="1037">
        <f>IF($AM75="Insulation", IF($I75="kg",$J75,0), 0)</f>
        <v>0</v>
      </c>
      <c r="BI75" s="1038">
        <f>IF($AM75="Revêtement", IF($I75="kg",$J75,0), 0)</f>
        <v>84.941999999999993</v>
      </c>
      <c r="BJ75" s="1037">
        <f>_xlfn.XLOOKUP(H75, 'Baumaterialien Matériaux'!A:A, 'Baumaterialien Matériaux'!E:E, "-", 0, 1)</f>
        <v>1100</v>
      </c>
      <c r="BK75" s="1036">
        <f t="shared" si="22"/>
        <v>0</v>
      </c>
      <c r="BL75" s="1037">
        <f t="shared" si="23"/>
        <v>0</v>
      </c>
      <c r="BM75" s="1038">
        <f t="shared" si="24"/>
        <v>7.7219999999999997E-2</v>
      </c>
      <c r="BN75" s="1037">
        <f>IFERROR((J75*VLOOKUP(H75, 'Baumaterialien Matériaux'!$A$11:$AH$318, 33,FALSE)),0)/$G$1</f>
        <v>5.285002671296915E-2</v>
      </c>
      <c r="BO75" s="1037"/>
      <c r="BP75" s="1037">
        <f>IFERROR((J75*VLOOKUP(H75, 'Baumaterialien Matériaux'!$A$11:$AH$318, 34,FALSE)),0)/$G$1</f>
        <v>0.2221781087217844</v>
      </c>
      <c r="BQ75" s="1037">
        <f t="shared" si="81"/>
        <v>1.0085836909871246</v>
      </c>
      <c r="BR75" s="1037">
        <f t="shared" si="143"/>
        <v>0.3157765460130893</v>
      </c>
    </row>
    <row r="76" spans="1:70">
      <c r="B76" s="1103"/>
      <c r="C76" s="1099"/>
      <c r="D76" s="478"/>
      <c r="E76" s="478"/>
      <c r="F76" s="663" t="s">
        <v>3033</v>
      </c>
      <c r="G76" s="479"/>
      <c r="H76" s="479"/>
      <c r="I76" s="459" t="s">
        <v>39</v>
      </c>
      <c r="J76" s="662">
        <v>85.93</v>
      </c>
      <c r="K76" s="663"/>
      <c r="L76" s="663"/>
      <c r="M76" s="664">
        <f>SUM(M77:M80)</f>
        <v>7.784737794677441</v>
      </c>
      <c r="N76" s="664">
        <f t="shared" ref="N76:T76" si="148">SUM(N77:N80)</f>
        <v>2.2359790553626286</v>
      </c>
      <c r="O76" s="664">
        <f t="shared" ref="O76" si="149">SUM(O77:O80)</f>
        <v>0.95020681264191276</v>
      </c>
      <c r="P76" s="664">
        <f t="shared" si="148"/>
        <v>3.4172654910177647</v>
      </c>
      <c r="Q76" s="664">
        <f t="shared" si="148"/>
        <v>1.1812864356551358</v>
      </c>
      <c r="R76" s="664">
        <f t="shared" ref="R76" si="150">SUM(R77:R80)</f>
        <v>0.27061651871577402</v>
      </c>
      <c r="S76" s="664">
        <f t="shared" si="148"/>
        <v>0</v>
      </c>
      <c r="T76" s="664">
        <f t="shared" si="148"/>
        <v>0</v>
      </c>
      <c r="V76" s="638">
        <f t="shared" si="138"/>
        <v>0</v>
      </c>
      <c r="W76" s="638">
        <f t="shared" si="103"/>
        <v>0</v>
      </c>
      <c r="X76" s="638">
        <f t="shared" si="10"/>
        <v>0</v>
      </c>
      <c r="Z76" s="638">
        <f t="shared" si="142"/>
        <v>0</v>
      </c>
      <c r="AA76" s="648" t="s">
        <v>3443</v>
      </c>
      <c r="AB76">
        <f>_xlfn.XLOOKUP($H76,'[1]Baumaterialien Matériaux'!$A:$A,'[1]Baumaterialien Matériaux'!AK:AK,0,0)</f>
        <v>0</v>
      </c>
      <c r="AC76" cm="1">
        <f t="array" ref="AC76">_xlfn.SWITCH(I76,"kg"," ",0," ",_xlfn.XLOOKUP(H76, '[1]Baumaterialien Matériaux'!$A:$A, '[1]Baumaterialien Matériaux'!$AL:$AL, "-", 0, 1))</f>
        <v>0</v>
      </c>
      <c r="AD76" s="622" cm="1">
        <f t="array" ref="AD76">IFERROR(_xlfn.SWITCH(I76,"kg",1,"m3",AC76,AC76)*J76/(_xlfn.XLOOKUP(AA76,Métrés!A:A,Métrés!C:C,0)),0)</f>
        <v>0</v>
      </c>
      <c r="AE76" s="1092">
        <f>IFERROR(N76*$G$1/(_xlfn.XLOOKUP($AA76,Métrés!$A:$A,Métrés!$C:$C,0)),0)</f>
        <v>3.3308899247235173</v>
      </c>
      <c r="AF76" s="1092">
        <f>IFERROR(O76*$G$1/(_xlfn.XLOOKUP($AA76,Métrés!$A:$A,Métrés!$C:$C,0)),0)</f>
        <v>1.4155026591334918</v>
      </c>
      <c r="AG76" s="1092">
        <f>IFERROR(Q76*$G$1/(_xlfn.XLOOKUP($AA76,Métrés!$A:$A,Métrés!$C:$C,0)),0)</f>
        <v>1.7597370052726709</v>
      </c>
      <c r="AH76" s="1092">
        <f>IFERROR(R76*$G$1/(_xlfn.XLOOKUP($AA76,Métrés!$A:$A,Métrés!$C:$C,0)),0)</f>
        <v>0.40313160961516153</v>
      </c>
      <c r="AI76" s="1092">
        <f>IFERROR(S76*$G$1/(_xlfn.XLOOKUP($AA76,Métrés!$A:$A,Métrés!$C:$C,0)),0)</f>
        <v>0</v>
      </c>
      <c r="AJ76" s="664"/>
      <c r="AK76" s="664"/>
      <c r="AL76" s="664"/>
      <c r="AM76" s="1021"/>
      <c r="AN76" s="1059"/>
      <c r="AO76" s="664"/>
      <c r="AP76" s="664"/>
      <c r="AQ76" s="664"/>
      <c r="AR76" s="1058"/>
      <c r="AS76" s="1059"/>
      <c r="AT76" s="664"/>
      <c r="AU76" s="664"/>
      <c r="AV76" s="664"/>
      <c r="AW76" s="1058"/>
      <c r="AX76" s="1059"/>
      <c r="AY76" s="664"/>
      <c r="AZ76" s="664"/>
      <c r="BA76" s="664"/>
      <c r="BB76" s="1058"/>
      <c r="BC76" s="1059"/>
      <c r="BD76" s="664"/>
      <c r="BE76" s="664"/>
      <c r="BF76" s="1058"/>
      <c r="BG76" s="1059"/>
      <c r="BH76" s="664"/>
      <c r="BI76" s="1058"/>
      <c r="BJ76" s="1045"/>
      <c r="BK76" s="1059"/>
      <c r="BL76" s="664"/>
      <c r="BM76" s="1058"/>
      <c r="BN76" s="1037">
        <f>IFERROR((J76*VLOOKUP(H76, 'Baumaterialien Matériaux'!$A$11:$AH$318, 33,FALSE)),0)/$G$1</f>
        <v>0</v>
      </c>
      <c r="BO76" s="1037"/>
      <c r="BP76" s="1037">
        <f>IFERROR((J76*VLOOKUP(H76, 'Baumaterialien Matériaux'!$A$11:$AH$318, 34,FALSE)),0)/$G$1</f>
        <v>0</v>
      </c>
      <c r="BQ76" s="1037">
        <f t="shared" ref="BQ76:BQ107" si="151">BP76/Q76</f>
        <v>0</v>
      </c>
      <c r="BR76" s="1037">
        <f t="shared" si="143"/>
        <v>0</v>
      </c>
    </row>
    <row r="77" spans="1:70">
      <c r="B77" s="1103"/>
      <c r="C77" s="1099"/>
      <c r="D77" s="478"/>
      <c r="E77" s="478"/>
      <c r="F77" s="483" t="s">
        <v>2986</v>
      </c>
      <c r="G77" s="478" t="str">
        <f>_xlfn.XLOOKUP(H77, 'Baumaterialien Matériaux'!A:A, 'Baumaterialien Matériaux'!AD:AD, "-", 0, 1)</f>
        <v>Enduit de ciment</v>
      </c>
      <c r="H77" s="892">
        <v>4.0090000000000003</v>
      </c>
      <c r="I77" s="641" t="str">
        <f>_xlfn.XLOOKUP(H77, 'Baumaterialien Matériaux'!A:A, 'Baumaterialien Matériaux'!F:F, "-", 0, 1)</f>
        <v>kg</v>
      </c>
      <c r="J77" s="649">
        <f>$J$76*K77</f>
        <v>1997.8725000000002</v>
      </c>
      <c r="K77" s="893">
        <f>0.015*1550</f>
        <v>23.25</v>
      </c>
      <c r="L77" s="647">
        <v>30</v>
      </c>
      <c r="M77" s="648">
        <f>SUM(N77:Q77)</f>
        <v>1.3726978921797783</v>
      </c>
      <c r="N77" s="720">
        <f>IFERROR(($J77*VLOOKUP($H77, 'Baumaterialien Matériaux'!$A$11:$AD$318, 26,FALSE)),0)/$G$1</f>
        <v>0.55370447943101375</v>
      </c>
      <c r="O77" s="720">
        <f>IFERROR(($J77*VLOOKUP($H77, 'Baumaterialien Matériaux'!$A$11:$AH$318, 33,FALSE)),0)/$G$1</f>
        <v>0.20791714388273008</v>
      </c>
      <c r="P77" s="720">
        <f>IFERROR((N77+Q77)*($L$2/L77-1),0)</f>
        <v>0.58239037414852413</v>
      </c>
      <c r="Q77" s="720">
        <f>IFERROR(($J77*VLOOKUP($H77, 'Baumaterialien Matériaux'!$A$11:$AD$318, 27,FALSE)),0)/$G$1</f>
        <v>2.8685894717510353E-2</v>
      </c>
      <c r="R77" s="720">
        <f>IFERROR(($J77*VLOOKUP($H77, 'Baumaterialien Matériaux'!$A$11:$AH$318, 34,FALSE)),0)/$G$1</f>
        <v>7.2715407539735537E-3</v>
      </c>
      <c r="S77" s="720">
        <f>IFERROR((J77*VLOOKUP(H77, 'Baumaterialien Matériaux'!$A$11:$AD$318, 29,FALSE)),0)/$G$1</f>
        <v>0</v>
      </c>
      <c r="T77" s="720"/>
      <c r="V77" s="638">
        <f t="shared" si="138"/>
        <v>0</v>
      </c>
      <c r="W77" s="638">
        <f t="shared" si="103"/>
        <v>0</v>
      </c>
      <c r="X77" s="638" t="str">
        <f t="shared" si="10"/>
        <v>Revêtement</v>
      </c>
      <c r="Z77" s="638">
        <f t="shared" si="142"/>
        <v>30</v>
      </c>
      <c r="AA77" s="648" t="s">
        <v>3443</v>
      </c>
      <c r="AB77" t="str">
        <f>_xlfn.XLOOKUP($H77,'[1]Baumaterialien Matériaux'!$A:$A,'[1]Baumaterialien Matériaux'!AK:AK,0,0)</f>
        <v>concrete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622" cm="1">
        <f t="array" ref="AD77">IFERROR(_xlfn.SWITCH(I77,"kg",1,"m3",AC77,AC77)*J77/(_xlfn.XLOOKUP(AA77,Métrés!A:A,Métrés!C:C,0)),0)</f>
        <v>3.3126171013579619</v>
      </c>
      <c r="AE77" s="1092">
        <f>IFERROR(N77*$G$1/(_xlfn.XLOOKUP($AA77,Métrés!$A:$A,Métrés!$C:$C,0)),0)</f>
        <v>0.82484165823813249</v>
      </c>
      <c r="AF77" s="1092">
        <f>IFERROR(O77*$G$1/(_xlfn.XLOOKUP($AA77,Métrés!$A:$A,Métrés!$C:$C,0)),0)</f>
        <v>0.30972969897696945</v>
      </c>
      <c r="AG77" s="1092">
        <f>IFERROR(Q77*$G$1/(_xlfn.XLOOKUP($AA77,Métrés!$A:$A,Métrés!$C:$C,0)),0)</f>
        <v>4.2732760607517711E-2</v>
      </c>
      <c r="AH77" s="1092">
        <f>IFERROR(R77*$G$1/(_xlfn.XLOOKUP($AA77,Métrés!$A:$A,Métrés!$C:$C,0)),0)</f>
        <v>1.0832257921440535E-2</v>
      </c>
      <c r="AI77" s="1092">
        <f>IFERROR(S77*$G$1/(_xlfn.XLOOKUP($AA77,Métrés!$A:$A,Métrés!$C:$C,0)),0)</f>
        <v>0</v>
      </c>
      <c r="AJ77" s="1022"/>
      <c r="AK77" s="638">
        <f t="shared" ref="AK77:AK85" si="152">IF(L77=60, 0, T77)</f>
        <v>0</v>
      </c>
      <c r="AL77" s="638">
        <f>IF(L77=60, 0, S77)</f>
        <v>0</v>
      </c>
      <c r="AM77" s="638" t="str">
        <f>IF(L77=$L$2, "Structure", IF(L77&gt;0,"Revêtement",0))</f>
        <v>Revêtement</v>
      </c>
      <c r="AN77" s="1036">
        <f t="shared" ref="AN77:AN85" si="153">IF(AM77="Structure",N77,0)</f>
        <v>0</v>
      </c>
      <c r="AO77" s="1037">
        <f t="shared" ref="AO77:AO85" si="154">IF(AM77="Structure",P77,0)</f>
        <v>0</v>
      </c>
      <c r="AP77" s="1037">
        <f t="shared" ref="AP77:AP85" si="155">IF(AM77="Structure",Q77,0)</f>
        <v>0</v>
      </c>
      <c r="AQ77" s="1038">
        <f t="shared" ref="AQ77:AQ85" si="156">IF(AM77="Structure",S77,0)</f>
        <v>0</v>
      </c>
      <c r="AR77" s="1038">
        <f t="shared" ref="AR77:AR85" si="157">IF(AM77="Structure",T77,0)</f>
        <v>0</v>
      </c>
      <c r="AS77" s="1036">
        <f t="shared" ref="AS77:AS85" si="158">IF(AM77="Insulation",N77,0)</f>
        <v>0</v>
      </c>
      <c r="AT77" s="1037">
        <f t="shared" ref="AT77:AT85" si="159">IF(AM77="Insulation",P77,0)</f>
        <v>0</v>
      </c>
      <c r="AU77" s="1037">
        <f t="shared" ref="AU77:AU85" si="160">IF(AM77="Insulation",Q77,0)</f>
        <v>0</v>
      </c>
      <c r="AV77" s="1038">
        <f t="shared" ref="AV77:AV85" si="161">IF(AM77="Insulation",S77,0)</f>
        <v>0</v>
      </c>
      <c r="AW77" s="1038">
        <f t="shared" ref="AW77:AW85" si="162">IF(AM77="Insulation",T77,0)</f>
        <v>0</v>
      </c>
      <c r="AX77" s="1036">
        <f t="shared" ref="AX77:AX85" si="163">IF(AM77="Revêtement",N77,0)</f>
        <v>0.55370447943101375</v>
      </c>
      <c r="AY77" s="1037">
        <f t="shared" ref="AY77:AY85" si="164">IF(AM77="Revêtement",P77,0)</f>
        <v>0.58239037414852413</v>
      </c>
      <c r="AZ77" s="1037">
        <f t="shared" ref="AZ77:AZ85" si="165">IF(AM77="Revêtement",Q77,0)</f>
        <v>2.8685894717510353E-2</v>
      </c>
      <c r="BA77" s="1037">
        <f t="shared" ref="BA77:BA85" si="166">IF(AM77="Revêtement",S77,0)</f>
        <v>0</v>
      </c>
      <c r="BB77" s="1038">
        <f t="shared" ref="BB77:BB85" si="167">IF(AM77="Revêtement",T77,0)</f>
        <v>0</v>
      </c>
      <c r="BC77" s="1036"/>
      <c r="BD77" s="1037"/>
      <c r="BE77" s="1037"/>
      <c r="BF77" s="1038"/>
      <c r="BG77" s="1036">
        <f t="shared" ref="BG77:BG85" si="168">IF($AM77="Structure", IF($I77="kg",$J77,0), 0)</f>
        <v>0</v>
      </c>
      <c r="BH77" s="1037">
        <f t="shared" ref="BH77:BH85" si="169">IF($AM77="Insulation", IF($I77="kg",$J77,0), 0)</f>
        <v>0</v>
      </c>
      <c r="BI77" s="1038">
        <f t="shared" ref="BI77:BI85" si="170">IF($AM77="Revêtement", IF($I77="kg",$J77,0), 0)</f>
        <v>1997.8725000000002</v>
      </c>
      <c r="BJ77" s="1037">
        <f>_xlfn.XLOOKUP(H77, 'Baumaterialien Matériaux'!A:A, 'Baumaterialien Matériaux'!E:E, "-", 0, 1)</f>
        <v>1550</v>
      </c>
      <c r="BK77" s="1036">
        <f t="shared" si="22"/>
        <v>0</v>
      </c>
      <c r="BL77" s="1037">
        <f t="shared" si="23"/>
        <v>0</v>
      </c>
      <c r="BM77" s="1038">
        <f t="shared" si="24"/>
        <v>1.28895</v>
      </c>
      <c r="BN77" s="1037">
        <f>IFERROR((J77*VLOOKUP(H77, 'Baumaterialien Matériaux'!$A$11:$AH$318, 33,FALSE)),0)/$G$1</f>
        <v>0.20791714388273008</v>
      </c>
      <c r="BO77" s="1037">
        <f>(BN77+BP77)*($L$2/L77-1)</f>
        <v>0.21518868463670363</v>
      </c>
      <c r="BP77" s="1037">
        <f>IFERROR((J77*VLOOKUP(H77, 'Baumaterialien Matériaux'!$A$11:$AH$318, 34,FALSE)),0)/$G$1</f>
        <v>7.2715407539735537E-3</v>
      </c>
      <c r="BQ77" s="1037">
        <f t="shared" si="151"/>
        <v>0.25348837209302322</v>
      </c>
      <c r="BR77" s="1037">
        <f t="shared" si="143"/>
        <v>0.58239037414852413</v>
      </c>
    </row>
    <row r="78" spans="1:70">
      <c r="B78" s="1103"/>
      <c r="C78" s="1099"/>
      <c r="D78" s="478"/>
      <c r="E78" s="478"/>
      <c r="F78" s="638" t="s">
        <v>3034</v>
      </c>
      <c r="G78" s="478" t="str">
        <f>_xlfn.XLOOKUP(H78, 'Baumaterialien Matériaux'!A:A, 'Baumaterialien Matériaux'!AD:AD, "-", 0, 1)</f>
        <v>Polystyrène expansé (EPS)</v>
      </c>
      <c r="H78" s="892" t="s">
        <v>118</v>
      </c>
      <c r="I78" s="641" t="str">
        <f>_xlfn.XLOOKUP(H78, 'Baumaterialien Matériaux'!A:A, 'Baumaterialien Matériaux'!F:F, "-", 0, 1)</f>
        <v>kg</v>
      </c>
      <c r="J78" s="649">
        <f>$J$76*K78</f>
        <v>335.12700000000007</v>
      </c>
      <c r="K78" s="893">
        <f>0.26*15</f>
        <v>3.9000000000000004</v>
      </c>
      <c r="L78" s="647">
        <v>30</v>
      </c>
      <c r="M78" s="648">
        <f t="shared" ref="M78" si="171">SUM(N78:Q78)</f>
        <v>6.4120399024976624</v>
      </c>
      <c r="N78" s="720">
        <f>IFERROR(($J78*VLOOKUP($H78, 'Baumaterialien Matériaux'!$A$11:$AD$318, 26,FALSE)),0)/$G$1</f>
        <v>1.6822745759316149</v>
      </c>
      <c r="O78" s="720">
        <f>IFERROR(($J78*VLOOKUP($H78, 'Baumaterialien Matériaux'!$A$11:$AH$318, 33,FALSE)),0)/$G$1</f>
        <v>0.74228966875918267</v>
      </c>
      <c r="P78" s="720">
        <f t="shared" ref="P78" si="172">IFERROR((N78+Q78)*($L$2/L78-1),0)</f>
        <v>2.8348751168692403</v>
      </c>
      <c r="Q78" s="720">
        <f>IFERROR(($J78*VLOOKUP($H78, 'Baumaterialien Matériaux'!$A$11:$AD$318, 27,FALSE)),0)/$G$1</f>
        <v>1.1526005409376254</v>
      </c>
      <c r="R78" s="720">
        <f>IFERROR(($J78*VLOOKUP($H78, 'Baumaterialien Matériaux'!$A$11:$AH$318, 34,FALSE)),0)/$G$1</f>
        <v>0.26334497796180045</v>
      </c>
      <c r="S78" s="720">
        <f>IFERROR((J78*VLOOKUP(H78, 'Baumaterialien Matériaux'!$A$11:$AD$318, 29,FALSE)),0)/$G$1</f>
        <v>0</v>
      </c>
      <c r="T78" s="720"/>
      <c r="V78" s="638">
        <f t="shared" si="138"/>
        <v>0</v>
      </c>
      <c r="W78" s="638">
        <f t="shared" si="103"/>
        <v>0</v>
      </c>
      <c r="X78" s="638" t="str">
        <f t="shared" si="10"/>
        <v>Revêtement</v>
      </c>
      <c r="Z78" s="638">
        <f t="shared" si="142"/>
        <v>30</v>
      </c>
      <c r="AA78" s="648" t="s">
        <v>3443</v>
      </c>
      <c r="AB78" t="str">
        <f>_xlfn.XLOOKUP($H78,'[1]Baumaterialien Matériaux'!$A:$A,'[1]Baumaterialien Matériaux'!AK:AK,0,0)</f>
        <v>oil_product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622" cm="1">
        <f t="array" ref="AD78">IFERROR(_xlfn.SWITCH(I78,"kg",1,"m3",AC78,AC78)*J78/(_xlfn.XLOOKUP(AA78,Métrés!A:A,Métrés!C:C,0)),0)</f>
        <v>0.55566480409875496</v>
      </c>
      <c r="AE78" s="1092">
        <f>IFERROR(N78*$G$1/(_xlfn.XLOOKUP($AA78,Métrés!$A:$A,Métrés!$C:$C,0)),0)</f>
        <v>2.5060482664853847</v>
      </c>
      <c r="AF78" s="1092">
        <f>IFERROR(O78*$G$1/(_xlfn.XLOOKUP($AA78,Métrés!$A:$A,Métrés!$C:$C,0)),0)</f>
        <v>1.1057729601565225</v>
      </c>
      <c r="AG78" s="1092">
        <f>IFERROR(Q78*$G$1/(_xlfn.XLOOKUP($AA78,Métrés!$A:$A,Métrés!$C:$C,0)),0)</f>
        <v>1.717004244665153</v>
      </c>
      <c r="AH78" s="1092">
        <f>IFERROR(R78*$G$1/(_xlfn.XLOOKUP($AA78,Métrés!$A:$A,Métrés!$C:$C,0)),0)</f>
        <v>0.39229935169372099</v>
      </c>
      <c r="AI78" s="1092">
        <f>IFERROR(S78*$G$1/(_xlfn.XLOOKUP($AA78,Métrés!$A:$A,Métrés!$C:$C,0)),0)</f>
        <v>0</v>
      </c>
      <c r="AJ78" s="1022"/>
      <c r="AK78" s="638">
        <f t="shared" si="152"/>
        <v>0</v>
      </c>
      <c r="AL78" s="638">
        <f>IF(L78=60, 0, S78)</f>
        <v>0</v>
      </c>
      <c r="AM78" s="638" t="s">
        <v>3388</v>
      </c>
      <c r="AN78" s="1036">
        <f t="shared" si="153"/>
        <v>0</v>
      </c>
      <c r="AO78" s="1037">
        <f t="shared" si="154"/>
        <v>0</v>
      </c>
      <c r="AP78" s="1037">
        <f t="shared" si="155"/>
        <v>0</v>
      </c>
      <c r="AQ78" s="1038">
        <f t="shared" si="156"/>
        <v>0</v>
      </c>
      <c r="AR78" s="1038">
        <f t="shared" si="157"/>
        <v>0</v>
      </c>
      <c r="AS78" s="1036">
        <f t="shared" si="158"/>
        <v>1.6822745759316149</v>
      </c>
      <c r="AT78" s="1037">
        <f t="shared" si="159"/>
        <v>2.8348751168692403</v>
      </c>
      <c r="AU78" s="1037">
        <f t="shared" si="160"/>
        <v>1.1526005409376254</v>
      </c>
      <c r="AV78" s="1038">
        <f t="shared" si="161"/>
        <v>0</v>
      </c>
      <c r="AW78" s="1038">
        <f t="shared" si="162"/>
        <v>0</v>
      </c>
      <c r="AX78" s="1036">
        <f t="shared" si="163"/>
        <v>0</v>
      </c>
      <c r="AY78" s="1037">
        <f t="shared" si="164"/>
        <v>0</v>
      </c>
      <c r="AZ78" s="1037">
        <f t="shared" si="165"/>
        <v>0</v>
      </c>
      <c r="BA78" s="1037">
        <f t="shared" si="166"/>
        <v>0</v>
      </c>
      <c r="BB78" s="1038">
        <f t="shared" si="167"/>
        <v>0</v>
      </c>
      <c r="BC78" s="1036"/>
      <c r="BD78" s="1037"/>
      <c r="BE78" s="1037"/>
      <c r="BF78" s="1038"/>
      <c r="BG78" s="1036">
        <f t="shared" si="168"/>
        <v>0</v>
      </c>
      <c r="BH78" s="1037">
        <f t="shared" si="169"/>
        <v>335.12700000000007</v>
      </c>
      <c r="BI78" s="1038">
        <f t="shared" si="170"/>
        <v>0</v>
      </c>
      <c r="BJ78" s="1037">
        <v>15</v>
      </c>
      <c r="BK78" s="1036">
        <f t="shared" si="22"/>
        <v>0</v>
      </c>
      <c r="BL78" s="1037">
        <f t="shared" si="23"/>
        <v>22.341800000000003</v>
      </c>
      <c r="BM78" s="1038">
        <f t="shared" si="24"/>
        <v>0</v>
      </c>
      <c r="BN78" s="1037">
        <f>IFERROR((J78*VLOOKUP(H78, 'Baumaterialien Matériaux'!$A$11:$AH$318, 33,FALSE)),0)/$G$1</f>
        <v>0.74228966875918267</v>
      </c>
      <c r="BO78" s="1037">
        <f>(BN78+BP78)*($L$2/L78-1)</f>
        <v>1.0056346467209831</v>
      </c>
      <c r="BP78" s="1037">
        <f>IFERROR((J78*VLOOKUP(H78, 'Baumaterialien Matériaux'!$A$11:$AH$318, 34,FALSE)),0)/$G$1</f>
        <v>0.26334497796180045</v>
      </c>
      <c r="BQ78" s="1037">
        <f t="shared" si="151"/>
        <v>0.22847896440129445</v>
      </c>
      <c r="BR78" s="1037">
        <f t="shared" si="143"/>
        <v>2.8348751168692403</v>
      </c>
    </row>
    <row r="79" spans="1:70">
      <c r="B79" s="1103"/>
      <c r="C79" s="1099"/>
      <c r="D79" s="478"/>
      <c r="E79" s="478"/>
      <c r="F79" s="454"/>
      <c r="G79" s="478"/>
      <c r="H79" s="478"/>
      <c r="I79" s="641"/>
      <c r="J79" s="649"/>
      <c r="K79" s="647"/>
      <c r="L79" s="647"/>
      <c r="M79" s="648"/>
      <c r="N79" s="720"/>
      <c r="O79" s="720"/>
      <c r="P79" s="720"/>
      <c r="Q79" s="720"/>
      <c r="R79" s="720"/>
      <c r="S79" s="720"/>
      <c r="T79" s="720"/>
      <c r="V79" s="638">
        <f t="shared" si="138"/>
        <v>0</v>
      </c>
      <c r="W79" s="638">
        <f t="shared" si="103"/>
        <v>0</v>
      </c>
      <c r="X79" s="638">
        <f t="shared" si="10"/>
        <v>0</v>
      </c>
      <c r="Z79" s="638">
        <f t="shared" si="142"/>
        <v>0</v>
      </c>
      <c r="AA79" s="648" t="s">
        <v>3443</v>
      </c>
      <c r="AB79">
        <f>_xlfn.XLOOKUP($H79,'[1]Baumaterialien Matériaux'!$A:$A,'[1]Baumaterialien Matériaux'!AK:AK,0,0)</f>
        <v>0</v>
      </c>
      <c r="AC79" t="str" cm="1">
        <f t="array" ref="AC79">_xlfn.SWITCH(I79,"kg"," ",0," ",_xlfn.XLOOKUP(H79, '[1]Baumaterialien Matériaux'!$A:$A, '[1]Baumaterialien Matériaux'!$AL:$AL, "-", 0, 1))</f>
        <v xml:space="preserve"> </v>
      </c>
      <c r="AD79" s="622" cm="1">
        <f t="array" ref="AD79">IFERROR(_xlfn.SWITCH(I79,"kg",1,"m3",AC79,AC79)*J79/(_xlfn.XLOOKUP(AA79,Métrés!A:A,Métrés!C:C,0)),0)</f>
        <v>0</v>
      </c>
      <c r="AE79" s="1092">
        <f>IFERROR(N79*$G$1/(_xlfn.XLOOKUP($AA79,Métrés!$A:$A,Métrés!$C:$C,0)),0)</f>
        <v>0</v>
      </c>
      <c r="AF79" s="1092">
        <f>IFERROR(O79*$G$1/(_xlfn.XLOOKUP($AA79,Métrés!$A:$A,Métrés!$C:$C,0)),0)</f>
        <v>0</v>
      </c>
      <c r="AG79" s="1092">
        <f>IFERROR(Q79*$G$1/(_xlfn.XLOOKUP($AA79,Métrés!$A:$A,Métrés!$C:$C,0)),0)</f>
        <v>0</v>
      </c>
      <c r="AH79" s="1092">
        <f>IFERROR(R79*$G$1/(_xlfn.XLOOKUP($AA79,Métrés!$A:$A,Métrés!$C:$C,0)),0)</f>
        <v>0</v>
      </c>
      <c r="AI79" s="1092">
        <f>IFERROR(S79*$G$1/(_xlfn.XLOOKUP($AA79,Métrés!$A:$A,Métrés!$C:$C,0)),0)</f>
        <v>0</v>
      </c>
      <c r="AJ79" s="1022"/>
      <c r="AK79" s="638">
        <f t="shared" si="152"/>
        <v>0</v>
      </c>
      <c r="AL79" s="638">
        <f>IF(L79=60, 0, S79)</f>
        <v>0</v>
      </c>
      <c r="AM79" s="638">
        <f t="shared" ref="AM79:AM85" si="173">IF(L79=$L$2, "Structure", IF(L79&gt;0,"Revêtement",0))</f>
        <v>0</v>
      </c>
      <c r="AN79" s="1036">
        <f t="shared" si="153"/>
        <v>0</v>
      </c>
      <c r="AO79" s="1037">
        <f t="shared" si="154"/>
        <v>0</v>
      </c>
      <c r="AP79" s="1037">
        <f t="shared" si="155"/>
        <v>0</v>
      </c>
      <c r="AQ79" s="1038">
        <f t="shared" si="156"/>
        <v>0</v>
      </c>
      <c r="AR79" s="1038">
        <f t="shared" si="157"/>
        <v>0</v>
      </c>
      <c r="AS79" s="1036">
        <f t="shared" si="158"/>
        <v>0</v>
      </c>
      <c r="AT79" s="1037">
        <f t="shared" si="159"/>
        <v>0</v>
      </c>
      <c r="AU79" s="1037">
        <f t="shared" si="160"/>
        <v>0</v>
      </c>
      <c r="AV79" s="1038">
        <f t="shared" si="161"/>
        <v>0</v>
      </c>
      <c r="AW79" s="1038">
        <f t="shared" si="162"/>
        <v>0</v>
      </c>
      <c r="AX79" s="1036">
        <f t="shared" si="163"/>
        <v>0</v>
      </c>
      <c r="AY79" s="1037">
        <f t="shared" si="164"/>
        <v>0</v>
      </c>
      <c r="AZ79" s="1037">
        <f t="shared" si="165"/>
        <v>0</v>
      </c>
      <c r="BA79" s="1037">
        <f t="shared" si="166"/>
        <v>0</v>
      </c>
      <c r="BB79" s="1038">
        <f t="shared" si="167"/>
        <v>0</v>
      </c>
      <c r="BC79" s="1036"/>
      <c r="BD79" s="1037"/>
      <c r="BE79" s="1037"/>
      <c r="BF79" s="1038"/>
      <c r="BG79" s="1036">
        <f t="shared" si="168"/>
        <v>0</v>
      </c>
      <c r="BH79" s="1037">
        <f t="shared" si="169"/>
        <v>0</v>
      </c>
      <c r="BI79" s="1038">
        <f t="shared" si="170"/>
        <v>0</v>
      </c>
      <c r="BJ79" s="1037">
        <f>_xlfn.XLOOKUP(H79, 'Baumaterialien Matériaux'!A:A, 'Baumaterialien Matériaux'!E:E, "-", 0, 1)</f>
        <v>0</v>
      </c>
      <c r="BK79" s="1036">
        <f t="shared" si="22"/>
        <v>0</v>
      </c>
      <c r="BL79" s="1037">
        <f t="shared" si="23"/>
        <v>0</v>
      </c>
      <c r="BM79" s="1038">
        <f t="shared" si="24"/>
        <v>0</v>
      </c>
      <c r="BN79" s="1037">
        <f>IFERROR((J79*VLOOKUP(H79, 'Baumaterialien Matériaux'!$A$11:$AH$318, 33,FALSE)),0)/$G$1</f>
        <v>0</v>
      </c>
      <c r="BO79" s="1037"/>
      <c r="BP79" s="1037">
        <f>IFERROR((J79*VLOOKUP(H79, 'Baumaterialien Matériaux'!$A$11:$AH$318, 34,FALSE)),0)/$G$1</f>
        <v>0</v>
      </c>
      <c r="BQ79" s="1037" t="e">
        <f t="shared" si="151"/>
        <v>#DIV/0!</v>
      </c>
      <c r="BR79" s="1037">
        <f t="shared" si="143"/>
        <v>0</v>
      </c>
    </row>
    <row r="80" spans="1:70">
      <c r="B80" s="1103"/>
      <c r="C80" s="1099"/>
      <c r="D80" s="478"/>
      <c r="E80" s="478"/>
      <c r="F80" s="454"/>
      <c r="G80" s="478"/>
      <c r="H80" s="478"/>
      <c r="I80" s="641"/>
      <c r="J80" s="649"/>
      <c r="K80" s="647"/>
      <c r="L80" s="647"/>
      <c r="M80" s="648"/>
      <c r="N80" s="720"/>
      <c r="O80" s="720"/>
      <c r="P80" s="720"/>
      <c r="Q80" s="720"/>
      <c r="R80" s="720"/>
      <c r="S80" s="720"/>
      <c r="T80" s="720"/>
      <c r="V80" s="638">
        <f t="shared" si="138"/>
        <v>0</v>
      </c>
      <c r="W80" s="638">
        <f t="shared" si="103"/>
        <v>0</v>
      </c>
      <c r="X80" s="638">
        <f t="shared" si="10"/>
        <v>0</v>
      </c>
      <c r="Z80" s="638">
        <f t="shared" si="142"/>
        <v>0</v>
      </c>
      <c r="AA80" s="648" t="s">
        <v>3443</v>
      </c>
      <c r="AB80">
        <f>_xlfn.XLOOKUP($H80,'[1]Baumaterialien Matériaux'!$A:$A,'[1]Baumaterialien Matériaux'!AK:AK,0,0)</f>
        <v>0</v>
      </c>
      <c r="AC80" t="str" cm="1">
        <f t="array" ref="AC80">_xlfn.SWITCH(I80,"kg"," ",0," ",_xlfn.XLOOKUP(H80, '[1]Baumaterialien Matériaux'!$A:$A, '[1]Baumaterialien Matériaux'!$AL:$AL, "-", 0, 1))</f>
        <v xml:space="preserve"> </v>
      </c>
      <c r="AD80" s="622" cm="1">
        <f t="array" ref="AD80">IFERROR(_xlfn.SWITCH(I80,"kg",1,"m3",AC80,AC80)*J80/(_xlfn.XLOOKUP(AA80,Métrés!A:A,Métrés!C:C,0)),0)</f>
        <v>0</v>
      </c>
      <c r="AE80" s="1092">
        <f>IFERROR(N80*$G$1/(_xlfn.XLOOKUP($AA80,Métrés!$A:$A,Métrés!$C:$C,0)),0)</f>
        <v>0</v>
      </c>
      <c r="AF80" s="1092">
        <f>IFERROR(O80*$G$1/(_xlfn.XLOOKUP($AA80,Métrés!$A:$A,Métrés!$C:$C,0)),0)</f>
        <v>0</v>
      </c>
      <c r="AG80" s="1092">
        <f>IFERROR(Q80*$G$1/(_xlfn.XLOOKUP($AA80,Métrés!$A:$A,Métrés!$C:$C,0)),0)</f>
        <v>0</v>
      </c>
      <c r="AH80" s="1092">
        <f>IFERROR(R80*$G$1/(_xlfn.XLOOKUP($AA80,Métrés!$A:$A,Métrés!$C:$C,0)),0)</f>
        <v>0</v>
      </c>
      <c r="AI80" s="1092">
        <f>IFERROR(S80*$G$1/(_xlfn.XLOOKUP($AA80,Métrés!$A:$A,Métrés!$C:$C,0)),0)</f>
        <v>0</v>
      </c>
      <c r="AJ80" s="1022"/>
      <c r="AK80" s="638">
        <f t="shared" si="152"/>
        <v>0</v>
      </c>
      <c r="AL80" s="638">
        <f>IF(L80=60, 0, S80)</f>
        <v>0</v>
      </c>
      <c r="AM80" s="638">
        <f t="shared" si="173"/>
        <v>0</v>
      </c>
      <c r="AN80" s="1036">
        <f t="shared" si="153"/>
        <v>0</v>
      </c>
      <c r="AO80" s="1037">
        <f t="shared" si="154"/>
        <v>0</v>
      </c>
      <c r="AP80" s="1037">
        <f t="shared" si="155"/>
        <v>0</v>
      </c>
      <c r="AQ80" s="1038">
        <f t="shared" si="156"/>
        <v>0</v>
      </c>
      <c r="AR80" s="1038">
        <f t="shared" si="157"/>
        <v>0</v>
      </c>
      <c r="AS80" s="1036">
        <f t="shared" si="158"/>
        <v>0</v>
      </c>
      <c r="AT80" s="1037">
        <f t="shared" si="159"/>
        <v>0</v>
      </c>
      <c r="AU80" s="1037">
        <f t="shared" si="160"/>
        <v>0</v>
      </c>
      <c r="AV80" s="1038">
        <f t="shared" si="161"/>
        <v>0</v>
      </c>
      <c r="AW80" s="1038">
        <f t="shared" si="162"/>
        <v>0</v>
      </c>
      <c r="AX80" s="1036">
        <f t="shared" si="163"/>
        <v>0</v>
      </c>
      <c r="AY80" s="1037">
        <f t="shared" si="164"/>
        <v>0</v>
      </c>
      <c r="AZ80" s="1037">
        <f t="shared" si="165"/>
        <v>0</v>
      </c>
      <c r="BA80" s="1037">
        <f t="shared" si="166"/>
        <v>0</v>
      </c>
      <c r="BB80" s="1038">
        <f t="shared" si="167"/>
        <v>0</v>
      </c>
      <c r="BC80" s="1036"/>
      <c r="BD80" s="1037"/>
      <c r="BE80" s="1037"/>
      <c r="BF80" s="1038"/>
      <c r="BG80" s="1036">
        <f t="shared" si="168"/>
        <v>0</v>
      </c>
      <c r="BH80" s="1037">
        <f t="shared" si="169"/>
        <v>0</v>
      </c>
      <c r="BI80" s="1038">
        <f t="shared" si="170"/>
        <v>0</v>
      </c>
      <c r="BJ80" s="1037">
        <f>_xlfn.XLOOKUP(H80, 'Baumaterialien Matériaux'!A:A, 'Baumaterialien Matériaux'!E:E, "-", 0, 1)</f>
        <v>0</v>
      </c>
      <c r="BK80" s="1036">
        <f t="shared" si="22"/>
        <v>0</v>
      </c>
      <c r="BL80" s="1037">
        <f t="shared" si="23"/>
        <v>0</v>
      </c>
      <c r="BM80" s="1038">
        <f t="shared" si="24"/>
        <v>0</v>
      </c>
      <c r="BN80" s="1037">
        <f>IFERROR((J80*VLOOKUP(H80, 'Baumaterialien Matériaux'!$A$11:$AH$318, 33,FALSE)),0)/$G$1</f>
        <v>0</v>
      </c>
      <c r="BO80" s="1037"/>
      <c r="BP80" s="1037">
        <f>IFERROR((J80*VLOOKUP(H80, 'Baumaterialien Matériaux'!$A$11:$AH$318, 34,FALSE)),0)/$G$1</f>
        <v>0</v>
      </c>
      <c r="BQ80" s="1037" t="e">
        <f t="shared" si="151"/>
        <v>#DIV/0!</v>
      </c>
      <c r="BR80" s="1037">
        <f t="shared" si="143"/>
        <v>0</v>
      </c>
    </row>
    <row r="81" spans="2:70" ht="15.75" customHeight="1">
      <c r="B81" s="1103"/>
      <c r="C81" s="1097" t="s">
        <v>120</v>
      </c>
      <c r="D81" s="473" t="s">
        <v>2995</v>
      </c>
      <c r="E81" s="473"/>
      <c r="F81" s="473"/>
      <c r="G81" s="473"/>
      <c r="H81" s="473"/>
      <c r="I81" s="463"/>
      <c r="J81" s="654"/>
      <c r="K81" s="652"/>
      <c r="L81" s="652"/>
      <c r="M81" s="653">
        <f ca="1">M82+M86</f>
        <v>84.670493991065982</v>
      </c>
      <c r="N81" s="653">
        <f>N82+N86</f>
        <v>28.488468100262676</v>
      </c>
      <c r="O81" s="653">
        <f>O82+O86</f>
        <v>21.482978778030066</v>
      </c>
      <c r="P81" s="653">
        <f t="shared" ref="P81:Q81" ca="1" si="174">P82+P86</f>
        <v>31.593757606517961</v>
      </c>
      <c r="Q81" s="653">
        <f t="shared" si="174"/>
        <v>3.1052895062552865</v>
      </c>
      <c r="R81" s="653">
        <f t="shared" ref="R81" si="175">R82+R86</f>
        <v>3.8207145268210714</v>
      </c>
      <c r="S81" s="653">
        <f>S82+S86</f>
        <v>5.5169857382425826</v>
      </c>
      <c r="T81" s="653">
        <f>T82+T86</f>
        <v>5.516985738242583E-2</v>
      </c>
      <c r="V81" s="638">
        <f t="shared" si="138"/>
        <v>5.516985738242583E-2</v>
      </c>
      <c r="W81" s="638">
        <f t="shared" si="103"/>
        <v>5.5169857382425826</v>
      </c>
      <c r="X81" s="638">
        <f t="shared" si="10"/>
        <v>0</v>
      </c>
      <c r="Z81" s="638">
        <f t="shared" si="142"/>
        <v>0</v>
      </c>
      <c r="AB81">
        <f>_xlfn.XLOOKUP($H81,'[1]Baumaterialien Matériaux'!$A:$A,'[1]Baumaterialien Matériaux'!AK:AK,0,0)</f>
        <v>0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622" cm="1">
        <f t="array" ref="AD81">IFERROR(_xlfn.SWITCH(I81,"kg",1,"m3",AC81,AC81)*J81/(_xlfn.XLOOKUP(AA81,Métrés!A:A,Métrés!C:C,0)),0)</f>
        <v>0</v>
      </c>
      <c r="AE81" s="1092">
        <f>IFERROR(N81*$G$1/(_xlfn.XLOOKUP($AA81,Métrés!$A:$A,Métrés!$C:$C,0)),0)</f>
        <v>0</v>
      </c>
      <c r="AF81" s="1092">
        <f>IFERROR(O81*$G$1/(_xlfn.XLOOKUP($AA81,Métrés!$A:$A,Métrés!$C:$C,0)),0)</f>
        <v>0</v>
      </c>
      <c r="AG81" s="1092">
        <f>IFERROR(Q81*$G$1/(_xlfn.XLOOKUP($AA81,Métrés!$A:$A,Métrés!$C:$C,0)),0)</f>
        <v>0</v>
      </c>
      <c r="AH81" s="1092">
        <f>IFERROR(R81*$G$1/(_xlfn.XLOOKUP($AA81,Métrés!$A:$A,Métrés!$C:$C,0)),0)</f>
        <v>0</v>
      </c>
      <c r="AI81" s="1092">
        <f>IFERROR(S81*$G$1/(_xlfn.XLOOKUP($AA81,Métrés!$A:$A,Métrés!$C:$C,0)),0)</f>
        <v>0</v>
      </c>
      <c r="AJ81" s="1022"/>
      <c r="AK81" s="638">
        <f t="shared" si="152"/>
        <v>5.516985738242583E-2</v>
      </c>
      <c r="AM81" s="638">
        <f t="shared" si="173"/>
        <v>0</v>
      </c>
      <c r="AN81" s="1036">
        <f t="shared" si="153"/>
        <v>0</v>
      </c>
      <c r="AO81" s="1037">
        <f t="shared" si="154"/>
        <v>0</v>
      </c>
      <c r="AP81" s="1037">
        <f t="shared" si="155"/>
        <v>0</v>
      </c>
      <c r="AQ81" s="1038">
        <f t="shared" si="156"/>
        <v>0</v>
      </c>
      <c r="AR81" s="1038">
        <f t="shared" si="157"/>
        <v>0</v>
      </c>
      <c r="AS81" s="1036">
        <f t="shared" si="158"/>
        <v>0</v>
      </c>
      <c r="AT81" s="1037">
        <f t="shared" si="159"/>
        <v>0</v>
      </c>
      <c r="AU81" s="1037">
        <f t="shared" si="160"/>
        <v>0</v>
      </c>
      <c r="AV81" s="1038">
        <f t="shared" si="161"/>
        <v>0</v>
      </c>
      <c r="AW81" s="1038">
        <f t="shared" si="162"/>
        <v>0</v>
      </c>
      <c r="AX81" s="1036">
        <f t="shared" si="163"/>
        <v>0</v>
      </c>
      <c r="AY81" s="1037">
        <f t="shared" si="164"/>
        <v>0</v>
      </c>
      <c r="AZ81" s="1037">
        <f t="shared" si="165"/>
        <v>0</v>
      </c>
      <c r="BA81" s="1037">
        <f t="shared" si="166"/>
        <v>0</v>
      </c>
      <c r="BB81" s="1038">
        <f t="shared" si="167"/>
        <v>0</v>
      </c>
      <c r="BC81" s="1036"/>
      <c r="BD81" s="1037"/>
      <c r="BE81" s="1037"/>
      <c r="BF81" s="1038"/>
      <c r="BG81" s="1036">
        <f t="shared" si="168"/>
        <v>0</v>
      </c>
      <c r="BH81" s="1037">
        <f t="shared" si="169"/>
        <v>0</v>
      </c>
      <c r="BI81" s="1038">
        <f t="shared" si="170"/>
        <v>0</v>
      </c>
      <c r="BJ81" s="1037">
        <f>_xlfn.XLOOKUP(H81, 'Baumaterialien Matériaux'!A:A, 'Baumaterialien Matériaux'!E:E, "-", 0, 1)</f>
        <v>0</v>
      </c>
      <c r="BK81" s="1036">
        <f t="shared" ref="BK81:BK143" si="176">IFERROR(BG81/$BJ81,0)</f>
        <v>0</v>
      </c>
      <c r="BL81" s="1037">
        <f t="shared" ref="BL81:BL143" si="177">IFERROR(BH81/$BJ81,0)</f>
        <v>0</v>
      </c>
      <c r="BM81" s="1038">
        <f t="shared" ref="BM81:BM143" si="178">IFERROR(BI81/$BJ81,0)</f>
        <v>0</v>
      </c>
      <c r="BN81" s="1037">
        <f>IFERROR((J81*VLOOKUP(H81, 'Baumaterialien Matériaux'!$A$11:$AH$318, 33,FALSE)),0)/$G$1</f>
        <v>0</v>
      </c>
      <c r="BO81" s="1037"/>
      <c r="BP81" s="1037">
        <f>IFERROR((J81*VLOOKUP(H81, 'Baumaterialien Matériaux'!$A$11:$AH$318, 34,FALSE)),0)/$G$1</f>
        <v>0</v>
      </c>
      <c r="BQ81" s="1037">
        <f t="shared" si="151"/>
        <v>0</v>
      </c>
      <c r="BR81" s="1037"/>
    </row>
    <row r="82" spans="2:70">
      <c r="B82" s="1103"/>
      <c r="C82" s="1098"/>
      <c r="D82" s="478"/>
      <c r="E82" s="479" t="str">
        <f>BillQuantities!E18</f>
        <v>Valeur moyenne triple vitrage isolant, y c. protection solaire</v>
      </c>
      <c r="F82" s="479" t="s">
        <v>378</v>
      </c>
      <c r="G82" s="479"/>
      <c r="H82" s="479"/>
      <c r="I82" s="459" t="s">
        <v>39</v>
      </c>
      <c r="J82" s="662">
        <f>130.32+3.76</f>
        <v>134.07999999999998</v>
      </c>
      <c r="K82" s="663"/>
      <c r="L82" s="663"/>
      <c r="M82" s="664">
        <f ca="1">SUM(M83:M85)</f>
        <v>69.278352130359281</v>
      </c>
      <c r="N82" s="664">
        <f t="shared" ref="N82:S82" si="179">SUM(N83:N85)</f>
        <v>22.884588041494144</v>
      </c>
      <c r="O82" s="664">
        <f t="shared" ref="O82" si="180">SUM(O83:O85)</f>
        <v>18.749605004229551</v>
      </c>
      <c r="P82" s="664">
        <f t="shared" ca="1" si="179"/>
        <v>25.264373563064865</v>
      </c>
      <c r="Q82" s="664">
        <f t="shared" si="179"/>
        <v>2.3797855215707222</v>
      </c>
      <c r="R82" s="664">
        <f t="shared" ref="R82" si="181">SUM(R83:R85)</f>
        <v>3.4784965050532026</v>
      </c>
      <c r="S82" s="664">
        <f t="shared" si="179"/>
        <v>0</v>
      </c>
      <c r="T82" s="664">
        <f t="shared" ref="T82" si="182">SUM(T83:T85)</f>
        <v>0</v>
      </c>
      <c r="V82" s="638">
        <f t="shared" si="138"/>
        <v>0</v>
      </c>
      <c r="W82" s="638">
        <f t="shared" si="103"/>
        <v>0</v>
      </c>
      <c r="X82" s="638">
        <f t="shared" si="10"/>
        <v>0</v>
      </c>
      <c r="Z82" s="638">
        <f t="shared" si="142"/>
        <v>0</v>
      </c>
      <c r="AA82" s="648" t="s">
        <v>3444</v>
      </c>
      <c r="AB82">
        <f>_xlfn.XLOOKUP($H82,'[1]Baumaterialien Matériaux'!$A:$A,'[1]Baumaterialien Matériaux'!AK:AK,0,0)</f>
        <v>0</v>
      </c>
      <c r="AC82" cm="1">
        <f t="array" ref="AC82">_xlfn.SWITCH(I82,"kg"," ",0," ",_xlfn.XLOOKUP(H82, '[1]Baumaterialien Matériaux'!$A:$A, '[1]Baumaterialien Matériaux'!$AL:$AL, "-", 0, 1))</f>
        <v>0</v>
      </c>
      <c r="AD82" s="622" cm="1">
        <f t="array" ref="AD82">IFERROR(_xlfn.SWITCH(I82,"kg",1,"m3",AC82,AC82)*J82/(_xlfn.XLOOKUP(AA82,Métrés!A:A,Métrés!C:C,0)),0)</f>
        <v>0</v>
      </c>
      <c r="AE82" s="1092">
        <f>IFERROR(N82*$G$1/(_xlfn.XLOOKUP($AA82,Métrés!$A:$A,Métrés!$C:$C,0)),0)</f>
        <v>153.34449045346065</v>
      </c>
      <c r="AF82" s="1092">
        <f>IFERROR(O82*$G$1/(_xlfn.XLOOKUP($AA82,Métrés!$A:$A,Métrés!$C:$C,0)),0)</f>
        <v>125.63689677804295</v>
      </c>
      <c r="AG82" s="1092">
        <f>IFERROR(Q82*$G$1/(_xlfn.XLOOKUP($AA82,Métrés!$A:$A,Métrés!$C:$C,0)),0)</f>
        <v>15.946408890214796</v>
      </c>
      <c r="AH82" s="1092">
        <f>IFERROR(R82*$G$1/(_xlfn.XLOOKUP($AA82,Métrés!$A:$A,Métrés!$C:$C,0)),0)</f>
        <v>23.308624701670645</v>
      </c>
      <c r="AI82" s="1092">
        <f>IFERROR(S82*$G$1/(_xlfn.XLOOKUP($AA82,Métrés!$A:$A,Métrés!$C:$C,0)),0)</f>
        <v>0</v>
      </c>
      <c r="AJ82" s="1022"/>
      <c r="AK82" s="638">
        <f t="shared" si="152"/>
        <v>0</v>
      </c>
      <c r="AL82" s="638">
        <f>IF(L82=60, 0, S82)</f>
        <v>0</v>
      </c>
      <c r="AM82" s="638">
        <f t="shared" si="173"/>
        <v>0</v>
      </c>
      <c r="AN82" s="1036">
        <f t="shared" si="153"/>
        <v>0</v>
      </c>
      <c r="AO82" s="1037">
        <f t="shared" si="154"/>
        <v>0</v>
      </c>
      <c r="AP82" s="1037">
        <f t="shared" si="155"/>
        <v>0</v>
      </c>
      <c r="AQ82" s="1038">
        <f t="shared" si="156"/>
        <v>0</v>
      </c>
      <c r="AR82" s="1038">
        <f t="shared" si="157"/>
        <v>0</v>
      </c>
      <c r="AS82" s="1036">
        <f t="shared" si="158"/>
        <v>0</v>
      </c>
      <c r="AT82" s="1037">
        <f t="shared" si="159"/>
        <v>0</v>
      </c>
      <c r="AU82" s="1037">
        <f t="shared" si="160"/>
        <v>0</v>
      </c>
      <c r="AV82" s="1038">
        <f t="shared" si="161"/>
        <v>0</v>
      </c>
      <c r="AW82" s="1038">
        <f t="shared" si="162"/>
        <v>0</v>
      </c>
      <c r="AX82" s="1036">
        <f t="shared" si="163"/>
        <v>0</v>
      </c>
      <c r="AY82" s="1037">
        <f t="shared" si="164"/>
        <v>0</v>
      </c>
      <c r="AZ82" s="1037">
        <f t="shared" si="165"/>
        <v>0</v>
      </c>
      <c r="BA82" s="1037">
        <f t="shared" si="166"/>
        <v>0</v>
      </c>
      <c r="BB82" s="1038">
        <f t="shared" si="167"/>
        <v>0</v>
      </c>
      <c r="BC82" s="1036"/>
      <c r="BD82" s="1037"/>
      <c r="BE82" s="1037"/>
      <c r="BF82" s="1038"/>
      <c r="BG82" s="1036">
        <f t="shared" si="168"/>
        <v>0</v>
      </c>
      <c r="BH82" s="1037">
        <f t="shared" si="169"/>
        <v>0</v>
      </c>
      <c r="BI82" s="1038">
        <f t="shared" si="170"/>
        <v>0</v>
      </c>
      <c r="BJ82" s="1037">
        <f>_xlfn.XLOOKUP(H82, 'Baumaterialien Matériaux'!A:A, 'Baumaterialien Matériaux'!E:E, "-", 0, 1)</f>
        <v>0</v>
      </c>
      <c r="BK82" s="1036">
        <f t="shared" si="176"/>
        <v>0</v>
      </c>
      <c r="BL82" s="1037">
        <f t="shared" si="177"/>
        <v>0</v>
      </c>
      <c r="BM82" s="1038">
        <f t="shared" si="178"/>
        <v>0</v>
      </c>
      <c r="BN82" s="1037">
        <f>IFERROR((J82*VLOOKUP(H82, 'Baumaterialien Matériaux'!$A$11:$AH$318, 33,FALSE)),0)/$G$1</f>
        <v>0</v>
      </c>
      <c r="BO82" s="1037"/>
      <c r="BP82" s="1037">
        <f>IFERROR((J82*VLOOKUP(H82, 'Baumaterialien Matériaux'!$A$11:$AH$318, 34,FALSE)),0)/$G$1</f>
        <v>0</v>
      </c>
      <c r="BQ82" s="1037">
        <f t="shared" si="151"/>
        <v>0</v>
      </c>
      <c r="BR82" s="1037"/>
    </row>
    <row r="83" spans="2:70">
      <c r="B83" s="1103"/>
      <c r="C83" s="1099"/>
      <c r="D83" s="478"/>
      <c r="E83" s="478"/>
      <c r="F83" s="454" t="s">
        <v>122</v>
      </c>
      <c r="G83" s="478" t="str">
        <f>_xlfn.XLOOKUP(H83, 'Baumaterialien Matériaux'!A:A, 'Baumaterialien Matériaux'!AD:AD, "-", 0, 1)</f>
        <v>Cadre en matière synthétique (PVC) 2</v>
      </c>
      <c r="H83" s="892" t="s">
        <v>123</v>
      </c>
      <c r="I83" s="641" t="str">
        <f>_xlfn.XLOOKUP(H83, 'Baumaterialien Matériaux'!A:A, 'Baumaterialien Matériaux'!F:F, "-", 0, 1)</f>
        <v>m2</v>
      </c>
      <c r="J83" s="649">
        <f>$J$82*K83</f>
        <v>134.07999999999998</v>
      </c>
      <c r="K83" s="893">
        <v>1</v>
      </c>
      <c r="L83" s="647" cm="1">
        <f t="array" aca="1" ref="L83" ca="1">INDEX('Enveloppe du bâtiment hors terr'!N147:N151, 'Enveloppe du bâtiment hors terr'!W146)</f>
        <v>30</v>
      </c>
      <c r="M83" s="648">
        <f t="shared" ref="M83:M89" ca="1" si="183">SUM(N83:Q83)</f>
        <v>31.697822893014553</v>
      </c>
      <c r="N83" s="720">
        <f>IFERROR(($J83*VLOOKUP($H83, 'Baumaterialien Matériaux'!$A$11:$AD$318, 26,FALSE)),0)/$G$1</f>
        <v>7.9543030141133508</v>
      </c>
      <c r="O83" s="720">
        <f>IFERROR(($J83*VLOOKUP($H83, 'Baumaterialien Matériaux'!$A$11:$AH$318, 33,FALSE)),0)/$G$1</f>
        <v>12.744793197097188</v>
      </c>
      <c r="P83" s="720">
        <f ca="1">IFERROR((N83+Q83)*($L$2/L83-1),0)</f>
        <v>9.4765148479586827</v>
      </c>
      <c r="Q83" s="720">
        <f>IFERROR(($J83*VLOOKUP($H83, 'Baumaterialien Matériaux'!$A$11:$AD$318, 27,FALSE)),0)/$G$1</f>
        <v>1.5222118338453317</v>
      </c>
      <c r="R83" s="720">
        <f>IFERROR(($J83*VLOOKUP($H83, 'Baumaterialien Matériaux'!$A$11:$AH$318, 34,FALSE)),0)/$G$1</f>
        <v>2.7459507590935393</v>
      </c>
      <c r="S83" s="720">
        <f>IFERROR((J83*VLOOKUP(H83, 'Baumaterialien Matériaux'!$A$11:$AD$318, 29,FALSE)),0)/$G$1</f>
        <v>0</v>
      </c>
      <c r="T83" s="720"/>
      <c r="V83" s="638">
        <f t="shared" ca="1" si="138"/>
        <v>0</v>
      </c>
      <c r="W83" s="638">
        <f t="shared" ca="1" si="103"/>
        <v>0</v>
      </c>
      <c r="X83" s="638" t="str">
        <f t="shared" ca="1" si="10"/>
        <v>Revêtement</v>
      </c>
      <c r="Z83" s="638">
        <f t="shared" ca="1" si="142"/>
        <v>30</v>
      </c>
      <c r="AA83" s="648" t="s">
        <v>3444</v>
      </c>
      <c r="AB83" t="str">
        <f>_xlfn.XLOOKUP($H83,'[1]Baumaterialien Matériaux'!$A:$A,'[1]Baumaterialien Matériaux'!AK:AK,0,0)</f>
        <v>oil_product</v>
      </c>
      <c r="AC83" cm="1">
        <f t="array" ref="AC83">_xlfn.SWITCH(I83,"kg"," ",0," ",_xlfn.XLOOKUP(H83, '[1]Baumaterialien Matériaux'!$A:$A, '[1]Baumaterialien Matériaux'!$AL:$AL, "-", 0, 1))</f>
        <v>94.5</v>
      </c>
      <c r="AD83" s="622" cm="1">
        <f t="array" ref="AD83">IFERROR(_xlfn.SWITCH(I83,"kg",1,"m3",AC83,AC83)*J83/(_xlfn.XLOOKUP(AA83,Métrés!A:A,Métrés!C:C,0)),0)</f>
        <v>94.5</v>
      </c>
      <c r="AE83" s="1092">
        <f>IFERROR(N83*$G$1/(_xlfn.XLOOKUP($AA83,Métrés!$A:$A,Métrés!$C:$C,0)),0)</f>
        <v>53.3</v>
      </c>
      <c r="AF83" s="1092">
        <f>IFERROR(O83*$G$1/(_xlfn.XLOOKUP($AA83,Métrés!$A:$A,Métrés!$C:$C,0)),0)</f>
        <v>85.4</v>
      </c>
      <c r="AG83" s="1092">
        <f>IFERROR(Q83*$G$1/(_xlfn.XLOOKUP($AA83,Métrés!$A:$A,Métrés!$C:$C,0)),0)</f>
        <v>10.199999999999999</v>
      </c>
      <c r="AH83" s="1092">
        <f>IFERROR(R83*$G$1/(_xlfn.XLOOKUP($AA83,Métrés!$A:$A,Métrés!$C:$C,0)),0)</f>
        <v>18.399999999999999</v>
      </c>
      <c r="AI83" s="1092">
        <f>IFERROR(S83*$G$1/(_xlfn.XLOOKUP($AA83,Métrés!$A:$A,Métrés!$C:$C,0)),0)</f>
        <v>0</v>
      </c>
      <c r="AJ83" s="1022"/>
      <c r="AK83" s="638">
        <f t="shared" ca="1" si="152"/>
        <v>0</v>
      </c>
      <c r="AL83" s="638">
        <f ca="1">IF(L83=60, 0, S83)</f>
        <v>0</v>
      </c>
      <c r="AM83" s="638" t="str">
        <f t="shared" ca="1" si="173"/>
        <v>Revêtement</v>
      </c>
      <c r="AN83" s="1036">
        <f t="shared" ca="1" si="153"/>
        <v>0</v>
      </c>
      <c r="AO83" s="1037">
        <f t="shared" ca="1" si="154"/>
        <v>0</v>
      </c>
      <c r="AP83" s="1037">
        <f t="shared" ca="1" si="155"/>
        <v>0</v>
      </c>
      <c r="AQ83" s="1038">
        <f t="shared" ca="1" si="156"/>
        <v>0</v>
      </c>
      <c r="AR83" s="1038">
        <f t="shared" ca="1" si="157"/>
        <v>0</v>
      </c>
      <c r="AS83" s="1036">
        <f t="shared" ca="1" si="158"/>
        <v>0</v>
      </c>
      <c r="AT83" s="1037">
        <f t="shared" ca="1" si="159"/>
        <v>0</v>
      </c>
      <c r="AU83" s="1037">
        <f t="shared" ca="1" si="160"/>
        <v>0</v>
      </c>
      <c r="AV83" s="1038">
        <f t="shared" ca="1" si="161"/>
        <v>0</v>
      </c>
      <c r="AW83" s="1038">
        <f t="shared" ca="1" si="162"/>
        <v>0</v>
      </c>
      <c r="AX83" s="1036">
        <f t="shared" ca="1" si="163"/>
        <v>7.9543030141133508</v>
      </c>
      <c r="AY83" s="1037">
        <f t="shared" ca="1" si="164"/>
        <v>9.4765148479586827</v>
      </c>
      <c r="AZ83" s="1037">
        <f t="shared" ca="1" si="165"/>
        <v>1.5222118338453317</v>
      </c>
      <c r="BA83" s="1037">
        <f t="shared" ca="1" si="166"/>
        <v>0</v>
      </c>
      <c r="BB83" s="1038">
        <f t="shared" ca="1" si="167"/>
        <v>0</v>
      </c>
      <c r="BC83" s="1036"/>
      <c r="BD83" s="1037"/>
      <c r="BE83" s="1037"/>
      <c r="BF83" s="1038"/>
      <c r="BG83" s="1036">
        <f t="shared" ca="1" si="168"/>
        <v>0</v>
      </c>
      <c r="BH83" s="1037">
        <f t="shared" ca="1" si="169"/>
        <v>0</v>
      </c>
      <c r="BI83" s="1038">
        <f t="shared" ca="1" si="170"/>
        <v>0</v>
      </c>
      <c r="BJ83" s="1037">
        <f>_xlfn.XLOOKUP(H83, 'Baumaterialien Matériaux'!A:A, 'Baumaterialien Matériaux'!E:E, "-", 0, 1)</f>
        <v>94.5</v>
      </c>
      <c r="BK83" s="1036">
        <f t="shared" ca="1" si="176"/>
        <v>0</v>
      </c>
      <c r="BL83" s="1037">
        <f t="shared" ca="1" si="177"/>
        <v>0</v>
      </c>
      <c r="BM83" s="1038">
        <f t="shared" ca="1" si="178"/>
        <v>0</v>
      </c>
      <c r="BN83" s="1037">
        <f>IFERROR((J83*VLOOKUP(H83, 'Baumaterialien Matériaux'!$A$11:$AH$318, 33,FALSE)),0)/$G$1</f>
        <v>12.744793197097188</v>
      </c>
      <c r="BO83" s="1037">
        <f ca="1">(BN83+BP83)*($L$2/L83-1)</f>
        <v>15.490743956190727</v>
      </c>
      <c r="BP83" s="1037">
        <f>IFERROR((J83*VLOOKUP(H83, 'Baumaterialien Matériaux'!$A$11:$AH$318, 34,FALSE)),0)/$G$1</f>
        <v>2.7459507590935393</v>
      </c>
      <c r="BQ83" s="1037">
        <f t="shared" si="151"/>
        <v>1.8039215686274508</v>
      </c>
      <c r="BR83" s="1037">
        <f ca="1">IFERROR((N83+Q83)*($L$2/L83-1),0)</f>
        <v>9.4765148479586827</v>
      </c>
    </row>
    <row r="84" spans="2:70">
      <c r="B84" s="1103"/>
      <c r="C84" s="1099"/>
      <c r="D84" s="478"/>
      <c r="E84" s="478"/>
      <c r="F84" s="454" t="s">
        <v>3037</v>
      </c>
      <c r="G84" s="478" t="str">
        <f>_xlfn.XLOOKUP(H84, 'Baumaterialien Matériaux'!A:A, 'Baumaterialien Matériaux'!AD:AD, "-", 0, 1)</f>
        <v>Triple vitrage, U&lt;0.6 W/m2K, épaisseur 40 mm 3</v>
      </c>
      <c r="H84" s="892" t="s">
        <v>668</v>
      </c>
      <c r="I84" s="641" t="str">
        <f>_xlfn.XLOOKUP(H84, 'Baumaterialien Matériaux'!A:A, 'Baumaterialien Matériaux'!F:F, "-", 0, 1)</f>
        <v>m2</v>
      </c>
      <c r="J84" s="649">
        <f t="shared" ref="J84" si="184">$J$82*K84</f>
        <v>104.58239999999999</v>
      </c>
      <c r="K84" s="893">
        <v>0.78</v>
      </c>
      <c r="L84" s="647" cm="1">
        <f t="array" aca="1" ref="L84" ca="1">INDEX('Enveloppe du bâtiment hors terr'!N148:N152, 'Enveloppe du bâtiment hors terr'!W147)</f>
        <v>30</v>
      </c>
      <c r="M84" s="648">
        <f t="shared" ca="1" si="183"/>
        <v>17.707442553759851</v>
      </c>
      <c r="N84" s="720">
        <f>IFERROR(($J84*VLOOKUP($H84, 'Baumaterialien Matériaux'!$A$11:$AD$318, 26,FALSE)),0)/$G$1</f>
        <v>7.2403558167490312</v>
      </c>
      <c r="O84" s="720">
        <f>IFERROR(($J84*VLOOKUP($H84, 'Baumaterialien Matériaux'!$A$11:$AH$318, 33,FALSE)),0)/$G$1</f>
        <v>1.8973922799519165</v>
      </c>
      <c r="P84" s="720">
        <f t="shared" ref="P84" ca="1" si="185">IFERROR((N84+Q84)*($L$2/L84-1),0)</f>
        <v>7.9050251369039666</v>
      </c>
      <c r="Q84" s="720">
        <f>IFERROR(($J84*VLOOKUP($H84, 'Baumaterialien Matériaux'!$A$11:$AD$318, 27,FALSE)),0)/$G$1</f>
        <v>0.66466932015493507</v>
      </c>
      <c r="R84" s="720">
        <f>IFERROR(($J84*VLOOKUP($H84, 'Baumaterialien Matériaux'!$A$11:$AH$318, 34,FALSE)),0)/$G$1</f>
        <v>0.69842660611726981</v>
      </c>
      <c r="S84" s="720">
        <f>IFERROR((J84*VLOOKUP(H84, 'Baumaterialien Matériaux'!$A$11:$AD$318, 29,FALSE)),0)/$G$1</f>
        <v>0</v>
      </c>
      <c r="T84" s="720"/>
      <c r="V84" s="638">
        <f t="shared" ca="1" si="138"/>
        <v>0</v>
      </c>
      <c r="W84" s="638">
        <f t="shared" ca="1" si="103"/>
        <v>0</v>
      </c>
      <c r="X84" s="638" t="str">
        <f t="shared" ca="1" si="10"/>
        <v>Revêtement</v>
      </c>
      <c r="Z84" s="638">
        <f t="shared" ca="1" si="142"/>
        <v>30</v>
      </c>
      <c r="AA84" s="648" t="s">
        <v>3444</v>
      </c>
      <c r="AB84" t="str">
        <f>_xlfn.XLOOKUP($H84,'[1]Baumaterialien Matériaux'!$A:$A,'[1]Baumaterialien Matériaux'!AK:AK,0,0)</f>
        <v>glass</v>
      </c>
      <c r="AC84" cm="1">
        <f t="array" ref="AC84">_xlfn.SWITCH(I84,"kg"," ",0," ",_xlfn.XLOOKUP(H84, '[1]Baumaterialien Matériaux'!$A:$A, '[1]Baumaterialien Matériaux'!$AL:$AL, "-", 0, 1))</f>
        <v>44.8</v>
      </c>
      <c r="AD84" s="622" cm="1">
        <f t="array" ref="AD84">IFERROR(_xlfn.SWITCH(I84,"kg",1,"m3",AC84,AC84)*J84/(_xlfn.XLOOKUP(AA84,Métrés!A:A,Métrés!C:C,0)),0)</f>
        <v>34.944000000000003</v>
      </c>
      <c r="AE84" s="1092">
        <f>IFERROR(N84*$G$1/(_xlfn.XLOOKUP($AA84,Métrés!$A:$A,Métrés!$C:$C,0)),0)</f>
        <v>48.516000000000005</v>
      </c>
      <c r="AF84" s="1092">
        <f>IFERROR(O84*$G$1/(_xlfn.XLOOKUP($AA84,Métrés!$A:$A,Métrés!$C:$C,0)),0)</f>
        <v>12.714</v>
      </c>
      <c r="AG84" s="1092">
        <f>IFERROR(Q84*$G$1/(_xlfn.XLOOKUP($AA84,Métrés!$A:$A,Métrés!$C:$C,0)),0)</f>
        <v>4.4538000000000002</v>
      </c>
      <c r="AH84" s="1092">
        <f>IFERROR(R84*$G$1/(_xlfn.XLOOKUP($AA84,Métrés!$A:$A,Métrés!$C:$C,0)),0)</f>
        <v>4.68</v>
      </c>
      <c r="AI84" s="1092">
        <f>IFERROR(S84*$G$1/(_xlfn.XLOOKUP($AA84,Métrés!$A:$A,Métrés!$C:$C,0)),0)</f>
        <v>0</v>
      </c>
      <c r="AJ84" s="1022"/>
      <c r="AK84" s="638">
        <f t="shared" ca="1" si="152"/>
        <v>0</v>
      </c>
      <c r="AL84" s="638">
        <f ca="1">IF(L84=60, 0, S84)</f>
        <v>0</v>
      </c>
      <c r="AM84" s="638" t="str">
        <f t="shared" ca="1" si="173"/>
        <v>Revêtement</v>
      </c>
      <c r="AN84" s="1036">
        <f t="shared" ca="1" si="153"/>
        <v>0</v>
      </c>
      <c r="AO84" s="1037">
        <f t="shared" ca="1" si="154"/>
        <v>0</v>
      </c>
      <c r="AP84" s="1037">
        <f t="shared" ca="1" si="155"/>
        <v>0</v>
      </c>
      <c r="AQ84" s="1038">
        <f t="shared" ca="1" si="156"/>
        <v>0</v>
      </c>
      <c r="AR84" s="1038">
        <f t="shared" ca="1" si="157"/>
        <v>0</v>
      </c>
      <c r="AS84" s="1036">
        <f t="shared" ca="1" si="158"/>
        <v>0</v>
      </c>
      <c r="AT84" s="1037">
        <f t="shared" ca="1" si="159"/>
        <v>0</v>
      </c>
      <c r="AU84" s="1037">
        <f t="shared" ca="1" si="160"/>
        <v>0</v>
      </c>
      <c r="AV84" s="1038">
        <f t="shared" ca="1" si="161"/>
        <v>0</v>
      </c>
      <c r="AW84" s="1038">
        <f t="shared" ca="1" si="162"/>
        <v>0</v>
      </c>
      <c r="AX84" s="1036">
        <f t="shared" ca="1" si="163"/>
        <v>7.2403558167490312</v>
      </c>
      <c r="AY84" s="1037">
        <f t="shared" ca="1" si="164"/>
        <v>7.9050251369039666</v>
      </c>
      <c r="AZ84" s="1037">
        <f t="shared" ca="1" si="165"/>
        <v>0.66466932015493507</v>
      </c>
      <c r="BA84" s="1037">
        <f t="shared" ca="1" si="166"/>
        <v>0</v>
      </c>
      <c r="BB84" s="1038">
        <f t="shared" ca="1" si="167"/>
        <v>0</v>
      </c>
      <c r="BC84" s="1036"/>
      <c r="BD84" s="1037"/>
      <c r="BE84" s="1037"/>
      <c r="BF84" s="1038"/>
      <c r="BG84" s="1036">
        <f t="shared" ca="1" si="168"/>
        <v>0</v>
      </c>
      <c r="BH84" s="1037">
        <f t="shared" ca="1" si="169"/>
        <v>0</v>
      </c>
      <c r="BI84" s="1038">
        <f t="shared" ca="1" si="170"/>
        <v>0</v>
      </c>
      <c r="BJ84" s="1037">
        <f>_xlfn.XLOOKUP(H84, 'Baumaterialien Matériaux'!A:A, 'Baumaterialien Matériaux'!E:E, "-", 0, 1)</f>
        <v>30</v>
      </c>
      <c r="BK84" s="1036">
        <f t="shared" ca="1" si="176"/>
        <v>0</v>
      </c>
      <c r="BL84" s="1037">
        <f t="shared" ca="1" si="177"/>
        <v>0</v>
      </c>
      <c r="BM84" s="1038">
        <f t="shared" ca="1" si="178"/>
        <v>0</v>
      </c>
      <c r="BN84" s="1037">
        <f>IFERROR((J84*VLOOKUP(H84, 'Baumaterialien Matériaux'!$A$11:$AH$318, 33,FALSE)),0)/$G$1</f>
        <v>1.8973922799519165</v>
      </c>
      <c r="BO84" s="1037">
        <f ca="1">(BN84+BP84)*($L$2/L84-1)</f>
        <v>2.5958188860691864</v>
      </c>
      <c r="BP84" s="1037">
        <f>IFERROR((J84*VLOOKUP(H84, 'Baumaterialien Matériaux'!$A$11:$AH$318, 34,FALSE)),0)/$G$1</f>
        <v>0.69842660611726981</v>
      </c>
      <c r="BQ84" s="1037">
        <f t="shared" si="151"/>
        <v>1.0507880910683012</v>
      </c>
      <c r="BR84" s="1037">
        <f ca="1">IFERROR((N84+Q84)*($L$2/L84-1),0)</f>
        <v>7.9050251369039666</v>
      </c>
    </row>
    <row r="85" spans="2:70">
      <c r="B85" s="1103"/>
      <c r="C85" s="1099"/>
      <c r="D85" s="478"/>
      <c r="E85" s="478"/>
      <c r="F85" s="3" t="s">
        <v>3038</v>
      </c>
      <c r="G85" s="478" t="str">
        <f>_xlfn.XLOOKUP(H85, 'Baumaterialien Matériaux'!A:A, 'Baumaterialien Matériaux'!AD:AD, "-", 0, 1)</f>
        <v>Protection solaire, stores vénitiens avec moteur 4</v>
      </c>
      <c r="H85" s="892" t="s">
        <v>660</v>
      </c>
      <c r="I85" s="641" t="str">
        <f>_xlfn.XLOOKUP(H85, 'Baumaterialien Matériaux'!A:A, 'Baumaterialien Matériaux'!F:F, "-", 0, 1)</f>
        <v>m2</v>
      </c>
      <c r="J85" s="649">
        <f>117.9*K85</f>
        <v>117.9</v>
      </c>
      <c r="K85" s="893">
        <v>1</v>
      </c>
      <c r="L85" s="647" cm="1">
        <f t="array" aca="1" ref="L85" ca="1">INDEX('Enveloppe du bâtiment hors terr'!N149:N153, 'Enveloppe du bâtiment hors terr'!W148)</f>
        <v>30</v>
      </c>
      <c r="M85" s="648">
        <f t="shared" ca="1" si="183"/>
        <v>19.87308668358488</v>
      </c>
      <c r="N85" s="720">
        <f>IFERROR(($J85*VLOOKUP($H85, 'Baumaterialien Matériaux'!$A$11:$AD$318, 26,FALSE)),0)/$G$1</f>
        <v>7.689929210631762</v>
      </c>
      <c r="O85" s="720">
        <f>IFERROR(($J85*VLOOKUP($H85, 'Baumaterialien Matériaux'!$A$11:$AH$318, 33,FALSE)),0)/$G$1</f>
        <v>4.1074195271804461</v>
      </c>
      <c r="P85" s="720">
        <f t="shared" ref="P85" ca="1" si="186">IFERROR((N85+Q85)*($L$2/L85-1),0)</f>
        <v>7.8828335782022174</v>
      </c>
      <c r="Q85" s="720">
        <f>IFERROR(($J85*VLOOKUP($H85, 'Baumaterialien Matériaux'!$A$11:$AD$318, 27,FALSE)),0)/$G$1</f>
        <v>0.19290436757045545</v>
      </c>
      <c r="R85" s="720">
        <f>IFERROR(($J85*VLOOKUP($H85, 'Baumaterialien Matériaux'!$A$11:$AH$318, 34,FALSE)),0)/$G$1</f>
        <v>3.4119139842393481E-2</v>
      </c>
      <c r="S85" s="720">
        <f>IFERROR((J85*VLOOKUP(H85, 'Baumaterialien Matériaux'!$A$11:$AD$318, 29,FALSE)),0)/$G$1</f>
        <v>0</v>
      </c>
      <c r="T85" s="720"/>
      <c r="V85" s="638">
        <f t="shared" ca="1" si="138"/>
        <v>0</v>
      </c>
      <c r="W85" s="638">
        <f t="shared" ca="1" si="103"/>
        <v>0</v>
      </c>
      <c r="X85" s="638" t="str">
        <f t="shared" ca="1" si="10"/>
        <v>Revêtement</v>
      </c>
      <c r="Z85" s="638">
        <f t="shared" ca="1" si="142"/>
        <v>30</v>
      </c>
      <c r="AA85" s="648" t="s">
        <v>3444</v>
      </c>
      <c r="AB85" t="str">
        <f>_xlfn.XLOOKUP($H85,'[1]Baumaterialien Matériaux'!$A:$A,'[1]Baumaterialien Matériaux'!AK:AK,0,0)</f>
        <v>autre</v>
      </c>
      <c r="AC85" cm="1">
        <f t="array" ref="AC85">_xlfn.SWITCH(I85,"kg"," ",0," ",_xlfn.XLOOKUP(H85, '[1]Baumaterialien Matériaux'!$A:$A, '[1]Baumaterialien Matériaux'!$AL:$AL, "-", 0, 1))</f>
        <v>8</v>
      </c>
      <c r="AD85" s="622" cm="1">
        <f t="array" ref="AD85">IFERROR(_xlfn.SWITCH(I85,"kg",1,"m3",AC85,AC85)*J85/(_xlfn.XLOOKUP(AA85,Métrés!A:A,Métrés!C:C,0)),0)</f>
        <v>7.034606205250598</v>
      </c>
      <c r="AE85" s="1092">
        <f>IFERROR(N85*$G$1/(_xlfn.XLOOKUP($AA85,Métrés!$A:$A,Métrés!$C:$C,0)),0)</f>
        <v>51.528490453460627</v>
      </c>
      <c r="AF85" s="1092">
        <f>IFERROR(O85*$G$1/(_xlfn.XLOOKUP($AA85,Métrés!$A:$A,Métrés!$C:$C,0)),0)</f>
        <v>27.522896778042966</v>
      </c>
      <c r="AG85" s="1092">
        <f>IFERROR(Q85*$G$1/(_xlfn.XLOOKUP($AA85,Métrés!$A:$A,Métrés!$C:$C,0)),0)</f>
        <v>1.2926088902147974</v>
      </c>
      <c r="AH85" s="1092">
        <f>IFERROR(R85*$G$1/(_xlfn.XLOOKUP($AA85,Métrés!$A:$A,Métrés!$C:$C,0)),0)</f>
        <v>0.22862470167064441</v>
      </c>
      <c r="AI85" s="1092">
        <f>IFERROR(S85*$G$1/(_xlfn.XLOOKUP($AA85,Métrés!$A:$A,Métrés!$C:$C,0)),0)</f>
        <v>0</v>
      </c>
      <c r="AJ85" s="1022"/>
      <c r="AK85" s="638">
        <f t="shared" ca="1" si="152"/>
        <v>0</v>
      </c>
      <c r="AL85" s="638">
        <f ca="1">IF(L85=60, 0, S85)</f>
        <v>0</v>
      </c>
      <c r="AM85" s="638" t="str">
        <f t="shared" ca="1" si="173"/>
        <v>Revêtement</v>
      </c>
      <c r="AN85" s="1036">
        <f t="shared" ca="1" si="153"/>
        <v>0</v>
      </c>
      <c r="AO85" s="1037">
        <f t="shared" ca="1" si="154"/>
        <v>0</v>
      </c>
      <c r="AP85" s="1037">
        <f t="shared" ca="1" si="155"/>
        <v>0</v>
      </c>
      <c r="AQ85" s="1038">
        <f t="shared" ca="1" si="156"/>
        <v>0</v>
      </c>
      <c r="AR85" s="1038">
        <f t="shared" ca="1" si="157"/>
        <v>0</v>
      </c>
      <c r="AS85" s="1036">
        <f t="shared" ca="1" si="158"/>
        <v>0</v>
      </c>
      <c r="AT85" s="1037">
        <f t="shared" ca="1" si="159"/>
        <v>0</v>
      </c>
      <c r="AU85" s="1037">
        <f t="shared" ca="1" si="160"/>
        <v>0</v>
      </c>
      <c r="AV85" s="1038">
        <f t="shared" ca="1" si="161"/>
        <v>0</v>
      </c>
      <c r="AW85" s="1038">
        <f t="shared" ca="1" si="162"/>
        <v>0</v>
      </c>
      <c r="AX85" s="1036">
        <f t="shared" ca="1" si="163"/>
        <v>7.689929210631762</v>
      </c>
      <c r="AY85" s="1037">
        <f t="shared" ca="1" si="164"/>
        <v>7.8828335782022174</v>
      </c>
      <c r="AZ85" s="1037">
        <f t="shared" ca="1" si="165"/>
        <v>0.19290436757045545</v>
      </c>
      <c r="BA85" s="1037">
        <f t="shared" ca="1" si="166"/>
        <v>0</v>
      </c>
      <c r="BB85" s="1038">
        <f t="shared" ca="1" si="167"/>
        <v>0</v>
      </c>
      <c r="BC85" s="1036"/>
      <c r="BD85" s="1037"/>
      <c r="BE85" s="1037"/>
      <c r="BF85" s="1038"/>
      <c r="BG85" s="1036">
        <f t="shared" ca="1" si="168"/>
        <v>0</v>
      </c>
      <c r="BH85" s="1037">
        <f t="shared" ca="1" si="169"/>
        <v>0</v>
      </c>
      <c r="BI85" s="1038">
        <f t="shared" ca="1" si="170"/>
        <v>0</v>
      </c>
      <c r="BJ85" s="1037">
        <f>_xlfn.XLOOKUP(H85, 'Baumaterialien Matériaux'!A:A, 'Baumaterialien Matériaux'!E:E, "-", 0, 1)</f>
        <v>8</v>
      </c>
      <c r="BK85" s="1036">
        <f t="shared" ca="1" si="176"/>
        <v>0</v>
      </c>
      <c r="BL85" s="1037">
        <f t="shared" ca="1" si="177"/>
        <v>0</v>
      </c>
      <c r="BM85" s="1038">
        <f t="shared" ca="1" si="178"/>
        <v>0</v>
      </c>
      <c r="BN85" s="1037">
        <f>IFERROR((J85*VLOOKUP(H85, 'Baumaterialien Matériaux'!$A$11:$AH$318, 33,FALSE)),0)/$G$1</f>
        <v>4.1074195271804461</v>
      </c>
      <c r="BO85" s="1037">
        <f ca="1">(BN85+BP85)*($L$2/L85-1)</f>
        <v>4.1415386670228393</v>
      </c>
      <c r="BP85" s="1037">
        <f>IFERROR((J85*VLOOKUP(H85, 'Baumaterialien Matériaux'!$A$11:$AH$318, 34,FALSE)),0)/$G$1</f>
        <v>3.4119139842393481E-2</v>
      </c>
      <c r="BQ85" s="1037">
        <f t="shared" si="151"/>
        <v>0.17687074829931973</v>
      </c>
      <c r="BR85" s="1037">
        <f ca="1">IFERROR((N85+Q85)*($L$2/L85-1),0)</f>
        <v>7.8828335782022174</v>
      </c>
    </row>
    <row r="86" spans="2:70">
      <c r="B86" s="1103"/>
      <c r="C86" s="1099"/>
      <c r="D86" s="478"/>
      <c r="E86" s="478"/>
      <c r="F86" s="479"/>
      <c r="G86" s="479"/>
      <c r="H86" s="479"/>
      <c r="I86" s="459" t="s">
        <v>39</v>
      </c>
      <c r="J86" s="662"/>
      <c r="K86" s="663"/>
      <c r="L86" s="663"/>
      <c r="M86" s="664">
        <f>SUM(M87:M89)</f>
        <v>15.392141860706705</v>
      </c>
      <c r="N86" s="664">
        <f t="shared" ref="N86:T86" si="187">SUM(N87:N89)</f>
        <v>5.6038800587685316</v>
      </c>
      <c r="O86" s="664">
        <f t="shared" ref="O86" si="188">SUM(O87:O89)</f>
        <v>2.7333737738005137</v>
      </c>
      <c r="P86" s="664">
        <f t="shared" si="187"/>
        <v>6.3293840434530964</v>
      </c>
      <c r="Q86" s="664">
        <f t="shared" si="187"/>
        <v>0.72550398468456434</v>
      </c>
      <c r="R86" s="664">
        <f t="shared" ref="R86" si="189">SUM(R87:R89)</f>
        <v>0.34221802176786892</v>
      </c>
      <c r="S86" s="664">
        <f t="shared" si="187"/>
        <v>5.5169857382425826</v>
      </c>
      <c r="T86" s="664">
        <f t="shared" si="187"/>
        <v>5.516985738242583E-2</v>
      </c>
      <c r="V86" s="638">
        <f t="shared" si="138"/>
        <v>5.516985738242583E-2</v>
      </c>
      <c r="W86" s="638">
        <f t="shared" si="103"/>
        <v>5.5169857382425826</v>
      </c>
      <c r="Z86" s="638">
        <f t="shared" si="142"/>
        <v>0</v>
      </c>
      <c r="AA86" s="648"/>
      <c r="AB86">
        <f>_xlfn.XLOOKUP($H86,'[1]Baumaterialien Matériaux'!$A:$A,'[1]Baumaterialien Matériaux'!AK:AK,0,0)</f>
        <v>0</v>
      </c>
      <c r="AC86" cm="1">
        <f t="array" ref="AC86">_xlfn.SWITCH(I86,"kg"," ",0," ",_xlfn.XLOOKUP(H86, '[1]Baumaterialien Matériaux'!$A:$A, '[1]Baumaterialien Matériaux'!$AL:$AL, "-", 0, 1))</f>
        <v>0</v>
      </c>
      <c r="AD86" s="622" cm="1">
        <f t="array" ref="AD86">IFERROR(_xlfn.SWITCH(I86,"kg",1,"m3",AC86,AC86)*J86/(_xlfn.XLOOKUP(AA86,Métrés!A:A,Métrés!C:C,0)),0)</f>
        <v>0</v>
      </c>
      <c r="AE86" s="1092">
        <f>IFERROR(N86*$G$1/(_xlfn.XLOOKUP($AA86,Métrés!$A:$A,Métrés!$C:$C,0)),0)</f>
        <v>0</v>
      </c>
      <c r="AF86" s="1092">
        <f>IFERROR(O86*$G$1/(_xlfn.XLOOKUP($AA86,Métrés!$A:$A,Métrés!$C:$C,0)),0)</f>
        <v>0</v>
      </c>
      <c r="AG86" s="1092">
        <f>IFERROR(Q86*$G$1/(_xlfn.XLOOKUP($AA86,Métrés!$A:$A,Métrés!$C:$C,0)),0)</f>
        <v>0</v>
      </c>
      <c r="AH86" s="1092">
        <f>IFERROR(R86*$G$1/(_xlfn.XLOOKUP($AA86,Métrés!$A:$A,Métrés!$C:$C,0)),0)</f>
        <v>0</v>
      </c>
      <c r="AI86" s="1092">
        <f>IFERROR(S86*$G$1/(_xlfn.XLOOKUP($AA86,Métrés!$A:$A,Métrés!$C:$C,0)),0)</f>
        <v>0</v>
      </c>
      <c r="AJ86" s="664"/>
      <c r="AK86" s="664"/>
      <c r="AL86" s="664"/>
      <c r="AM86" s="1021"/>
      <c r="AN86" s="1059"/>
      <c r="AO86" s="664"/>
      <c r="AP86" s="664"/>
      <c r="AQ86" s="664"/>
      <c r="AR86" s="1058"/>
      <c r="AS86" s="1059"/>
      <c r="AT86" s="664"/>
      <c r="AU86" s="664"/>
      <c r="AV86" s="664"/>
      <c r="AW86" s="1058"/>
      <c r="AX86" s="1059"/>
      <c r="AY86" s="664"/>
      <c r="AZ86" s="664"/>
      <c r="BA86" s="664"/>
      <c r="BB86" s="1058"/>
      <c r="BC86" s="1059"/>
      <c r="BD86" s="664"/>
      <c r="BE86" s="664"/>
      <c r="BF86" s="1058"/>
      <c r="BG86" s="1059"/>
      <c r="BH86" s="664"/>
      <c r="BI86" s="1058"/>
      <c r="BJ86" s="1045"/>
      <c r="BK86" s="1059"/>
      <c r="BL86" s="664"/>
      <c r="BM86" s="1058"/>
      <c r="BN86" s="1037">
        <f>IFERROR((J86*VLOOKUP(H86, 'Baumaterialien Matériaux'!$A$11:$AH$318, 33,FALSE)),0)/$G$1</f>
        <v>0</v>
      </c>
      <c r="BO86" s="1037"/>
      <c r="BP86" s="1037">
        <f>IFERROR((J86*VLOOKUP(H86, 'Baumaterialien Matériaux'!$A$11:$AH$318, 34,FALSE)),0)/$G$1</f>
        <v>0</v>
      </c>
      <c r="BQ86" s="1037">
        <f t="shared" si="151"/>
        <v>0</v>
      </c>
      <c r="BR86" s="1037"/>
    </row>
    <row r="87" spans="2:70">
      <c r="B87" s="1103"/>
      <c r="C87" s="1099"/>
      <c r="D87" s="478"/>
      <c r="E87" s="478"/>
      <c r="F87" s="454" t="s">
        <v>3389</v>
      </c>
      <c r="G87" s="478" t="str">
        <f>_xlfn.XLOOKUP(H87, 'Baumaterialien Matériaux'!A:A, 'Baumaterialien Matériaux'!AD:AD, "-", 0, 1)</f>
        <v>Porte intérieure, porte fonctionnelle, bois, cadre en bois</v>
      </c>
      <c r="H87" s="885">
        <v>12.009</v>
      </c>
      <c r="I87" s="641" t="str">
        <f>_xlfn.XLOOKUP(H87, 'Baumaterialien Matériaux'!A:A, 'Baumaterialien Matériaux'!F:F, "-", 0, 1)</f>
        <v>m2</v>
      </c>
      <c r="J87" s="649">
        <v>20.54</v>
      </c>
      <c r="K87" s="647"/>
      <c r="L87" s="647">
        <v>30</v>
      </c>
      <c r="M87" s="648">
        <f t="shared" si="183"/>
        <v>2.545438315302079</v>
      </c>
      <c r="N87" s="720">
        <f>IFERROR(($J87*VLOOKUP($H87, 'Baumaterialien Matériaux'!$A$11:$AD$318, 26,FALSE)),0)/$G$1</f>
        <v>0.85731935354614663</v>
      </c>
      <c r="O87" s="720">
        <f>IFERROR(($J87*VLOOKUP($H87, 'Baumaterialien Matériaux'!$A$11:$AH$318, 33,FALSE)),0)/$G$1</f>
        <v>0.51667779707047767</v>
      </c>
      <c r="P87" s="720">
        <f>IFERROR((N87+Q87)*($L$2/L87-1),0)</f>
        <v>1.0143802591158007</v>
      </c>
      <c r="Q87" s="720">
        <f>IFERROR(($J87*VLOOKUP($H87, 'Baumaterialien Matériaux'!$A$11:$AD$318, 27,FALSE)),0)/$G$1</f>
        <v>0.15706090556965407</v>
      </c>
      <c r="R87" s="720">
        <f>IFERROR(($J87*VLOOKUP($H87, 'Baumaterialien Matériaux'!$A$11:$AH$318, 34,FALSE)),0)/$G$1</f>
        <v>8.1159565469035203E-2</v>
      </c>
      <c r="S87" s="720">
        <f>IFERROR((J87*VLOOKUP(H87, 'Baumaterialien Matériaux'!$A$11:$AD$318, 29,FALSE)),0)/$G$1</f>
        <v>1.4502033153762817</v>
      </c>
      <c r="T87" s="720">
        <f>S87*AJ87</f>
        <v>1.4502033153762818E-2</v>
      </c>
      <c r="V87" s="638">
        <f t="shared" si="138"/>
        <v>1.4502033153762818E-2</v>
      </c>
      <c r="W87" s="638">
        <f t="shared" si="103"/>
        <v>1.4502033153762817</v>
      </c>
      <c r="Z87" s="638">
        <f t="shared" si="142"/>
        <v>30</v>
      </c>
      <c r="AA87" s="648" t="s">
        <v>3448</v>
      </c>
      <c r="AB87" t="str">
        <f>_xlfn.XLOOKUP($H87,'[1]Baumaterialien Matériaux'!$A:$A,'[1]Baumaterialien Matériaux'!AK:AK,0,0)</f>
        <v>timber</v>
      </c>
      <c r="AC87" cm="1">
        <f t="array" ref="AC87">_xlfn.SWITCH(I87,"kg"," ",0," ",_xlfn.XLOOKUP(H87, '[1]Baumaterialien Matériaux'!$A:$A, '[1]Baumaterialien Matériaux'!$AL:$AL, "-", 0, 1))</f>
        <v>41.6</v>
      </c>
      <c r="AD87" s="622" cm="1">
        <f t="array" ref="AD87">IFERROR(_xlfn.SWITCH(I87,"kg",1,"m3",AC87,AC87)*J87/(_xlfn.XLOOKUP(AA87,Métrés!A:A,Métrés!C:C,0)),0)</f>
        <v>3.5792066351107947</v>
      </c>
      <c r="AE87" s="1092">
        <f>IFERROR(N87*$G$1/(_xlfn.XLOOKUP($AA87,Métrés!$A:$A,Métrés!$C:$C,0)),0)</f>
        <v>3.2264482888618944</v>
      </c>
      <c r="AF87" s="1092">
        <f>IFERROR(O87*$G$1/(_xlfn.XLOOKUP($AA87,Métrés!$A:$A,Métrés!$C:$C,0)),0)</f>
        <v>1.9444728354207683</v>
      </c>
      <c r="AG87" s="1092">
        <f>IFERROR(Q87*$G$1/(_xlfn.XLOOKUP($AA87,Métrés!$A:$A,Métrés!$C:$C,0)),0)</f>
        <v>0.59108532651949908</v>
      </c>
      <c r="AH87" s="1092">
        <f>IFERROR(R87*$G$1/(_xlfn.XLOOKUP($AA87,Métrés!$A:$A,Métrés!$C:$C,0)),0)</f>
        <v>0.30543710467892593</v>
      </c>
      <c r="AI87" s="1092">
        <f>IFERROR(S87*$G$1/(_xlfn.XLOOKUP($AA87,Métrés!$A:$A,Métrés!$C:$C,0)),0)</f>
        <v>5.4577165277370527</v>
      </c>
      <c r="AJ87" s="1022">
        <v>0.01</v>
      </c>
      <c r="AK87" s="638">
        <f>IF(L87=60, 0, T87)</f>
        <v>1.4502033153762818E-2</v>
      </c>
      <c r="AL87" s="638">
        <f>IF(L87=60, 0, S87)</f>
        <v>1.4502033153762817</v>
      </c>
      <c r="AM87" s="638" t="str">
        <f>IF(L87=$L$2, "Structure", IF(L87&gt;0,"Revêtement",0))</f>
        <v>Revêtement</v>
      </c>
      <c r="AN87" s="1036">
        <f>IF(AM87="Structure",N87,0)</f>
        <v>0</v>
      </c>
      <c r="AO87" s="1037">
        <f>IF(AM87="Structure",P87,0)</f>
        <v>0</v>
      </c>
      <c r="AP87" s="1037">
        <f>IF(AM87="Structure",Q87,0)</f>
        <v>0</v>
      </c>
      <c r="AQ87" s="1038">
        <f>IF(AM87="Structure",S87,0)</f>
        <v>0</v>
      </c>
      <c r="AR87" s="1038">
        <f>IF(AM87="Structure",T87,0)</f>
        <v>0</v>
      </c>
      <c r="AS87" s="1036">
        <f>IF(AM87="Insulation",N87,0)</f>
        <v>0</v>
      </c>
      <c r="AT87" s="1037">
        <f>IF(AM87="Insulation",P87,0)</f>
        <v>0</v>
      </c>
      <c r="AU87" s="1037">
        <f>IF(AM87="Insulation",Q87,0)</f>
        <v>0</v>
      </c>
      <c r="AV87" s="1038">
        <f>IF(AM87="Insulation",S87,0)</f>
        <v>0</v>
      </c>
      <c r="AW87" s="1038">
        <f>IF(AM87="Insulation",T87,0)</f>
        <v>0</v>
      </c>
      <c r="AX87" s="1036">
        <f>IF(AM87="Revêtement",N87,0)</f>
        <v>0.85731935354614663</v>
      </c>
      <c r="AY87" s="1037">
        <f>IF(AM87="Revêtement",P87,0)</f>
        <v>1.0143802591158007</v>
      </c>
      <c r="AZ87" s="1037">
        <f>IF(AM87="Revêtement",Q87,0)</f>
        <v>0.15706090556965407</v>
      </c>
      <c r="BA87" s="1037">
        <f>IF(AM87="Revêtement",S87,0)</f>
        <v>1.4502033153762817</v>
      </c>
      <c r="BB87" s="1038">
        <f>IF(AM87="Revêtement",T87,0)</f>
        <v>1.4502033153762818E-2</v>
      </c>
      <c r="BC87" s="1036"/>
      <c r="BD87" s="1037"/>
      <c r="BE87" s="1037"/>
      <c r="BF87" s="1038"/>
      <c r="BG87" s="1036">
        <f>IF($AM87="Structure", IF($I87="kg",$J87,0), 0)</f>
        <v>0</v>
      </c>
      <c r="BH87" s="1037">
        <f>IF($AM87="Insulation", IF($I87="kg",$J87,0), 0)</f>
        <v>0</v>
      </c>
      <c r="BI87" s="1038">
        <f>IF($AM87="Revêtement", IF($I87="kg",$J87,0), 0)</f>
        <v>0</v>
      </c>
      <c r="BJ87" s="1037">
        <f>_xlfn.XLOOKUP(H87, 'Baumaterialien Matériaux'!A:A, 'Baumaterialien Matériaux'!E:E, "-", 0, 1)</f>
        <v>46.7</v>
      </c>
      <c r="BK87" s="1036">
        <f t="shared" si="176"/>
        <v>0</v>
      </c>
      <c r="BL87" s="1037">
        <f t="shared" si="177"/>
        <v>0</v>
      </c>
      <c r="BM87" s="1038">
        <f t="shared" si="178"/>
        <v>0</v>
      </c>
      <c r="BN87" s="1037">
        <f>IFERROR((J87*VLOOKUP(H87, 'Baumaterialien Matériaux'!$A$11:$AH$318, 33,FALSE)),0)/$G$1</f>
        <v>0.51667779707047767</v>
      </c>
      <c r="BO87" s="1037">
        <f>(BN87+BP87)*($L$2/L87-1)</f>
        <v>0.59783736253951292</v>
      </c>
      <c r="BP87" s="1037">
        <f>IFERROR((J87*VLOOKUP(H87, 'Baumaterialien Matériaux'!$A$11:$AH$318, 34,FALSE)),0)/$G$1</f>
        <v>8.1159565469035203E-2</v>
      </c>
      <c r="BQ87" s="1037">
        <f t="shared" si="151"/>
        <v>0.51673944687045115</v>
      </c>
      <c r="BR87" s="1037"/>
    </row>
    <row r="88" spans="2:70">
      <c r="B88" s="1103"/>
      <c r="C88" s="1099"/>
      <c r="D88" s="478"/>
      <c r="E88" s="478"/>
      <c r="F88" s="454" t="s">
        <v>3390</v>
      </c>
      <c r="G88" s="478" t="str">
        <f>_xlfn.XLOOKUP(H88, 'Baumaterialien Matériaux'!A:A, 'Baumaterialien Matériaux'!AD:AD, "-", 0, 1)</f>
        <v>Porte intérieure, porte fonctionnelle, bois, cadre en bois</v>
      </c>
      <c r="H88" s="885">
        <v>12.009</v>
      </c>
      <c r="I88" s="641" t="str">
        <f>_xlfn.XLOOKUP(H88, 'Baumaterialien Matériaux'!A:A, 'Baumaterialien Matériaux'!F:F, "-", 0, 1)</f>
        <v>m2</v>
      </c>
      <c r="J88" s="649">
        <v>57.6</v>
      </c>
      <c r="K88" s="647"/>
      <c r="L88" s="647">
        <v>30</v>
      </c>
      <c r="M88" s="648">
        <f t="shared" si="183"/>
        <v>7.1381327634566585</v>
      </c>
      <c r="N88" s="720">
        <f>IFERROR(($J88*VLOOKUP($H88, 'Baumaterialien Matériaux'!$A$11:$AD$318, 26,FALSE)),0)/$G$1</f>
        <v>2.4041672231868572</v>
      </c>
      <c r="O88" s="720">
        <f>IFERROR(($J88*VLOOKUP($H88, 'Baumaterialien Matériaux'!$A$11:$AH$318, 33,FALSE)),0)/$G$1</f>
        <v>1.4489114465072794</v>
      </c>
      <c r="P88" s="720">
        <f t="shared" ref="P88:P89" si="190">IFERROR((N88+Q88)*($L$2/L88-1),0)</f>
        <v>2.8446106584746893</v>
      </c>
      <c r="Q88" s="720">
        <f>IFERROR(($J88*VLOOKUP($H88, 'Baumaterialien Matériaux'!$A$11:$AD$318, 27,FALSE)),0)/$G$1</f>
        <v>0.4404434352878322</v>
      </c>
      <c r="R88" s="720">
        <f>IFERROR(($J88*VLOOKUP($H88, 'Baumaterialien Matériaux'!$A$11:$AH$318, 34,FALSE)),0)/$G$1</f>
        <v>0.2275944971283558</v>
      </c>
      <c r="S88" s="720">
        <f>IFERROR((J88*VLOOKUP(H88, 'Baumaterialien Matériaux'!$A$11:$AD$318, 29,FALSE)),0)/$G$1</f>
        <v>4.066782422866301</v>
      </c>
      <c r="T88" s="720">
        <f>S88*AJ88</f>
        <v>4.066782422866301E-2</v>
      </c>
      <c r="V88" s="638">
        <f t="shared" si="138"/>
        <v>4.066782422866301E-2</v>
      </c>
      <c r="W88" s="638">
        <f t="shared" si="103"/>
        <v>4.066782422866301</v>
      </c>
      <c r="Z88" s="638">
        <f t="shared" si="142"/>
        <v>30</v>
      </c>
      <c r="AA88" s="648" t="s">
        <v>3448</v>
      </c>
      <c r="AB88" t="str">
        <f>_xlfn.XLOOKUP($H88,'[1]Baumaterialien Matériaux'!$A:$A,'[1]Baumaterialien Matériaux'!AK:AK,0,0)</f>
        <v>timber</v>
      </c>
      <c r="AC88" cm="1">
        <f t="array" ref="AC88">_xlfn.SWITCH(I88,"kg"," ",0," ",_xlfn.XLOOKUP(H88, '[1]Baumaterialien Matériaux'!$A:$A, '[1]Baumaterialien Matériaux'!$AL:$AL, "-", 0, 1))</f>
        <v>41.6</v>
      </c>
      <c r="AD88" s="622" cm="1">
        <f t="array" ref="AD88">IFERROR(_xlfn.SWITCH(I88,"kg",1,"m3",AC88,AC88)*J88/(_xlfn.XLOOKUP(AA88,Métrés!A:A,Métrés!C:C,0)),0)</f>
        <v>10.03711305659113</v>
      </c>
      <c r="AE88" s="1092">
        <f>IFERROR(N88*$G$1/(_xlfn.XLOOKUP($AA88,Métrés!$A:$A,Métrés!$C:$C,0)),0)</f>
        <v>9.0478783563020997</v>
      </c>
      <c r="AF88" s="1092">
        <f>IFERROR(O88*$G$1/(_xlfn.XLOOKUP($AA88,Métrés!$A:$A,Métrés!$C:$C,0)),0)</f>
        <v>5.4528546893980661</v>
      </c>
      <c r="AG88" s="1092">
        <f>IFERROR(Q88*$G$1/(_xlfn.XLOOKUP($AA88,Métrés!$A:$A,Métrés!$C:$C,0)),0)</f>
        <v>1.6575713148745446</v>
      </c>
      <c r="AH88" s="1092">
        <f>IFERROR(R88*$G$1/(_xlfn.XLOOKUP($AA88,Métrés!$A:$A,Métrés!$C:$C,0)),0)</f>
        <v>0.85653248439659868</v>
      </c>
      <c r="AI88" s="1092">
        <f>IFERROR(S88*$G$1/(_xlfn.XLOOKUP($AA88,Métrés!$A:$A,Métrés!$C:$C,0)),0)</f>
        <v>15.304988899593683</v>
      </c>
      <c r="AJ88" s="1022">
        <v>0.01</v>
      </c>
      <c r="AK88" s="638">
        <f>IF(L88=60, 0, T88)</f>
        <v>4.066782422866301E-2</v>
      </c>
      <c r="AL88" s="638">
        <f>IF(L88=60, 0, S88)</f>
        <v>4.066782422866301</v>
      </c>
      <c r="AM88" s="638" t="str">
        <f>IF(L88=$L$2, "Structure", IF(L88&gt;0,"Revêtement",0))</f>
        <v>Revêtement</v>
      </c>
      <c r="AN88" s="1036">
        <f>IF(AM88="Structure",N88,0)</f>
        <v>0</v>
      </c>
      <c r="AO88" s="1037">
        <f>IF(AM88="Structure",P88,0)</f>
        <v>0</v>
      </c>
      <c r="AP88" s="1037">
        <f>IF(AM88="Structure",Q88,0)</f>
        <v>0</v>
      </c>
      <c r="AQ88" s="1038">
        <f>IF(AM88="Structure",S88,0)</f>
        <v>0</v>
      </c>
      <c r="AR88" s="1038">
        <f>IF(AM88="Structure",T88,0)</f>
        <v>0</v>
      </c>
      <c r="AS88" s="1036">
        <f>IF(AM88="Insulation",N88,0)</f>
        <v>0</v>
      </c>
      <c r="AT88" s="1037">
        <f>IF(AM88="Insulation",P88,0)</f>
        <v>0</v>
      </c>
      <c r="AU88" s="1037">
        <f>IF(AM88="Insulation",Q88,0)</f>
        <v>0</v>
      </c>
      <c r="AV88" s="1038">
        <f>IF(AM88="Insulation",S88,0)</f>
        <v>0</v>
      </c>
      <c r="AW88" s="1038">
        <f>IF(AM88="Insulation",T88,0)</f>
        <v>0</v>
      </c>
      <c r="AX88" s="1036">
        <f>IF(AM88="Revêtement",N88,0)</f>
        <v>2.4041672231868572</v>
      </c>
      <c r="AY88" s="1037">
        <f>IF(AM88="Revêtement",P88,0)</f>
        <v>2.8446106584746893</v>
      </c>
      <c r="AZ88" s="1037">
        <f>IF(AM88="Revêtement",Q88,0)</f>
        <v>0.4404434352878322</v>
      </c>
      <c r="BA88" s="1037">
        <f>IF(AM88="Revêtement",S88,0)</f>
        <v>4.066782422866301</v>
      </c>
      <c r="BB88" s="1038">
        <f>IF(AM88="Revêtement",T88,0)</f>
        <v>4.066782422866301E-2</v>
      </c>
      <c r="BC88" s="1036"/>
      <c r="BD88" s="1037"/>
      <c r="BE88" s="1037"/>
      <c r="BF88" s="1038"/>
      <c r="BG88" s="1036">
        <f>IF($AM88="Structure", IF($I88="kg",$J88,0), 0)</f>
        <v>0</v>
      </c>
      <c r="BH88" s="1037">
        <f>IF($AM88="Insulation", IF($I88="kg",$J88,0), 0)</f>
        <v>0</v>
      </c>
      <c r="BI88" s="1038">
        <f>IF($AM88="Revêtement", IF($I88="kg",$J88,0), 0)</f>
        <v>0</v>
      </c>
      <c r="BJ88" s="1037">
        <f>_xlfn.XLOOKUP(H88, 'Baumaterialien Matériaux'!A:A, 'Baumaterialien Matériaux'!E:E, "-", 0, 1)</f>
        <v>46.7</v>
      </c>
      <c r="BK88" s="1036">
        <f t="shared" si="176"/>
        <v>0</v>
      </c>
      <c r="BL88" s="1037">
        <f t="shared" si="177"/>
        <v>0</v>
      </c>
      <c r="BM88" s="1038">
        <f t="shared" si="178"/>
        <v>0</v>
      </c>
      <c r="BN88" s="1037">
        <f>IFERROR((J88*VLOOKUP(H88, 'Baumaterialien Matériaux'!$A$11:$AH$318, 33,FALSE)),0)/$G$1</f>
        <v>1.4489114465072794</v>
      </c>
      <c r="BO88" s="1037">
        <f>(BN88+BP88)*($L$2/L88-1)</f>
        <v>1.6765059436356353</v>
      </c>
      <c r="BP88" s="1037">
        <f>IFERROR((J88*VLOOKUP(H88, 'Baumaterialien Matériaux'!$A$11:$AH$318, 34,FALSE)),0)/$G$1</f>
        <v>0.2275944971283558</v>
      </c>
      <c r="BQ88" s="1037">
        <f t="shared" si="151"/>
        <v>0.51673944687045126</v>
      </c>
      <c r="BR88" s="1037"/>
    </row>
    <row r="89" spans="2:70">
      <c r="B89" s="1103"/>
      <c r="C89" s="1099"/>
      <c r="D89" s="478"/>
      <c r="E89" s="478"/>
      <c r="F89" s="3" t="s">
        <v>3391</v>
      </c>
      <c r="G89" s="478" t="str">
        <f>_xlfn.XLOOKUP(H89, 'Baumaterialien Matériaux'!A:A, 'Baumaterialien Matériaux'!AD:AD, "-", 0, 1)</f>
        <v>Portes extérieures aluminium, avec panneau</v>
      </c>
      <c r="H89" s="885">
        <v>12.006</v>
      </c>
      <c r="I89" s="641" t="str">
        <f>_xlfn.XLOOKUP(H89, 'Baumaterialien Matériaux'!A:A, 'Baumaterialien Matériaux'!F:F, "-", 0, 1)</f>
        <v>m2</v>
      </c>
      <c r="J89" s="649">
        <v>11.5</v>
      </c>
      <c r="K89" s="647"/>
      <c r="L89" s="647">
        <v>30</v>
      </c>
      <c r="M89" s="648">
        <f t="shared" si="183"/>
        <v>5.7085707819479676</v>
      </c>
      <c r="N89" s="720">
        <f>IFERROR(($J89*VLOOKUP($H89, 'Baumaterialien Matériaux'!$A$11:$AD$318, 26,FALSE)),0)/$G$1</f>
        <v>2.3423934820355279</v>
      </c>
      <c r="O89" s="720">
        <f>IFERROR(($J89*VLOOKUP($H89, 'Baumaterialien Matériaux'!$A$11:$AH$318, 33,FALSE)),0)/$G$1</f>
        <v>0.7677845302227565</v>
      </c>
      <c r="P89" s="720">
        <f t="shared" si="190"/>
        <v>2.4703931258626057</v>
      </c>
      <c r="Q89" s="720">
        <f>IFERROR(($J89*VLOOKUP($H89, 'Baumaterialien Matériaux'!$A$11:$AD$318, 27,FALSE)),0)/$G$1</f>
        <v>0.12799964382707804</v>
      </c>
      <c r="R89" s="720">
        <f>IFERROR(($J89*VLOOKUP($H89, 'Baumaterialien Matériaux'!$A$11:$AH$318, 34,FALSE)),0)/$G$1</f>
        <v>3.3463959170477911E-2</v>
      </c>
      <c r="S89" s="720">
        <f>IFERROR((J89*VLOOKUP(H89, 'Baumaterialien Matériaux'!$A$11:$AD$318, 29,FALSE)),0)/$G$1</f>
        <v>0</v>
      </c>
      <c r="T89" s="720">
        <f>S89*AJ89</f>
        <v>0</v>
      </c>
      <c r="V89" s="638">
        <f t="shared" si="138"/>
        <v>0</v>
      </c>
      <c r="W89" s="638">
        <f t="shared" si="103"/>
        <v>0</v>
      </c>
      <c r="Z89" s="638">
        <f t="shared" si="142"/>
        <v>30</v>
      </c>
      <c r="AA89" s="648" t="s">
        <v>3446</v>
      </c>
      <c r="AB89" t="str">
        <f>_xlfn.XLOOKUP($H89,'[1]Baumaterialien Matériaux'!$A:$A,'[1]Baumaterialien Matériaux'!AK:AK,0,0)</f>
        <v>metal</v>
      </c>
      <c r="AC89" cm="1">
        <f t="array" ref="AC89">_xlfn.SWITCH(I89,"kg"," ",0," ",_xlfn.XLOOKUP(H89, '[1]Baumaterialien Matériaux'!$A:$A, '[1]Baumaterialien Matériaux'!$AL:$AL, "-", 0, 1))</f>
        <v>21.4</v>
      </c>
      <c r="AD89" s="622" cm="1">
        <f t="array" ref="AD89">IFERROR(_xlfn.SWITCH(I89,"kg",1,"m3",AC89,AC89)*J89/(_xlfn.XLOOKUP(AA89,Métrés!A:A,Métrés!C:C,0)),0)</f>
        <v>0.27391923778994698</v>
      </c>
      <c r="AE89" s="1092">
        <f>IFERROR(N89*$G$1/(_xlfn.XLOOKUP($AA89,Métrés!$A:$A,Métrés!$C:$C,0)),0)</f>
        <v>2.3423934820355279</v>
      </c>
      <c r="AF89" s="1092">
        <f>IFERROR(O89*$G$1/(_xlfn.XLOOKUP($AA89,Métrés!$A:$A,Métrés!$C:$C,0)),0)</f>
        <v>0.7677845302227565</v>
      </c>
      <c r="AG89" s="1092">
        <f>IFERROR(Q89*$G$1/(_xlfn.XLOOKUP($AA89,Métrés!$A:$A,Métrés!$C:$C,0)),0)</f>
        <v>0.12799964382707804</v>
      </c>
      <c r="AH89" s="1092">
        <f>IFERROR(R89*$G$1/(_xlfn.XLOOKUP($AA89,Métrés!$A:$A,Métrés!$C:$C,0)),0)</f>
        <v>3.3463959170477911E-2</v>
      </c>
      <c r="AI89" s="1092">
        <f>IFERROR(S89*$G$1/(_xlfn.XLOOKUP($AA89,Métrés!$A:$A,Métrés!$C:$C,0)),0)</f>
        <v>0</v>
      </c>
      <c r="AJ89" s="1022"/>
      <c r="AK89" s="638">
        <f>IF(L89=60, 0, T89)</f>
        <v>0</v>
      </c>
      <c r="AL89" s="638">
        <f>IF(L89=60, 0, S89)</f>
        <v>0</v>
      </c>
      <c r="AM89" s="638" t="str">
        <f>IF(L89=$L$2, "Structure", IF(L89&gt;0,"Revêtement",0))</f>
        <v>Revêtement</v>
      </c>
      <c r="AN89" s="1036">
        <f>IF(AM89="Structure",N89,0)</f>
        <v>0</v>
      </c>
      <c r="AO89" s="1037">
        <f>IF(AM89="Structure",P89,0)</f>
        <v>0</v>
      </c>
      <c r="AP89" s="1037">
        <f>IF(AM89="Structure",Q89,0)</f>
        <v>0</v>
      </c>
      <c r="AQ89" s="1038">
        <f>IF(AM89="Structure",S89,0)</f>
        <v>0</v>
      </c>
      <c r="AR89" s="1038">
        <f>IF(AM89="Structure",T89,0)</f>
        <v>0</v>
      </c>
      <c r="AS89" s="1036">
        <f>IF(AM89="Insulation",N89,0)</f>
        <v>0</v>
      </c>
      <c r="AT89" s="1037">
        <f>IF(AM89="Insulation",P89,0)</f>
        <v>0</v>
      </c>
      <c r="AU89" s="1037">
        <f>IF(AM89="Insulation",Q89,0)</f>
        <v>0</v>
      </c>
      <c r="AV89" s="1038">
        <f>IF(AM89="Insulation",S89,0)</f>
        <v>0</v>
      </c>
      <c r="AW89" s="1038">
        <f>IF(AM89="Insulation",T89,0)</f>
        <v>0</v>
      </c>
      <c r="AX89" s="1036">
        <f>IF(AM89="Revêtement",N89,0)</f>
        <v>2.3423934820355279</v>
      </c>
      <c r="AY89" s="1037">
        <f>IF(AM89="Revêtement",P89,0)</f>
        <v>2.4703931258626057</v>
      </c>
      <c r="AZ89" s="1037">
        <f>IF(AM89="Revêtement",Q89,0)</f>
        <v>0.12799964382707804</v>
      </c>
      <c r="BA89" s="1037">
        <f>IF(AM89="Revêtement",S89,0)</f>
        <v>0</v>
      </c>
      <c r="BB89" s="1038">
        <f>IF(AM89="Revêtement",T89,0)</f>
        <v>0</v>
      </c>
      <c r="BC89" s="1036"/>
      <c r="BD89" s="1037"/>
      <c r="BE89" s="1037"/>
      <c r="BF89" s="1038"/>
      <c r="BG89" s="1036">
        <f>IF($AM89="Structure", IF($I89="kg",$J89,0), 0)</f>
        <v>0</v>
      </c>
      <c r="BH89" s="1037">
        <f>IF($AM89="Insulation", IF($I89="kg",$J89,0), 0)</f>
        <v>0</v>
      </c>
      <c r="BI89" s="1038">
        <f>IF($AM89="Revêtement", IF($I89="kg",$J89,0), 0)</f>
        <v>0</v>
      </c>
      <c r="BJ89" s="1037">
        <f>_xlfn.XLOOKUP(H89, 'Baumaterialien Matériaux'!A:A, 'Baumaterialien Matériaux'!E:E, "-", 0, 1)</f>
        <v>25</v>
      </c>
      <c r="BK89" s="1036">
        <f t="shared" si="176"/>
        <v>0</v>
      </c>
      <c r="BL89" s="1037">
        <f t="shared" si="177"/>
        <v>0</v>
      </c>
      <c r="BM89" s="1038">
        <f t="shared" si="178"/>
        <v>0</v>
      </c>
      <c r="BN89" s="1037">
        <f>IFERROR((J89*VLOOKUP(H89, 'Baumaterialien Matériaux'!$A$11:$AH$318, 33,FALSE)),0)/$G$1</f>
        <v>0.7677845302227565</v>
      </c>
      <c r="BO89" s="1037">
        <f>(BN89+BP89)*($L$2/L89-1)</f>
        <v>0.80124848939323445</v>
      </c>
      <c r="BP89" s="1037">
        <f>IFERROR((J89*VLOOKUP(H89, 'Baumaterialien Matériaux'!$A$11:$AH$318, 34,FALSE)),0)/$G$1</f>
        <v>3.3463959170477911E-2</v>
      </c>
      <c r="BQ89" s="1037">
        <f t="shared" si="151"/>
        <v>0.26143790849673199</v>
      </c>
      <c r="BR89" s="1037"/>
    </row>
    <row r="90" spans="2:70" ht="15.75" customHeight="1">
      <c r="B90" s="1103"/>
      <c r="C90" s="1097" t="s">
        <v>124</v>
      </c>
      <c r="D90" s="473" t="s">
        <v>125</v>
      </c>
      <c r="E90" s="473"/>
      <c r="F90" s="473"/>
      <c r="G90" s="473"/>
      <c r="H90" s="473"/>
      <c r="I90" s="463"/>
      <c r="J90" s="654"/>
      <c r="K90" s="652"/>
      <c r="L90" s="652"/>
      <c r="M90" s="653">
        <f ca="1">M91</f>
        <v>43.407855304750456</v>
      </c>
      <c r="N90" s="653">
        <f>N91</f>
        <v>32.815740956546904</v>
      </c>
      <c r="O90" s="653">
        <f>O91</f>
        <v>7.3153885679622448</v>
      </c>
      <c r="P90" s="653">
        <f t="shared" ref="P90:T90" ca="1" si="191">P91</f>
        <v>0.88989498185744176</v>
      </c>
      <c r="Q90" s="653">
        <f t="shared" si="191"/>
        <v>2.386830798383865</v>
      </c>
      <c r="R90" s="653">
        <f t="shared" si="191"/>
        <v>0.47204687819999108</v>
      </c>
      <c r="S90" s="653">
        <f t="shared" si="191"/>
        <v>1.0557974934330616</v>
      </c>
      <c r="T90" s="653">
        <f t="shared" si="191"/>
        <v>1.7424318819286762E-3</v>
      </c>
      <c r="V90" s="638">
        <f t="shared" si="138"/>
        <v>1.7424318819286762E-3</v>
      </c>
      <c r="X90" s="638">
        <f t="shared" si="10"/>
        <v>0</v>
      </c>
      <c r="Z90" s="638">
        <f t="shared" si="142"/>
        <v>0</v>
      </c>
      <c r="AB90">
        <f>_xlfn.XLOOKUP($H90,'[1]Baumaterialien Matériaux'!$A:$A,'[1]Baumaterialien Matériaux'!AK:AK,0,0)</f>
        <v>0</v>
      </c>
      <c r="AC90" t="str" cm="1">
        <f t="array" ref="AC90">_xlfn.SWITCH(I90,"kg"," ",0," ",_xlfn.XLOOKUP(H90, '[1]Baumaterialien Matériaux'!$A:$A, '[1]Baumaterialien Matériaux'!$AL:$AL, "-", 0, 1))</f>
        <v xml:space="preserve"> </v>
      </c>
      <c r="AD90" s="622" cm="1">
        <f t="array" ref="AD90">IFERROR(_xlfn.SWITCH(I90,"kg",1,"m3",AC90,AC90)*J90/(_xlfn.XLOOKUP(AA90,Métrés!A:A,Métrés!C:C,0)),0)</f>
        <v>0</v>
      </c>
      <c r="AE90" s="1092">
        <f>IFERROR(N90*$G$1/(_xlfn.XLOOKUP($AA90,Métrés!$A:$A,Métrés!$C:$C,0)),0)</f>
        <v>0</v>
      </c>
      <c r="AF90" s="1092">
        <f>IFERROR(O90*$G$1/(_xlfn.XLOOKUP($AA90,Métrés!$A:$A,Métrés!$C:$C,0)),0)</f>
        <v>0</v>
      </c>
      <c r="AG90" s="1092">
        <f>IFERROR(Q90*$G$1/(_xlfn.XLOOKUP($AA90,Métrés!$A:$A,Métrés!$C:$C,0)),0)</f>
        <v>0</v>
      </c>
      <c r="AH90" s="1092">
        <f>IFERROR(R90*$G$1/(_xlfn.XLOOKUP($AA90,Métrés!$A:$A,Métrés!$C:$C,0)),0)</f>
        <v>0</v>
      </c>
      <c r="AI90" s="1092">
        <f>IFERROR(S90*$G$1/(_xlfn.XLOOKUP($AA90,Métrés!$A:$A,Métrés!$C:$C,0)),0)</f>
        <v>0</v>
      </c>
      <c r="AJ90" s="666"/>
      <c r="AK90" s="666"/>
      <c r="AL90" s="666"/>
      <c r="AM90" s="666"/>
      <c r="AN90" s="1051"/>
      <c r="AO90" s="666"/>
      <c r="AP90" s="666"/>
      <c r="AQ90" s="666"/>
      <c r="AR90" s="1052"/>
      <c r="AS90" s="1051"/>
      <c r="AT90" s="666"/>
      <c r="AU90" s="666"/>
      <c r="AV90" s="666"/>
      <c r="AW90" s="1052"/>
      <c r="AX90" s="1051"/>
      <c r="AY90" s="666"/>
      <c r="AZ90" s="666"/>
      <c r="BA90" s="666"/>
      <c r="BB90" s="1052"/>
      <c r="BC90" s="1051"/>
      <c r="BD90" s="666"/>
      <c r="BE90" s="666"/>
      <c r="BF90" s="1052"/>
      <c r="BG90" s="1051"/>
      <c r="BH90" s="666"/>
      <c r="BI90" s="1052"/>
      <c r="BJ90" s="666"/>
      <c r="BK90" s="1051"/>
      <c r="BL90" s="666"/>
      <c r="BM90" s="1052"/>
      <c r="BN90" s="1037">
        <f>IFERROR((J90*VLOOKUP(H90, 'Baumaterialien Matériaux'!$A$11:$AH$318, 33,FALSE)),0)/$G$1</f>
        <v>0</v>
      </c>
      <c r="BO90" s="1037"/>
      <c r="BP90" s="1037">
        <f>IFERROR((J90*VLOOKUP(H90, 'Baumaterialien Matériaux'!$A$11:$AH$318, 34,FALSE)),0)/$G$1</f>
        <v>0</v>
      </c>
      <c r="BQ90" s="1037">
        <f t="shared" si="151"/>
        <v>0</v>
      </c>
      <c r="BR90" s="1037"/>
    </row>
    <row r="91" spans="2:70">
      <c r="B91" s="1103"/>
      <c r="C91" s="1099"/>
      <c r="D91" s="478"/>
      <c r="E91" s="479" t="str">
        <f>BillQuantities!E20</f>
        <v>Dalle en béton 25cm (avec enduit intérieur)</v>
      </c>
      <c r="F91" s="479" t="s">
        <v>238</v>
      </c>
      <c r="G91" s="479"/>
      <c r="H91" s="479"/>
      <c r="I91" s="459" t="s">
        <v>39</v>
      </c>
      <c r="J91" s="662">
        <v>279.05</v>
      </c>
      <c r="K91" s="663"/>
      <c r="L91" s="663"/>
      <c r="M91" s="664">
        <f ca="1">SUM(M92:M95)</f>
        <v>43.407855304750456</v>
      </c>
      <c r="N91" s="664">
        <f t="shared" ref="N91:S91" si="192">SUM(N92:N95)</f>
        <v>32.815740956546904</v>
      </c>
      <c r="O91" s="664">
        <f t="shared" ref="O91" si="193">SUM(O92:O95)</f>
        <v>7.3153885679622448</v>
      </c>
      <c r="P91" s="664">
        <f t="shared" ca="1" si="192"/>
        <v>0.88989498185744176</v>
      </c>
      <c r="Q91" s="664">
        <f t="shared" si="192"/>
        <v>2.386830798383865</v>
      </c>
      <c r="R91" s="664">
        <f t="shared" ref="R91" si="194">SUM(R92:R95)</f>
        <v>0.47204687819999108</v>
      </c>
      <c r="S91" s="664">
        <f t="shared" si="192"/>
        <v>1.0557974934330616</v>
      </c>
      <c r="T91" s="664">
        <f t="shared" ref="T91" si="195">SUM(T92:T95)</f>
        <v>1.7424318819286762E-3</v>
      </c>
      <c r="V91" s="638">
        <f t="shared" si="138"/>
        <v>1.7424318819286762E-3</v>
      </c>
      <c r="X91" s="638">
        <f t="shared" si="10"/>
        <v>0</v>
      </c>
      <c r="Z91" s="638">
        <f t="shared" si="142"/>
        <v>0</v>
      </c>
      <c r="AA91" s="648" t="s">
        <v>3445</v>
      </c>
      <c r="AB91">
        <f>_xlfn.XLOOKUP($H91,'[1]Baumaterialien Matériaux'!$A:$A,'[1]Baumaterialien Matériaux'!AK:AK,0,0)</f>
        <v>0</v>
      </c>
      <c r="AC91" cm="1">
        <f t="array" ref="AC91">_xlfn.SWITCH(I91,"kg"," ",0," ",_xlfn.XLOOKUP(H91, '[1]Baumaterialien Matériaux'!$A:$A, '[1]Baumaterialien Matériaux'!$AL:$AL, "-", 0, 1))</f>
        <v>0</v>
      </c>
      <c r="AD91" s="622" cm="1">
        <f t="array" ref="AD91">IFERROR(_xlfn.SWITCH(I91,"kg",1,"m3",AC91,AC91)*J91/(_xlfn.XLOOKUP(AA91,Métrés!A:A,Métrés!C:C,0)),0)</f>
        <v>0</v>
      </c>
      <c r="AE91" s="1092">
        <f>IFERROR(N91*$G$1/(_xlfn.XLOOKUP($AA91,Métrés!$A:$A,Métrés!$C:$C,0)),0)</f>
        <v>105.65480847518367</v>
      </c>
      <c r="AF91" s="1092">
        <f>IFERROR(O91*$G$1/(_xlfn.XLOOKUP($AA91,Métrés!$A:$A,Métrés!$C:$C,0)),0)</f>
        <v>23.552903440243682</v>
      </c>
      <c r="AG91" s="1092">
        <f>IFERROR(Q91*$G$1/(_xlfn.XLOOKUP($AA91,Métrés!$A:$A,Métrés!$C:$C,0)),0)</f>
        <v>7.6847312757570316</v>
      </c>
      <c r="AH91" s="1092">
        <f>IFERROR(R91*$G$1/(_xlfn.XLOOKUP($AA91,Métrés!$A:$A,Métrés!$C:$C,0)),0)</f>
        <v>1.5198200940691633</v>
      </c>
      <c r="AI91" s="1092">
        <f>IFERROR(S91*$G$1/(_xlfn.XLOOKUP($AA91,Métrés!$A:$A,Métrés!$C:$C,0)),0)</f>
        <v>3.3992857910768679</v>
      </c>
      <c r="AJ91" s="878"/>
      <c r="AK91" s="878"/>
      <c r="AL91" s="878"/>
      <c r="AM91" s="878"/>
      <c r="AN91" s="1053"/>
      <c r="AO91" s="878"/>
      <c r="AP91" s="878"/>
      <c r="AQ91" s="878"/>
      <c r="AR91" s="1054"/>
      <c r="AS91" s="1053"/>
      <c r="AT91" s="878"/>
      <c r="AU91" s="878"/>
      <c r="AV91" s="878"/>
      <c r="AW91" s="1054"/>
      <c r="AX91" s="1053"/>
      <c r="AY91" s="878"/>
      <c r="AZ91" s="878"/>
      <c r="BA91" s="878"/>
      <c r="BB91" s="1054"/>
      <c r="BC91" s="1053"/>
      <c r="BD91" s="878"/>
      <c r="BE91" s="878"/>
      <c r="BF91" s="1054"/>
      <c r="BG91" s="1053"/>
      <c r="BH91" s="878"/>
      <c r="BI91" s="1054"/>
      <c r="BJ91" s="878"/>
      <c r="BK91" s="1053"/>
      <c r="BL91" s="878"/>
      <c r="BM91" s="1054"/>
      <c r="BN91" s="1037">
        <f>IFERROR((J91*VLOOKUP(H91, 'Baumaterialien Matériaux'!$A$11:$AH$318, 33,FALSE)),0)/$G$1</f>
        <v>0</v>
      </c>
      <c r="BO91" s="1037"/>
      <c r="BP91" s="1037">
        <f>IFERROR((J91*VLOOKUP(H91, 'Baumaterialien Matériaux'!$A$11:$AH$318, 34,FALSE)),0)/$G$1</f>
        <v>0</v>
      </c>
      <c r="BQ91" s="1037">
        <f t="shared" si="151"/>
        <v>0</v>
      </c>
      <c r="BR91" s="1037"/>
    </row>
    <row r="92" spans="2:70">
      <c r="B92" s="1103"/>
      <c r="C92" s="1099"/>
      <c r="D92" s="478"/>
      <c r="E92" s="478"/>
      <c r="F92" s="454" t="s">
        <v>3028</v>
      </c>
      <c r="G92" s="478" t="str">
        <f>_xlfn.XLOOKUP(H92, 'Baumaterialien Matériaux'!A:A, 'Baumaterialien Matériaux'!AD:AD, "-", 0, 1)</f>
        <v>Béton pour bâtiment (sans armature)</v>
      </c>
      <c r="H92" s="891">
        <v>1.0019999999999998</v>
      </c>
      <c r="I92" s="641" t="str">
        <f>_xlfn.XLOOKUP(H92, 'Baumaterialien Matériaux'!A:A, 'Baumaterialien Matériaux'!F:F, "-", 0, 1)</f>
        <v>kg</v>
      </c>
      <c r="J92" s="649">
        <f>$J$91*K92</f>
        <v>154035.6</v>
      </c>
      <c r="K92" s="893">
        <f>0.24*2300</f>
        <v>552</v>
      </c>
      <c r="L92" s="647" cm="1">
        <f t="array" aca="1" ref="L92" ca="1">INDEX('Enveloppe du bâtiment hors terr'!N154:N190, 'Enveloppe du bâtiment hors terr'!W154)</f>
        <v>60</v>
      </c>
      <c r="M92" s="648">
        <f t="shared" ref="M92:M94" ca="1" si="196">SUM(N92:Q92)</f>
        <v>20.968071190062773</v>
      </c>
      <c r="N92" s="720">
        <f>IFERROR(($J92*VLOOKUP($H92, 'Baumaterialien Matériaux'!$A$11:$AD$318, 26,FALSE)),0)/$G$1</f>
        <v>15.224568451983439</v>
      </c>
      <c r="O92" s="720">
        <f>IFERROR(($J92*VLOOKUP($H92, 'Baumaterialien Matériaux'!$A$11:$AH$318, 33,FALSE)),0)/$G$1</f>
        <v>3.5661151328970209</v>
      </c>
      <c r="P92" s="720">
        <f ca="1">IFERROR((N92+Q92)*($L$2/L92-1),0)</f>
        <v>0</v>
      </c>
      <c r="Q92" s="720">
        <f>IFERROR(($J92*VLOOKUP($H92, 'Baumaterialien Matériaux'!$A$11:$AD$318, 27,FALSE)),0)/$G$1</f>
        <v>2.1773876051823158</v>
      </c>
      <c r="R92" s="720">
        <f>IFERROR(($J92*VLOOKUP($H92, 'Baumaterialien Matériaux'!$A$11:$AH$318, 34,FALSE)),0)/$G$1</f>
        <v>0.459480219046347</v>
      </c>
      <c r="S92" s="720">
        <f>IFERROR((J92*VLOOKUP(H92, 'Baumaterialien Matériaux'!$A$11:$AD$318, 29,FALSE)),0)/$G$1</f>
        <v>0</v>
      </c>
      <c r="T92" s="720"/>
      <c r="V92" s="638">
        <f t="shared" ca="1" si="138"/>
        <v>0</v>
      </c>
      <c r="W92" s="638">
        <f t="shared" ref="W92:W110" ca="1" si="197">IF(L92=60, 0, S92)</f>
        <v>0</v>
      </c>
      <c r="X92" s="638" t="str">
        <f t="shared" ca="1" si="10"/>
        <v>Structure</v>
      </c>
      <c r="Z92" s="638">
        <f t="shared" ca="1" si="142"/>
        <v>60</v>
      </c>
      <c r="AA92" s="648" t="s">
        <v>3445</v>
      </c>
      <c r="AB92" t="str">
        <f>_xlfn.XLOOKUP($H92,'[1]Baumaterialien Matériaux'!$A:$A,'[1]Baumaterialien Matériaux'!AK:AK,0,0)</f>
        <v>concrete</v>
      </c>
      <c r="AC92" t="str" cm="1">
        <f t="array" ref="AC92">_xlfn.SWITCH(I92,"kg"," ",0," ",_xlfn.XLOOKUP(H92, '[1]Baumaterialien Matériaux'!$A:$A, '[1]Baumaterialien Matériaux'!$AL:$AL, "-", 0, 1))</f>
        <v xml:space="preserve"> </v>
      </c>
      <c r="AD92" s="622" cm="1">
        <f t="array" ref="AD92">IFERROR(_xlfn.SWITCH(I92,"kg",1,"m3",AC92,AC92)*J92/(_xlfn.XLOOKUP(AA92,Métrés!A:A,Métrés!C:C,0)),0)</f>
        <v>552</v>
      </c>
      <c r="AE92" s="1092">
        <f>IFERROR(N92*$G$1/(_xlfn.XLOOKUP($AA92,Métrés!$A:$A,Métrés!$C:$C,0)),0)</f>
        <v>49.017600000000002</v>
      </c>
      <c r="AF92" s="1092">
        <f>IFERROR(O92*$G$1/(_xlfn.XLOOKUP($AA92,Métrés!$A:$A,Métrés!$C:$C,0)),0)</f>
        <v>11.481599999999998</v>
      </c>
      <c r="AG92" s="1092">
        <f>IFERROR(Q92*$G$1/(_xlfn.XLOOKUP($AA92,Métrés!$A:$A,Métrés!$C:$C,0)),0)</f>
        <v>7.0103999999999989</v>
      </c>
      <c r="AH92" s="1092">
        <f>IFERROR(R92*$G$1/(_xlfn.XLOOKUP($AA92,Métrés!$A:$A,Métrés!$C:$C,0)),0)</f>
        <v>1.47936</v>
      </c>
      <c r="AI92" s="1092">
        <f>IFERROR(S92*$G$1/(_xlfn.XLOOKUP($AA92,Métrés!$A:$A,Métrés!$C:$C,0)),0)</f>
        <v>0</v>
      </c>
      <c r="AJ92" s="1022"/>
      <c r="AK92" s="638">
        <f t="shared" ref="AK92:AK99" ca="1" si="198">IF(L92=60, 0, T92)</f>
        <v>0</v>
      </c>
      <c r="AL92" s="638">
        <f t="shared" ref="AL92:AL99" ca="1" si="199">IF(L92=60, 0, S92)</f>
        <v>0</v>
      </c>
      <c r="AM92" s="638" t="str">
        <f t="shared" ref="AM92:AM99" ca="1" si="200">IF(L92=$L$2, "Structure", IF(L92&gt;0,"Revêtement",0))</f>
        <v>Structure</v>
      </c>
      <c r="AN92" s="1036">
        <f t="shared" ref="AN92:AN99" ca="1" si="201">IF(AM92="Structure",N92,0)</f>
        <v>15.224568451983439</v>
      </c>
      <c r="AO92" s="1037">
        <f t="shared" ref="AO92:AO99" ca="1" si="202">IF(AM92="Structure",P92,0)</f>
        <v>0</v>
      </c>
      <c r="AP92" s="1037">
        <f t="shared" ref="AP92:AP99" ca="1" si="203">IF(AM92="Structure",Q92,0)</f>
        <v>2.1773876051823158</v>
      </c>
      <c r="AQ92" s="1038">
        <f t="shared" ref="AQ92:AQ99" ca="1" si="204">IF(AM92="Structure",S92,0)</f>
        <v>0</v>
      </c>
      <c r="AR92" s="1038">
        <f t="shared" ref="AR92:AR99" ca="1" si="205">IF(AM92="Structure",T92,0)</f>
        <v>0</v>
      </c>
      <c r="AS92" s="1036">
        <f t="shared" ref="AS92:AS99" ca="1" si="206">IF(AM92="Insulation",N92,0)</f>
        <v>0</v>
      </c>
      <c r="AT92" s="1037">
        <f t="shared" ref="AT92:AT99" ca="1" si="207">IF(AM92="Insulation",P92,0)</f>
        <v>0</v>
      </c>
      <c r="AU92" s="1037">
        <f t="shared" ref="AU92:AU99" ca="1" si="208">IF(AM92="Insulation",Q92,0)</f>
        <v>0</v>
      </c>
      <c r="AV92" s="1038">
        <f t="shared" ref="AV92:AV99" ca="1" si="209">IF(AM92="Insulation",S92,0)</f>
        <v>0</v>
      </c>
      <c r="AW92" s="1038">
        <f t="shared" ref="AW92:AW99" ca="1" si="210">IF(AM92="Insulation",T92,0)</f>
        <v>0</v>
      </c>
      <c r="AX92" s="1036">
        <f t="shared" ref="AX92:AX99" ca="1" si="211">IF(AM92="Revêtement",N92,0)</f>
        <v>0</v>
      </c>
      <c r="AY92" s="1037">
        <f t="shared" ref="AY92:AY99" ca="1" si="212">IF(AM92="Revêtement",P92,0)</f>
        <v>0</v>
      </c>
      <c r="AZ92" s="1037">
        <f t="shared" ref="AZ92:AZ99" ca="1" si="213">IF(AM92="Revêtement",Q92,0)</f>
        <v>0</v>
      </c>
      <c r="BA92" s="1037">
        <f t="shared" ref="BA92:BA99" ca="1" si="214">IF(AM92="Revêtement",S92,0)</f>
        <v>0</v>
      </c>
      <c r="BB92" s="1038">
        <f t="shared" ref="BB92:BB99" ca="1" si="215">IF(AM92="Revêtement",T92,0)</f>
        <v>0</v>
      </c>
      <c r="BC92" s="1036"/>
      <c r="BD92" s="1037"/>
      <c r="BE92" s="1037"/>
      <c r="BF92" s="1038"/>
      <c r="BG92" s="1036">
        <f t="shared" ref="BG92:BG99" ca="1" si="216">IF($AM92="Structure", IF($I92="kg",$J92,0), 0)</f>
        <v>154035.6</v>
      </c>
      <c r="BH92" s="1037">
        <f t="shared" ref="BH92:BH99" ca="1" si="217">IF($AM92="Insulation", IF($I92="kg",$J92,0), 0)</f>
        <v>0</v>
      </c>
      <c r="BI92" s="1038">
        <f t="shared" ref="BI92:BI99" ca="1" si="218">IF($AM92="Revêtement", IF($I92="kg",$J92,0), 0)</f>
        <v>0</v>
      </c>
      <c r="BJ92" s="1037">
        <f>_xlfn.XLOOKUP(H92, 'Baumaterialien Matériaux'!A:A, 'Baumaterialien Matériaux'!E:E, "-", 0, 1)</f>
        <v>2300</v>
      </c>
      <c r="BK92" s="1036">
        <f t="shared" ca="1" si="176"/>
        <v>66.972000000000008</v>
      </c>
      <c r="BL92" s="1037">
        <f t="shared" ca="1" si="177"/>
        <v>0</v>
      </c>
      <c r="BM92" s="1038">
        <f t="shared" ca="1" si="178"/>
        <v>0</v>
      </c>
      <c r="BN92" s="1037">
        <f>IFERROR((J92*VLOOKUP(H92, 'Baumaterialien Matériaux'!$A$11:$AH$318, 33,FALSE)),0)/$G$1</f>
        <v>3.5661151328970209</v>
      </c>
      <c r="BO92" s="1037">
        <f ca="1">(BN92+BP92)*($L$2/L92-1)</f>
        <v>0</v>
      </c>
      <c r="BP92" s="1037">
        <f>IFERROR((J92*VLOOKUP(H92, 'Baumaterialien Matériaux'!$A$11:$AH$318, 34,FALSE)),0)/$G$1</f>
        <v>0.459480219046347</v>
      </c>
      <c r="BQ92" s="1037">
        <f t="shared" si="151"/>
        <v>0.21102362204724412</v>
      </c>
      <c r="BR92" s="1037">
        <f t="shared" ref="BR92:BR97" ca="1" si="219">IFERROR((N92+Q92)*($L$2/L92-1),0)</f>
        <v>0</v>
      </c>
    </row>
    <row r="93" spans="2:70">
      <c r="B93" s="1103"/>
      <c r="C93" s="1099"/>
      <c r="D93" s="478"/>
      <c r="E93" s="478"/>
      <c r="F93" s="638" t="s">
        <v>3004</v>
      </c>
      <c r="G93" s="478" t="str">
        <f>_xlfn.XLOOKUP(H93, 'Baumaterialien Matériaux'!A:A, 'Baumaterialien Matériaux'!AD:AD, "-", 0, 1)</f>
        <v>Acier d'armature</v>
      </c>
      <c r="H93" s="892" t="s">
        <v>497</v>
      </c>
      <c r="I93" s="641" t="str">
        <f>_xlfn.XLOOKUP(H93, 'Baumaterialien Matériaux'!A:A, 'Baumaterialien Matériaux'!F:F, "-", 0, 1)</f>
        <v>kg</v>
      </c>
      <c r="J93" s="649">
        <f t="shared" ref="J93:J94" si="220">$J$91*K93</f>
        <v>10045.800000000001</v>
      </c>
      <c r="K93" s="894">
        <f>0.24*150</f>
        <v>36</v>
      </c>
      <c r="L93" s="647" cm="1">
        <f t="array" aca="1" ref="L93" ca="1">INDEX('Enveloppe du bâtiment hors terr'!N155:N191, 'Enveloppe du bâtiment hors terr'!W155)</f>
        <v>60</v>
      </c>
      <c r="M93" s="648">
        <f t="shared" ca="1" si="196"/>
        <v>20.164502604514492</v>
      </c>
      <c r="N93" s="720">
        <f>IFERROR(($J93*VLOOKUP($H93, 'Baumaterialien Matériaux'!$A$11:$AD$318, 26,FALSE)),0)/$G$1</f>
        <v>16.772071590757314</v>
      </c>
      <c r="O93" s="720">
        <f>IFERROR(($J93*VLOOKUP($H93, 'Baumaterialien Matériaux'!$A$11:$AH$318, 33,FALSE)),0)/$G$1</f>
        <v>3.2537818886069183</v>
      </c>
      <c r="P93" s="720">
        <f t="shared" ref="P93:P94" ca="1" si="221">IFERROR((N93+Q93)*($L$2/L93-1),0)</f>
        <v>0</v>
      </c>
      <c r="Q93" s="720">
        <f>IFERROR(($J93*VLOOKUP($H93, 'Baumaterialien Matériaux'!$A$11:$AD$318, 27,FALSE)),0)/$G$1</f>
        <v>0.13864912515026045</v>
      </c>
      <c r="R93" s="720">
        <f>IFERROR(($J93*VLOOKUP($H93, 'Baumaterialien Matériaux'!$A$11:$AH$318, 34,FALSE)),0)/$G$1</f>
        <v>0</v>
      </c>
      <c r="S93" s="720">
        <f>IFERROR((J93*VLOOKUP(H93, 'Baumaterialien Matériaux'!$A$11:$AD$318, 29,FALSE)),0)/$G$1</f>
        <v>0</v>
      </c>
      <c r="T93" s="720"/>
      <c r="V93" s="638">
        <f t="shared" ca="1" si="138"/>
        <v>0</v>
      </c>
      <c r="W93" s="638">
        <f t="shared" ca="1" si="197"/>
        <v>0</v>
      </c>
      <c r="X93" s="638" t="str">
        <f t="shared" ca="1" si="10"/>
        <v>Structure</v>
      </c>
      <c r="Z93" s="638">
        <f t="shared" ca="1" si="142"/>
        <v>60</v>
      </c>
      <c r="AA93" s="648" t="s">
        <v>3445</v>
      </c>
      <c r="AB93" t="str">
        <f>_xlfn.XLOOKUP($H93,'[1]Baumaterialien Matériaux'!$A:$A,'[1]Baumaterialien Matériaux'!AK:AK,0,0)</f>
        <v>metal</v>
      </c>
      <c r="AC93" t="str" cm="1">
        <f t="array" ref="AC93">_xlfn.SWITCH(I93,"kg"," ",0," ",_xlfn.XLOOKUP(H93, '[1]Baumaterialien Matériaux'!$A:$A, '[1]Baumaterialien Matériaux'!$AL:$AL, "-", 0, 1))</f>
        <v xml:space="preserve"> </v>
      </c>
      <c r="AD93" s="622" cm="1">
        <f t="array" ref="AD93">IFERROR(_xlfn.SWITCH(I93,"kg",1,"m3",AC93,AC93)*J93/(_xlfn.XLOOKUP(AA93,Métrés!A:A,Métrés!C:C,0)),0)</f>
        <v>36</v>
      </c>
      <c r="AE93" s="1092">
        <f>IFERROR(N93*$G$1/(_xlfn.XLOOKUP($AA93,Métrés!$A:$A,Métrés!$C:$C,0)),0)</f>
        <v>54.000000000000007</v>
      </c>
      <c r="AF93" s="1092">
        <f>IFERROR(O93*$G$1/(_xlfn.XLOOKUP($AA93,Métrés!$A:$A,Métrés!$C:$C,0)),0)</f>
        <v>10.475999999999999</v>
      </c>
      <c r="AG93" s="1092">
        <f>IFERROR(Q93*$G$1/(_xlfn.XLOOKUP($AA93,Métrés!$A:$A,Métrés!$C:$C,0)),0)</f>
        <v>0.44640000000000002</v>
      </c>
      <c r="AH93" s="1092">
        <f>IFERROR(R93*$G$1/(_xlfn.XLOOKUP($AA93,Métrés!$A:$A,Métrés!$C:$C,0)),0)</f>
        <v>0</v>
      </c>
      <c r="AI93" s="1092">
        <f>IFERROR(S93*$G$1/(_xlfn.XLOOKUP($AA93,Métrés!$A:$A,Métrés!$C:$C,0)),0)</f>
        <v>0</v>
      </c>
      <c r="AJ93" s="1022"/>
      <c r="AK93" s="638">
        <f t="shared" ca="1" si="198"/>
        <v>0</v>
      </c>
      <c r="AL93" s="638">
        <f t="shared" ca="1" si="199"/>
        <v>0</v>
      </c>
      <c r="AM93" s="638" t="str">
        <f t="shared" ca="1" si="200"/>
        <v>Structure</v>
      </c>
      <c r="AN93" s="1036">
        <f t="shared" ca="1" si="201"/>
        <v>16.772071590757314</v>
      </c>
      <c r="AO93" s="1037">
        <f t="shared" ca="1" si="202"/>
        <v>0</v>
      </c>
      <c r="AP93" s="1037">
        <f t="shared" ca="1" si="203"/>
        <v>0.13864912515026045</v>
      </c>
      <c r="AQ93" s="1038">
        <f t="shared" ca="1" si="204"/>
        <v>0</v>
      </c>
      <c r="AR93" s="1038">
        <f t="shared" ca="1" si="205"/>
        <v>0</v>
      </c>
      <c r="AS93" s="1036">
        <f t="shared" ca="1" si="206"/>
        <v>0</v>
      </c>
      <c r="AT93" s="1037">
        <f t="shared" ca="1" si="207"/>
        <v>0</v>
      </c>
      <c r="AU93" s="1037">
        <f t="shared" ca="1" si="208"/>
        <v>0</v>
      </c>
      <c r="AV93" s="1038">
        <f t="shared" ca="1" si="209"/>
        <v>0</v>
      </c>
      <c r="AW93" s="1038">
        <f t="shared" ca="1" si="210"/>
        <v>0</v>
      </c>
      <c r="AX93" s="1036">
        <f t="shared" ca="1" si="211"/>
        <v>0</v>
      </c>
      <c r="AY93" s="1037">
        <f t="shared" ca="1" si="212"/>
        <v>0</v>
      </c>
      <c r="AZ93" s="1037">
        <f t="shared" ca="1" si="213"/>
        <v>0</v>
      </c>
      <c r="BA93" s="1037">
        <f t="shared" ca="1" si="214"/>
        <v>0</v>
      </c>
      <c r="BB93" s="1038">
        <f t="shared" ca="1" si="215"/>
        <v>0</v>
      </c>
      <c r="BC93" s="1036"/>
      <c r="BD93" s="1037"/>
      <c r="BE93" s="1037"/>
      <c r="BF93" s="1038"/>
      <c r="BG93" s="1036">
        <f t="shared" ca="1" si="216"/>
        <v>10045.800000000001</v>
      </c>
      <c r="BH93" s="1037">
        <f t="shared" ca="1" si="217"/>
        <v>0</v>
      </c>
      <c r="BI93" s="1038">
        <f t="shared" ca="1" si="218"/>
        <v>0</v>
      </c>
      <c r="BJ93" s="1037">
        <f>_xlfn.XLOOKUP(H93, 'Baumaterialien Matériaux'!A:A, 'Baumaterialien Matériaux'!E:E, "-", 0, 1)</f>
        <v>7850</v>
      </c>
      <c r="BK93" s="1036">
        <f t="shared" ca="1" si="176"/>
        <v>1.2797197452229301</v>
      </c>
      <c r="BL93" s="1037">
        <f t="shared" ca="1" si="177"/>
        <v>0</v>
      </c>
      <c r="BM93" s="1038">
        <f t="shared" ca="1" si="178"/>
        <v>0</v>
      </c>
      <c r="BN93" s="1037">
        <f>IFERROR((J93*VLOOKUP(H93, 'Baumaterialien Matériaux'!$A$11:$AH$318, 33,FALSE)),0)/$G$1</f>
        <v>3.2537818886069183</v>
      </c>
      <c r="BO93" s="1037">
        <f ca="1">(BN93+BP93)*($L$2/L93-1)</f>
        <v>0</v>
      </c>
      <c r="BP93" s="1037">
        <f>IFERROR((J93*VLOOKUP(H93, 'Baumaterialien Matériaux'!$A$11:$AH$318, 34,FALSE)),0)/$G$1</f>
        <v>0</v>
      </c>
      <c r="BQ93" s="1037">
        <f t="shared" si="151"/>
        <v>0</v>
      </c>
      <c r="BR93" s="1037">
        <f t="shared" ca="1" si="219"/>
        <v>0</v>
      </c>
    </row>
    <row r="94" spans="2:70">
      <c r="B94" s="1103"/>
      <c r="C94" s="1099"/>
      <c r="D94" s="478"/>
      <c r="E94" s="478"/>
      <c r="F94" s="454" t="s">
        <v>2985</v>
      </c>
      <c r="G94" s="478" t="str">
        <f>_xlfn.XLOOKUP(H94, 'Baumaterialien Matériaux'!A:A, 'Baumaterialien Matériaux'!AD:AD, "-", 0, 1)</f>
        <v>Plaque de plâtre cartonnée</v>
      </c>
      <c r="H94" s="895" t="s">
        <v>107</v>
      </c>
      <c r="I94" s="641" t="str">
        <f>_xlfn.XLOOKUP(H94, 'Baumaterialien Matériaux'!A:A, 'Baumaterialien Matériaux'!F:F, "-", 0, 1)</f>
        <v>kg</v>
      </c>
      <c r="J94" s="649">
        <f t="shared" si="220"/>
        <v>2371.9250000000002</v>
      </c>
      <c r="K94" s="894">
        <f>0.01*850</f>
        <v>8.5</v>
      </c>
      <c r="L94" s="647">
        <v>30</v>
      </c>
      <c r="M94" s="648">
        <f t="shared" si="196"/>
        <v>2.0666298138996479</v>
      </c>
      <c r="N94" s="720">
        <f>IFERROR(($J94*VLOOKUP($H94, 'Baumaterialien Matériaux'!$A$11:$AD$318, 26,FALSE)),0)/$G$1</f>
        <v>0.74713367058456881</v>
      </c>
      <c r="O94" s="720">
        <f>IFERROR(($J94*VLOOKUP($H94, 'Baumaterialien Matériaux'!$A$11:$AH$318, 33,FALSE)),0)/$G$1</f>
        <v>0.47256864676550464</v>
      </c>
      <c r="P94" s="720">
        <f t="shared" si="221"/>
        <v>0.79703058356707179</v>
      </c>
      <c r="Q94" s="720">
        <f>IFERROR(($J94*VLOOKUP($H94, 'Baumaterialien Matériaux'!$A$11:$AD$318, 27,FALSE)),0)/$G$1</f>
        <v>4.9896912982503004E-2</v>
      </c>
      <c r="R94" s="720">
        <f>IFERROR(($J94*VLOOKUP($H94, 'Baumaterialien Matériaux'!$A$11:$AH$318, 34,FALSE)),0)/$G$1</f>
        <v>8.6857589265838565E-3</v>
      </c>
      <c r="S94" s="720">
        <f>IFERROR((J94*VLOOKUP(H94, 'Baumaterialien Matériaux'!$A$11:$AD$318, 29,FALSE)),0)/$G$1</f>
        <v>0.1742431881928676</v>
      </c>
      <c r="T94" s="720">
        <f>S94*AJ94</f>
        <v>1.7424318819286762E-3</v>
      </c>
      <c r="U94" s="638">
        <v>0.01</v>
      </c>
      <c r="V94" s="638">
        <f t="shared" si="138"/>
        <v>1.7424318819286762E-3</v>
      </c>
      <c r="W94" s="638">
        <f t="shared" si="197"/>
        <v>0.1742431881928676</v>
      </c>
      <c r="X94" s="638" t="str">
        <f t="shared" si="10"/>
        <v>Revêtement</v>
      </c>
      <c r="Z94" s="638">
        <f t="shared" si="142"/>
        <v>30</v>
      </c>
      <c r="AA94" s="648" t="s">
        <v>3445</v>
      </c>
      <c r="AB94" t="str">
        <f>_xlfn.XLOOKUP($H94,'[1]Baumaterialien Matériaux'!$A:$A,'[1]Baumaterialien Matériaux'!AK:AK,0,0)</f>
        <v>gypsum</v>
      </c>
      <c r="AC94" t="str" cm="1">
        <f t="array" ref="AC94">_xlfn.SWITCH(I94,"kg"," ",0," ",_xlfn.XLOOKUP(H94, '[1]Baumaterialien Matériaux'!$A:$A, '[1]Baumaterialien Matériaux'!$AL:$AL, "-", 0, 1))</f>
        <v xml:space="preserve"> </v>
      </c>
      <c r="AD94" s="622" cm="1">
        <f t="array" ref="AD94">IFERROR(_xlfn.SWITCH(I94,"kg",1,"m3",AC94,AC94)*J94/(_xlfn.XLOOKUP(AA94,Métrés!A:A,Métrés!C:C,0)),0)</f>
        <v>8.5</v>
      </c>
      <c r="AE94" s="1092">
        <f>IFERROR(N94*$G$1/(_xlfn.XLOOKUP($AA94,Métrés!$A:$A,Métrés!$C:$C,0)),0)</f>
        <v>2.4055</v>
      </c>
      <c r="AF94" s="1092">
        <f>IFERROR(O94*$G$1/(_xlfn.XLOOKUP($AA94,Métrés!$A:$A,Métrés!$C:$C,0)),0)</f>
        <v>1.5215000000000001</v>
      </c>
      <c r="AG94" s="1092">
        <f>IFERROR(Q94*$G$1/(_xlfn.XLOOKUP($AA94,Métrés!$A:$A,Métrés!$C:$C,0)),0)</f>
        <v>0.16064999999999999</v>
      </c>
      <c r="AH94" s="1092">
        <f>IFERROR(R94*$G$1/(_xlfn.XLOOKUP($AA94,Métrés!$A:$A,Métrés!$C:$C,0)),0)</f>
        <v>2.7965E-2</v>
      </c>
      <c r="AI94" s="1092">
        <f>IFERROR(S94*$G$1/(_xlfn.XLOOKUP($AA94,Métrés!$A:$A,Métrés!$C:$C,0)),0)</f>
        <v>0.56099999999999994</v>
      </c>
      <c r="AJ94" s="1022">
        <v>0.01</v>
      </c>
      <c r="AK94" s="638">
        <f t="shared" si="198"/>
        <v>1.7424318819286762E-3</v>
      </c>
      <c r="AL94" s="638">
        <f t="shared" si="199"/>
        <v>0.1742431881928676</v>
      </c>
      <c r="AM94" s="638" t="str">
        <f t="shared" si="200"/>
        <v>Revêtement</v>
      </c>
      <c r="AN94" s="1036">
        <f t="shared" si="201"/>
        <v>0</v>
      </c>
      <c r="AO94" s="1037">
        <f t="shared" si="202"/>
        <v>0</v>
      </c>
      <c r="AP94" s="1037">
        <f t="shared" si="203"/>
        <v>0</v>
      </c>
      <c r="AQ94" s="1038">
        <f t="shared" si="204"/>
        <v>0</v>
      </c>
      <c r="AR94" s="1038">
        <f t="shared" si="205"/>
        <v>0</v>
      </c>
      <c r="AS94" s="1036">
        <f t="shared" si="206"/>
        <v>0</v>
      </c>
      <c r="AT94" s="1037">
        <f t="shared" si="207"/>
        <v>0</v>
      </c>
      <c r="AU94" s="1037">
        <f t="shared" si="208"/>
        <v>0</v>
      </c>
      <c r="AV94" s="1038">
        <f t="shared" si="209"/>
        <v>0</v>
      </c>
      <c r="AW94" s="1038">
        <f t="shared" si="210"/>
        <v>0</v>
      </c>
      <c r="AX94" s="1036">
        <f t="shared" si="211"/>
        <v>0.74713367058456881</v>
      </c>
      <c r="AY94" s="1037">
        <f t="shared" si="212"/>
        <v>0.79703058356707179</v>
      </c>
      <c r="AZ94" s="1037">
        <f t="shared" si="213"/>
        <v>4.9896912982503004E-2</v>
      </c>
      <c r="BA94" s="1037">
        <f t="shared" si="214"/>
        <v>0.1742431881928676</v>
      </c>
      <c r="BB94" s="1038">
        <f t="shared" si="215"/>
        <v>1.7424318819286762E-3</v>
      </c>
      <c r="BC94" s="1036"/>
      <c r="BD94" s="1037"/>
      <c r="BE94" s="1037"/>
      <c r="BF94" s="1038"/>
      <c r="BG94" s="1036">
        <f t="shared" si="216"/>
        <v>0</v>
      </c>
      <c r="BH94" s="1037">
        <f t="shared" si="217"/>
        <v>0</v>
      </c>
      <c r="BI94" s="1038">
        <f t="shared" si="218"/>
        <v>2371.9250000000002</v>
      </c>
      <c r="BJ94" s="1037">
        <f>_xlfn.XLOOKUP(H94, 'Baumaterialien Matériaux'!A:A, 'Baumaterialien Matériaux'!E:E, "-", 0, 1)</f>
        <v>850</v>
      </c>
      <c r="BK94" s="1036">
        <f t="shared" si="176"/>
        <v>0</v>
      </c>
      <c r="BL94" s="1037">
        <f t="shared" si="177"/>
        <v>0</v>
      </c>
      <c r="BM94" s="1038">
        <f t="shared" si="178"/>
        <v>2.7905000000000002</v>
      </c>
      <c r="BN94" s="1037">
        <f>IFERROR((J94*VLOOKUP(H94, 'Baumaterialien Matériaux'!$A$11:$AH$318, 33,FALSE)),0)/$G$1</f>
        <v>0.47256864676550464</v>
      </c>
      <c r="BO94" s="1037">
        <f>(BN94+BP94)*($L$2/L94-1)</f>
        <v>0.48125440569208849</v>
      </c>
      <c r="BP94" s="1037">
        <f>IFERROR((J94*VLOOKUP(H94, 'Baumaterialien Matériaux'!$A$11:$AH$318, 34,FALSE)),0)/$G$1</f>
        <v>8.6857589265838565E-3</v>
      </c>
      <c r="BQ94" s="1037">
        <f t="shared" si="151"/>
        <v>0.17407407407407408</v>
      </c>
      <c r="BR94" s="1037">
        <f t="shared" si="219"/>
        <v>0.79703058356707179</v>
      </c>
    </row>
    <row r="95" spans="2:70">
      <c r="B95" s="1103"/>
      <c r="C95" s="1099"/>
      <c r="D95" s="478"/>
      <c r="E95" s="478"/>
      <c r="F95" s="454" t="s">
        <v>3395</v>
      </c>
      <c r="G95" s="478" t="str">
        <f>_xlfn.XLOOKUP(H95, 'Baumaterialien Matériaux'!A:A, 'Baumaterialien Matériaux'!AD:AD, "-", 0, 1)</f>
        <v>Bois massif épicéa / sapin / mélèze, séché en cellule, raboté</v>
      </c>
      <c r="H95" s="895" t="s">
        <v>129</v>
      </c>
      <c r="I95" s="641" t="str">
        <f>_xlfn.XLOOKUP(H95, 'Baumaterialien Matériaux'!A:A, 'Baumaterialien Matériaux'!F:F, "-", 0, 1)</f>
        <v>kg</v>
      </c>
      <c r="J95" s="649">
        <f>1.03*465</f>
        <v>478.95</v>
      </c>
      <c r="K95" s="894">
        <f>J95/J91</f>
        <v>1.7163590754345099</v>
      </c>
      <c r="L95" s="647">
        <v>30</v>
      </c>
      <c r="M95" s="648">
        <f t="shared" ref="M95" si="222">SUM(N95:Q95)</f>
        <v>0.20865169627354083</v>
      </c>
      <c r="N95" s="720">
        <f>IFERROR(($J95*VLOOKUP($H95, 'Baumaterialien Matériaux'!$A$11:$AD$318, 26,FALSE)),0)/$G$1</f>
        <v>7.1967243221584085E-2</v>
      </c>
      <c r="O95" s="720">
        <f>IFERROR(($J95*VLOOKUP($H95, 'Baumaterialien Matériaux'!$A$11:$AH$318, 33,FALSE)),0)/$G$1</f>
        <v>2.2922899692800851E-2</v>
      </c>
      <c r="P95" s="720">
        <f t="shared" ref="P95" si="223">IFERROR((N95+Q95)*($L$2/L95-1),0)</f>
        <v>9.2864398290369979E-2</v>
      </c>
      <c r="Q95" s="720">
        <f>IFERROR(($J95*VLOOKUP($H95, 'Baumaterialien Matériaux'!$A$11:$AD$318, 27,FALSE)),0)/$G$1</f>
        <v>2.0897155068785891E-2</v>
      </c>
      <c r="R95" s="720">
        <f>IFERROR(($J95*VLOOKUP($H95, 'Baumaterialien Matériaux'!$A$11:$AH$318, 34,FALSE)),0)/$G$1</f>
        <v>3.8809002270602374E-3</v>
      </c>
      <c r="S95" s="720">
        <f>IFERROR((J95*VLOOKUP(H95, 'Baumaterialien Matériaux'!$A$11:$AD$318, 29,FALSE)),0)/$G$1</f>
        <v>0.88155430524019407</v>
      </c>
      <c r="T95" s="720">
        <f>S95*AJ95</f>
        <v>0</v>
      </c>
      <c r="V95" s="638">
        <f t="shared" si="138"/>
        <v>0</v>
      </c>
      <c r="W95" s="638">
        <f t="shared" si="197"/>
        <v>0.88155430524019407</v>
      </c>
      <c r="X95" s="638" t="str">
        <f t="shared" si="10"/>
        <v>Revêtement</v>
      </c>
      <c r="Z95" s="638">
        <f t="shared" si="142"/>
        <v>30</v>
      </c>
      <c r="AA95" s="648" t="s">
        <v>3445</v>
      </c>
      <c r="AB95" t="str">
        <f>_xlfn.XLOOKUP($H95,'[1]Baumaterialien Matériaux'!$A:$A,'[1]Baumaterialien Matériaux'!AK:AK,0,0)</f>
        <v>timber</v>
      </c>
      <c r="AC95" t="str" cm="1">
        <f t="array" ref="AC95">_xlfn.SWITCH(I95,"kg"," ",0," ",_xlfn.XLOOKUP(H95, '[1]Baumaterialien Matériaux'!$A:$A, '[1]Baumaterialien Matériaux'!$AL:$AL, "-", 0, 1))</f>
        <v xml:space="preserve"> </v>
      </c>
      <c r="AD95" s="622" cm="1">
        <f t="array" ref="AD95">IFERROR(_xlfn.SWITCH(I95,"kg",1,"m3",AC95,AC95)*J95/(_xlfn.XLOOKUP(AA95,Métrés!A:A,Métrés!C:C,0)),0)</f>
        <v>1.7163590754345099</v>
      </c>
      <c r="AE95" s="1092">
        <f>IFERROR(N95*$G$1/(_xlfn.XLOOKUP($AA95,Métrés!$A:$A,Métrés!$C:$C,0)),0)</f>
        <v>0.23170847518365886</v>
      </c>
      <c r="AF95" s="1092">
        <f>IFERROR(O95*$G$1/(_xlfn.XLOOKUP($AA95,Métrés!$A:$A,Métrés!$C:$C,0)),0)</f>
        <v>7.3803440243683918E-2</v>
      </c>
      <c r="AG95" s="1092">
        <f>IFERROR(Q95*$G$1/(_xlfn.XLOOKUP($AA95,Métrés!$A:$A,Métrés!$C:$C,0)),0)</f>
        <v>6.7281275757032771E-2</v>
      </c>
      <c r="AH95" s="1092">
        <f>IFERROR(R95*$G$1/(_xlfn.XLOOKUP($AA95,Métrés!$A:$A,Métrés!$C:$C,0)),0)</f>
        <v>1.2495094069163231E-2</v>
      </c>
      <c r="AI95" s="1092">
        <f>IFERROR(S95*$G$1/(_xlfn.XLOOKUP($AA95,Métrés!$A:$A,Métrés!$C:$C,0)),0)</f>
        <v>2.838285791076868</v>
      </c>
      <c r="AJ95" s="1022"/>
      <c r="AK95" s="638">
        <f t="shared" si="198"/>
        <v>0</v>
      </c>
      <c r="AL95" s="638">
        <f t="shared" si="199"/>
        <v>0.88155430524019407</v>
      </c>
      <c r="AM95" s="638" t="str">
        <f t="shared" si="200"/>
        <v>Revêtement</v>
      </c>
      <c r="AN95" s="1036">
        <f t="shared" si="201"/>
        <v>0</v>
      </c>
      <c r="AO95" s="1037">
        <f t="shared" si="202"/>
        <v>0</v>
      </c>
      <c r="AP95" s="1037">
        <f t="shared" si="203"/>
        <v>0</v>
      </c>
      <c r="AQ95" s="1038">
        <f t="shared" si="204"/>
        <v>0</v>
      </c>
      <c r="AR95" s="1038">
        <f t="shared" si="205"/>
        <v>0</v>
      </c>
      <c r="AS95" s="1036">
        <f t="shared" si="206"/>
        <v>0</v>
      </c>
      <c r="AT95" s="1037">
        <f t="shared" si="207"/>
        <v>0</v>
      </c>
      <c r="AU95" s="1037">
        <f t="shared" si="208"/>
        <v>0</v>
      </c>
      <c r="AV95" s="1038">
        <f t="shared" si="209"/>
        <v>0</v>
      </c>
      <c r="AW95" s="1038">
        <f t="shared" si="210"/>
        <v>0</v>
      </c>
      <c r="AX95" s="1036">
        <f t="shared" si="211"/>
        <v>7.1967243221584085E-2</v>
      </c>
      <c r="AY95" s="1037">
        <f t="shared" si="212"/>
        <v>9.2864398290369979E-2</v>
      </c>
      <c r="AZ95" s="1037">
        <f t="shared" si="213"/>
        <v>2.0897155068785891E-2</v>
      </c>
      <c r="BA95" s="1037">
        <f t="shared" si="214"/>
        <v>0.88155430524019407</v>
      </c>
      <c r="BB95" s="1038">
        <f t="shared" si="215"/>
        <v>0</v>
      </c>
      <c r="BC95" s="1036"/>
      <c r="BD95" s="1037"/>
      <c r="BE95" s="1037"/>
      <c r="BF95" s="1038"/>
      <c r="BG95" s="1036">
        <f t="shared" si="216"/>
        <v>0</v>
      </c>
      <c r="BH95" s="1037">
        <f t="shared" si="217"/>
        <v>0</v>
      </c>
      <c r="BI95" s="1038">
        <f t="shared" si="218"/>
        <v>478.95</v>
      </c>
      <c r="BJ95" s="1037">
        <f>_xlfn.XLOOKUP(H95, 'Baumaterialien Matériaux'!A:A, 'Baumaterialien Matériaux'!E:E, "-", 0, 1)</f>
        <v>465</v>
      </c>
      <c r="BK95" s="1036">
        <f t="shared" si="176"/>
        <v>0</v>
      </c>
      <c r="BL95" s="1037">
        <f t="shared" si="177"/>
        <v>0</v>
      </c>
      <c r="BM95" s="1038">
        <f t="shared" si="178"/>
        <v>1.03</v>
      </c>
      <c r="BN95" s="1037">
        <f>IFERROR((J95*VLOOKUP(H95, 'Baumaterialien Matériaux'!$A$11:$AH$318, 33,FALSE)),0)/$G$1</f>
        <v>2.2922899692800851E-2</v>
      </c>
      <c r="BO95" s="1037"/>
      <c r="BP95" s="1037">
        <f>IFERROR((J95*VLOOKUP(H95, 'Baumaterialien Matériaux'!$A$11:$AH$318, 34,FALSE)),0)/$G$1</f>
        <v>3.8809002270602374E-3</v>
      </c>
      <c r="BQ95" s="1037">
        <f t="shared" si="151"/>
        <v>0.18571428571428575</v>
      </c>
      <c r="BR95" s="1037">
        <f t="shared" si="219"/>
        <v>9.2864398290369979E-2</v>
      </c>
    </row>
    <row r="96" spans="2:70">
      <c r="B96" s="1103"/>
      <c r="C96" s="1099"/>
      <c r="D96" s="478"/>
      <c r="E96" s="478"/>
      <c r="F96" s="454"/>
      <c r="G96" s="478"/>
      <c r="H96" s="81"/>
      <c r="I96" s="641"/>
      <c r="J96" s="649"/>
      <c r="K96" s="647"/>
      <c r="L96" s="647"/>
      <c r="M96" s="648"/>
      <c r="N96" s="720"/>
      <c r="O96" s="720"/>
      <c r="P96" s="720"/>
      <c r="Q96" s="720"/>
      <c r="R96" s="720"/>
      <c r="S96" s="720"/>
      <c r="T96" s="720"/>
      <c r="V96" s="638">
        <f t="shared" si="138"/>
        <v>0</v>
      </c>
      <c r="W96" s="638">
        <f t="shared" si="197"/>
        <v>0</v>
      </c>
      <c r="X96" s="638">
        <f t="shared" ref="X96:X177" si="224">IF(L96=$L$2, "Structure", IF(L96&gt;0,"Revêtement",0))</f>
        <v>0</v>
      </c>
      <c r="Z96" s="638">
        <f t="shared" si="142"/>
        <v>0</v>
      </c>
      <c r="AA96" s="648" t="s">
        <v>3445</v>
      </c>
      <c r="AB96">
        <f>_xlfn.XLOOKUP($H96,'[1]Baumaterialien Matériaux'!$A:$A,'[1]Baumaterialien Matériaux'!AK:AK,0,0)</f>
        <v>0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622" cm="1">
        <f t="array" ref="AD96">IFERROR(_xlfn.SWITCH(I96,"kg",1,"m3",AC96,AC96)*J96/(_xlfn.XLOOKUP(AA96,Métrés!A:A,Métrés!C:C,0)),0)</f>
        <v>0</v>
      </c>
      <c r="AE96" s="1092">
        <f>IFERROR(N96*$G$1/(_xlfn.XLOOKUP($AA96,Métrés!$A:$A,Métrés!$C:$C,0)),0)</f>
        <v>0</v>
      </c>
      <c r="AF96" s="1092">
        <f>IFERROR(O96*$G$1/(_xlfn.XLOOKUP($AA96,Métrés!$A:$A,Métrés!$C:$C,0)),0)</f>
        <v>0</v>
      </c>
      <c r="AG96" s="1092">
        <f>IFERROR(Q96*$G$1/(_xlfn.XLOOKUP($AA96,Métrés!$A:$A,Métrés!$C:$C,0)),0)</f>
        <v>0</v>
      </c>
      <c r="AH96" s="1092">
        <f>IFERROR(R96*$G$1/(_xlfn.XLOOKUP($AA96,Métrés!$A:$A,Métrés!$C:$C,0)),0)</f>
        <v>0</v>
      </c>
      <c r="AI96" s="1092">
        <f>IFERROR(S96*$G$1/(_xlfn.XLOOKUP($AA96,Métrés!$A:$A,Métrés!$C:$C,0)),0)</f>
        <v>0</v>
      </c>
      <c r="AJ96" s="1022"/>
      <c r="AK96" s="638">
        <f t="shared" si="198"/>
        <v>0</v>
      </c>
      <c r="AL96" s="638">
        <f t="shared" si="199"/>
        <v>0</v>
      </c>
      <c r="AM96" s="638">
        <f t="shared" si="200"/>
        <v>0</v>
      </c>
      <c r="AN96" s="1036">
        <f t="shared" si="201"/>
        <v>0</v>
      </c>
      <c r="AO96" s="1037">
        <f t="shared" si="202"/>
        <v>0</v>
      </c>
      <c r="AP96" s="1037">
        <f t="shared" si="203"/>
        <v>0</v>
      </c>
      <c r="AQ96" s="1038">
        <f t="shared" si="204"/>
        <v>0</v>
      </c>
      <c r="AR96" s="1038">
        <f t="shared" si="205"/>
        <v>0</v>
      </c>
      <c r="AS96" s="1036">
        <f t="shared" si="206"/>
        <v>0</v>
      </c>
      <c r="AT96" s="1037">
        <f t="shared" si="207"/>
        <v>0</v>
      </c>
      <c r="AU96" s="1037">
        <f t="shared" si="208"/>
        <v>0</v>
      </c>
      <c r="AV96" s="1038">
        <f t="shared" si="209"/>
        <v>0</v>
      </c>
      <c r="AW96" s="1038">
        <f t="shared" si="210"/>
        <v>0</v>
      </c>
      <c r="AX96" s="1036">
        <f t="shared" si="211"/>
        <v>0</v>
      </c>
      <c r="AY96" s="1037">
        <f t="shared" si="212"/>
        <v>0</v>
      </c>
      <c r="AZ96" s="1037">
        <f t="shared" si="213"/>
        <v>0</v>
      </c>
      <c r="BA96" s="1037">
        <f t="shared" si="214"/>
        <v>0</v>
      </c>
      <c r="BB96" s="1038">
        <f t="shared" si="215"/>
        <v>0</v>
      </c>
      <c r="BC96" s="1036"/>
      <c r="BD96" s="1037"/>
      <c r="BE96" s="1037"/>
      <c r="BF96" s="1038"/>
      <c r="BG96" s="1036">
        <f t="shared" si="216"/>
        <v>0</v>
      </c>
      <c r="BH96" s="1037">
        <f t="shared" si="217"/>
        <v>0</v>
      </c>
      <c r="BI96" s="1038">
        <f t="shared" si="218"/>
        <v>0</v>
      </c>
      <c r="BJ96" s="1037">
        <f>_xlfn.XLOOKUP(H96, 'Baumaterialien Matériaux'!A:A, 'Baumaterialien Matériaux'!E:E, "-", 0, 1)</f>
        <v>0</v>
      </c>
      <c r="BK96" s="1036">
        <f t="shared" si="176"/>
        <v>0</v>
      </c>
      <c r="BL96" s="1037">
        <f t="shared" si="177"/>
        <v>0</v>
      </c>
      <c r="BM96" s="1038">
        <f t="shared" si="178"/>
        <v>0</v>
      </c>
      <c r="BN96" s="1037">
        <f>IFERROR((J96*VLOOKUP(H96, 'Baumaterialien Matériaux'!$A$11:$AH$318, 33,FALSE)),0)/$G$1</f>
        <v>0</v>
      </c>
      <c r="BO96" s="1037" t="e">
        <f>(BN96+BP96)*($L$2/L96-1)</f>
        <v>#DIV/0!</v>
      </c>
      <c r="BP96" s="1037">
        <f>IFERROR((J96*VLOOKUP(H96, 'Baumaterialien Matériaux'!$A$11:$AH$318, 34,FALSE)),0)/$G$1</f>
        <v>0</v>
      </c>
      <c r="BQ96" s="1037" t="e">
        <f t="shared" si="151"/>
        <v>#DIV/0!</v>
      </c>
      <c r="BR96" s="1037">
        <f t="shared" si="219"/>
        <v>0</v>
      </c>
    </row>
    <row r="97" spans="2:70">
      <c r="B97" s="1103"/>
      <c r="C97" s="1099"/>
      <c r="D97" s="478"/>
      <c r="E97" s="478"/>
      <c r="G97" s="478"/>
      <c r="H97" s="875"/>
      <c r="I97" s="641"/>
      <c r="J97" s="649"/>
      <c r="K97" s="650"/>
      <c r="L97" s="647"/>
      <c r="M97" s="648"/>
      <c r="N97" s="720"/>
      <c r="O97" s="720"/>
      <c r="P97" s="720"/>
      <c r="Q97" s="720"/>
      <c r="R97" s="720"/>
      <c r="S97" s="720"/>
      <c r="T97" s="720"/>
      <c r="V97" s="638">
        <f t="shared" si="138"/>
        <v>0</v>
      </c>
      <c r="W97" s="638">
        <f t="shared" si="197"/>
        <v>0</v>
      </c>
      <c r="X97" s="638">
        <f t="shared" si="224"/>
        <v>0</v>
      </c>
      <c r="Z97" s="638">
        <f t="shared" si="142"/>
        <v>0</v>
      </c>
      <c r="AA97" s="648" t="s">
        <v>3445</v>
      </c>
      <c r="AB97">
        <f>_xlfn.XLOOKUP($H97,'[1]Baumaterialien Matériaux'!$A:$A,'[1]Baumaterialien Matériaux'!AK:AK,0,0)</f>
        <v>0</v>
      </c>
      <c r="AC97" t="str" cm="1">
        <f t="array" ref="AC97">_xlfn.SWITCH(I97,"kg"," ",0," ",_xlfn.XLOOKUP(H97, '[1]Baumaterialien Matériaux'!$A:$A, '[1]Baumaterialien Matériaux'!$AL:$AL, "-", 0, 1))</f>
        <v xml:space="preserve"> </v>
      </c>
      <c r="AD97" s="622" cm="1">
        <f t="array" ref="AD97">IFERROR(_xlfn.SWITCH(I97,"kg",1,"m3",AC97,AC97)*J97/(_xlfn.XLOOKUP(AA97,Métrés!A:A,Métrés!C:C,0)),0)</f>
        <v>0</v>
      </c>
      <c r="AE97" s="1092">
        <f>IFERROR(N97*$G$1/(_xlfn.XLOOKUP($AA97,Métrés!$A:$A,Métrés!$C:$C,0)),0)</f>
        <v>0</v>
      </c>
      <c r="AF97" s="1092">
        <f>IFERROR(O97*$G$1/(_xlfn.XLOOKUP($AA97,Métrés!$A:$A,Métrés!$C:$C,0)),0)</f>
        <v>0</v>
      </c>
      <c r="AG97" s="1092">
        <f>IFERROR(Q97*$G$1/(_xlfn.XLOOKUP($AA97,Métrés!$A:$A,Métrés!$C:$C,0)),0)</f>
        <v>0</v>
      </c>
      <c r="AH97" s="1092">
        <f>IFERROR(R97*$G$1/(_xlfn.XLOOKUP($AA97,Métrés!$A:$A,Métrés!$C:$C,0)),0)</f>
        <v>0</v>
      </c>
      <c r="AI97" s="1092">
        <f>IFERROR(S97*$G$1/(_xlfn.XLOOKUP($AA97,Métrés!$A:$A,Métrés!$C:$C,0)),0)</f>
        <v>0</v>
      </c>
      <c r="AJ97" s="1022"/>
      <c r="AK97" s="638">
        <f t="shared" si="198"/>
        <v>0</v>
      </c>
      <c r="AL97" s="638">
        <f t="shared" si="199"/>
        <v>0</v>
      </c>
      <c r="AM97" s="638">
        <f t="shared" si="200"/>
        <v>0</v>
      </c>
      <c r="AN97" s="1036">
        <f t="shared" si="201"/>
        <v>0</v>
      </c>
      <c r="AO97" s="1037">
        <f t="shared" si="202"/>
        <v>0</v>
      </c>
      <c r="AP97" s="1037">
        <f t="shared" si="203"/>
        <v>0</v>
      </c>
      <c r="AQ97" s="1038">
        <f t="shared" si="204"/>
        <v>0</v>
      </c>
      <c r="AR97" s="1038">
        <f t="shared" si="205"/>
        <v>0</v>
      </c>
      <c r="AS97" s="1036">
        <f t="shared" si="206"/>
        <v>0</v>
      </c>
      <c r="AT97" s="1037">
        <f t="shared" si="207"/>
        <v>0</v>
      </c>
      <c r="AU97" s="1037">
        <f t="shared" si="208"/>
        <v>0</v>
      </c>
      <c r="AV97" s="1038">
        <f t="shared" si="209"/>
        <v>0</v>
      </c>
      <c r="AW97" s="1038">
        <f t="shared" si="210"/>
        <v>0</v>
      </c>
      <c r="AX97" s="1036">
        <f t="shared" si="211"/>
        <v>0</v>
      </c>
      <c r="AY97" s="1037">
        <f t="shared" si="212"/>
        <v>0</v>
      </c>
      <c r="AZ97" s="1037">
        <f t="shared" si="213"/>
        <v>0</v>
      </c>
      <c r="BA97" s="1037">
        <f t="shared" si="214"/>
        <v>0</v>
      </c>
      <c r="BB97" s="1038">
        <f t="shared" si="215"/>
        <v>0</v>
      </c>
      <c r="BC97" s="1036"/>
      <c r="BD97" s="1037"/>
      <c r="BE97" s="1037"/>
      <c r="BF97" s="1038"/>
      <c r="BG97" s="1036">
        <f t="shared" si="216"/>
        <v>0</v>
      </c>
      <c r="BH97" s="1037">
        <f t="shared" si="217"/>
        <v>0</v>
      </c>
      <c r="BI97" s="1038">
        <f t="shared" si="218"/>
        <v>0</v>
      </c>
      <c r="BJ97" s="1037">
        <f>_xlfn.XLOOKUP(H97, 'Baumaterialien Matériaux'!A:A, 'Baumaterialien Matériaux'!E:E, "-", 0, 1)</f>
        <v>0</v>
      </c>
      <c r="BK97" s="1036">
        <f t="shared" si="176"/>
        <v>0</v>
      </c>
      <c r="BL97" s="1037">
        <f t="shared" si="177"/>
        <v>0</v>
      </c>
      <c r="BM97" s="1038">
        <f t="shared" si="178"/>
        <v>0</v>
      </c>
      <c r="BN97" s="1037">
        <f>IFERROR((J97*VLOOKUP(H97, 'Baumaterialien Matériaux'!$A$11:$AH$318, 33,FALSE)),0)/$G$1</f>
        <v>0</v>
      </c>
      <c r="BO97" s="1037" t="e">
        <f>(BN97+BP97)*($L$2/L97-1)</f>
        <v>#DIV/0!</v>
      </c>
      <c r="BP97" s="1037">
        <f>IFERROR((J97*VLOOKUP(H97, 'Baumaterialien Matériaux'!$A$11:$AH$318, 34,FALSE)),0)/$G$1</f>
        <v>0</v>
      </c>
      <c r="BQ97" s="1037" t="e">
        <f t="shared" si="151"/>
        <v>#DIV/0!</v>
      </c>
      <c r="BR97" s="1037">
        <f t="shared" si="219"/>
        <v>0</v>
      </c>
    </row>
    <row r="98" spans="2:70">
      <c r="B98" s="1103"/>
      <c r="C98" s="1099"/>
      <c r="D98" s="478"/>
      <c r="E98" s="478"/>
      <c r="F98" s="454"/>
      <c r="G98" s="478"/>
      <c r="H98" s="875"/>
      <c r="I98" s="641"/>
      <c r="J98" s="649"/>
      <c r="K98" s="647"/>
      <c r="L98" s="647"/>
      <c r="M98" s="648"/>
      <c r="N98" s="720"/>
      <c r="O98" s="720"/>
      <c r="P98" s="720"/>
      <c r="Q98" s="720"/>
      <c r="R98" s="720"/>
      <c r="S98" s="720"/>
      <c r="T98" s="720"/>
      <c r="V98" s="638">
        <f t="shared" si="138"/>
        <v>0</v>
      </c>
      <c r="W98" s="638">
        <f t="shared" si="197"/>
        <v>0</v>
      </c>
      <c r="X98" s="638">
        <f t="shared" si="224"/>
        <v>0</v>
      </c>
      <c r="Z98" s="638">
        <f t="shared" si="142"/>
        <v>0</v>
      </c>
      <c r="AA98" s="648" t="s">
        <v>3445</v>
      </c>
      <c r="AB98">
        <f>_xlfn.XLOOKUP($H98,'[1]Baumaterialien Matériaux'!$A:$A,'[1]Baumaterialien Matériaux'!AK:AK,0,0)</f>
        <v>0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622" cm="1">
        <f t="array" ref="AD98">IFERROR(_xlfn.SWITCH(I98,"kg",1,"m3",AC98,AC98)*J98/(_xlfn.XLOOKUP(AA98,Métrés!A:A,Métrés!C:C,0)),0)</f>
        <v>0</v>
      </c>
      <c r="AE98" s="1092">
        <f>IFERROR(N98*$G$1/(_xlfn.XLOOKUP($AA98,Métrés!$A:$A,Métrés!$C:$C,0)),0)</f>
        <v>0</v>
      </c>
      <c r="AF98" s="1092">
        <f>IFERROR(O98*$G$1/(_xlfn.XLOOKUP($AA98,Métrés!$A:$A,Métrés!$C:$C,0)),0)</f>
        <v>0</v>
      </c>
      <c r="AG98" s="1092">
        <f>IFERROR(Q98*$G$1/(_xlfn.XLOOKUP($AA98,Métrés!$A:$A,Métrés!$C:$C,0)),0)</f>
        <v>0</v>
      </c>
      <c r="AH98" s="1092">
        <f>IFERROR(R98*$G$1/(_xlfn.XLOOKUP($AA98,Métrés!$A:$A,Métrés!$C:$C,0)),0)</f>
        <v>0</v>
      </c>
      <c r="AI98" s="1092">
        <f>IFERROR(S98*$G$1/(_xlfn.XLOOKUP($AA98,Métrés!$A:$A,Métrés!$C:$C,0)),0)</f>
        <v>0</v>
      </c>
      <c r="AJ98" s="1022"/>
      <c r="AK98" s="638">
        <f t="shared" si="198"/>
        <v>0</v>
      </c>
      <c r="AL98" s="638">
        <f t="shared" si="199"/>
        <v>0</v>
      </c>
      <c r="AM98" s="638">
        <f t="shared" si="200"/>
        <v>0</v>
      </c>
      <c r="AN98" s="1036">
        <f t="shared" si="201"/>
        <v>0</v>
      </c>
      <c r="AO98" s="1037">
        <f t="shared" si="202"/>
        <v>0</v>
      </c>
      <c r="AP98" s="1037">
        <f t="shared" si="203"/>
        <v>0</v>
      </c>
      <c r="AQ98" s="1038">
        <f t="shared" si="204"/>
        <v>0</v>
      </c>
      <c r="AR98" s="1038">
        <f t="shared" si="205"/>
        <v>0</v>
      </c>
      <c r="AS98" s="1036">
        <f t="shared" si="206"/>
        <v>0</v>
      </c>
      <c r="AT98" s="1037">
        <f t="shared" si="207"/>
        <v>0</v>
      </c>
      <c r="AU98" s="1037">
        <f t="shared" si="208"/>
        <v>0</v>
      </c>
      <c r="AV98" s="1038">
        <f t="shared" si="209"/>
        <v>0</v>
      </c>
      <c r="AW98" s="1038">
        <f t="shared" si="210"/>
        <v>0</v>
      </c>
      <c r="AX98" s="1036">
        <f t="shared" si="211"/>
        <v>0</v>
      </c>
      <c r="AY98" s="1037">
        <f t="shared" si="212"/>
        <v>0</v>
      </c>
      <c r="AZ98" s="1037">
        <f t="shared" si="213"/>
        <v>0</v>
      </c>
      <c r="BA98" s="1037">
        <f t="shared" si="214"/>
        <v>0</v>
      </c>
      <c r="BB98" s="1038">
        <f t="shared" si="215"/>
        <v>0</v>
      </c>
      <c r="BC98" s="1036"/>
      <c r="BD98" s="1037"/>
      <c r="BE98" s="1037"/>
      <c r="BF98" s="1038"/>
      <c r="BG98" s="1036">
        <f t="shared" si="216"/>
        <v>0</v>
      </c>
      <c r="BH98" s="1037">
        <f t="shared" si="217"/>
        <v>0</v>
      </c>
      <c r="BI98" s="1038">
        <f t="shared" si="218"/>
        <v>0</v>
      </c>
      <c r="BJ98" s="1037">
        <f>_xlfn.XLOOKUP(H98, 'Baumaterialien Matériaux'!A:A, 'Baumaterialien Matériaux'!E:E, "-", 0, 1)</f>
        <v>0</v>
      </c>
      <c r="BK98" s="1036">
        <f t="shared" si="176"/>
        <v>0</v>
      </c>
      <c r="BL98" s="1037">
        <f t="shared" si="177"/>
        <v>0</v>
      </c>
      <c r="BM98" s="1038">
        <f t="shared" si="178"/>
        <v>0</v>
      </c>
      <c r="BN98" s="1037">
        <f>IFERROR((J98*VLOOKUP(H98, 'Baumaterialien Matériaux'!$A$11:$AH$318, 33,FALSE)),0)/$G$1</f>
        <v>0</v>
      </c>
      <c r="BO98" s="1037"/>
      <c r="BP98" s="1037">
        <f>IFERROR((J98*VLOOKUP(H98, 'Baumaterialien Matériaux'!$A$11:$AH$318, 34,FALSE)),0)/$G$1</f>
        <v>0</v>
      </c>
      <c r="BQ98" s="1037" t="e">
        <f t="shared" si="151"/>
        <v>#DIV/0!</v>
      </c>
      <c r="BR98" s="1037"/>
    </row>
    <row r="99" spans="2:70">
      <c r="B99" s="1103"/>
      <c r="C99" s="1099"/>
      <c r="D99" s="478"/>
      <c r="E99" s="478"/>
      <c r="F99" s="478"/>
      <c r="G99" s="478"/>
      <c r="H99" s="478"/>
      <c r="I99" s="641"/>
      <c r="J99" s="649"/>
      <c r="K99" s="647"/>
      <c r="L99" s="647"/>
      <c r="M99" s="648"/>
      <c r="V99" s="638">
        <f t="shared" si="138"/>
        <v>0</v>
      </c>
      <c r="W99" s="638">
        <f t="shared" si="197"/>
        <v>0</v>
      </c>
      <c r="X99" s="638">
        <f t="shared" si="224"/>
        <v>0</v>
      </c>
      <c r="Z99" s="638">
        <f t="shared" si="142"/>
        <v>0</v>
      </c>
      <c r="AA99" s="648" t="s">
        <v>3445</v>
      </c>
      <c r="AB99">
        <f>_xlfn.XLOOKUP($H99,'[1]Baumaterialien Matériaux'!$A:$A,'[1]Baumaterialien Matériaux'!AK:AK,0,0)</f>
        <v>0</v>
      </c>
      <c r="AC99" t="str" cm="1">
        <f t="array" ref="AC99">_xlfn.SWITCH(I99,"kg"," ",0," ",_xlfn.XLOOKUP(H99, '[1]Baumaterialien Matériaux'!$A:$A, '[1]Baumaterialien Matériaux'!$AL:$AL, "-", 0, 1))</f>
        <v xml:space="preserve"> </v>
      </c>
      <c r="AD99" s="622" cm="1">
        <f t="array" ref="AD99">IFERROR(_xlfn.SWITCH(I99,"kg",1,"m3",AC99,AC99)*J99/(_xlfn.XLOOKUP(AA99,Métrés!A:A,Métrés!C:C,0)),0)</f>
        <v>0</v>
      </c>
      <c r="AE99" s="1092">
        <f>IFERROR(N99*$G$1/(_xlfn.XLOOKUP($AA99,Métrés!$A:$A,Métrés!$C:$C,0)),0)</f>
        <v>0</v>
      </c>
      <c r="AF99" s="1092">
        <f>IFERROR(O99*$G$1/(_xlfn.XLOOKUP($AA99,Métrés!$A:$A,Métrés!$C:$C,0)),0)</f>
        <v>0</v>
      </c>
      <c r="AG99" s="1092">
        <f>IFERROR(Q99*$G$1/(_xlfn.XLOOKUP($AA99,Métrés!$A:$A,Métrés!$C:$C,0)),0)</f>
        <v>0</v>
      </c>
      <c r="AH99" s="1092">
        <f>IFERROR(R99*$G$1/(_xlfn.XLOOKUP($AA99,Métrés!$A:$A,Métrés!$C:$C,0)),0)</f>
        <v>0</v>
      </c>
      <c r="AI99" s="1092">
        <f>IFERROR(S99*$G$1/(_xlfn.XLOOKUP($AA99,Métrés!$A:$A,Métrés!$C:$C,0)),0)</f>
        <v>0</v>
      </c>
      <c r="AJ99" s="1022"/>
      <c r="AK99" s="638">
        <f t="shared" si="198"/>
        <v>0</v>
      </c>
      <c r="AL99" s="638">
        <f t="shared" si="199"/>
        <v>0</v>
      </c>
      <c r="AM99" s="638">
        <f t="shared" si="200"/>
        <v>0</v>
      </c>
      <c r="AN99" s="1036">
        <f t="shared" si="201"/>
        <v>0</v>
      </c>
      <c r="AO99" s="1037">
        <f t="shared" si="202"/>
        <v>0</v>
      </c>
      <c r="AP99" s="1037">
        <f t="shared" si="203"/>
        <v>0</v>
      </c>
      <c r="AQ99" s="1038">
        <f t="shared" si="204"/>
        <v>0</v>
      </c>
      <c r="AR99" s="1038">
        <f t="shared" si="205"/>
        <v>0</v>
      </c>
      <c r="AS99" s="1036">
        <f t="shared" si="206"/>
        <v>0</v>
      </c>
      <c r="AT99" s="1037">
        <f t="shared" si="207"/>
        <v>0</v>
      </c>
      <c r="AU99" s="1037">
        <f t="shared" si="208"/>
        <v>0</v>
      </c>
      <c r="AV99" s="1038">
        <f t="shared" si="209"/>
        <v>0</v>
      </c>
      <c r="AW99" s="1038">
        <f t="shared" si="210"/>
        <v>0</v>
      </c>
      <c r="AX99" s="1036">
        <f t="shared" si="211"/>
        <v>0</v>
      </c>
      <c r="AY99" s="1037">
        <f t="shared" si="212"/>
        <v>0</v>
      </c>
      <c r="AZ99" s="1037">
        <f t="shared" si="213"/>
        <v>0</v>
      </c>
      <c r="BA99" s="1037">
        <f t="shared" si="214"/>
        <v>0</v>
      </c>
      <c r="BB99" s="1038">
        <f t="shared" si="215"/>
        <v>0</v>
      </c>
      <c r="BC99" s="1036"/>
      <c r="BD99" s="1037"/>
      <c r="BE99" s="1037"/>
      <c r="BF99" s="1038"/>
      <c r="BG99" s="1036">
        <f t="shared" si="216"/>
        <v>0</v>
      </c>
      <c r="BH99" s="1037">
        <f t="shared" si="217"/>
        <v>0</v>
      </c>
      <c r="BI99" s="1038">
        <f t="shared" si="218"/>
        <v>0</v>
      </c>
      <c r="BJ99" s="1037">
        <f>_xlfn.XLOOKUP(H99, 'Baumaterialien Matériaux'!A:A, 'Baumaterialien Matériaux'!E:E, "-", 0, 1)</f>
        <v>0</v>
      </c>
      <c r="BK99" s="1036">
        <f t="shared" si="176"/>
        <v>0</v>
      </c>
      <c r="BL99" s="1037">
        <f t="shared" si="177"/>
        <v>0</v>
      </c>
      <c r="BM99" s="1038">
        <f t="shared" si="178"/>
        <v>0</v>
      </c>
      <c r="BN99" s="1037">
        <f>IFERROR((J99*VLOOKUP(H99, 'Baumaterialien Matériaux'!$A$11:$AH$318, 33,FALSE)),0)/$G$1</f>
        <v>0</v>
      </c>
      <c r="BO99" s="1037"/>
      <c r="BP99" s="1037">
        <f>IFERROR((J99*VLOOKUP(H99, 'Baumaterialien Matériaux'!$A$11:$AH$318, 34,FALSE)),0)/$G$1</f>
        <v>0</v>
      </c>
      <c r="BQ99" s="1037" t="e">
        <f t="shared" si="151"/>
        <v>#DIV/0!</v>
      </c>
      <c r="BR99" s="1037"/>
    </row>
    <row r="100" spans="2:70" ht="15.75" customHeight="1">
      <c r="B100" s="1103"/>
      <c r="C100" s="1097" t="s">
        <v>126</v>
      </c>
      <c r="D100" s="473" t="s">
        <v>127</v>
      </c>
      <c r="E100" s="473"/>
      <c r="F100" s="473"/>
      <c r="G100" s="473"/>
      <c r="H100" s="473"/>
      <c r="I100" s="463"/>
      <c r="J100" s="654"/>
      <c r="K100" s="652"/>
      <c r="L100" s="652"/>
      <c r="M100" s="653">
        <f>M101</f>
        <v>68.787134513423268</v>
      </c>
      <c r="N100" s="653">
        <f>N101</f>
        <v>17.002277475401808</v>
      </c>
      <c r="O100" s="653">
        <f>O101</f>
        <v>8.3982549296558489</v>
      </c>
      <c r="P100" s="653">
        <f t="shared" ref="P100:R100" si="225">P101</f>
        <v>30.194439791883713</v>
      </c>
      <c r="Q100" s="653">
        <f t="shared" si="225"/>
        <v>13.1921623164819</v>
      </c>
      <c r="R100" s="653">
        <f t="shared" si="225"/>
        <v>7.934276941142425</v>
      </c>
      <c r="S100" s="653">
        <f>S101</f>
        <v>0</v>
      </c>
      <c r="T100" s="653">
        <f>T101</f>
        <v>0</v>
      </c>
      <c r="V100" s="638">
        <f t="shared" si="138"/>
        <v>0</v>
      </c>
      <c r="W100" s="638">
        <f t="shared" si="197"/>
        <v>0</v>
      </c>
      <c r="X100" s="638">
        <f t="shared" si="224"/>
        <v>0</v>
      </c>
      <c r="Z100" s="638">
        <f t="shared" si="142"/>
        <v>0</v>
      </c>
      <c r="AB100">
        <f>_xlfn.XLOOKUP($H100,'[1]Baumaterialien Matériaux'!$A:$A,'[1]Baumaterialien Matériaux'!AK:AK,0,0)</f>
        <v>0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 s="622" cm="1">
        <f t="array" ref="AD100">IFERROR(_xlfn.SWITCH(I100,"kg",1,"m3",AC100,AC100)*J100/(_xlfn.XLOOKUP(AA100,Métrés!A:A,Métrés!C:C,0)),0)</f>
        <v>0</v>
      </c>
      <c r="AE100" s="1092">
        <f>IFERROR(N100*$G$1/(_xlfn.XLOOKUP($AA100,Métrés!$A:$A,Métrés!$C:$C,0)),0)</f>
        <v>0</v>
      </c>
      <c r="AF100" s="1092">
        <f>IFERROR(O100*$G$1/(_xlfn.XLOOKUP($AA100,Métrés!$A:$A,Métrés!$C:$C,0)),0)</f>
        <v>0</v>
      </c>
      <c r="AG100" s="1092">
        <f>IFERROR(Q100*$G$1/(_xlfn.XLOOKUP($AA100,Métrés!$A:$A,Métrés!$C:$C,0)),0)</f>
        <v>0</v>
      </c>
      <c r="AH100" s="1092">
        <f>IFERROR(R100*$G$1/(_xlfn.XLOOKUP($AA100,Métrés!$A:$A,Métrés!$C:$C,0)),0)</f>
        <v>0</v>
      </c>
      <c r="AI100" s="1092">
        <f>IFERROR(S100*$G$1/(_xlfn.XLOOKUP($AA100,Métrés!$A:$A,Métrés!$C:$C,0)),0)</f>
        <v>0</v>
      </c>
      <c r="AJ100" s="1020"/>
      <c r="AK100" s="1020"/>
      <c r="AL100" s="1020"/>
      <c r="AM100" s="1020"/>
      <c r="AN100" s="1055"/>
      <c r="AO100" s="1020"/>
      <c r="AP100" s="1020"/>
      <c r="AQ100" s="1020"/>
      <c r="AR100" s="1056"/>
      <c r="AS100" s="1055"/>
      <c r="AT100" s="1020"/>
      <c r="AU100" s="1020"/>
      <c r="AV100" s="1020"/>
      <c r="AW100" s="1056"/>
      <c r="AX100" s="1055"/>
      <c r="AY100" s="1020"/>
      <c r="AZ100" s="1020"/>
      <c r="BA100" s="1020"/>
      <c r="BB100" s="1056"/>
      <c r="BC100" s="1055"/>
      <c r="BD100" s="1020"/>
      <c r="BE100" s="1020"/>
      <c r="BF100" s="1056"/>
      <c r="BG100" s="1055"/>
      <c r="BH100" s="1020"/>
      <c r="BI100" s="1056"/>
      <c r="BJ100" s="1044"/>
      <c r="BK100" s="1055"/>
      <c r="BL100" s="1020"/>
      <c r="BM100" s="1056"/>
      <c r="BN100" s="1037">
        <f>IFERROR((J100*VLOOKUP(H100, 'Baumaterialien Matériaux'!$A$11:$AH$318, 33,FALSE)),0)/$G$1</f>
        <v>0</v>
      </c>
      <c r="BO100" s="1037"/>
      <c r="BP100" s="1037">
        <f>IFERROR((J100*VLOOKUP(H100, 'Baumaterialien Matériaux'!$A$11:$AH$318, 34,FALSE)),0)/$G$1</f>
        <v>0</v>
      </c>
      <c r="BQ100" s="1037">
        <f t="shared" si="151"/>
        <v>0</v>
      </c>
      <c r="BR100" s="1037"/>
    </row>
    <row r="101" spans="2:70">
      <c r="B101" s="1103"/>
      <c r="C101" s="1099"/>
      <c r="D101" s="478"/>
      <c r="E101" s="479" t="str">
        <f>BillQuantities!E22</f>
        <v>Toiture plate isolée</v>
      </c>
      <c r="F101" s="479" t="s">
        <v>238</v>
      </c>
      <c r="G101" s="479"/>
      <c r="H101" s="479"/>
      <c r="I101" s="459" t="s">
        <v>39</v>
      </c>
      <c r="J101" s="662">
        <v>279.05</v>
      </c>
      <c r="K101" s="663"/>
      <c r="L101" s="663"/>
      <c r="M101" s="664">
        <f>SUM(M102:M111)</f>
        <v>68.787134513423268</v>
      </c>
      <c r="N101" s="664">
        <f t="shared" ref="N101:S101" si="226">SUM(N102:N111)</f>
        <v>17.002277475401808</v>
      </c>
      <c r="O101" s="664">
        <f t="shared" ref="O101" si="227">SUM(O102:O111)</f>
        <v>8.3982549296558489</v>
      </c>
      <c r="P101" s="664">
        <f t="shared" si="226"/>
        <v>30.194439791883713</v>
      </c>
      <c r="Q101" s="664">
        <f t="shared" si="226"/>
        <v>13.1921623164819</v>
      </c>
      <c r="R101" s="664">
        <f t="shared" ref="R101" si="228">SUM(R102:R111)</f>
        <v>7.934276941142425</v>
      </c>
      <c r="S101" s="664">
        <f t="shared" si="226"/>
        <v>0</v>
      </c>
      <c r="T101" s="664">
        <f t="shared" ref="T101" si="229">SUM(T102:T111)</f>
        <v>0</v>
      </c>
      <c r="V101" s="638">
        <f t="shared" si="138"/>
        <v>0</v>
      </c>
      <c r="W101" s="638">
        <f t="shared" si="197"/>
        <v>0</v>
      </c>
      <c r="X101" s="638">
        <f t="shared" si="224"/>
        <v>0</v>
      </c>
      <c r="Z101" s="638">
        <f t="shared" si="142"/>
        <v>0</v>
      </c>
      <c r="AA101" s="648" t="s">
        <v>3445</v>
      </c>
      <c r="AB101">
        <f>_xlfn.XLOOKUP($H101,'[1]Baumaterialien Matériaux'!$A:$A,'[1]Baumaterialien Matériaux'!AK:AK,0,0)</f>
        <v>0</v>
      </c>
      <c r="AC101" cm="1">
        <f t="array" ref="AC101">_xlfn.SWITCH(I101,"kg"," ",0," ",_xlfn.XLOOKUP(H101, '[1]Baumaterialien Matériaux'!$A:$A, '[1]Baumaterialien Matériaux'!$AL:$AL, "-", 0, 1))</f>
        <v>0</v>
      </c>
      <c r="AD101" s="622" cm="1">
        <f t="array" ref="AD101">IFERROR(_xlfn.SWITCH(I101,"kg",1,"m3",AC101,AC101)*J101/(_xlfn.XLOOKUP(AA101,Métrés!A:A,Métrés!C:C,0)),0)</f>
        <v>0</v>
      </c>
      <c r="AE101" s="1092">
        <f>IFERROR(N101*$G$1/(_xlfn.XLOOKUP($AA101,Métrés!$A:$A,Métrés!$C:$C,0)),0)</f>
        <v>54.741179627306934</v>
      </c>
      <c r="AF101" s="1092">
        <f>IFERROR(O101*$G$1/(_xlfn.XLOOKUP($AA101,Métrés!$A:$A,Métrés!$C:$C,0)),0)</f>
        <v>27.039341189750946</v>
      </c>
      <c r="AG101" s="1092">
        <f>IFERROR(Q101*$G$1/(_xlfn.XLOOKUP($AA101,Métrés!$A:$A,Métrés!$C:$C,0)),0)</f>
        <v>42.473987857444897</v>
      </c>
      <c r="AH101" s="1092">
        <f>IFERROR(R101*$G$1/(_xlfn.XLOOKUP($AA101,Métrés!$A:$A,Métrés!$C:$C,0)),0)</f>
        <v>25.545500000000001</v>
      </c>
      <c r="AI101" s="1092">
        <f>IFERROR(S101*$G$1/(_xlfn.XLOOKUP($AA101,Métrés!$A:$A,Métrés!$C:$C,0)),0)</f>
        <v>0</v>
      </c>
      <c r="AJ101" s="1021"/>
      <c r="AK101" s="1021"/>
      <c r="AL101" s="1021"/>
      <c r="AM101" s="1021"/>
      <c r="AN101" s="1057"/>
      <c r="AO101" s="1021"/>
      <c r="AP101" s="1021"/>
      <c r="AQ101" s="1021"/>
      <c r="AR101" s="1058"/>
      <c r="AS101" s="1057"/>
      <c r="AT101" s="1021"/>
      <c r="AU101" s="1021"/>
      <c r="AV101" s="1021"/>
      <c r="AW101" s="1058"/>
      <c r="AX101" s="1057"/>
      <c r="AY101" s="1021"/>
      <c r="AZ101" s="1021"/>
      <c r="BA101" s="1021"/>
      <c r="BB101" s="1058"/>
      <c r="BC101" s="1057"/>
      <c r="BD101" s="1021"/>
      <c r="BE101" s="1021"/>
      <c r="BF101" s="1058"/>
      <c r="BG101" s="1057"/>
      <c r="BH101" s="1021"/>
      <c r="BI101" s="1058"/>
      <c r="BJ101" s="1045"/>
      <c r="BK101" s="1057"/>
      <c r="BL101" s="1021"/>
      <c r="BM101" s="1058"/>
      <c r="BN101" s="1037">
        <f>IFERROR((J101*VLOOKUP(H101, 'Baumaterialien Matériaux'!$A$11:$AH$318, 33,FALSE)),0)/$G$1</f>
        <v>0</v>
      </c>
      <c r="BO101" s="1037"/>
      <c r="BP101" s="1037">
        <f>IFERROR((J101*VLOOKUP(H101, 'Baumaterialien Matériaux'!$A$11:$AH$318, 34,FALSE)),0)/$G$1</f>
        <v>0</v>
      </c>
      <c r="BQ101" s="1037">
        <f t="shared" si="151"/>
        <v>0</v>
      </c>
      <c r="BR101" s="1037"/>
    </row>
    <row r="102" spans="2:70">
      <c r="B102" s="1103"/>
      <c r="C102" s="1099"/>
      <c r="D102" s="478"/>
      <c r="E102" s="478"/>
      <c r="F102" s="454" t="s">
        <v>3010</v>
      </c>
      <c r="G102" s="478" t="str">
        <f>_xlfn.XLOOKUP(H102, 'Baumaterialien Matériaux'!A:A, 'Baumaterialien Matériaux'!AD:AD, "-", 0, 1)</f>
        <v>Sable</v>
      </c>
      <c r="H102" s="896" t="s">
        <v>699</v>
      </c>
      <c r="I102" s="641" t="str">
        <f>_xlfn.XLOOKUP(H102, 'Baumaterialien Matériaux'!A:A, 'Baumaterialien Matériaux'!F:F, "-", 0, 1)</f>
        <v>kg</v>
      </c>
      <c r="J102" s="649">
        <f>$J$101*K102</f>
        <v>27905</v>
      </c>
      <c r="K102" s="897">
        <f>0.1*1000</f>
        <v>100</v>
      </c>
      <c r="L102" s="647">
        <v>30</v>
      </c>
      <c r="M102" s="648">
        <f t="shared" ref="M102:M108" si="230">SUM(N102:Q102)</f>
        <v>1.0184374582609856</v>
      </c>
      <c r="N102" s="720">
        <f>IFERROR(($J102*VLOOKUP($H102, 'Baumaterialien Matériaux'!$A$11:$AD$318, 26,FALSE)),0)/$G$1</f>
        <v>9.5662926850986152E-2</v>
      </c>
      <c r="O102" s="720">
        <f>IFERROR(($J102*VLOOKUP($H102, 'Baumaterialien Matériaux'!$A$11:$AH$318, 33,FALSE)),0)/$G$1</f>
        <v>3.1991173589777835E-2</v>
      </c>
      <c r="P102" s="720">
        <f>IFERROR((N102+Q102)*($L$2/L102-1),0)</f>
        <v>0.49322314233560394</v>
      </c>
      <c r="Q102" s="720">
        <f>IFERROR(($J102*VLOOKUP($H102, 'Baumaterialien Matériaux'!$A$11:$AD$318, 27,FALSE)),0)/$G$1</f>
        <v>0.39756021548461778</v>
      </c>
      <c r="R102" s="720">
        <f>IFERROR(($J102*VLOOKUP($H102, 'Baumaterialien Matériaux'!$A$11:$AH$318, 34,FALSE)),0)/$G$1</f>
        <v>1.6399358888740483E-2</v>
      </c>
      <c r="S102" s="720">
        <f>IFERROR((J102*VLOOKUP(H102, 'Baumaterialien Matériaux'!$A$11:$AD$318, 29,FALSE)),0)/$G$1</f>
        <v>0</v>
      </c>
      <c r="T102" s="720"/>
      <c r="V102" s="638">
        <f t="shared" si="138"/>
        <v>0</v>
      </c>
      <c r="W102" s="638">
        <f t="shared" si="197"/>
        <v>0</v>
      </c>
      <c r="X102" s="638" t="str">
        <f t="shared" si="224"/>
        <v>Revêtement</v>
      </c>
      <c r="Z102" s="638">
        <f t="shared" si="142"/>
        <v>30</v>
      </c>
      <c r="AA102" s="648" t="s">
        <v>3445</v>
      </c>
      <c r="AB102" t="str">
        <f>_xlfn.XLOOKUP($H102,'[1]Baumaterialien Matériaux'!$A:$A,'[1]Baumaterialien Matériaux'!AK:AK,0,0)</f>
        <v>stone</v>
      </c>
      <c r="AC102" t="str" cm="1">
        <f t="array" ref="AC102">_xlfn.SWITCH(I102,"kg"," ",0," ",_xlfn.XLOOKUP(H102, '[1]Baumaterialien Matériaux'!$A:$A, '[1]Baumaterialien Matériaux'!$AL:$AL, "-", 0, 1))</f>
        <v xml:space="preserve"> </v>
      </c>
      <c r="AD102" s="622" cm="1">
        <f t="array" ref="AD102">IFERROR(_xlfn.SWITCH(I102,"kg",1,"m3",AC102,AC102)*J102/(_xlfn.XLOOKUP(AA102,Métrés!A:A,Métrés!C:C,0)),0)</f>
        <v>100</v>
      </c>
      <c r="AE102" s="1092">
        <f>IFERROR(N102*$G$1/(_xlfn.XLOOKUP($AA102,Métrés!$A:$A,Métrés!$C:$C,0)),0)</f>
        <v>0.308</v>
      </c>
      <c r="AF102" s="1092">
        <f>IFERROR(O102*$G$1/(_xlfn.XLOOKUP($AA102,Métrés!$A:$A,Métrés!$C:$C,0)),0)</f>
        <v>0.10299999999999999</v>
      </c>
      <c r="AG102" s="1092">
        <f>IFERROR(Q102*$G$1/(_xlfn.XLOOKUP($AA102,Métrés!$A:$A,Métrés!$C:$C,0)),0)</f>
        <v>1.28</v>
      </c>
      <c r="AH102" s="1092">
        <f>IFERROR(R102*$G$1/(_xlfn.XLOOKUP($AA102,Métrés!$A:$A,Métrés!$C:$C,0)),0)</f>
        <v>5.28E-2</v>
      </c>
      <c r="AI102" s="1092">
        <f>IFERROR(S102*$G$1/(_xlfn.XLOOKUP($AA102,Métrés!$A:$A,Métrés!$C:$C,0)),0)</f>
        <v>0</v>
      </c>
      <c r="AJ102" s="1022"/>
      <c r="AK102" s="638">
        <f t="shared" ref="AK102:AK111" si="231">IF(L102=60, 0, T102)</f>
        <v>0</v>
      </c>
      <c r="AL102" s="638">
        <f t="shared" ref="AL102:AL110" si="232">IF(L102=60, 0, S102)</f>
        <v>0</v>
      </c>
      <c r="AM102" s="638" t="str">
        <f t="shared" ref="AM102:AM107" si="233">IF(L102=$L$2, "Structure", IF(L102&gt;0,"Revêtement",0))</f>
        <v>Revêtement</v>
      </c>
      <c r="AN102" s="1036">
        <f t="shared" ref="AN102:AN111" si="234">IF(AM102="Structure",N102,0)</f>
        <v>0</v>
      </c>
      <c r="AO102" s="1037">
        <f t="shared" ref="AO102:AO111" si="235">IF(AM102="Structure",P102,0)</f>
        <v>0</v>
      </c>
      <c r="AP102" s="1037">
        <f t="shared" ref="AP102:AP111" si="236">IF(AM102="Structure",Q102,0)</f>
        <v>0</v>
      </c>
      <c r="AQ102" s="1038">
        <f t="shared" ref="AQ102:AQ111" si="237">IF(AM102="Structure",S102,0)</f>
        <v>0</v>
      </c>
      <c r="AR102" s="1038">
        <f t="shared" ref="AR102:AR111" si="238">IF(AM102="Structure",T102,0)</f>
        <v>0</v>
      </c>
      <c r="AS102" s="1036">
        <f t="shared" ref="AS102:AS111" si="239">IF(AM102="Insulation",N102,0)</f>
        <v>0</v>
      </c>
      <c r="AT102" s="1037">
        <f t="shared" ref="AT102:AT111" si="240">IF(AM102="Insulation",P102,0)</f>
        <v>0</v>
      </c>
      <c r="AU102" s="1037">
        <f t="shared" ref="AU102:AU111" si="241">IF(AM102="Insulation",Q102,0)</f>
        <v>0</v>
      </c>
      <c r="AV102" s="1038">
        <f t="shared" ref="AV102:AV111" si="242">IF(AM102="Insulation",S102,0)</f>
        <v>0</v>
      </c>
      <c r="AW102" s="1038">
        <f t="shared" ref="AW102:AW111" si="243">IF(AM102="Insulation",T102,0)</f>
        <v>0</v>
      </c>
      <c r="AX102" s="1036">
        <f t="shared" ref="AX102:AX111" si="244">IF(AM102="Revêtement",N102,0)</f>
        <v>9.5662926850986152E-2</v>
      </c>
      <c r="AY102" s="1037">
        <f t="shared" ref="AY102:AY111" si="245">IF(AM102="Revêtement",P102,0)</f>
        <v>0.49322314233560394</v>
      </c>
      <c r="AZ102" s="1037">
        <f t="shared" ref="AZ102:AZ111" si="246">IF(AM102="Revêtement",Q102,0)</f>
        <v>0.39756021548461778</v>
      </c>
      <c r="BA102" s="1037">
        <f t="shared" ref="BA102:BA111" si="247">IF(AM102="Revêtement",S102,0)</f>
        <v>0</v>
      </c>
      <c r="BB102" s="1038">
        <f t="shared" ref="BB102:BB111" si="248">IF(AM102="Revêtement",T102,0)</f>
        <v>0</v>
      </c>
      <c r="BC102" s="1036"/>
      <c r="BD102" s="1037"/>
      <c r="BE102" s="1037"/>
      <c r="BF102" s="1038"/>
      <c r="BG102" s="1036">
        <f t="shared" ref="BG102:BG111" si="249">IF($AM102="Structure", IF($I102="kg",$J102,0), 0)</f>
        <v>0</v>
      </c>
      <c r="BH102" s="1037">
        <f t="shared" ref="BH102:BH111" si="250">IF($AM102="Insulation", IF($I102="kg",$J102,0), 0)</f>
        <v>0</v>
      </c>
      <c r="BI102" s="1038">
        <f t="shared" ref="BI102:BI111" si="251">IF($AM102="Revêtement", IF($I102="kg",$J102,0), 0)</f>
        <v>27905</v>
      </c>
      <c r="BJ102" s="1037">
        <f>_xlfn.XLOOKUP(H102, 'Baumaterialien Matériaux'!A:A, 'Baumaterialien Matériaux'!E:E, "-", 0, 1)</f>
        <v>2000</v>
      </c>
      <c r="BK102" s="1036">
        <f t="shared" si="176"/>
        <v>0</v>
      </c>
      <c r="BL102" s="1037">
        <f t="shared" si="177"/>
        <v>0</v>
      </c>
      <c r="BM102" s="1038">
        <f t="shared" si="178"/>
        <v>13.952500000000001</v>
      </c>
      <c r="BN102" s="1037">
        <f>IFERROR((J102*VLOOKUP(H102, 'Baumaterialien Matériaux'!$A$11:$AH$318, 33,FALSE)),0)/$G$1</f>
        <v>3.1991173589777835E-2</v>
      </c>
      <c r="BO102" s="1037">
        <f t="shared" ref="BO102:BO111" si="252">(BN102+BP102)*($L$2/L102-1)</f>
        <v>4.8390532478518322E-2</v>
      </c>
      <c r="BP102" s="1037">
        <f>IFERROR((J102*VLOOKUP(H102, 'Baumaterialien Matériaux'!$A$11:$AH$318, 34,FALSE)),0)/$G$1</f>
        <v>1.6399358888740483E-2</v>
      </c>
      <c r="BQ102" s="1037">
        <f t="shared" si="151"/>
        <v>4.1250000000000002E-2</v>
      </c>
      <c r="BR102" s="1037">
        <f t="shared" ref="BR102:BR108" si="253">IFERROR((N102+Q102)*($L$2/L102-1),0)</f>
        <v>0.49322314233560394</v>
      </c>
    </row>
    <row r="103" spans="2:70">
      <c r="B103" s="1103"/>
      <c r="C103" s="1099"/>
      <c r="D103" s="478"/>
      <c r="E103" s="478"/>
      <c r="F103" s="3" t="s">
        <v>3011</v>
      </c>
      <c r="G103" s="478" t="str">
        <f>_xlfn.XLOOKUP(H103, 'Baumaterialien Matériaux'!A:A, 'Baumaterialien Matériaux'!AD:AD, "-", 0, 1)</f>
        <v>Lé d'étanchéité polyoléfine (FPO)</v>
      </c>
      <c r="H103" s="892" t="s">
        <v>1613</v>
      </c>
      <c r="I103" s="641" t="str">
        <f>_xlfn.XLOOKUP(H103, 'Baumaterialien Matériaux'!A:A, 'Baumaterialien Matériaux'!F:F, "-", 0, 1)</f>
        <v>kg</v>
      </c>
      <c r="J103" s="649">
        <f t="shared" ref="J103:J109" si="254">$J$101*K103</f>
        <v>27.905000000000001</v>
      </c>
      <c r="K103" s="898">
        <v>0.1</v>
      </c>
      <c r="L103" s="647">
        <v>30</v>
      </c>
      <c r="M103" s="648">
        <f t="shared" si="230"/>
        <v>0.40066615466809136</v>
      </c>
      <c r="N103" s="720">
        <f>IFERROR(($J103*VLOOKUP($H103, 'Baumaterialien Matériaux'!$A$11:$AD$318, 26,FALSE)),0)/$G$1</f>
        <v>7.8269667423534126E-2</v>
      </c>
      <c r="O103" s="720">
        <f>IFERROR(($J103*VLOOKUP($H103, 'Baumaterialien Matériaux'!$A$11:$AH$318, 33,FALSE)),0)/$G$1</f>
        <v>7.8269667423534126E-2</v>
      </c>
      <c r="P103" s="720">
        <f t="shared" ref="P103:P108" si="255">IFERROR((N103+Q103)*($L$2/L103-1),0)</f>
        <v>0.16119824362227861</v>
      </c>
      <c r="Q103" s="720">
        <f>IFERROR(($J103*VLOOKUP($H103, 'Baumaterialien Matériaux'!$A$11:$AD$318, 27,FALSE)),0)/$G$1</f>
        <v>8.2928576198744483E-2</v>
      </c>
      <c r="R103" s="720">
        <f>IFERROR(($J103*VLOOKUP($H103, 'Baumaterialien Matériaux'!$A$11:$AH$318, 34,FALSE)),0)/$G$1</f>
        <v>9.3799363340901998E-2</v>
      </c>
      <c r="S103" s="720">
        <f>IFERROR((J103*VLOOKUP(H103, 'Baumaterialien Matériaux'!$A$11:$AD$318, 29,FALSE)),0)/$G$1</f>
        <v>0</v>
      </c>
      <c r="T103" s="720"/>
      <c r="V103" s="638">
        <f t="shared" si="138"/>
        <v>0</v>
      </c>
      <c r="W103" s="638">
        <f t="shared" si="197"/>
        <v>0</v>
      </c>
      <c r="X103" s="638" t="str">
        <f t="shared" si="224"/>
        <v>Revêtement</v>
      </c>
      <c r="Z103" s="638">
        <f t="shared" si="142"/>
        <v>30</v>
      </c>
      <c r="AA103" s="648" t="s">
        <v>3445</v>
      </c>
      <c r="AB103" t="str">
        <f>_xlfn.XLOOKUP($H103,'[1]Baumaterialien Matériaux'!$A:$A,'[1]Baumaterialien Matériaux'!AK:AK,0,0)</f>
        <v>oil_product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 s="622" cm="1">
        <f t="array" ref="AD103">IFERROR(_xlfn.SWITCH(I103,"kg",1,"m3",AC103,AC103)*J103/(_xlfn.XLOOKUP(AA103,Métrés!A:A,Métrés!C:C,0)),0)</f>
        <v>0.1</v>
      </c>
      <c r="AE103" s="1092">
        <f>IFERROR(N103*$G$1/(_xlfn.XLOOKUP($AA103,Métrés!$A:$A,Métrés!$C:$C,0)),0)</f>
        <v>0.252</v>
      </c>
      <c r="AF103" s="1092">
        <f>IFERROR(O103*$G$1/(_xlfn.XLOOKUP($AA103,Métrés!$A:$A,Métrés!$C:$C,0)),0)</f>
        <v>0.252</v>
      </c>
      <c r="AG103" s="1092">
        <f>IFERROR(Q103*$G$1/(_xlfn.XLOOKUP($AA103,Métrés!$A:$A,Métrés!$C:$C,0)),0)</f>
        <v>0.26699999999999996</v>
      </c>
      <c r="AH103" s="1092">
        <f>IFERROR(R103*$G$1/(_xlfn.XLOOKUP($AA103,Métrés!$A:$A,Métrés!$C:$C,0)),0)</f>
        <v>0.30199999999999999</v>
      </c>
      <c r="AI103" s="1092">
        <f>IFERROR(S103*$G$1/(_xlfn.XLOOKUP($AA103,Métrés!$A:$A,Métrés!$C:$C,0)),0)</f>
        <v>0</v>
      </c>
      <c r="AJ103" s="1022"/>
      <c r="AK103" s="638">
        <f t="shared" si="231"/>
        <v>0</v>
      </c>
      <c r="AL103" s="638">
        <f t="shared" si="232"/>
        <v>0</v>
      </c>
      <c r="AM103" s="638" t="str">
        <f t="shared" si="233"/>
        <v>Revêtement</v>
      </c>
      <c r="AN103" s="1036">
        <f t="shared" si="234"/>
        <v>0</v>
      </c>
      <c r="AO103" s="1037">
        <f t="shared" si="235"/>
        <v>0</v>
      </c>
      <c r="AP103" s="1037">
        <f t="shared" si="236"/>
        <v>0</v>
      </c>
      <c r="AQ103" s="1038">
        <f t="shared" si="237"/>
        <v>0</v>
      </c>
      <c r="AR103" s="1038">
        <f t="shared" si="238"/>
        <v>0</v>
      </c>
      <c r="AS103" s="1036">
        <f t="shared" si="239"/>
        <v>0</v>
      </c>
      <c r="AT103" s="1037">
        <f t="shared" si="240"/>
        <v>0</v>
      </c>
      <c r="AU103" s="1037">
        <f t="shared" si="241"/>
        <v>0</v>
      </c>
      <c r="AV103" s="1038">
        <f t="shared" si="242"/>
        <v>0</v>
      </c>
      <c r="AW103" s="1038">
        <f t="shared" si="243"/>
        <v>0</v>
      </c>
      <c r="AX103" s="1036">
        <f t="shared" si="244"/>
        <v>7.8269667423534126E-2</v>
      </c>
      <c r="AY103" s="1037">
        <f t="shared" si="245"/>
        <v>0.16119824362227861</v>
      </c>
      <c r="AZ103" s="1037">
        <f t="shared" si="246"/>
        <v>8.2928576198744483E-2</v>
      </c>
      <c r="BA103" s="1037">
        <f t="shared" si="247"/>
        <v>0</v>
      </c>
      <c r="BB103" s="1038">
        <f t="shared" si="248"/>
        <v>0</v>
      </c>
      <c r="BC103" s="1036"/>
      <c r="BD103" s="1037"/>
      <c r="BE103" s="1037"/>
      <c r="BF103" s="1038"/>
      <c r="BG103" s="1036">
        <f t="shared" si="249"/>
        <v>0</v>
      </c>
      <c r="BH103" s="1037">
        <f t="shared" si="250"/>
        <v>0</v>
      </c>
      <c r="BI103" s="1038">
        <f t="shared" si="251"/>
        <v>27.905000000000001</v>
      </c>
      <c r="BJ103" s="1037">
        <f>_xlfn.XLOOKUP(H103, 'Baumaterialien Matériaux'!A:A, 'Baumaterialien Matériaux'!E:E, "-", 0, 1)</f>
        <v>1000</v>
      </c>
      <c r="BK103" s="1036">
        <f t="shared" si="176"/>
        <v>0</v>
      </c>
      <c r="BL103" s="1037">
        <f t="shared" si="177"/>
        <v>0</v>
      </c>
      <c r="BM103" s="1038">
        <f t="shared" si="178"/>
        <v>2.7905000000000003E-2</v>
      </c>
      <c r="BN103" s="1037">
        <f>IFERROR((J103*VLOOKUP(H103, 'Baumaterialien Matériaux'!$A$11:$AH$318, 33,FALSE)),0)/$G$1</f>
        <v>7.8269667423534126E-2</v>
      </c>
      <c r="BO103" s="1037">
        <f t="shared" si="252"/>
        <v>0.17206903076443614</v>
      </c>
      <c r="BP103" s="1037">
        <f>IFERROR((J103*VLOOKUP(H103, 'Baumaterialien Matériaux'!$A$11:$AH$318, 34,FALSE)),0)/$G$1</f>
        <v>9.3799363340901998E-2</v>
      </c>
      <c r="BQ103" s="1037">
        <f t="shared" si="151"/>
        <v>1.1310861423220973</v>
      </c>
      <c r="BR103" s="1037">
        <f t="shared" si="253"/>
        <v>0.16119824362227861</v>
      </c>
    </row>
    <row r="104" spans="2:70">
      <c r="B104" s="1103"/>
      <c r="C104" s="1099"/>
      <c r="D104" s="478"/>
      <c r="E104" s="478"/>
      <c r="F104" s="3" t="s">
        <v>3012</v>
      </c>
      <c r="G104" s="478" t="str">
        <f>_xlfn.XLOOKUP(H104, 'Baumaterialien Matériaux'!A:A, 'Baumaterialien Matériaux'!AD:AD, "-", 0, 1)</f>
        <v>Voile de polyéthylène (PE)</v>
      </c>
      <c r="H104" s="892" t="s">
        <v>528</v>
      </c>
      <c r="I104" s="641" t="str">
        <f>_xlfn.XLOOKUP(H104, 'Baumaterialien Matériaux'!A:A, 'Baumaterialien Matériaux'!F:F, "-", 0, 1)</f>
        <v>kg</v>
      </c>
      <c r="J104" s="649">
        <f t="shared" si="254"/>
        <v>150.68700000000001</v>
      </c>
      <c r="K104" s="898">
        <v>0.54</v>
      </c>
      <c r="L104" s="647">
        <v>30</v>
      </c>
      <c r="M104" s="648">
        <f t="shared" si="230"/>
        <v>2.3581532656604782</v>
      </c>
      <c r="N104" s="720">
        <f>IFERROR(($J104*VLOOKUP($H104, 'Baumaterialien Matériaux'!$A$11:$AD$318, 26,FALSE)),0)/$G$1</f>
        <v>0.49645331908641643</v>
      </c>
      <c r="O104" s="720">
        <f>IFERROR(($J104*VLOOKUP($H104, 'Baumaterialien Matériaux'!$A$11:$AH$318, 33,FALSE)),0)/$G$1</f>
        <v>0.46961800454120473</v>
      </c>
      <c r="P104" s="720">
        <f t="shared" si="255"/>
        <v>0.94426763055963669</v>
      </c>
      <c r="Q104" s="720">
        <f>IFERROR(($J104*VLOOKUP($H104, 'Baumaterialien Matériaux'!$A$11:$AD$318, 27,FALSE)),0)/$G$1</f>
        <v>0.44781431147322021</v>
      </c>
      <c r="R104" s="720">
        <f>IFERROR(($J104*VLOOKUP($H104, 'Baumaterialien Matériaux'!$A$11:$AH$318, 34,FALSE)),0)/$G$1</f>
        <v>0.43104223988246293</v>
      </c>
      <c r="S104" s="720">
        <f>IFERROR((J104*VLOOKUP(H104, 'Baumaterialien Matériaux'!$A$11:$AD$318, 29,FALSE)),0)/$G$1</f>
        <v>0</v>
      </c>
      <c r="T104" s="720"/>
      <c r="V104" s="638">
        <f t="shared" si="138"/>
        <v>0</v>
      </c>
      <c r="W104" s="638">
        <f t="shared" si="197"/>
        <v>0</v>
      </c>
      <c r="X104" s="638" t="str">
        <f t="shared" si="224"/>
        <v>Revêtement</v>
      </c>
      <c r="Z104" s="638">
        <f t="shared" si="142"/>
        <v>30</v>
      </c>
      <c r="AA104" s="648" t="s">
        <v>3445</v>
      </c>
      <c r="AB104" t="str">
        <f>_xlfn.XLOOKUP($H104,'[1]Baumaterialien Matériaux'!$A:$A,'[1]Baumaterialien Matériaux'!AK:AK,0,0)</f>
        <v>oil_product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 s="622" cm="1">
        <f t="array" ref="AD104">IFERROR(_xlfn.SWITCH(I104,"kg",1,"m3",AC104,AC104)*J104/(_xlfn.XLOOKUP(AA104,Métrés!A:A,Métrés!C:C,0)),0)</f>
        <v>0.54</v>
      </c>
      <c r="AE104" s="1092">
        <f>IFERROR(N104*$G$1/(_xlfn.XLOOKUP($AA104,Métrés!$A:$A,Métrés!$C:$C,0)),0)</f>
        <v>1.5984</v>
      </c>
      <c r="AF104" s="1092">
        <f>IFERROR(O104*$G$1/(_xlfn.XLOOKUP($AA104,Métrés!$A:$A,Métrés!$C:$C,0)),0)</f>
        <v>1.512</v>
      </c>
      <c r="AG104" s="1092">
        <f>IFERROR(Q104*$G$1/(_xlfn.XLOOKUP($AA104,Métrés!$A:$A,Métrés!$C:$C,0)),0)</f>
        <v>1.4418</v>
      </c>
      <c r="AH104" s="1092">
        <f>IFERROR(R104*$G$1/(_xlfn.XLOOKUP($AA104,Métrés!$A:$A,Métrés!$C:$C,0)),0)</f>
        <v>1.3878000000000001</v>
      </c>
      <c r="AI104" s="1092">
        <f>IFERROR(S104*$G$1/(_xlfn.XLOOKUP($AA104,Métrés!$A:$A,Métrés!$C:$C,0)),0)</f>
        <v>0</v>
      </c>
      <c r="AJ104" s="1022"/>
      <c r="AK104" s="638">
        <f t="shared" si="231"/>
        <v>0</v>
      </c>
      <c r="AL104" s="638">
        <f t="shared" si="232"/>
        <v>0</v>
      </c>
      <c r="AM104" s="638" t="str">
        <f t="shared" si="233"/>
        <v>Revêtement</v>
      </c>
      <c r="AN104" s="1036">
        <f t="shared" si="234"/>
        <v>0</v>
      </c>
      <c r="AO104" s="1037">
        <f t="shared" si="235"/>
        <v>0</v>
      </c>
      <c r="AP104" s="1037">
        <f t="shared" si="236"/>
        <v>0</v>
      </c>
      <c r="AQ104" s="1038">
        <f t="shared" si="237"/>
        <v>0</v>
      </c>
      <c r="AR104" s="1038">
        <f t="shared" si="238"/>
        <v>0</v>
      </c>
      <c r="AS104" s="1036">
        <f t="shared" si="239"/>
        <v>0</v>
      </c>
      <c r="AT104" s="1037">
        <f t="shared" si="240"/>
        <v>0</v>
      </c>
      <c r="AU104" s="1037">
        <f t="shared" si="241"/>
        <v>0</v>
      </c>
      <c r="AV104" s="1038">
        <f t="shared" si="242"/>
        <v>0</v>
      </c>
      <c r="AW104" s="1038">
        <f t="shared" si="243"/>
        <v>0</v>
      </c>
      <c r="AX104" s="1036">
        <f t="shared" si="244"/>
        <v>0.49645331908641643</v>
      </c>
      <c r="AY104" s="1037">
        <f t="shared" si="245"/>
        <v>0.94426763055963669</v>
      </c>
      <c r="AZ104" s="1037">
        <f t="shared" si="246"/>
        <v>0.44781431147322021</v>
      </c>
      <c r="BA104" s="1037">
        <f t="shared" si="247"/>
        <v>0</v>
      </c>
      <c r="BB104" s="1038">
        <f t="shared" si="248"/>
        <v>0</v>
      </c>
      <c r="BC104" s="1036"/>
      <c r="BD104" s="1037"/>
      <c r="BE104" s="1037"/>
      <c r="BF104" s="1038"/>
      <c r="BG104" s="1036">
        <f t="shared" si="249"/>
        <v>0</v>
      </c>
      <c r="BH104" s="1037">
        <f t="shared" si="250"/>
        <v>0</v>
      </c>
      <c r="BI104" s="1038">
        <f t="shared" si="251"/>
        <v>150.68700000000001</v>
      </c>
      <c r="BJ104" s="1037">
        <f>_xlfn.XLOOKUP(H104, 'Baumaterialien Matériaux'!A:A, 'Baumaterialien Matériaux'!E:E, "-", 0, 1)</f>
        <v>920</v>
      </c>
      <c r="BK104" s="1036">
        <f t="shared" si="176"/>
        <v>0</v>
      </c>
      <c r="BL104" s="1037">
        <f t="shared" si="177"/>
        <v>0</v>
      </c>
      <c r="BM104" s="1038">
        <f t="shared" si="178"/>
        <v>0.16379021739130437</v>
      </c>
      <c r="BN104" s="1037">
        <f>IFERROR((J104*VLOOKUP(H104, 'Baumaterialien Matériaux'!$A$11:$AH$318, 33,FALSE)),0)/$G$1</f>
        <v>0.46961800454120473</v>
      </c>
      <c r="BO104" s="1037">
        <f t="shared" si="252"/>
        <v>0.90066024442366766</v>
      </c>
      <c r="BP104" s="1037">
        <f>IFERROR((J104*VLOOKUP(H104, 'Baumaterialien Matériaux'!$A$11:$AH$318, 34,FALSE)),0)/$G$1</f>
        <v>0.43104223988246293</v>
      </c>
      <c r="BQ104" s="1037">
        <f t="shared" si="151"/>
        <v>0.96254681647940088</v>
      </c>
      <c r="BR104" s="1037">
        <f t="shared" si="253"/>
        <v>0.94426763055963669</v>
      </c>
    </row>
    <row r="105" spans="2:70">
      <c r="B105" s="1103"/>
      <c r="C105" s="1099"/>
      <c r="D105" s="478"/>
      <c r="E105" s="478"/>
      <c r="F105" s="3" t="s">
        <v>3013</v>
      </c>
      <c r="G105" s="478" t="str">
        <f>_xlfn.XLOOKUP(H105, 'Baumaterialien Matériaux'!A:A, 'Baumaterialien Matériaux'!AD:AD, "-", 0, 1)</f>
        <v>Feuille de polyéthylène (PE)</v>
      </c>
      <c r="H105" s="892" t="s">
        <v>716</v>
      </c>
      <c r="I105" s="641" t="str">
        <f>_xlfn.XLOOKUP(H105, 'Baumaterialien Matériaux'!A:A, 'Baumaterialien Matériaux'!F:F, "-", 0, 1)</f>
        <v>kg</v>
      </c>
      <c r="J105" s="649">
        <f t="shared" si="254"/>
        <v>131.15350000000001</v>
      </c>
      <c r="K105" s="898">
        <f>0.47</f>
        <v>0.47</v>
      </c>
      <c r="L105" s="647">
        <v>30</v>
      </c>
      <c r="M105" s="648">
        <f t="shared" si="230"/>
        <v>1.9356834179244022</v>
      </c>
      <c r="N105" s="720">
        <f>IFERROR(($J105*VLOOKUP($H105, 'Baumaterialien Matériaux'!$A$11:$AD$318, 26,FALSE)),0)/$G$1</f>
        <v>0.40144263946395981</v>
      </c>
      <c r="O105" s="720">
        <f>IFERROR(($J105*VLOOKUP($H105, 'Baumaterialien Matériaux'!$A$11:$AH$318, 33,FALSE)),0)/$G$1</f>
        <v>0.3532695227282846</v>
      </c>
      <c r="P105" s="720">
        <f t="shared" si="255"/>
        <v>0.79120694759805887</v>
      </c>
      <c r="Q105" s="720">
        <f>IFERROR(($J105*VLOOKUP($H105, 'Baumaterialien Matériaux'!$A$11:$AD$318, 27,FALSE)),0)/$G$1</f>
        <v>0.38976430813409907</v>
      </c>
      <c r="R105" s="720">
        <f>IFERROR(($J105*VLOOKUP($H105, 'Baumaterialien Matériaux'!$A$11:$AH$318, 34,FALSE)),0)/$G$1</f>
        <v>0.37516639397177332</v>
      </c>
      <c r="S105" s="720">
        <f>IFERROR((J105*VLOOKUP(H105, 'Baumaterialien Matériaux'!$A$11:$AD$318, 29,FALSE)),0)/$G$1</f>
        <v>0</v>
      </c>
      <c r="T105" s="720"/>
      <c r="V105" s="638">
        <f t="shared" si="138"/>
        <v>0</v>
      </c>
      <c r="W105" s="638">
        <f t="shared" si="197"/>
        <v>0</v>
      </c>
      <c r="X105" s="638" t="str">
        <f t="shared" si="224"/>
        <v>Revêtement</v>
      </c>
      <c r="Z105" s="638">
        <f t="shared" si="142"/>
        <v>30</v>
      </c>
      <c r="AA105" s="648" t="s">
        <v>3445</v>
      </c>
      <c r="AB105" t="str">
        <f>_xlfn.XLOOKUP($H105,'[1]Baumaterialien Matériaux'!$A:$A,'[1]Baumaterialien Matériaux'!AK:AK,0,0)</f>
        <v>oil_product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 s="622" cm="1">
        <f t="array" ref="AD105">IFERROR(_xlfn.SWITCH(I105,"kg",1,"m3",AC105,AC105)*J105/(_xlfn.XLOOKUP(AA105,Métrés!A:A,Métrés!C:C,0)),0)</f>
        <v>0.47000000000000003</v>
      </c>
      <c r="AE105" s="1092">
        <f>IFERROR(N105*$G$1/(_xlfn.XLOOKUP($AA105,Métrés!$A:$A,Métrés!$C:$C,0)),0)</f>
        <v>1.2925000000000002</v>
      </c>
      <c r="AF105" s="1092">
        <f>IFERROR(O105*$G$1/(_xlfn.XLOOKUP($AA105,Métrés!$A:$A,Métrés!$C:$C,0)),0)</f>
        <v>1.1374</v>
      </c>
      <c r="AG105" s="1092">
        <f>IFERROR(Q105*$G$1/(_xlfn.XLOOKUP($AA105,Métrés!$A:$A,Métrés!$C:$C,0)),0)</f>
        <v>1.2548999999999999</v>
      </c>
      <c r="AH105" s="1092">
        <f>IFERROR(R105*$G$1/(_xlfn.XLOOKUP($AA105,Métrés!$A:$A,Métrés!$C:$C,0)),0)</f>
        <v>1.2079</v>
      </c>
      <c r="AI105" s="1092">
        <f>IFERROR(S105*$G$1/(_xlfn.XLOOKUP($AA105,Métrés!$A:$A,Métrés!$C:$C,0)),0)</f>
        <v>0</v>
      </c>
      <c r="AJ105" s="1022"/>
      <c r="AK105" s="638">
        <f t="shared" si="231"/>
        <v>0</v>
      </c>
      <c r="AL105" s="638">
        <f t="shared" si="232"/>
        <v>0</v>
      </c>
      <c r="AM105" s="638" t="str">
        <f t="shared" si="233"/>
        <v>Revêtement</v>
      </c>
      <c r="AN105" s="1036">
        <f t="shared" si="234"/>
        <v>0</v>
      </c>
      <c r="AO105" s="1037">
        <f t="shared" si="235"/>
        <v>0</v>
      </c>
      <c r="AP105" s="1037">
        <f t="shared" si="236"/>
        <v>0</v>
      </c>
      <c r="AQ105" s="1038">
        <f t="shared" si="237"/>
        <v>0</v>
      </c>
      <c r="AR105" s="1038">
        <f t="shared" si="238"/>
        <v>0</v>
      </c>
      <c r="AS105" s="1036">
        <f t="shared" si="239"/>
        <v>0</v>
      </c>
      <c r="AT105" s="1037">
        <f t="shared" si="240"/>
        <v>0</v>
      </c>
      <c r="AU105" s="1037">
        <f t="shared" si="241"/>
        <v>0</v>
      </c>
      <c r="AV105" s="1038">
        <f t="shared" si="242"/>
        <v>0</v>
      </c>
      <c r="AW105" s="1038">
        <f t="shared" si="243"/>
        <v>0</v>
      </c>
      <c r="AX105" s="1036">
        <f t="shared" si="244"/>
        <v>0.40144263946395981</v>
      </c>
      <c r="AY105" s="1037">
        <f t="shared" si="245"/>
        <v>0.79120694759805887</v>
      </c>
      <c r="AZ105" s="1037">
        <f t="shared" si="246"/>
        <v>0.38976430813409907</v>
      </c>
      <c r="BA105" s="1037">
        <f t="shared" si="247"/>
        <v>0</v>
      </c>
      <c r="BB105" s="1038">
        <f t="shared" si="248"/>
        <v>0</v>
      </c>
      <c r="BC105" s="1036"/>
      <c r="BD105" s="1037"/>
      <c r="BE105" s="1037"/>
      <c r="BF105" s="1038"/>
      <c r="BG105" s="1036">
        <f t="shared" si="249"/>
        <v>0</v>
      </c>
      <c r="BH105" s="1037">
        <f t="shared" si="250"/>
        <v>0</v>
      </c>
      <c r="BI105" s="1038">
        <f t="shared" si="251"/>
        <v>131.15350000000001</v>
      </c>
      <c r="BJ105" s="1037">
        <f>_xlfn.XLOOKUP(H105, 'Baumaterialien Matériaux'!A:A, 'Baumaterialien Matériaux'!E:E, "-", 0, 1)</f>
        <v>920</v>
      </c>
      <c r="BK105" s="1036">
        <f t="shared" si="176"/>
        <v>0</v>
      </c>
      <c r="BL105" s="1037">
        <f t="shared" si="177"/>
        <v>0</v>
      </c>
      <c r="BM105" s="1038">
        <f t="shared" si="178"/>
        <v>0.14255815217391304</v>
      </c>
      <c r="BN105" s="1037">
        <f>IFERROR((J105*VLOOKUP(H105, 'Baumaterialien Matériaux'!$A$11:$AH$318, 33,FALSE)),0)/$G$1</f>
        <v>0.3532695227282846</v>
      </c>
      <c r="BO105" s="1037">
        <f t="shared" si="252"/>
        <v>0.72843591670005792</v>
      </c>
      <c r="BP105" s="1037">
        <f>IFERROR((J105*VLOOKUP(H105, 'Baumaterialien Matériaux'!$A$11:$AH$318, 34,FALSE)),0)/$G$1</f>
        <v>0.37516639397177332</v>
      </c>
      <c r="BQ105" s="1037">
        <f t="shared" si="151"/>
        <v>0.96254681647940088</v>
      </c>
      <c r="BR105" s="1037">
        <f t="shared" si="253"/>
        <v>0.79120694759805887</v>
      </c>
    </row>
    <row r="106" spans="2:70">
      <c r="B106" s="1103"/>
      <c r="C106" s="1099"/>
      <c r="D106" s="478"/>
      <c r="E106" s="478"/>
      <c r="F106" s="3" t="s">
        <v>3014</v>
      </c>
      <c r="G106" s="478" t="str">
        <f>_xlfn.XLOOKUP(H106, 'Baumaterialien Matériaux'!A:A, 'Baumaterialien Matériaux'!AD:AD, "-", 0, 1)</f>
        <v>Lé d'étanchéité polyoléfine (FPO)</v>
      </c>
      <c r="H106" s="892" t="s">
        <v>1613</v>
      </c>
      <c r="I106" s="641" t="str">
        <f>_xlfn.XLOOKUP(H106, 'Baumaterialien Matériaux'!A:A, 'Baumaterialien Matériaux'!F:F, "-", 0, 1)</f>
        <v>kg</v>
      </c>
      <c r="J106" s="649">
        <f t="shared" si="254"/>
        <v>334.86</v>
      </c>
      <c r="K106" s="893">
        <v>1.2</v>
      </c>
      <c r="L106" s="647">
        <v>30</v>
      </c>
      <c r="M106" s="648">
        <f t="shared" si="230"/>
        <v>4.8079938560170961</v>
      </c>
      <c r="N106" s="720">
        <f>IFERROR(($J106*VLOOKUP($H106, 'Baumaterialien Matériaux'!$A$11:$AD$318, 26,FALSE)),0)/$G$1</f>
        <v>0.93923600908240945</v>
      </c>
      <c r="O106" s="720">
        <f>IFERROR(($J106*VLOOKUP($H106, 'Baumaterialien Matériaux'!$A$11:$AH$318, 33,FALSE)),0)/$G$1</f>
        <v>0.93923600908240945</v>
      </c>
      <c r="P106" s="720">
        <f t="shared" si="255"/>
        <v>1.9343789234673432</v>
      </c>
      <c r="Q106" s="720">
        <f>IFERROR(($J106*VLOOKUP($H106, 'Baumaterialien Matériaux'!$A$11:$AD$318, 27,FALSE)),0)/$G$1</f>
        <v>0.99514291438493374</v>
      </c>
      <c r="R106" s="720">
        <f>IFERROR(($J106*VLOOKUP($H106, 'Baumaterialien Matériaux'!$A$11:$AH$318, 34,FALSE)),0)/$G$1</f>
        <v>1.125592360090824</v>
      </c>
      <c r="S106" s="720">
        <f>IFERROR((J106*VLOOKUP(H106, 'Baumaterialien Matériaux'!$A$11:$AD$318, 29,FALSE)),0)/$G$1</f>
        <v>0</v>
      </c>
      <c r="T106" s="720"/>
      <c r="V106" s="638">
        <f t="shared" si="138"/>
        <v>0</v>
      </c>
      <c r="W106" s="638">
        <f t="shared" si="197"/>
        <v>0</v>
      </c>
      <c r="X106" s="638" t="str">
        <f t="shared" si="224"/>
        <v>Revêtement</v>
      </c>
      <c r="Z106" s="638">
        <f t="shared" si="142"/>
        <v>30</v>
      </c>
      <c r="AA106" s="648" t="s">
        <v>3445</v>
      </c>
      <c r="AB106" t="str">
        <f>_xlfn.XLOOKUP($H106,'[1]Baumaterialien Matériaux'!$A:$A,'[1]Baumaterialien Matériaux'!AK:AK,0,0)</f>
        <v>oil_product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 s="622" cm="1">
        <f t="array" ref="AD106">IFERROR(_xlfn.SWITCH(I106,"kg",1,"m3",AC106,AC106)*J106/(_xlfn.XLOOKUP(AA106,Métrés!A:A,Métrés!C:C,0)),0)</f>
        <v>1.2</v>
      </c>
      <c r="AE106" s="1092">
        <f>IFERROR(N106*$G$1/(_xlfn.XLOOKUP($AA106,Métrés!$A:$A,Métrés!$C:$C,0)),0)</f>
        <v>3.024</v>
      </c>
      <c r="AF106" s="1092">
        <f>IFERROR(O106*$G$1/(_xlfn.XLOOKUP($AA106,Métrés!$A:$A,Métrés!$C:$C,0)),0)</f>
        <v>3.024</v>
      </c>
      <c r="AG106" s="1092">
        <f>IFERROR(Q106*$G$1/(_xlfn.XLOOKUP($AA106,Métrés!$A:$A,Métrés!$C:$C,0)),0)</f>
        <v>3.2039999999999997</v>
      </c>
      <c r="AH106" s="1092">
        <f>IFERROR(R106*$G$1/(_xlfn.XLOOKUP($AA106,Métrés!$A:$A,Métrés!$C:$C,0)),0)</f>
        <v>3.6239999999999997</v>
      </c>
      <c r="AI106" s="1092">
        <f>IFERROR(S106*$G$1/(_xlfn.XLOOKUP($AA106,Métrés!$A:$A,Métrés!$C:$C,0)),0)</f>
        <v>0</v>
      </c>
      <c r="AJ106" s="1022"/>
      <c r="AK106" s="638">
        <f t="shared" si="231"/>
        <v>0</v>
      </c>
      <c r="AL106" s="638">
        <f t="shared" si="232"/>
        <v>0</v>
      </c>
      <c r="AM106" s="638" t="str">
        <f t="shared" si="233"/>
        <v>Revêtement</v>
      </c>
      <c r="AN106" s="1036">
        <f t="shared" si="234"/>
        <v>0</v>
      </c>
      <c r="AO106" s="1037">
        <f t="shared" si="235"/>
        <v>0</v>
      </c>
      <c r="AP106" s="1037">
        <f t="shared" si="236"/>
        <v>0</v>
      </c>
      <c r="AQ106" s="1038">
        <f t="shared" si="237"/>
        <v>0</v>
      </c>
      <c r="AR106" s="1038">
        <f t="shared" si="238"/>
        <v>0</v>
      </c>
      <c r="AS106" s="1036">
        <f t="shared" si="239"/>
        <v>0</v>
      </c>
      <c r="AT106" s="1037">
        <f t="shared" si="240"/>
        <v>0</v>
      </c>
      <c r="AU106" s="1037">
        <f t="shared" si="241"/>
        <v>0</v>
      </c>
      <c r="AV106" s="1038">
        <f t="shared" si="242"/>
        <v>0</v>
      </c>
      <c r="AW106" s="1038">
        <f t="shared" si="243"/>
        <v>0</v>
      </c>
      <c r="AX106" s="1036">
        <f t="shared" si="244"/>
        <v>0.93923600908240945</v>
      </c>
      <c r="AY106" s="1037">
        <f t="shared" si="245"/>
        <v>1.9343789234673432</v>
      </c>
      <c r="AZ106" s="1037">
        <f t="shared" si="246"/>
        <v>0.99514291438493374</v>
      </c>
      <c r="BA106" s="1037">
        <f t="shared" si="247"/>
        <v>0</v>
      </c>
      <c r="BB106" s="1038">
        <f t="shared" si="248"/>
        <v>0</v>
      </c>
      <c r="BC106" s="1036"/>
      <c r="BD106" s="1037"/>
      <c r="BE106" s="1037"/>
      <c r="BF106" s="1038"/>
      <c r="BG106" s="1036">
        <f t="shared" si="249"/>
        <v>0</v>
      </c>
      <c r="BH106" s="1037">
        <f t="shared" si="250"/>
        <v>0</v>
      </c>
      <c r="BI106" s="1038">
        <f t="shared" si="251"/>
        <v>334.86</v>
      </c>
      <c r="BJ106" s="1037">
        <f>_xlfn.XLOOKUP(H106, 'Baumaterialien Matériaux'!A:A, 'Baumaterialien Matériaux'!E:E, "-", 0, 1)</f>
        <v>1000</v>
      </c>
      <c r="BK106" s="1036">
        <f t="shared" si="176"/>
        <v>0</v>
      </c>
      <c r="BL106" s="1037">
        <f t="shared" si="177"/>
        <v>0</v>
      </c>
      <c r="BM106" s="1038">
        <f t="shared" si="178"/>
        <v>0.33485999999999999</v>
      </c>
      <c r="BN106" s="1037">
        <f>IFERROR((J106*VLOOKUP(H106, 'Baumaterialien Matériaux'!$A$11:$AH$318, 33,FALSE)),0)/$G$1</f>
        <v>0.93923600908240945</v>
      </c>
      <c r="BO106" s="1037">
        <f t="shared" si="252"/>
        <v>2.0648283691732336</v>
      </c>
      <c r="BP106" s="1037">
        <f>IFERROR((J106*VLOOKUP(H106, 'Baumaterialien Matériaux'!$A$11:$AH$318, 34,FALSE)),0)/$G$1</f>
        <v>1.125592360090824</v>
      </c>
      <c r="BQ106" s="1037">
        <f t="shared" si="151"/>
        <v>1.1310861423220975</v>
      </c>
      <c r="BR106" s="1037">
        <f t="shared" si="253"/>
        <v>1.9343789234673432</v>
      </c>
    </row>
    <row r="107" spans="2:70">
      <c r="B107" s="1103"/>
      <c r="C107" s="1099"/>
      <c r="D107" s="478"/>
      <c r="E107" s="478"/>
      <c r="F107" s="3" t="s">
        <v>2994</v>
      </c>
      <c r="G107" s="478" t="str">
        <f>_xlfn.XLOOKUP(H107, 'Baumaterialien Matériaux'!A:A, 'Baumaterialien Matériaux'!AD:AD, "-", 0, 1)</f>
        <v>Lé d'étanchéité bitumineux</v>
      </c>
      <c r="H107" s="892" t="s">
        <v>696</v>
      </c>
      <c r="I107" s="641" t="str">
        <f>_xlfn.XLOOKUP(H107, 'Baumaterialien Matériaux'!A:A, 'Baumaterialien Matériaux'!F:F, "-", 0, 1)</f>
        <v>kg</v>
      </c>
      <c r="J107" s="649">
        <f t="shared" si="254"/>
        <v>1596.1659999999999</v>
      </c>
      <c r="K107" s="893">
        <f>0.0052*1100</f>
        <v>5.72</v>
      </c>
      <c r="L107" s="647">
        <v>30</v>
      </c>
      <c r="M107" s="648">
        <f t="shared" si="230"/>
        <v>12.860787224522506</v>
      </c>
      <c r="N107" s="720">
        <f>IFERROR(($J107*VLOOKUP($H107, 'Baumaterialien Matériaux'!$A$11:$AD$318, 26,FALSE)),0)/$G$1</f>
        <v>1.7943631850763544</v>
      </c>
      <c r="O107" s="720">
        <f>IFERROR(($J107*VLOOKUP($H107, 'Baumaterialien Matériaux'!$A$11:$AH$318, 33,FALSE)),0)/$G$1</f>
        <v>0.99311784203730902</v>
      </c>
      <c r="P107" s="720">
        <f t="shared" si="255"/>
        <v>5.9338346912425983</v>
      </c>
      <c r="Q107" s="720">
        <f>IFERROR(($J107*VLOOKUP($H107, 'Baumaterialien Matériaux'!$A$11:$AD$318, 27,FALSE)),0)/$G$1</f>
        <v>4.1394715061662435</v>
      </c>
      <c r="R107" s="720">
        <f>IFERROR(($J107*VLOOKUP($H107, 'Baumaterialien Matériaux'!$A$11:$AH$318, 34,FALSE)),0)/$G$1</f>
        <v>4.175003450425181</v>
      </c>
      <c r="S107" s="720">
        <f>IFERROR((J107*VLOOKUP(H107, 'Baumaterialien Matériaux'!$A$11:$AD$318, 29,FALSE)),0)/$G$1</f>
        <v>0</v>
      </c>
      <c r="T107" s="720"/>
      <c r="V107" s="638">
        <f t="shared" si="138"/>
        <v>0</v>
      </c>
      <c r="W107" s="638">
        <f t="shared" si="197"/>
        <v>0</v>
      </c>
      <c r="X107" s="638" t="str">
        <f t="shared" si="224"/>
        <v>Revêtement</v>
      </c>
      <c r="Z107" s="638">
        <f t="shared" si="142"/>
        <v>30</v>
      </c>
      <c r="AA107" s="648" t="s">
        <v>3445</v>
      </c>
      <c r="AB107" t="str">
        <f>_xlfn.XLOOKUP($H107,'[1]Baumaterialien Matériaux'!$A:$A,'[1]Baumaterialien Matériaux'!AK:AK,0,0)</f>
        <v>oil_product</v>
      </c>
      <c r="AC107" t="str" cm="1">
        <f t="array" ref="AC107">_xlfn.SWITCH(I107,"kg"," ",0," ",_xlfn.XLOOKUP(H107, '[1]Baumaterialien Matériaux'!$A:$A, '[1]Baumaterialien Matériaux'!$AL:$AL, "-", 0, 1))</f>
        <v xml:space="preserve"> </v>
      </c>
      <c r="AD107" s="622" cm="1">
        <f t="array" ref="AD107">IFERROR(_xlfn.SWITCH(I107,"kg",1,"m3",AC107,AC107)*J107/(_xlfn.XLOOKUP(AA107,Métrés!A:A,Métrés!C:C,0)),0)</f>
        <v>5.72</v>
      </c>
      <c r="AE107" s="1092">
        <f>IFERROR(N107*$G$1/(_xlfn.XLOOKUP($AA107,Métrés!$A:$A,Métrés!$C:$C,0)),0)</f>
        <v>5.7771999999999997</v>
      </c>
      <c r="AF107" s="1092">
        <f>IFERROR(O107*$G$1/(_xlfn.XLOOKUP($AA107,Métrés!$A:$A,Métrés!$C:$C,0)),0)</f>
        <v>3.1974800000000001</v>
      </c>
      <c r="AG107" s="1092">
        <f>IFERROR(Q107*$G$1/(_xlfn.XLOOKUP($AA107,Métrés!$A:$A,Métrés!$C:$C,0)),0)</f>
        <v>13.3276</v>
      </c>
      <c r="AH107" s="1092">
        <f>IFERROR(R107*$G$1/(_xlfn.XLOOKUP($AA107,Métrés!$A:$A,Métrés!$C:$C,0)),0)</f>
        <v>13.442</v>
      </c>
      <c r="AI107" s="1092">
        <f>IFERROR(S107*$G$1/(_xlfn.XLOOKUP($AA107,Métrés!$A:$A,Métrés!$C:$C,0)),0)</f>
        <v>0</v>
      </c>
      <c r="AJ107" s="1022"/>
      <c r="AK107" s="638">
        <f t="shared" si="231"/>
        <v>0</v>
      </c>
      <c r="AL107" s="638">
        <f t="shared" si="232"/>
        <v>0</v>
      </c>
      <c r="AM107" s="638" t="str">
        <f t="shared" si="233"/>
        <v>Revêtement</v>
      </c>
      <c r="AN107" s="1036">
        <f t="shared" si="234"/>
        <v>0</v>
      </c>
      <c r="AO107" s="1037">
        <f t="shared" si="235"/>
        <v>0</v>
      </c>
      <c r="AP107" s="1037">
        <f t="shared" si="236"/>
        <v>0</v>
      </c>
      <c r="AQ107" s="1038">
        <f t="shared" si="237"/>
        <v>0</v>
      </c>
      <c r="AR107" s="1038">
        <f t="shared" si="238"/>
        <v>0</v>
      </c>
      <c r="AS107" s="1036">
        <f t="shared" si="239"/>
        <v>0</v>
      </c>
      <c r="AT107" s="1037">
        <f t="shared" si="240"/>
        <v>0</v>
      </c>
      <c r="AU107" s="1037">
        <f t="shared" si="241"/>
        <v>0</v>
      </c>
      <c r="AV107" s="1038">
        <f t="shared" si="242"/>
        <v>0</v>
      </c>
      <c r="AW107" s="1038">
        <f t="shared" si="243"/>
        <v>0</v>
      </c>
      <c r="AX107" s="1036">
        <f t="shared" si="244"/>
        <v>1.7943631850763544</v>
      </c>
      <c r="AY107" s="1037">
        <f t="shared" si="245"/>
        <v>5.9338346912425983</v>
      </c>
      <c r="AZ107" s="1037">
        <f t="shared" si="246"/>
        <v>4.1394715061662435</v>
      </c>
      <c r="BA107" s="1037">
        <f t="shared" si="247"/>
        <v>0</v>
      </c>
      <c r="BB107" s="1038">
        <f t="shared" si="248"/>
        <v>0</v>
      </c>
      <c r="BC107" s="1036"/>
      <c r="BD107" s="1037"/>
      <c r="BE107" s="1037"/>
      <c r="BF107" s="1038"/>
      <c r="BG107" s="1036">
        <f t="shared" si="249"/>
        <v>0</v>
      </c>
      <c r="BH107" s="1037">
        <f t="shared" si="250"/>
        <v>0</v>
      </c>
      <c r="BI107" s="1038">
        <f t="shared" si="251"/>
        <v>1596.1659999999999</v>
      </c>
      <c r="BJ107" s="1037">
        <f>_xlfn.XLOOKUP(H107, 'Baumaterialien Matériaux'!A:A, 'Baumaterialien Matériaux'!E:E, "-", 0, 1)</f>
        <v>1100</v>
      </c>
      <c r="BK107" s="1036">
        <f t="shared" si="176"/>
        <v>0</v>
      </c>
      <c r="BL107" s="1037">
        <f t="shared" si="177"/>
        <v>0</v>
      </c>
      <c r="BM107" s="1038">
        <f t="shared" si="178"/>
        <v>1.45106</v>
      </c>
      <c r="BN107" s="1037">
        <f>IFERROR((J107*VLOOKUP(H107, 'Baumaterialien Matériaux'!$A$11:$AH$318, 33,FALSE)),0)/$G$1</f>
        <v>0.99311784203730902</v>
      </c>
      <c r="BO107" s="1037">
        <f t="shared" si="252"/>
        <v>5.16812129246249</v>
      </c>
      <c r="BP107" s="1037">
        <f>IFERROR((J107*VLOOKUP(H107, 'Baumaterialien Matériaux'!$A$11:$AH$318, 34,FALSE)),0)/$G$1</f>
        <v>4.175003450425181</v>
      </c>
      <c r="BQ107" s="1037">
        <f t="shared" si="151"/>
        <v>1.0085836909871244</v>
      </c>
      <c r="BR107" s="1037">
        <f t="shared" si="253"/>
        <v>5.9338346912425983</v>
      </c>
    </row>
    <row r="108" spans="2:70">
      <c r="B108" s="1103"/>
      <c r="C108" s="1099"/>
      <c r="D108" s="478"/>
      <c r="E108" s="478"/>
      <c r="F108" s="454" t="s">
        <v>3015</v>
      </c>
      <c r="G108" s="478" t="str">
        <f>_xlfn.XLOOKUP(H108, 'Baumaterialien Matériaux'!A:A, 'Baumaterialien Matériaux'!AD:AD, "-", 0, 1)</f>
        <v>Polystyrène expansé (EPS)</v>
      </c>
      <c r="H108" s="892" t="s">
        <v>118</v>
      </c>
      <c r="I108" s="641" t="str">
        <f>_xlfn.XLOOKUP(H108, 'Baumaterialien Matériaux'!A:A, 'Baumaterialien Matériaux'!F:F, "-", 0, 1)</f>
        <v>kg</v>
      </c>
      <c r="J108" s="649">
        <f t="shared" si="254"/>
        <v>1953.3500000000004</v>
      </c>
      <c r="K108" s="893">
        <f>0.28*25</f>
        <v>7.0000000000000009</v>
      </c>
      <c r="L108" s="647">
        <v>30</v>
      </c>
      <c r="M108" s="648">
        <f t="shared" si="230"/>
        <v>37.373766194737549</v>
      </c>
      <c r="N108" s="720">
        <f>IFERROR(($J108*VLOOKUP($H108, 'Baumaterialien Matériaux'!$A$11:$AD$318, 26,FALSE)),0)/$G$1</f>
        <v>9.8054500022260829</v>
      </c>
      <c r="O108" s="720">
        <f>IFERROR(($J108*VLOOKUP($H108, 'Baumaterialien Matériaux'!$A$11:$AH$318, 33,FALSE)),0)/$G$1</f>
        <v>4.3265732825786927</v>
      </c>
      <c r="P108" s="720">
        <f t="shared" si="255"/>
        <v>16.523596456079428</v>
      </c>
      <c r="Q108" s="720">
        <f>IFERROR(($J108*VLOOKUP($H108, 'Baumaterialien Matériaux'!$A$11:$AD$318, 27,FALSE)),0)/$G$1</f>
        <v>6.718146453853346</v>
      </c>
      <c r="R108" s="720">
        <f>IFERROR(($J108*VLOOKUP($H108, 'Baumaterialien Matériaux'!$A$11:$AH$318, 34,FALSE)),0)/$G$1</f>
        <v>1.5349551444726417</v>
      </c>
      <c r="S108" s="720">
        <f>IFERROR((J108*VLOOKUP(H108, 'Baumaterialien Matériaux'!$A$11:$AD$318, 29,FALSE)),0)/$G$1</f>
        <v>0</v>
      </c>
      <c r="T108" s="720"/>
      <c r="V108" s="638">
        <f t="shared" si="138"/>
        <v>0</v>
      </c>
      <c r="W108" s="638">
        <f t="shared" si="197"/>
        <v>0</v>
      </c>
      <c r="X108" s="638" t="str">
        <f t="shared" si="224"/>
        <v>Revêtement</v>
      </c>
      <c r="Z108" s="638">
        <f t="shared" si="142"/>
        <v>30</v>
      </c>
      <c r="AA108" s="648" t="s">
        <v>3445</v>
      </c>
      <c r="AB108" t="str">
        <f>_xlfn.XLOOKUP($H108,'[1]Baumaterialien Matériaux'!$A:$A,'[1]Baumaterialien Matériaux'!AK:AK,0,0)</f>
        <v>oil_product</v>
      </c>
      <c r="AC108" t="str" cm="1">
        <f t="array" ref="AC108">_xlfn.SWITCH(I108,"kg"," ",0," ",_xlfn.XLOOKUP(H108, '[1]Baumaterialien Matériaux'!$A:$A, '[1]Baumaterialien Matériaux'!$AL:$AL, "-", 0, 1))</f>
        <v xml:space="preserve"> </v>
      </c>
      <c r="AD108" s="622" cm="1">
        <f t="array" ref="AD108">IFERROR(_xlfn.SWITCH(I108,"kg",1,"m3",AC108,AC108)*J108/(_xlfn.XLOOKUP(AA108,Métrés!A:A,Métrés!C:C,0)),0)</f>
        <v>7.0000000000000009</v>
      </c>
      <c r="AE108" s="1092">
        <f>IFERROR(N108*$G$1/(_xlfn.XLOOKUP($AA108,Métrés!$A:$A,Métrés!$C:$C,0)),0)</f>
        <v>31.570000000000007</v>
      </c>
      <c r="AF108" s="1092">
        <f>IFERROR(O108*$G$1/(_xlfn.XLOOKUP($AA108,Métrés!$A:$A,Métrés!$C:$C,0)),0)</f>
        <v>13.930000000000001</v>
      </c>
      <c r="AG108" s="1092">
        <f>IFERROR(Q108*$G$1/(_xlfn.XLOOKUP($AA108,Métrés!$A:$A,Métrés!$C:$C,0)),0)</f>
        <v>21.630000000000003</v>
      </c>
      <c r="AH108" s="1092">
        <f>IFERROR(R108*$G$1/(_xlfn.XLOOKUP($AA108,Métrés!$A:$A,Métrés!$C:$C,0)),0)</f>
        <v>4.9420000000000011</v>
      </c>
      <c r="AI108" s="1092">
        <f>IFERROR(S108*$G$1/(_xlfn.XLOOKUP($AA108,Métrés!$A:$A,Métrés!$C:$C,0)),0)</f>
        <v>0</v>
      </c>
      <c r="AJ108" s="1022"/>
      <c r="AK108" s="638">
        <f t="shared" si="231"/>
        <v>0</v>
      </c>
      <c r="AL108" s="638">
        <f t="shared" si="232"/>
        <v>0</v>
      </c>
      <c r="AM108" s="638" t="s">
        <v>3388</v>
      </c>
      <c r="AN108" s="1036">
        <f t="shared" si="234"/>
        <v>0</v>
      </c>
      <c r="AO108" s="1037">
        <f t="shared" si="235"/>
        <v>0</v>
      </c>
      <c r="AP108" s="1037">
        <f t="shared" si="236"/>
        <v>0</v>
      </c>
      <c r="AQ108" s="1038">
        <f t="shared" si="237"/>
        <v>0</v>
      </c>
      <c r="AR108" s="1038">
        <f t="shared" si="238"/>
        <v>0</v>
      </c>
      <c r="AS108" s="1036">
        <f t="shared" si="239"/>
        <v>9.8054500022260829</v>
      </c>
      <c r="AT108" s="1037">
        <f t="shared" si="240"/>
        <v>16.523596456079428</v>
      </c>
      <c r="AU108" s="1037">
        <f t="shared" si="241"/>
        <v>6.718146453853346</v>
      </c>
      <c r="AV108" s="1038">
        <f t="shared" si="242"/>
        <v>0</v>
      </c>
      <c r="AW108" s="1038">
        <f t="shared" si="243"/>
        <v>0</v>
      </c>
      <c r="AX108" s="1036">
        <f t="shared" si="244"/>
        <v>0</v>
      </c>
      <c r="AY108" s="1037">
        <f t="shared" si="245"/>
        <v>0</v>
      </c>
      <c r="AZ108" s="1037">
        <f t="shared" si="246"/>
        <v>0</v>
      </c>
      <c r="BA108" s="1037">
        <f t="shared" si="247"/>
        <v>0</v>
      </c>
      <c r="BB108" s="1038">
        <f t="shared" si="248"/>
        <v>0</v>
      </c>
      <c r="BC108" s="1036"/>
      <c r="BD108" s="1037"/>
      <c r="BE108" s="1037"/>
      <c r="BF108" s="1038"/>
      <c r="BG108" s="1036">
        <f t="shared" si="249"/>
        <v>0</v>
      </c>
      <c r="BH108" s="1037">
        <f t="shared" si="250"/>
        <v>1953.3500000000004</v>
      </c>
      <c r="BI108" s="1038">
        <f t="shared" si="251"/>
        <v>0</v>
      </c>
      <c r="BJ108" s="1037">
        <v>25</v>
      </c>
      <c r="BK108" s="1036">
        <f t="shared" si="176"/>
        <v>0</v>
      </c>
      <c r="BL108" s="1037">
        <f t="shared" si="177"/>
        <v>78.134000000000015</v>
      </c>
      <c r="BM108" s="1038">
        <f t="shared" si="178"/>
        <v>0</v>
      </c>
      <c r="BN108" s="1037">
        <f>IFERROR((J108*VLOOKUP(H108, 'Baumaterialien Matériaux'!$A$11:$AH$318, 33,FALSE)),0)/$G$1</f>
        <v>4.3265732825786927</v>
      </c>
      <c r="BO108" s="1037">
        <f t="shared" si="252"/>
        <v>5.8615284270513346</v>
      </c>
      <c r="BP108" s="1037">
        <f>IFERROR((J108*VLOOKUP(H108, 'Baumaterialien Matériaux'!$A$11:$AH$318, 34,FALSE)),0)/$G$1</f>
        <v>1.5349551444726417</v>
      </c>
      <c r="BQ108" s="1037">
        <f t="shared" ref="BQ108:BQ139" si="256">BP108/Q108</f>
        <v>0.22847896440129453</v>
      </c>
      <c r="BR108" s="1037">
        <f t="shared" si="253"/>
        <v>16.523596456079428</v>
      </c>
    </row>
    <row r="109" spans="2:70">
      <c r="B109" s="1104"/>
      <c r="C109" s="1099"/>
      <c r="D109" s="478"/>
      <c r="E109" s="478"/>
      <c r="F109" s="483" t="s">
        <v>3016</v>
      </c>
      <c r="G109" s="478" t="str">
        <f>_xlfn.XLOOKUP(H109, 'Baumaterialien Matériaux'!A:A, 'Baumaterialien Matériaux'!AD:AD, "-", 0, 1)</f>
        <v>Émulsion de bitume, 1 couche</v>
      </c>
      <c r="H109" s="892" t="s">
        <v>512</v>
      </c>
      <c r="I109" s="641" t="str">
        <f>_xlfn.XLOOKUP(H109, 'Baumaterialien Matériaux'!A:A, 'Baumaterialien Matériaux'!F:F, "-", 0, 1)</f>
        <v>m2</v>
      </c>
      <c r="J109" s="649">
        <f t="shared" si="254"/>
        <v>279.05</v>
      </c>
      <c r="K109" s="893">
        <v>1</v>
      </c>
      <c r="L109" s="647">
        <v>30</v>
      </c>
      <c r="M109" s="648">
        <f t="shared" ref="M109" si="257">SUM(N109:Q109)</f>
        <v>0.13986044143181514</v>
      </c>
      <c r="N109" s="720">
        <f>IFERROR(($J109*VLOOKUP($H109, 'Baumaterialien Matériaux'!$A$11:$AD$318, 26,FALSE)),0)/$G$1</f>
        <v>4.193017897689328E-2</v>
      </c>
      <c r="O109" s="720">
        <f>IFERROR(($J109*VLOOKUP($H109, 'Baumaterialien Matériaux'!$A$11:$AH$318, 33,FALSE)),0)/$G$1</f>
        <v>2.6928492720715905E-2</v>
      </c>
      <c r="P109" s="720">
        <f t="shared" ref="P109" si="258">IFERROR((N109+Q109)*($L$2/L109-1),0)</f>
        <v>5.646597435554962E-2</v>
      </c>
      <c r="Q109" s="720">
        <f>IFERROR(($J109*VLOOKUP($H109, 'Baumaterialien Matériaux'!$A$11:$AD$318, 27,FALSE)),0)/$G$1</f>
        <v>1.4535795378656336E-2</v>
      </c>
      <c r="R109" s="720">
        <f>IFERROR(($J109*VLOOKUP($H109, 'Baumaterialien Matériaux'!$A$11:$AH$318, 34,FALSE)),0)/$G$1</f>
        <v>0.1823186300698989</v>
      </c>
      <c r="S109" s="720">
        <f>IFERROR((J109*VLOOKUP(H109, 'Baumaterialien Matériaux'!$A$11:$AD$318, 29,FALSE)),0)/$G$1</f>
        <v>0</v>
      </c>
      <c r="T109" s="720"/>
      <c r="V109" s="638">
        <f t="shared" si="138"/>
        <v>0</v>
      </c>
      <c r="W109" s="638">
        <f t="shared" si="197"/>
        <v>0</v>
      </c>
      <c r="X109" s="638" t="str">
        <f t="shared" si="224"/>
        <v>Revêtement</v>
      </c>
      <c r="Z109" s="638">
        <f t="shared" si="142"/>
        <v>30</v>
      </c>
      <c r="AA109" s="648" t="s">
        <v>3445</v>
      </c>
      <c r="AB109" t="str">
        <f>_xlfn.XLOOKUP($H109,'[1]Baumaterialien Matériaux'!$A:$A,'[1]Baumaterialien Matériaux'!AK:AK,0,0)</f>
        <v>autre</v>
      </c>
      <c r="AC109" cm="1">
        <f t="array" ref="AC109">_xlfn.SWITCH(I109,"kg"," ",0," ",_xlfn.XLOOKUP(H109, '[1]Baumaterialien Matériaux'!$A:$A, '[1]Baumaterialien Matériaux'!$AL:$AL, "-", 0, 1))</f>
        <v>0.25</v>
      </c>
      <c r="AD109" s="622" cm="1">
        <f t="array" ref="AD109">IFERROR(_xlfn.SWITCH(I109,"kg",1,"m3",AC109,AC109)*J109/(_xlfn.XLOOKUP(AA109,Métrés!A:A,Métrés!C:C,0)),0)</f>
        <v>0.25</v>
      </c>
      <c r="AE109" s="1092">
        <f>IFERROR(N109*$G$1/(_xlfn.XLOOKUP($AA109,Métrés!$A:$A,Métrés!$C:$C,0)),0)</f>
        <v>0.13500000000000001</v>
      </c>
      <c r="AF109" s="1092">
        <f>IFERROR(O109*$G$1/(_xlfn.XLOOKUP($AA109,Métrés!$A:$A,Métrés!$C:$C,0)),0)</f>
        <v>8.6699999999999999E-2</v>
      </c>
      <c r="AG109" s="1092">
        <f>IFERROR(Q109*$G$1/(_xlfn.XLOOKUP($AA109,Métrés!$A:$A,Métrés!$C:$C,0)),0)</f>
        <v>4.6800000000000001E-2</v>
      </c>
      <c r="AH109" s="1092">
        <f>IFERROR(R109*$G$1/(_xlfn.XLOOKUP($AA109,Métrés!$A:$A,Métrés!$C:$C,0)),0)</f>
        <v>0.58699999999999997</v>
      </c>
      <c r="AI109" s="1092">
        <f>IFERROR(S109*$G$1/(_xlfn.XLOOKUP($AA109,Métrés!$A:$A,Métrés!$C:$C,0)),0)</f>
        <v>0</v>
      </c>
      <c r="AJ109" s="1022"/>
      <c r="AK109" s="638">
        <f t="shared" si="231"/>
        <v>0</v>
      </c>
      <c r="AL109" s="638">
        <f t="shared" si="232"/>
        <v>0</v>
      </c>
      <c r="AM109" s="638" t="str">
        <f>IF(L109=$L$2, "Structure", IF(L109&gt;0,"Revêtement",0))</f>
        <v>Revêtement</v>
      </c>
      <c r="AN109" s="1036">
        <f t="shared" si="234"/>
        <v>0</v>
      </c>
      <c r="AO109" s="1037">
        <f t="shared" si="235"/>
        <v>0</v>
      </c>
      <c r="AP109" s="1037">
        <f t="shared" si="236"/>
        <v>0</v>
      </c>
      <c r="AQ109" s="1038">
        <f t="shared" si="237"/>
        <v>0</v>
      </c>
      <c r="AR109" s="1038">
        <f t="shared" si="238"/>
        <v>0</v>
      </c>
      <c r="AS109" s="1036">
        <f t="shared" si="239"/>
        <v>0</v>
      </c>
      <c r="AT109" s="1037">
        <f t="shared" si="240"/>
        <v>0</v>
      </c>
      <c r="AU109" s="1037">
        <f t="shared" si="241"/>
        <v>0</v>
      </c>
      <c r="AV109" s="1038">
        <f t="shared" si="242"/>
        <v>0</v>
      </c>
      <c r="AW109" s="1038">
        <f t="shared" si="243"/>
        <v>0</v>
      </c>
      <c r="AX109" s="1036">
        <f t="shared" si="244"/>
        <v>4.193017897689328E-2</v>
      </c>
      <c r="AY109" s="1037">
        <f t="shared" si="245"/>
        <v>5.646597435554962E-2</v>
      </c>
      <c r="AZ109" s="1037">
        <f t="shared" si="246"/>
        <v>1.4535795378656336E-2</v>
      </c>
      <c r="BA109" s="1037">
        <f t="shared" si="247"/>
        <v>0</v>
      </c>
      <c r="BB109" s="1038">
        <f t="shared" si="248"/>
        <v>0</v>
      </c>
      <c r="BC109" s="1036"/>
      <c r="BD109" s="1037"/>
      <c r="BE109" s="1037"/>
      <c r="BF109" s="1038"/>
      <c r="BG109" s="1036">
        <f t="shared" si="249"/>
        <v>0</v>
      </c>
      <c r="BH109" s="1037">
        <f t="shared" si="250"/>
        <v>0</v>
      </c>
      <c r="BI109" s="1038">
        <f t="shared" si="251"/>
        <v>0</v>
      </c>
      <c r="BJ109" s="1037">
        <f>_xlfn.XLOOKUP(H109, 'Baumaterialien Matériaux'!A:A, 'Baumaterialien Matériaux'!E:E, "-", 0, 1)</f>
        <v>0.25</v>
      </c>
      <c r="BK109" s="1036">
        <f t="shared" si="176"/>
        <v>0</v>
      </c>
      <c r="BL109" s="1037">
        <f t="shared" si="177"/>
        <v>0</v>
      </c>
      <c r="BM109" s="1038">
        <f t="shared" si="178"/>
        <v>0</v>
      </c>
      <c r="BN109" s="1037">
        <f>IFERROR((J109*VLOOKUP(H109, 'Baumaterialien Matériaux'!$A$11:$AH$318, 33,FALSE)),0)/$G$1</f>
        <v>2.6928492720715905E-2</v>
      </c>
      <c r="BO109" s="1037">
        <f t="shared" si="252"/>
        <v>0.2092471227906148</v>
      </c>
      <c r="BP109" s="1037">
        <f>IFERROR((J109*VLOOKUP(H109, 'Baumaterialien Matériaux'!$A$11:$AH$318, 34,FALSE)),0)/$G$1</f>
        <v>0.1823186300698989</v>
      </c>
      <c r="BQ109" s="1037">
        <f t="shared" si="256"/>
        <v>12.542735042735043</v>
      </c>
      <c r="BR109" s="1037"/>
    </row>
    <row r="110" spans="2:70">
      <c r="B110" s="1100"/>
      <c r="C110" s="1099"/>
      <c r="D110" s="478"/>
      <c r="E110" s="478"/>
      <c r="F110" s="483" t="s">
        <v>3067</v>
      </c>
      <c r="G110" s="478" t="str">
        <f>_xlfn.XLOOKUP(H110, 'Baumaterialien Matériaux'!A:A, 'Baumaterialien Matériaux'!AD:AD, "-", 0, 1)</f>
        <v>Tôle de cuivre, nue</v>
      </c>
      <c r="H110" s="892" t="s">
        <v>1415</v>
      </c>
      <c r="I110" s="641" t="str">
        <f>_xlfn.XLOOKUP(H110, 'Baumaterialien Matériaux'!A:A, 'Baumaterialien Matériaux'!F:F, "-", 0, 1)</f>
        <v>kg</v>
      </c>
      <c r="J110" s="649">
        <f>K110*58.5</f>
        <v>312.39</v>
      </c>
      <c r="K110" s="893">
        <f>8900*0.0006</f>
        <v>5.34</v>
      </c>
      <c r="L110" s="647">
        <v>30</v>
      </c>
      <c r="M110" s="648">
        <f t="shared" ref="M110" si="259">SUM(N110:Q110)</f>
        <v>1.7131172191799118</v>
      </c>
      <c r="N110" s="720">
        <f>IFERROR(($J110*VLOOKUP($H110, 'Baumaterialien Matériaux'!$A$11:$AD$318, 26,FALSE)),0)/$G$1</f>
        <v>0.76494590623747827</v>
      </c>
      <c r="O110" s="720">
        <f>IFERROR(($J110*VLOOKUP($H110, 'Baumaterialien Matériaux'!$A$11:$AH$318, 33,FALSE)),0)/$G$1</f>
        <v>0.177676071857887</v>
      </c>
      <c r="P110" s="720">
        <f t="shared" ref="P110" si="260">IFERROR((N110+Q110)*($L$2/L110-1),0)</f>
        <v>0.76772057366101243</v>
      </c>
      <c r="Q110" s="720">
        <f>IFERROR(($J110*VLOOKUP($H110, 'Baumaterialien Matériaux'!$A$11:$AD$318, 27,FALSE)),0)/$G$1</f>
        <v>2.7746674235341255E-3</v>
      </c>
      <c r="R110" s="720">
        <f>IFERROR(($J110*VLOOKUP($H110, 'Baumaterialien Matériaux'!$A$11:$AH$318, 34,FALSE)),0)/$G$1</f>
        <v>0</v>
      </c>
      <c r="S110" s="720">
        <f>IFERROR((J110*VLOOKUP(H110, 'Baumaterialien Matériaux'!$A$11:$AD$318, 29,FALSE)),0)/$G$1</f>
        <v>0</v>
      </c>
      <c r="T110" s="720"/>
      <c r="V110" s="638">
        <f t="shared" si="138"/>
        <v>0</v>
      </c>
      <c r="W110" s="638">
        <f t="shared" si="197"/>
        <v>0</v>
      </c>
      <c r="X110" s="638" t="str">
        <f t="shared" si="224"/>
        <v>Revêtement</v>
      </c>
      <c r="Z110" s="638">
        <f t="shared" si="142"/>
        <v>30</v>
      </c>
      <c r="AA110" s="648" t="s">
        <v>3445</v>
      </c>
      <c r="AB110" t="str">
        <f>_xlfn.XLOOKUP($H110,'[1]Baumaterialien Matériaux'!$A:$A,'[1]Baumaterialien Matériaux'!AK:AK,0,0)</f>
        <v>metal</v>
      </c>
      <c r="AC110" t="str" cm="1">
        <f t="array" ref="AC110">_xlfn.SWITCH(I110,"kg"," ",0," ",_xlfn.XLOOKUP(H110, '[1]Baumaterialien Matériaux'!$A:$A, '[1]Baumaterialien Matériaux'!$AL:$AL, "-", 0, 1))</f>
        <v xml:space="preserve"> </v>
      </c>
      <c r="AD110" s="622" cm="1">
        <f t="array" ref="AD110">IFERROR(_xlfn.SWITCH(I110,"kg",1,"m3",AC110,AC110)*J110/(_xlfn.XLOOKUP(AA110,Métrés!A:A,Métrés!C:C,0)),0)</f>
        <v>1.1194767962730692</v>
      </c>
      <c r="AE110" s="1092">
        <f>IFERROR(N110*$G$1/(_xlfn.XLOOKUP($AA110,Métrés!$A:$A,Métrés!$C:$C,0)),0)</f>
        <v>2.4628489518007526</v>
      </c>
      <c r="AF110" s="1092">
        <f>IFERROR(O110*$G$1/(_xlfn.XLOOKUP($AA110,Métrés!$A:$A,Métrés!$C:$C,0)),0)</f>
        <v>0.57205264289553848</v>
      </c>
      <c r="AG110" s="1092">
        <f>IFERROR(Q110*$G$1/(_xlfn.XLOOKUP($AA110,Métrés!$A:$A,Métrés!$C:$C,0)),0)</f>
        <v>8.9334248342590929E-3</v>
      </c>
      <c r="AH110" s="1092">
        <f>IFERROR(R110*$G$1/(_xlfn.XLOOKUP($AA110,Métrés!$A:$A,Métrés!$C:$C,0)),0)</f>
        <v>0</v>
      </c>
      <c r="AI110" s="1092">
        <f>IFERROR(S110*$G$1/(_xlfn.XLOOKUP($AA110,Métrés!$A:$A,Métrés!$C:$C,0)),0)</f>
        <v>0</v>
      </c>
      <c r="AJ110" s="1022"/>
      <c r="AK110" s="638">
        <f t="shared" si="231"/>
        <v>0</v>
      </c>
      <c r="AL110" s="638">
        <f t="shared" si="232"/>
        <v>0</v>
      </c>
      <c r="AM110" s="638" t="str">
        <f>IF(L110=$L$2, "Structure", IF(L110&gt;0,"Revêtement",0))</f>
        <v>Revêtement</v>
      </c>
      <c r="AN110" s="1036">
        <f t="shared" si="234"/>
        <v>0</v>
      </c>
      <c r="AO110" s="1037">
        <f t="shared" si="235"/>
        <v>0</v>
      </c>
      <c r="AP110" s="1037">
        <f t="shared" si="236"/>
        <v>0</v>
      </c>
      <c r="AQ110" s="1038">
        <f t="shared" si="237"/>
        <v>0</v>
      </c>
      <c r="AR110" s="1038">
        <f t="shared" si="238"/>
        <v>0</v>
      </c>
      <c r="AS110" s="1036">
        <f t="shared" si="239"/>
        <v>0</v>
      </c>
      <c r="AT110" s="1037">
        <f t="shared" si="240"/>
        <v>0</v>
      </c>
      <c r="AU110" s="1037">
        <f t="shared" si="241"/>
        <v>0</v>
      </c>
      <c r="AV110" s="1038">
        <f t="shared" si="242"/>
        <v>0</v>
      </c>
      <c r="AW110" s="1038">
        <f t="shared" si="243"/>
        <v>0</v>
      </c>
      <c r="AX110" s="1036">
        <f t="shared" si="244"/>
        <v>0.76494590623747827</v>
      </c>
      <c r="AY110" s="1037">
        <f t="shared" si="245"/>
        <v>0.76772057366101243</v>
      </c>
      <c r="AZ110" s="1037">
        <f t="shared" si="246"/>
        <v>2.7746674235341255E-3</v>
      </c>
      <c r="BA110" s="1037">
        <f t="shared" si="247"/>
        <v>0</v>
      </c>
      <c r="BB110" s="1038">
        <f t="shared" si="248"/>
        <v>0</v>
      </c>
      <c r="BC110" s="1036"/>
      <c r="BD110" s="1037"/>
      <c r="BE110" s="1037"/>
      <c r="BF110" s="1038"/>
      <c r="BG110" s="1036">
        <f t="shared" si="249"/>
        <v>0</v>
      </c>
      <c r="BH110" s="1037">
        <f t="shared" si="250"/>
        <v>0</v>
      </c>
      <c r="BI110" s="1038">
        <f t="shared" si="251"/>
        <v>312.39</v>
      </c>
      <c r="BJ110" s="1037">
        <f>_xlfn.XLOOKUP(H110, 'Baumaterialien Matériaux'!A:A, 'Baumaterialien Matériaux'!E:E, "-", 0, 1)</f>
        <v>8900</v>
      </c>
      <c r="BK110" s="1036">
        <f t="shared" si="176"/>
        <v>0</v>
      </c>
      <c r="BL110" s="1037">
        <f t="shared" si="177"/>
        <v>0</v>
      </c>
      <c r="BM110" s="1038">
        <f t="shared" si="178"/>
        <v>3.5099999999999999E-2</v>
      </c>
      <c r="BN110" s="1037">
        <f>IFERROR((J110*VLOOKUP(H110, 'Baumaterialien Matériaux'!$A$11:$AH$318, 33,FALSE)),0)/$G$1</f>
        <v>0.177676071857887</v>
      </c>
      <c r="BO110" s="1037">
        <f t="shared" si="252"/>
        <v>0.177676071857887</v>
      </c>
      <c r="BP110" s="1037">
        <f>IFERROR((J110*VLOOKUP(H110, 'Baumaterialien Matériaux'!$A$11:$AH$318, 34,FALSE)),0)/$G$1</f>
        <v>0</v>
      </c>
      <c r="BQ110" s="1037">
        <f t="shared" si="256"/>
        <v>0</v>
      </c>
      <c r="BR110" s="1037"/>
    </row>
    <row r="111" spans="2:70">
      <c r="B111" s="1100"/>
      <c r="C111" s="1099"/>
      <c r="D111" s="478"/>
      <c r="E111" s="478"/>
      <c r="F111" s="483" t="s">
        <v>3350</v>
      </c>
      <c r="G111" s="478" t="str">
        <f>_xlfn.XLOOKUP(H111, 'Baumaterialien Matériaux'!A:A, 'Baumaterialien Matériaux'!AD:AD, "-", 0, 1)</f>
        <v>Tôle d'acier, zinguée</v>
      </c>
      <c r="H111" s="892" t="s">
        <v>618</v>
      </c>
      <c r="I111" s="641" t="str">
        <f>_xlfn.XLOOKUP(H111, 'Baumaterialien Matériaux'!A:A, 'Baumaterialien Matériaux'!F:F, "-", 0, 1)</f>
        <v>kg</v>
      </c>
      <c r="J111" s="649">
        <f>K111*21.96</f>
        <v>517.15800000000002</v>
      </c>
      <c r="K111" s="893">
        <f>7850*0.003</f>
        <v>23.55</v>
      </c>
      <c r="L111" s="647">
        <v>30</v>
      </c>
      <c r="M111" s="648">
        <f t="shared" ref="M111" si="261">SUM(N111:Q111)</f>
        <v>6.1786692810204356</v>
      </c>
      <c r="N111" s="720">
        <f>IFERROR(($J111*VLOOKUP($H111, 'Baumaterialien Matériaux'!$A$11:$AD$318, 26,FALSE)),0)/$G$1</f>
        <v>2.5845236409776944</v>
      </c>
      <c r="O111" s="720">
        <f>IFERROR(($J111*VLOOKUP($H111, 'Baumaterialien Matériaux'!$A$11:$AH$318, 33,FALSE)),0)/$G$1</f>
        <v>1.0015748630960331</v>
      </c>
      <c r="P111" s="720">
        <f t="shared" ref="P111" si="262">IFERROR((N111+Q111)*($L$2/L111-1),0)</f>
        <v>2.588547208962201</v>
      </c>
      <c r="Q111" s="720">
        <f>IFERROR(($J111*VLOOKUP($H111, 'Baumaterialien Matériaux'!$A$11:$AD$318, 27,FALSE)),0)/$G$1</f>
        <v>4.0235679845064777E-3</v>
      </c>
      <c r="R111" s="720">
        <f>IFERROR(($J111*VLOOKUP($H111, 'Baumaterialien Matériaux'!$A$11:$AH$318, 34,FALSE)),0)/$G$1</f>
        <v>0</v>
      </c>
      <c r="S111" s="720">
        <f>IFERROR((J111*VLOOKUP(H111, 'Baumaterialien Matériaux'!$A$11:$AD$318, 29,FALSE)),0)/$G$1</f>
        <v>0</v>
      </c>
      <c r="T111" s="720"/>
      <c r="V111" s="638">
        <f t="shared" si="138"/>
        <v>0</v>
      </c>
      <c r="X111" s="638" t="str">
        <f t="shared" si="224"/>
        <v>Revêtement</v>
      </c>
      <c r="Z111" s="638">
        <f t="shared" si="142"/>
        <v>30</v>
      </c>
      <c r="AA111" s="648" t="s">
        <v>3445</v>
      </c>
      <c r="AB111" t="str">
        <f>_xlfn.XLOOKUP($H111,'[1]Baumaterialien Matériaux'!$A:$A,'[1]Baumaterialien Matériaux'!AK:AK,0,0)</f>
        <v>metal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 s="622" cm="1">
        <f t="array" ref="AD111">IFERROR(_xlfn.SWITCH(I111,"kg",1,"m3",AC111,AC111)*J111/(_xlfn.XLOOKUP(AA111,Métrés!A:A,Métrés!C:C,0)),0)</f>
        <v>1.8532807740548289</v>
      </c>
      <c r="AE111" s="1092">
        <f>IFERROR(N111*$G$1/(_xlfn.XLOOKUP($AA111,Métrés!$A:$A,Métrés!$C:$C,0)),0)</f>
        <v>8.3212306755061825</v>
      </c>
      <c r="AF111" s="1092">
        <f>IFERROR(O111*$G$1/(_xlfn.XLOOKUP($AA111,Métrés!$A:$A,Métrés!$C:$C,0)),0)</f>
        <v>3.224708546855402</v>
      </c>
      <c r="AG111" s="1092">
        <f>IFERROR(Q111*$G$1/(_xlfn.XLOOKUP($AA111,Métrés!$A:$A,Métrés!$C:$C,0)),0)</f>
        <v>1.2954432610643253E-2</v>
      </c>
      <c r="AH111" s="1092">
        <f>IFERROR(R111*$G$1/(_xlfn.XLOOKUP($AA111,Métrés!$A:$A,Métrés!$C:$C,0)),0)</f>
        <v>0</v>
      </c>
      <c r="AI111" s="1092">
        <f>IFERROR(S111*$G$1/(_xlfn.XLOOKUP($AA111,Métrés!$A:$A,Métrés!$C:$C,0)),0)</f>
        <v>0</v>
      </c>
      <c r="AJ111" s="1022"/>
      <c r="AK111" s="638">
        <f t="shared" si="231"/>
        <v>0</v>
      </c>
      <c r="AM111" s="638" t="str">
        <f>IF(L111=$L$2, "Structure", IF(L111&gt;0,"Revêtement",0))</f>
        <v>Revêtement</v>
      </c>
      <c r="AN111" s="1036">
        <f t="shared" si="234"/>
        <v>0</v>
      </c>
      <c r="AO111" s="1037">
        <f t="shared" si="235"/>
        <v>0</v>
      </c>
      <c r="AP111" s="1037">
        <f t="shared" si="236"/>
        <v>0</v>
      </c>
      <c r="AQ111" s="1038">
        <f t="shared" si="237"/>
        <v>0</v>
      </c>
      <c r="AR111" s="1038">
        <f t="shared" si="238"/>
        <v>0</v>
      </c>
      <c r="AS111" s="1036">
        <f t="shared" si="239"/>
        <v>0</v>
      </c>
      <c r="AT111" s="1037">
        <f t="shared" si="240"/>
        <v>0</v>
      </c>
      <c r="AU111" s="1037">
        <f t="shared" si="241"/>
        <v>0</v>
      </c>
      <c r="AV111" s="1038">
        <f t="shared" si="242"/>
        <v>0</v>
      </c>
      <c r="AW111" s="1038">
        <f t="shared" si="243"/>
        <v>0</v>
      </c>
      <c r="AX111" s="1036">
        <f t="shared" si="244"/>
        <v>2.5845236409776944</v>
      </c>
      <c r="AY111" s="1037">
        <f t="shared" si="245"/>
        <v>2.588547208962201</v>
      </c>
      <c r="AZ111" s="1037">
        <f t="shared" si="246"/>
        <v>4.0235679845064777E-3</v>
      </c>
      <c r="BA111" s="1037">
        <f t="shared" si="247"/>
        <v>0</v>
      </c>
      <c r="BB111" s="1038">
        <f t="shared" si="248"/>
        <v>0</v>
      </c>
      <c r="BC111" s="1036"/>
      <c r="BD111" s="1037"/>
      <c r="BE111" s="1037"/>
      <c r="BF111" s="1038"/>
      <c r="BG111" s="1036">
        <f t="shared" si="249"/>
        <v>0</v>
      </c>
      <c r="BH111" s="1037">
        <f t="shared" si="250"/>
        <v>0</v>
      </c>
      <c r="BI111" s="1038">
        <f t="shared" si="251"/>
        <v>517.15800000000002</v>
      </c>
      <c r="BJ111" s="1037">
        <f>_xlfn.XLOOKUP(H111, 'Baumaterialien Matériaux'!A:A, 'Baumaterialien Matériaux'!E:E, "-", 0, 1)</f>
        <v>7850</v>
      </c>
      <c r="BK111" s="1036">
        <f t="shared" si="176"/>
        <v>0</v>
      </c>
      <c r="BL111" s="1037">
        <f t="shared" si="177"/>
        <v>0</v>
      </c>
      <c r="BM111" s="1038">
        <f t="shared" si="178"/>
        <v>6.5880000000000008E-2</v>
      </c>
      <c r="BN111" s="1037">
        <f>IFERROR((J111*VLOOKUP(H111, 'Baumaterialien Matériaux'!$A$11:$AH$318, 33,FALSE)),0)/$G$1</f>
        <v>1.0015748630960331</v>
      </c>
      <c r="BO111" s="1037">
        <f t="shared" si="252"/>
        <v>1.0015748630960331</v>
      </c>
      <c r="BP111" s="1037">
        <f>IFERROR((J111*VLOOKUP(H111, 'Baumaterialien Matériaux'!$A$11:$AH$318, 34,FALSE)),0)/$G$1</f>
        <v>0</v>
      </c>
      <c r="BQ111" s="1037">
        <f t="shared" si="256"/>
        <v>0</v>
      </c>
      <c r="BR111" s="1037"/>
    </row>
    <row r="112" spans="2:70" ht="15.6" customHeight="1">
      <c r="B112" s="1102" t="s">
        <v>131</v>
      </c>
      <c r="C112" s="1097" t="s">
        <v>132</v>
      </c>
      <c r="D112" s="473" t="s">
        <v>133</v>
      </c>
      <c r="E112" s="473"/>
      <c r="F112" s="473"/>
      <c r="G112" s="473"/>
      <c r="H112" s="473"/>
      <c r="I112" s="463"/>
      <c r="J112" s="654"/>
      <c r="K112" s="652"/>
      <c r="L112" s="652"/>
      <c r="M112" s="653">
        <f>M113+M118+M121+M125+M130+M133+M136+M141+M144</f>
        <v>120.82001139158005</v>
      </c>
      <c r="N112" s="653">
        <f t="shared" ref="N112:S112" si="263">N113+N118+N121+N125+N130+N133+N136+N141+N144</f>
        <v>78.014506273763416</v>
      </c>
      <c r="O112" s="653">
        <f t="shared" ref="O112" si="264">O113+O118+O121+O125+O130+O133+O136+O141+O144</f>
        <v>21.313603287253457</v>
      </c>
      <c r="P112" s="653">
        <f t="shared" si="263"/>
        <v>14.568922235904012</v>
      </c>
      <c r="Q112" s="653">
        <f t="shared" si="263"/>
        <v>6.9229795946591866</v>
      </c>
      <c r="R112" s="653">
        <f t="shared" ref="R112" si="265">R113+R118+R121+R125+R130+R133+R136+R141+R144</f>
        <v>1.1386422752905037</v>
      </c>
      <c r="S112" s="653">
        <f t="shared" si="263"/>
        <v>2.0055702495436529</v>
      </c>
      <c r="T112" s="653">
        <f t="shared" ref="T112" si="266">T113+T118+T121+T125+T130+T133+T136+T141+T144</f>
        <v>2.005570249543653E-2</v>
      </c>
      <c r="V112" s="638">
        <f t="shared" si="138"/>
        <v>2.005570249543653E-2</v>
      </c>
      <c r="X112" s="638">
        <f t="shared" si="224"/>
        <v>0</v>
      </c>
      <c r="Z112" s="638">
        <f t="shared" si="142"/>
        <v>0</v>
      </c>
      <c r="AA112" s="648"/>
      <c r="AB112">
        <f>_xlfn.XLOOKUP($H112,'[1]Baumaterialien Matériaux'!$A:$A,'[1]Baumaterialien Matériaux'!AK:AK,0,0)</f>
        <v>0</v>
      </c>
      <c r="AC112" t="str" cm="1">
        <f t="array" ref="AC112">_xlfn.SWITCH(I112,"kg"," ",0," ",_xlfn.XLOOKUP(H112, '[1]Baumaterialien Matériaux'!$A:$A, '[1]Baumaterialien Matériaux'!$AL:$AL, "-", 0, 1))</f>
        <v xml:space="preserve"> </v>
      </c>
      <c r="AD112" s="622" cm="1">
        <f t="array" ref="AD112">IFERROR(_xlfn.SWITCH(I112,"kg",1,"m3",AC112,AC112)*J112/(_xlfn.XLOOKUP(AA112,Métrés!A:A,Métrés!C:C,0)),0)</f>
        <v>0</v>
      </c>
      <c r="AE112" s="1092">
        <f>IFERROR(N112*$G$1/(_xlfn.XLOOKUP($AA112,Métrés!$A:$A,Métrés!$C:$C,0)),0)</f>
        <v>0</v>
      </c>
      <c r="AF112" s="1092">
        <f>IFERROR(O112*$G$1/(_xlfn.XLOOKUP($AA112,Métrés!$A:$A,Métrés!$C:$C,0)),0)</f>
        <v>0</v>
      </c>
      <c r="AG112" s="1092">
        <f>IFERROR(Q112*$G$1/(_xlfn.XLOOKUP($AA112,Métrés!$A:$A,Métrés!$C:$C,0)),0)</f>
        <v>0</v>
      </c>
      <c r="AH112" s="1092">
        <f>IFERROR(R112*$G$1/(_xlfn.XLOOKUP($AA112,Métrés!$A:$A,Métrés!$C:$C,0)),0)</f>
        <v>0</v>
      </c>
      <c r="AI112" s="1092">
        <f>IFERROR(S112*$G$1/(_xlfn.XLOOKUP($AA112,Métrés!$A:$A,Métrés!$C:$C,0)),0)</f>
        <v>0</v>
      </c>
      <c r="AJ112" s="666"/>
      <c r="AK112" s="666"/>
      <c r="AL112" s="666"/>
      <c r="AM112" s="666"/>
      <c r="AN112" s="1051"/>
      <c r="AO112" s="666"/>
      <c r="AP112" s="666"/>
      <c r="AQ112" s="666"/>
      <c r="AR112" s="1052"/>
      <c r="AS112" s="1051"/>
      <c r="AT112" s="666"/>
      <c r="AU112" s="666"/>
      <c r="AV112" s="666"/>
      <c r="AW112" s="1052"/>
      <c r="AX112" s="1051"/>
      <c r="AY112" s="666"/>
      <c r="AZ112" s="666"/>
      <c r="BA112" s="666"/>
      <c r="BB112" s="1052"/>
      <c r="BC112" s="1051"/>
      <c r="BD112" s="666"/>
      <c r="BE112" s="666"/>
      <c r="BF112" s="1052"/>
      <c r="BG112" s="1051"/>
      <c r="BH112" s="666"/>
      <c r="BI112" s="1052"/>
      <c r="BJ112" s="666"/>
      <c r="BK112" s="1051"/>
      <c r="BL112" s="666"/>
      <c r="BM112" s="1052"/>
      <c r="BN112" s="1037">
        <f>IFERROR((J112*VLOOKUP(H112, 'Baumaterialien Matériaux'!$A$11:$AH$318, 33,FALSE)),0)/$G$1</f>
        <v>0</v>
      </c>
      <c r="BO112" s="1037"/>
      <c r="BP112" s="1037">
        <f>IFERROR((J112*VLOOKUP(H112, 'Baumaterialien Matériaux'!$A$11:$AH$318, 34,FALSE)),0)/$G$1</f>
        <v>0</v>
      </c>
      <c r="BQ112" s="1037">
        <f t="shared" si="256"/>
        <v>0</v>
      </c>
      <c r="BR112" s="1037"/>
    </row>
    <row r="113" spans="2:70">
      <c r="B113" s="1103"/>
      <c r="C113" s="1099"/>
      <c r="D113" s="478" t="s">
        <v>134</v>
      </c>
      <c r="E113" s="479" t="str">
        <f>BillQuantities!E24</f>
        <v>Porteuse (moyenne) (avec enduit intérieur)</v>
      </c>
      <c r="F113" s="479" t="s">
        <v>3043</v>
      </c>
      <c r="G113" s="479"/>
      <c r="H113" s="479"/>
      <c r="I113" s="460" t="s">
        <v>39</v>
      </c>
      <c r="J113" s="662">
        <v>281.72399999999999</v>
      </c>
      <c r="K113" s="663"/>
      <c r="L113" s="663"/>
      <c r="M113" s="664">
        <f>SUM(M114:M117)</f>
        <v>38.778472621877917</v>
      </c>
      <c r="N113" s="664">
        <f t="shared" ref="N113:S113" si="267">SUM(N114:N117)</f>
        <v>28.427959703486035</v>
      </c>
      <c r="O113" s="664">
        <f t="shared" ref="O113" si="268">SUM(O114:O117)</f>
        <v>6.6919013890743946</v>
      </c>
      <c r="P113" s="664">
        <f t="shared" si="267"/>
        <v>1.6093362775477491</v>
      </c>
      <c r="Q113" s="664">
        <f t="shared" si="267"/>
        <v>2.0492752517697341</v>
      </c>
      <c r="R113" s="664">
        <f t="shared" ref="R113" si="269">SUM(R114:R117)</f>
        <v>0.40410730880192336</v>
      </c>
      <c r="S113" s="664">
        <f t="shared" si="267"/>
        <v>0.35182575130225718</v>
      </c>
      <c r="T113" s="664">
        <f t="shared" ref="T113" si="270">SUM(T114:T117)</f>
        <v>3.5182575130225718E-3</v>
      </c>
      <c r="V113" s="638">
        <f t="shared" si="138"/>
        <v>3.5182575130225718E-3</v>
      </c>
      <c r="X113" s="638">
        <f t="shared" si="224"/>
        <v>0</v>
      </c>
      <c r="Z113" s="638">
        <f t="shared" si="142"/>
        <v>0</v>
      </c>
      <c r="AA113" s="648" t="s">
        <v>3456</v>
      </c>
      <c r="AB113">
        <f>_xlfn.XLOOKUP($H113,'[1]Baumaterialien Matériaux'!$A:$A,'[1]Baumaterialien Matériaux'!AK:AK,0,0)</f>
        <v>0</v>
      </c>
      <c r="AC113" cm="1">
        <f t="array" ref="AC113">_xlfn.SWITCH(I113,"kg"," ",0," ",_xlfn.XLOOKUP(H113, '[1]Baumaterialien Matériaux'!$A:$A, '[1]Baumaterialien Matériaux'!$AL:$AL, "-", 0, 1))</f>
        <v>0</v>
      </c>
      <c r="AD113" s="622" cm="1">
        <f t="array" ref="AD113">IFERROR(_xlfn.SWITCH(I113,"kg",1,"m3",AC113,AC113)*J113/(_xlfn.XLOOKUP(AA113,Métrés!A:A,Métrés!C:C,0)),0)</f>
        <v>0</v>
      </c>
      <c r="AE113" s="1092">
        <f>IFERROR(N113*$G$1/(_xlfn.XLOOKUP($AA113,Métrés!$A:$A,Métrés!$C:$C,0)),0)</f>
        <v>42.741557583790183</v>
      </c>
      <c r="AF113" s="1092">
        <f>IFERROR(O113*$G$1/(_xlfn.XLOOKUP($AA113,Métrés!$A:$A,Métrés!$C:$C,0)),0)</f>
        <v>10.06130202622648</v>
      </c>
      <c r="AG113" s="1092">
        <f>IFERROR(Q113*$G$1/(_xlfn.XLOOKUP($AA113,Métrés!$A:$A,Métrés!$C:$C,0)),0)</f>
        <v>3.0810940036548389</v>
      </c>
      <c r="AH113" s="1092">
        <f>IFERROR(R113*$G$1/(_xlfn.XLOOKUP($AA113,Métrés!$A:$A,Métrés!$C:$C,0)),0)</f>
        <v>0.60757704701086424</v>
      </c>
      <c r="AI113" s="1092">
        <f>IFERROR(S113*$G$1/(_xlfn.XLOOKUP($AA113,Métrés!$A:$A,Métrés!$C:$C,0)),0)</f>
        <v>0.5289715043074884</v>
      </c>
      <c r="AJ113" s="878"/>
      <c r="AK113" s="878"/>
      <c r="AL113" s="878"/>
      <c r="AM113" s="878"/>
      <c r="AN113" s="1053"/>
      <c r="AO113" s="878"/>
      <c r="AP113" s="878"/>
      <c r="AQ113" s="878"/>
      <c r="AR113" s="1054"/>
      <c r="AS113" s="1053"/>
      <c r="AT113" s="878"/>
      <c r="AU113" s="878"/>
      <c r="AV113" s="878"/>
      <c r="AW113" s="1054"/>
      <c r="AX113" s="1053"/>
      <c r="AY113" s="878"/>
      <c r="AZ113" s="878"/>
      <c r="BA113" s="878"/>
      <c r="BB113" s="1054"/>
      <c r="BC113" s="1053"/>
      <c r="BD113" s="878"/>
      <c r="BE113" s="878"/>
      <c r="BF113" s="1054"/>
      <c r="BG113" s="1053"/>
      <c r="BH113" s="878"/>
      <c r="BI113" s="1054"/>
      <c r="BJ113" s="878"/>
      <c r="BK113" s="1053"/>
      <c r="BL113" s="878"/>
      <c r="BM113" s="1054"/>
      <c r="BN113" s="1037">
        <f>IFERROR((J113*VLOOKUP(H113, 'Baumaterialien Matériaux'!$A$11:$AH$318, 33,FALSE)),0)/$G$1</f>
        <v>0</v>
      </c>
      <c r="BO113" s="1037"/>
      <c r="BP113" s="1037">
        <f>IFERROR((J113*VLOOKUP(H113, 'Baumaterialien Matériaux'!$A$11:$AH$318, 34,FALSE)),0)/$G$1</f>
        <v>0</v>
      </c>
      <c r="BQ113" s="1037">
        <f t="shared" si="256"/>
        <v>0</v>
      </c>
      <c r="BR113" s="1037"/>
    </row>
    <row r="114" spans="2:70">
      <c r="B114" s="1103"/>
      <c r="C114" s="1099"/>
      <c r="D114" s="478"/>
      <c r="E114" s="478"/>
      <c r="F114" s="478" t="s">
        <v>3009</v>
      </c>
      <c r="G114" s="478" t="str">
        <f>_xlfn.XLOOKUP(H114, 'Baumaterialien Matériaux'!A:A, 'Baumaterialien Matériaux'!AD:AD, "-", 0, 1)</f>
        <v>Plaque de plâtre cartonnée</v>
      </c>
      <c r="H114" s="895" t="s">
        <v>107</v>
      </c>
      <c r="I114" s="641" t="str">
        <f>_xlfn.XLOOKUP(H114, 'Baumaterialien Matériaux'!A:A, 'Baumaterialien Matériaux'!F:F, "-", 0, 1)</f>
        <v>kg</v>
      </c>
      <c r="J114" s="649">
        <f>$J$113*K114</f>
        <v>2394.654</v>
      </c>
      <c r="K114" s="894">
        <f>0.01*850</f>
        <v>8.5</v>
      </c>
      <c r="L114" s="643">
        <v>30</v>
      </c>
      <c r="M114" s="648">
        <f t="shared" ref="M114:M119" si="271">SUM(N114:Q114)</f>
        <v>2.0864333190864159</v>
      </c>
      <c r="N114" s="720">
        <f>IFERROR(($J114*VLOOKUP($H114, 'Baumaterialien Matériaux'!$A$11:$AD$318, 26,FALSE)),0)/$G$1</f>
        <v>0.75429308801923323</v>
      </c>
      <c r="O114" s="720">
        <f>IFERROR(($J114*VLOOKUP($H114, 'Baumaterialien Matériaux'!$A$11:$AH$318, 33,FALSE)),0)/$G$1</f>
        <v>0.47709704153866694</v>
      </c>
      <c r="P114" s="720">
        <f>IFERROR((N114+Q114)*($L$2/L114-1),0)</f>
        <v>0.80466813877387455</v>
      </c>
      <c r="Q114" s="720">
        <f>IFERROR(($J114*VLOOKUP($H114, 'Baumaterialien Matériaux'!$A$11:$AD$318, 27,FALSE)),0)/$G$1</f>
        <v>5.0375050754641375E-2</v>
      </c>
      <c r="R114" s="720">
        <f>IFERROR(($J114*VLOOKUP($H114, 'Baumaterialien Matériaux'!$A$11:$AH$318, 34,FALSE)),0)/$G$1</f>
        <v>8.7689903165486839E-3</v>
      </c>
      <c r="S114" s="720">
        <f>IFERROR((J114*VLOOKUP(H114, 'Baumaterialien Matériaux'!$A$11:$AD$318, 29,FALSE)),0)/$G$1</f>
        <v>0.17591287565112859</v>
      </c>
      <c r="T114" s="720">
        <f>S114*AJ114</f>
        <v>1.7591287565112859E-3</v>
      </c>
      <c r="U114" s="638">
        <v>0.01</v>
      </c>
      <c r="V114" s="638">
        <f t="shared" si="138"/>
        <v>1.7591287565112859E-3</v>
      </c>
      <c r="W114" s="638">
        <f t="shared" ref="W114:W123" si="272">IF(L114=60, 0, S114)</f>
        <v>0.17591287565112859</v>
      </c>
      <c r="X114" s="638" t="str">
        <f t="shared" si="224"/>
        <v>Revêtement</v>
      </c>
      <c r="Z114" s="638">
        <f t="shared" si="142"/>
        <v>30</v>
      </c>
      <c r="AA114" s="648" t="s">
        <v>3456</v>
      </c>
      <c r="AB114" t="str">
        <f>_xlfn.XLOOKUP($H114,'[1]Baumaterialien Matériaux'!$A:$A,'[1]Baumaterialien Matériaux'!AK:AK,0,0)</f>
        <v>gypsum</v>
      </c>
      <c r="AC114" t="str" cm="1">
        <f t="array" ref="AC114">_xlfn.SWITCH(I114,"kg"," ",0," ",_xlfn.XLOOKUP(H114, '[1]Baumaterialien Matériaux'!$A:$A, '[1]Baumaterialien Matériaux'!$AL:$AL, "-", 0, 1))</f>
        <v xml:space="preserve"> </v>
      </c>
      <c r="AD114" s="622" cm="1">
        <f t="array" ref="AD114">IFERROR(_xlfn.SWITCH(I114,"kg",1,"m3",AC114,AC114)*J114/(_xlfn.XLOOKUP(AA114,Métrés!A:A,Métrés!C:C,0)),0)</f>
        <v>4.0073598811173365</v>
      </c>
      <c r="AE114" s="1092">
        <f>IFERROR(N114*$G$1/(_xlfn.XLOOKUP($AA114,Métrés!$A:$A,Métrés!$C:$C,0)),0)</f>
        <v>1.134082846356206</v>
      </c>
      <c r="AF114" s="1092">
        <f>IFERROR(O114*$G$1/(_xlfn.XLOOKUP($AA114,Métrés!$A:$A,Métrés!$C:$C,0)),0)</f>
        <v>0.71731741872000321</v>
      </c>
      <c r="AG114" s="1092">
        <f>IFERROR(Q114*$G$1/(_xlfn.XLOOKUP($AA114,Métrés!$A:$A,Métrés!$C:$C,0)),0)</f>
        <v>7.5739101753117669E-2</v>
      </c>
      <c r="AH114" s="1092">
        <f>IFERROR(R114*$G$1/(_xlfn.XLOOKUP($AA114,Métrés!$A:$A,Métrés!$C:$C,0)),0)</f>
        <v>1.3184214008876038E-2</v>
      </c>
      <c r="AI114" s="1092">
        <f>IFERROR(S114*$G$1/(_xlfn.XLOOKUP($AA114,Métrés!$A:$A,Métrés!$C:$C,0)),0)</f>
        <v>0.2644857521537442</v>
      </c>
      <c r="AJ114" s="1022">
        <v>0.01</v>
      </c>
      <c r="AK114" s="638">
        <f>IF(L114=60, 0, T114)</f>
        <v>1.7591287565112859E-3</v>
      </c>
      <c r="AL114" s="638">
        <f>IF(L114=60, 0, S114)</f>
        <v>0.17591287565112859</v>
      </c>
      <c r="AM114" s="638" t="str">
        <f>IF(L114=$L$2, "Structure", IF(L114&gt;0,"Revêtement",0))</f>
        <v>Revêtement</v>
      </c>
      <c r="AN114" s="1036">
        <f>IF(AM114="Structure",N114,0)</f>
        <v>0</v>
      </c>
      <c r="AO114" s="1037">
        <f>IF(AM114="Structure",P114,0)</f>
        <v>0</v>
      </c>
      <c r="AP114" s="1037">
        <f>IF(AM114="Structure",Q114,0)</f>
        <v>0</v>
      </c>
      <c r="AQ114" s="1038">
        <f>IF(AM114="Structure",S114,0)</f>
        <v>0</v>
      </c>
      <c r="AR114" s="1038">
        <f>IF(AM114="Structure",T114,0)</f>
        <v>0</v>
      </c>
      <c r="AS114" s="1036">
        <f>IF(AM114="Insulation",N114,0)</f>
        <v>0</v>
      </c>
      <c r="AT114" s="1037">
        <f>IF(AM114="Insulation",P114,0)</f>
        <v>0</v>
      </c>
      <c r="AU114" s="1037">
        <f>IF(AM114="Insulation",Q114,0)</f>
        <v>0</v>
      </c>
      <c r="AV114" s="1038">
        <f>IF(AM114="Insulation",S114,0)</f>
        <v>0</v>
      </c>
      <c r="AW114" s="1038">
        <f>IF(AM114="Insulation",T114,0)</f>
        <v>0</v>
      </c>
      <c r="AX114" s="1036">
        <f>IF(AM114="Revêtement",N114,0)</f>
        <v>0.75429308801923323</v>
      </c>
      <c r="AY114" s="1037">
        <f>IF(AM114="Revêtement",P114,0)</f>
        <v>0.80466813877387455</v>
      </c>
      <c r="AZ114" s="1037">
        <f>IF(AM114="Revêtement",Q114,0)</f>
        <v>5.0375050754641375E-2</v>
      </c>
      <c r="BA114" s="1037">
        <f>IF(AM114="Revêtement",S114,0)</f>
        <v>0.17591287565112859</v>
      </c>
      <c r="BB114" s="1038">
        <f>IF(AM114="Revêtement",T114,0)</f>
        <v>1.7591287565112859E-3</v>
      </c>
      <c r="BC114" s="1036"/>
      <c r="BD114" s="1037"/>
      <c r="BE114" s="1037"/>
      <c r="BF114" s="1038"/>
      <c r="BG114" s="1036">
        <f>IF($AM114="Structure", IF($I114="kg",$J114,0), 0)</f>
        <v>0</v>
      </c>
      <c r="BH114" s="1037">
        <f>IF($AM114="Insulation", IF($I114="kg",$J114,0), 0)</f>
        <v>0</v>
      </c>
      <c r="BI114" s="1038">
        <f>IF($AM114="Revêtement", IF($I114="kg",$J114,0), 0)</f>
        <v>2394.654</v>
      </c>
      <c r="BJ114" s="1037">
        <f>_xlfn.XLOOKUP(H114, 'Baumaterialien Matériaux'!A:A, 'Baumaterialien Matériaux'!E:E, "-", 0, 1)</f>
        <v>850</v>
      </c>
      <c r="BK114" s="1036">
        <f t="shared" si="176"/>
        <v>0</v>
      </c>
      <c r="BL114" s="1037">
        <f t="shared" si="177"/>
        <v>0</v>
      </c>
      <c r="BM114" s="1038">
        <f t="shared" si="178"/>
        <v>2.81724</v>
      </c>
      <c r="BN114" s="1037">
        <f>IFERROR((J114*VLOOKUP(H114, 'Baumaterialien Matériaux'!$A$11:$AH$318, 33,FALSE)),0)/$G$1</f>
        <v>0.47709704153866694</v>
      </c>
      <c r="BO114" s="1037">
        <f>(BN114+BP114)*($L$2/L114-1)</f>
        <v>0.48586603185521565</v>
      </c>
      <c r="BP114" s="1037">
        <f>IFERROR((J114*VLOOKUP(H114, 'Baumaterialien Matériaux'!$A$11:$AH$318, 34,FALSE)),0)/$G$1</f>
        <v>8.7689903165486839E-3</v>
      </c>
      <c r="BQ114" s="1037">
        <f t="shared" si="256"/>
        <v>0.17407407407407408</v>
      </c>
      <c r="BR114" s="1037">
        <f t="shared" ref="BR114:BR119" si="273">IFERROR((N114+Q114)*($L$2/L114-1),0)</f>
        <v>0.80466813877387455</v>
      </c>
    </row>
    <row r="115" spans="2:70">
      <c r="B115" s="1103"/>
      <c r="C115" s="1099"/>
      <c r="D115" s="478"/>
      <c r="E115" s="478"/>
      <c r="F115" s="638" t="s">
        <v>2981</v>
      </c>
      <c r="G115" s="478" t="str">
        <f>_xlfn.XLOOKUP(H115, 'Baumaterialien Matériaux'!A:A, 'Baumaterialien Matériaux'!AD:AD, "-", 0, 1)</f>
        <v>Béton pour bâtiment (sans armature)</v>
      </c>
      <c r="H115" s="891">
        <v>1.0019999999999998</v>
      </c>
      <c r="I115" s="641" t="str">
        <f>_xlfn.XLOOKUP(H115, 'Baumaterialien Matériaux'!A:A, 'Baumaterialien Matériaux'!F:F, "-", 0, 1)</f>
        <v>kg</v>
      </c>
      <c r="J115" s="649">
        <f t="shared" ref="J115:J117" si="274">$J$113*K115</f>
        <v>129593.04</v>
      </c>
      <c r="K115" s="893">
        <f>0.2*2300</f>
        <v>460</v>
      </c>
      <c r="L115" s="643">
        <f>'Eléments de constr. inté. et ex'!N5</f>
        <v>60</v>
      </c>
      <c r="M115" s="648">
        <f t="shared" si="271"/>
        <v>17.640831654868435</v>
      </c>
      <c r="N115" s="720">
        <f>IFERROR(($J115*VLOOKUP($H115, 'Baumaterialien Matériaux'!$A$11:$AD$318, 26,FALSE)),0)/$G$1</f>
        <v>12.808715052758112</v>
      </c>
      <c r="O115" s="720">
        <f>IFERROR(($J115*VLOOKUP($H115, 'Baumaterialien Matériaux'!$A$11:$AH$318, 33,FALSE)),0)/$G$1</f>
        <v>3.0002395619073057</v>
      </c>
      <c r="P115" s="720">
        <f t="shared" ref="P115:P119" si="275">IFERROR((N115+Q115)*($L$2/L115-1),0)</f>
        <v>0</v>
      </c>
      <c r="Q115" s="720">
        <f>IFERROR(($J115*VLOOKUP($H115, 'Baumaterialien Matériaux'!$A$11:$AD$318, 27,FALSE)),0)/$G$1</f>
        <v>1.8318770402030184</v>
      </c>
      <c r="R115" s="720">
        <f>IFERROR(($J115*VLOOKUP($H115, 'Baumaterialien Matériaux'!$A$11:$AH$318, 34,FALSE)),0)/$G$1</f>
        <v>0.38656932816882594</v>
      </c>
      <c r="S115" s="720">
        <f>IFERROR((J115*VLOOKUP(H115, 'Baumaterialien Matériaux'!$A$11:$AD$318, 29,FALSE)),0)/$G$1</f>
        <v>0</v>
      </c>
      <c r="T115" s="720"/>
      <c r="V115" s="638">
        <f t="shared" si="138"/>
        <v>0</v>
      </c>
      <c r="W115" s="638">
        <f t="shared" si="272"/>
        <v>0</v>
      </c>
      <c r="X115" s="638" t="str">
        <f t="shared" si="224"/>
        <v>Structure</v>
      </c>
      <c r="Z115" s="638">
        <f t="shared" si="142"/>
        <v>60</v>
      </c>
      <c r="AA115" s="648" t="s">
        <v>3456</v>
      </c>
      <c r="AB115" t="str">
        <f>_xlfn.XLOOKUP($H115,'[1]Baumaterialien Matériaux'!$A:$A,'[1]Baumaterialien Matériaux'!AK:AK,0,0)</f>
        <v>concrete</v>
      </c>
      <c r="AC115" t="str" cm="1">
        <f t="array" ref="AC115">_xlfn.SWITCH(I115,"kg"," ",0," ",_xlfn.XLOOKUP(H115, '[1]Baumaterialien Matériaux'!$A:$A, '[1]Baumaterialien Matériaux'!$AL:$AL, "-", 0, 1))</f>
        <v xml:space="preserve"> </v>
      </c>
      <c r="AD115" s="622" cm="1">
        <f t="array" ref="AD115">IFERROR(_xlfn.SWITCH(I115,"kg",1,"m3",AC115,AC115)*J115/(_xlfn.XLOOKUP(AA115,Métrés!A:A,Métrés!C:C,0)),0)</f>
        <v>216.86888768399703</v>
      </c>
      <c r="AE115" s="1092">
        <f>IFERROR(N115*$G$1/(_xlfn.XLOOKUP($AA115,Métrés!$A:$A,Métrés!$C:$C,0)),0)</f>
        <v>19.257957226338934</v>
      </c>
      <c r="AF115" s="1092">
        <f>IFERROR(O115*$G$1/(_xlfn.XLOOKUP($AA115,Métrés!$A:$A,Métrés!$C:$C,0)),0)</f>
        <v>4.5108728638271378</v>
      </c>
      <c r="AG115" s="1092">
        <f>IFERROR(Q115*$G$1/(_xlfn.XLOOKUP($AA115,Métrés!$A:$A,Métrés!$C:$C,0)),0)</f>
        <v>2.7542348735867623</v>
      </c>
      <c r="AH115" s="1092">
        <f>IFERROR(R115*$G$1/(_xlfn.XLOOKUP($AA115,Métrés!$A:$A,Métrés!$C:$C,0)),0)</f>
        <v>0.58120861899311205</v>
      </c>
      <c r="AI115" s="1092">
        <f>IFERROR(S115*$G$1/(_xlfn.XLOOKUP($AA115,Métrés!$A:$A,Métrés!$C:$C,0)),0)</f>
        <v>0</v>
      </c>
      <c r="AJ115" s="1022"/>
      <c r="AK115" s="638">
        <f>IF(L115=60, 0, T115)</f>
        <v>0</v>
      </c>
      <c r="AL115" s="638">
        <f>IF(L115=60, 0, S115)</f>
        <v>0</v>
      </c>
      <c r="AM115" s="638" t="str">
        <f>IF(L115=$L$2, "Structure", IF(L115&gt;0,"Revêtement",0))</f>
        <v>Structure</v>
      </c>
      <c r="AN115" s="1036">
        <f>IF(AM115="Structure",N115,0)</f>
        <v>12.808715052758112</v>
      </c>
      <c r="AO115" s="1037">
        <f>IF(AM115="Structure",P115,0)</f>
        <v>0</v>
      </c>
      <c r="AP115" s="1037">
        <f>IF(AM115="Structure",Q115,0)</f>
        <v>1.8318770402030184</v>
      </c>
      <c r="AQ115" s="1038">
        <f>IF(AM115="Structure",S115,0)</f>
        <v>0</v>
      </c>
      <c r="AR115" s="1038">
        <f>IF(AM115="Structure",T115,0)</f>
        <v>0</v>
      </c>
      <c r="AS115" s="1036">
        <f>IF(AM115="Insulation",N115,0)</f>
        <v>0</v>
      </c>
      <c r="AT115" s="1037">
        <f>IF(AM115="Insulation",P115,0)</f>
        <v>0</v>
      </c>
      <c r="AU115" s="1037">
        <f>IF(AM115="Insulation",Q115,0)</f>
        <v>0</v>
      </c>
      <c r="AV115" s="1038">
        <f>IF(AM115="Insulation",S115,0)</f>
        <v>0</v>
      </c>
      <c r="AW115" s="1038">
        <f>IF(AM115="Insulation",T115,0)</f>
        <v>0</v>
      </c>
      <c r="AX115" s="1036">
        <f>IF(AM115="Revêtement",N115,0)</f>
        <v>0</v>
      </c>
      <c r="AY115" s="1037">
        <f>IF(AM115="Revêtement",P115,0)</f>
        <v>0</v>
      </c>
      <c r="AZ115" s="1037">
        <f>IF(AM115="Revêtement",Q115,0)</f>
        <v>0</v>
      </c>
      <c r="BA115" s="1037">
        <f>IF(AM115="Revêtement",S115,0)</f>
        <v>0</v>
      </c>
      <c r="BB115" s="1038">
        <f>IF(AM115="Revêtement",T115,0)</f>
        <v>0</v>
      </c>
      <c r="BC115" s="1036"/>
      <c r="BD115" s="1037"/>
      <c r="BE115" s="1037"/>
      <c r="BF115" s="1038"/>
      <c r="BG115" s="1036">
        <f>IF($AM115="Structure", IF($I115="kg",$J115,0), 0)</f>
        <v>129593.04</v>
      </c>
      <c r="BH115" s="1037">
        <f>IF($AM115="Insulation", IF($I115="kg",$J115,0), 0)</f>
        <v>0</v>
      </c>
      <c r="BI115" s="1038">
        <f>IF($AM115="Revêtement", IF($I115="kg",$J115,0), 0)</f>
        <v>0</v>
      </c>
      <c r="BJ115" s="1037">
        <f>_xlfn.XLOOKUP(H115, 'Baumaterialien Matériaux'!A:A, 'Baumaterialien Matériaux'!E:E, "-", 0, 1)</f>
        <v>2300</v>
      </c>
      <c r="BK115" s="1036">
        <f t="shared" si="176"/>
        <v>56.344799999999999</v>
      </c>
      <c r="BL115" s="1037">
        <f t="shared" si="177"/>
        <v>0</v>
      </c>
      <c r="BM115" s="1038">
        <f t="shared" si="178"/>
        <v>0</v>
      </c>
      <c r="BN115" s="1037">
        <f>IFERROR((J115*VLOOKUP(H115, 'Baumaterialien Matériaux'!$A$11:$AH$318, 33,FALSE)),0)/$G$1</f>
        <v>3.0002395619073057</v>
      </c>
      <c r="BO115" s="1037">
        <f>(BN115+BP115)*($L$2/L115-1)</f>
        <v>0</v>
      </c>
      <c r="BP115" s="1037">
        <f>IFERROR((J115*VLOOKUP(H115, 'Baumaterialien Matériaux'!$A$11:$AH$318, 34,FALSE)),0)/$G$1</f>
        <v>0.38656932816882594</v>
      </c>
      <c r="BQ115" s="1037">
        <f t="shared" si="256"/>
        <v>0.21102362204724409</v>
      </c>
      <c r="BR115" s="1037">
        <f t="shared" si="273"/>
        <v>0</v>
      </c>
    </row>
    <row r="116" spans="2:70">
      <c r="B116" s="1103"/>
      <c r="C116" s="1099"/>
      <c r="D116" s="478"/>
      <c r="E116" s="478"/>
      <c r="F116" s="478" t="s">
        <v>3004</v>
      </c>
      <c r="G116" s="478" t="str">
        <f>_xlfn.XLOOKUP(H116, 'Baumaterialien Matériaux'!A:A, 'Baumaterialien Matériaux'!AD:AD, "-", 0, 1)</f>
        <v>Acier d'armature</v>
      </c>
      <c r="H116" s="892" t="s">
        <v>497</v>
      </c>
      <c r="I116" s="641" t="str">
        <f>_xlfn.XLOOKUP(H116, 'Baumaterialien Matériaux'!A:A, 'Baumaterialien Matériaux'!F:F, "-", 0, 1)</f>
        <v>kg</v>
      </c>
      <c r="J116" s="649">
        <f t="shared" si="274"/>
        <v>8451.7199999999993</v>
      </c>
      <c r="K116" s="894">
        <f>0.2*150</f>
        <v>30</v>
      </c>
      <c r="L116" s="643">
        <f>'Eléments de constr. inté. et ex'!N6</f>
        <v>60</v>
      </c>
      <c r="M116" s="648">
        <f t="shared" si="271"/>
        <v>16.964774328836647</v>
      </c>
      <c r="N116" s="720">
        <f>IFERROR(($J116*VLOOKUP($H116, 'Baumaterialien Matériaux'!$A$11:$AD$318, 26,FALSE)),0)/$G$1</f>
        <v>14.110658474689458</v>
      </c>
      <c r="O116" s="720">
        <f>IFERROR(($J116*VLOOKUP($H116, 'Baumaterialien Matériaux'!$A$11:$AH$318, 33,FALSE)),0)/$G$1</f>
        <v>2.7374677440897552</v>
      </c>
      <c r="P116" s="720">
        <f t="shared" si="275"/>
        <v>0</v>
      </c>
      <c r="Q116" s="720">
        <f>IFERROR(($J116*VLOOKUP($H116, 'Baumaterialien Matériaux'!$A$11:$AD$318, 27,FALSE)),0)/$G$1</f>
        <v>0.11664811005743286</v>
      </c>
      <c r="R116" s="720">
        <f>IFERROR(($J116*VLOOKUP($H116, 'Baumaterialien Matériaux'!$A$11:$AH$318, 34,FALSE)),0)/$G$1</f>
        <v>0</v>
      </c>
      <c r="S116" s="720">
        <f>IFERROR((J116*VLOOKUP(H116, 'Baumaterialien Matériaux'!$A$11:$AD$318, 29,FALSE)),0)/$G$1</f>
        <v>0</v>
      </c>
      <c r="T116" s="720"/>
      <c r="V116" s="638">
        <f t="shared" si="138"/>
        <v>0</v>
      </c>
      <c r="W116" s="638">
        <f t="shared" si="272"/>
        <v>0</v>
      </c>
      <c r="X116" s="638" t="str">
        <f t="shared" si="224"/>
        <v>Structure</v>
      </c>
      <c r="Z116" s="638">
        <f t="shared" si="142"/>
        <v>60</v>
      </c>
      <c r="AA116" s="648" t="s">
        <v>3456</v>
      </c>
      <c r="AB116" t="str">
        <f>_xlfn.XLOOKUP($H116,'[1]Baumaterialien Matériaux'!$A:$A,'[1]Baumaterialien Matériaux'!AK:AK,0,0)</f>
        <v>metal</v>
      </c>
      <c r="AC116" t="str" cm="1">
        <f t="array" ref="AC116">_xlfn.SWITCH(I116,"kg"," ",0," ",_xlfn.XLOOKUP(H116, '[1]Baumaterialien Matériaux'!$A:$A, '[1]Baumaterialien Matériaux'!$AL:$AL, "-", 0, 1))</f>
        <v xml:space="preserve"> </v>
      </c>
      <c r="AD116" s="622" cm="1">
        <f t="array" ref="AD116">IFERROR(_xlfn.SWITCH(I116,"kg",1,"m3",AC116,AC116)*J116/(_xlfn.XLOOKUP(AA116,Métrés!A:A,Métrés!C:C,0)),0)</f>
        <v>14.143623109825892</v>
      </c>
      <c r="AE116" s="1092">
        <f>IFERROR(N116*$G$1/(_xlfn.XLOOKUP($AA116,Métrés!$A:$A,Métrés!$C:$C,0)),0)</f>
        <v>21.215434664738837</v>
      </c>
      <c r="AF116" s="1092">
        <f>IFERROR(O116*$G$1/(_xlfn.XLOOKUP($AA116,Métrés!$A:$A,Métrés!$C:$C,0)),0)</f>
        <v>4.1157943249593352</v>
      </c>
      <c r="AG116" s="1092">
        <f>IFERROR(Q116*$G$1/(_xlfn.XLOOKUP($AA116,Métrés!$A:$A,Métrés!$C:$C,0)),0)</f>
        <v>0.17538092656184107</v>
      </c>
      <c r="AH116" s="1092">
        <f>IFERROR(R116*$G$1/(_xlfn.XLOOKUP($AA116,Métrés!$A:$A,Métrés!$C:$C,0)),0)</f>
        <v>0</v>
      </c>
      <c r="AI116" s="1092">
        <f>IFERROR(S116*$G$1/(_xlfn.XLOOKUP($AA116,Métrés!$A:$A,Métrés!$C:$C,0)),0)</f>
        <v>0</v>
      </c>
      <c r="AJ116" s="1022"/>
      <c r="AK116" s="638">
        <f>IF(L116=60, 0, T116)</f>
        <v>0</v>
      </c>
      <c r="AL116" s="638">
        <f>IF(L116=60, 0, S116)</f>
        <v>0</v>
      </c>
      <c r="AM116" s="638" t="str">
        <f>IF(L116=$L$2, "Structure", IF(L116&gt;0,"Revêtement",0))</f>
        <v>Structure</v>
      </c>
      <c r="AN116" s="1036">
        <f>IF(AM116="Structure",N116,0)</f>
        <v>14.110658474689458</v>
      </c>
      <c r="AO116" s="1037">
        <f>IF(AM116="Structure",P116,0)</f>
        <v>0</v>
      </c>
      <c r="AP116" s="1037">
        <f>IF(AM116="Structure",Q116,0)</f>
        <v>0.11664811005743286</v>
      </c>
      <c r="AQ116" s="1038">
        <f>IF(AM116="Structure",S116,0)</f>
        <v>0</v>
      </c>
      <c r="AR116" s="1038">
        <f>IF(AM116="Structure",T116,0)</f>
        <v>0</v>
      </c>
      <c r="AS116" s="1036">
        <f>IF(AM116="Insulation",N116,0)</f>
        <v>0</v>
      </c>
      <c r="AT116" s="1037">
        <f>IF(AM116="Insulation",P116,0)</f>
        <v>0</v>
      </c>
      <c r="AU116" s="1037">
        <f>IF(AM116="Insulation",Q116,0)</f>
        <v>0</v>
      </c>
      <c r="AV116" s="1038">
        <f>IF(AM116="Insulation",S116,0)</f>
        <v>0</v>
      </c>
      <c r="AW116" s="1038">
        <f>IF(AM116="Insulation",T116,0)</f>
        <v>0</v>
      </c>
      <c r="AX116" s="1036">
        <f>IF(AM116="Revêtement",N116,0)</f>
        <v>0</v>
      </c>
      <c r="AY116" s="1037">
        <f>IF(AM116="Revêtement",P116,0)</f>
        <v>0</v>
      </c>
      <c r="AZ116" s="1037">
        <f>IF(AM116="Revêtement",Q116,0)</f>
        <v>0</v>
      </c>
      <c r="BA116" s="1037">
        <f>IF(AM116="Revêtement",S116,0)</f>
        <v>0</v>
      </c>
      <c r="BB116" s="1038">
        <f>IF(AM116="Revêtement",T116,0)</f>
        <v>0</v>
      </c>
      <c r="BC116" s="1036"/>
      <c r="BD116" s="1037"/>
      <c r="BE116" s="1037"/>
      <c r="BF116" s="1038"/>
      <c r="BG116" s="1036">
        <f>IF($AM116="Structure", IF($I116="kg",$J116,0), 0)</f>
        <v>8451.7199999999993</v>
      </c>
      <c r="BH116" s="1037">
        <f>IF($AM116="Insulation", IF($I116="kg",$J116,0), 0)</f>
        <v>0</v>
      </c>
      <c r="BI116" s="1038">
        <f>IF($AM116="Revêtement", IF($I116="kg",$J116,0), 0)</f>
        <v>0</v>
      </c>
      <c r="BJ116" s="1037">
        <f>_xlfn.XLOOKUP(H116, 'Baumaterialien Matériaux'!A:A, 'Baumaterialien Matériaux'!E:E, "-", 0, 1)</f>
        <v>7850</v>
      </c>
      <c r="BK116" s="1036">
        <f t="shared" si="176"/>
        <v>1.076652229299363</v>
      </c>
      <c r="BL116" s="1037">
        <f t="shared" si="177"/>
        <v>0</v>
      </c>
      <c r="BM116" s="1038">
        <f t="shared" si="178"/>
        <v>0</v>
      </c>
      <c r="BN116" s="1037">
        <f>IFERROR((J116*VLOOKUP(H116, 'Baumaterialien Matériaux'!$A$11:$AH$318, 33,FALSE)),0)/$G$1</f>
        <v>2.7374677440897552</v>
      </c>
      <c r="BO116" s="1037">
        <f>(BN116+BP116)*($L$2/L116-1)</f>
        <v>0</v>
      </c>
      <c r="BP116" s="1037">
        <f>IFERROR((J116*VLOOKUP(H116, 'Baumaterialien Matériaux'!$A$11:$AH$318, 34,FALSE)),0)/$G$1</f>
        <v>0</v>
      </c>
      <c r="BQ116" s="1037">
        <f t="shared" si="256"/>
        <v>0</v>
      </c>
      <c r="BR116" s="1037">
        <f t="shared" si="273"/>
        <v>0</v>
      </c>
    </row>
    <row r="117" spans="2:70">
      <c r="B117" s="1103"/>
      <c r="C117" s="1099"/>
      <c r="D117" s="478"/>
      <c r="E117" s="478"/>
      <c r="F117" s="478" t="s">
        <v>3009</v>
      </c>
      <c r="G117" s="478" t="str">
        <f>_xlfn.XLOOKUP(H117, 'Baumaterialien Matériaux'!A:A, 'Baumaterialien Matériaux'!AD:AD, "-", 0, 1)</f>
        <v>Plaque de plâtre cartonnée</v>
      </c>
      <c r="H117" s="895" t="s">
        <v>107</v>
      </c>
      <c r="I117" s="641" t="str">
        <f>_xlfn.XLOOKUP(H117, 'Baumaterialien Matériaux'!A:A, 'Baumaterialien Matériaux'!F:F, "-", 0, 1)</f>
        <v>kg</v>
      </c>
      <c r="J117" s="649">
        <f t="shared" si="274"/>
        <v>2394.654</v>
      </c>
      <c r="K117" s="894">
        <f>0.01*850</f>
        <v>8.5</v>
      </c>
      <c r="L117" s="643">
        <f>'Eléments de constr. inté. et ex'!N7</f>
        <v>30</v>
      </c>
      <c r="M117" s="648">
        <f t="shared" si="271"/>
        <v>2.0864333190864159</v>
      </c>
      <c r="N117" s="720">
        <f>IFERROR(($J117*VLOOKUP($H117, 'Baumaterialien Matériaux'!$A$11:$AD$318, 26,FALSE)),0)/$G$1</f>
        <v>0.75429308801923323</v>
      </c>
      <c r="O117" s="720">
        <f>IFERROR(($J117*VLOOKUP($H117, 'Baumaterialien Matériaux'!$A$11:$AH$318, 33,FALSE)),0)/$G$1</f>
        <v>0.47709704153866694</v>
      </c>
      <c r="P117" s="720">
        <f t="shared" si="275"/>
        <v>0.80466813877387455</v>
      </c>
      <c r="Q117" s="720">
        <f>IFERROR(($J117*VLOOKUP($H117, 'Baumaterialien Matériaux'!$A$11:$AD$318, 27,FALSE)),0)/$G$1</f>
        <v>5.0375050754641375E-2</v>
      </c>
      <c r="R117" s="720">
        <f>IFERROR(($J117*VLOOKUP($H117, 'Baumaterialien Matériaux'!$A$11:$AH$318, 34,FALSE)),0)/$G$1</f>
        <v>8.7689903165486839E-3</v>
      </c>
      <c r="S117" s="720">
        <f>IFERROR((J117*VLOOKUP(H117, 'Baumaterialien Matériaux'!$A$11:$AD$318, 29,FALSE)),0)/$G$1</f>
        <v>0.17591287565112859</v>
      </c>
      <c r="T117" s="720">
        <f>S117*AJ117</f>
        <v>1.7591287565112859E-3</v>
      </c>
      <c r="U117" s="638">
        <v>0.01</v>
      </c>
      <c r="V117" s="638">
        <f t="shared" si="138"/>
        <v>1.7591287565112859E-3</v>
      </c>
      <c r="W117" s="638">
        <f t="shared" si="272"/>
        <v>0.17591287565112859</v>
      </c>
      <c r="X117" s="638" t="str">
        <f t="shared" si="224"/>
        <v>Revêtement</v>
      </c>
      <c r="Z117" s="638">
        <f t="shared" si="142"/>
        <v>30</v>
      </c>
      <c r="AA117" s="648" t="s">
        <v>3456</v>
      </c>
      <c r="AB117" t="str">
        <f>_xlfn.XLOOKUP($H117,'[1]Baumaterialien Matériaux'!$A:$A,'[1]Baumaterialien Matériaux'!AK:AK,0,0)</f>
        <v>gypsum</v>
      </c>
      <c r="AC117" t="str" cm="1">
        <f t="array" ref="AC117">_xlfn.SWITCH(I117,"kg"," ",0," ",_xlfn.XLOOKUP(H117, '[1]Baumaterialien Matériaux'!$A:$A, '[1]Baumaterialien Matériaux'!$AL:$AL, "-", 0, 1))</f>
        <v xml:space="preserve"> </v>
      </c>
      <c r="AD117" s="622" cm="1">
        <f t="array" ref="AD117">IFERROR(_xlfn.SWITCH(I117,"kg",1,"m3",AC117,AC117)*J117/(_xlfn.XLOOKUP(AA117,Métrés!A:A,Métrés!C:C,0)),0)</f>
        <v>4.0073598811173365</v>
      </c>
      <c r="AE117" s="1092">
        <f>IFERROR(N117*$G$1/(_xlfn.XLOOKUP($AA117,Métrés!$A:$A,Métrés!$C:$C,0)),0)</f>
        <v>1.134082846356206</v>
      </c>
      <c r="AF117" s="1092">
        <f>IFERROR(O117*$G$1/(_xlfn.XLOOKUP($AA117,Métrés!$A:$A,Métrés!$C:$C,0)),0)</f>
        <v>0.71731741872000321</v>
      </c>
      <c r="AG117" s="1092">
        <f>IFERROR(Q117*$G$1/(_xlfn.XLOOKUP($AA117,Métrés!$A:$A,Métrés!$C:$C,0)),0)</f>
        <v>7.5739101753117669E-2</v>
      </c>
      <c r="AH117" s="1092">
        <f>IFERROR(R117*$G$1/(_xlfn.XLOOKUP($AA117,Métrés!$A:$A,Métrés!$C:$C,0)),0)</f>
        <v>1.3184214008876038E-2</v>
      </c>
      <c r="AI117" s="1092">
        <f>IFERROR(S117*$G$1/(_xlfn.XLOOKUP($AA117,Métrés!$A:$A,Métrés!$C:$C,0)),0)</f>
        <v>0.2644857521537442</v>
      </c>
      <c r="AJ117" s="1022">
        <v>0.01</v>
      </c>
      <c r="AK117" s="638">
        <f>IF(L117=60, 0, T117)</f>
        <v>1.7591287565112859E-3</v>
      </c>
      <c r="AL117" s="638">
        <f>IF(L117=60, 0, S117)</f>
        <v>0.17591287565112859</v>
      </c>
      <c r="AM117" s="638" t="str">
        <f>IF(L117=$L$2, "Structure", IF(L117&gt;0,"Revêtement",0))</f>
        <v>Revêtement</v>
      </c>
      <c r="AN117" s="1036">
        <f>IF(AM117="Structure",N117,0)</f>
        <v>0</v>
      </c>
      <c r="AO117" s="1037">
        <f>IF(AM117="Structure",P117,0)</f>
        <v>0</v>
      </c>
      <c r="AP117" s="1037">
        <f>IF(AM117="Structure",Q117,0)</f>
        <v>0</v>
      </c>
      <c r="AQ117" s="1038">
        <f>IF(AM117="Structure",S117,0)</f>
        <v>0</v>
      </c>
      <c r="AR117" s="1038">
        <f>IF(AM117="Structure",T117,0)</f>
        <v>0</v>
      </c>
      <c r="AS117" s="1036">
        <f>IF(AM117="Insulation",N117,0)</f>
        <v>0</v>
      </c>
      <c r="AT117" s="1037">
        <f>IF(AM117="Insulation",P117,0)</f>
        <v>0</v>
      </c>
      <c r="AU117" s="1037">
        <f>IF(AM117="Insulation",Q117,0)</f>
        <v>0</v>
      </c>
      <c r="AV117" s="1038">
        <f>IF(AM117="Insulation",S117,0)</f>
        <v>0</v>
      </c>
      <c r="AW117" s="1038">
        <f>IF(AM117="Insulation",T117,0)</f>
        <v>0</v>
      </c>
      <c r="AX117" s="1036">
        <f>IF(AM117="Revêtement",N117,0)</f>
        <v>0.75429308801923323</v>
      </c>
      <c r="AY117" s="1037">
        <f>IF(AM117="Revêtement",P117,0)</f>
        <v>0.80466813877387455</v>
      </c>
      <c r="AZ117" s="1037">
        <f>IF(AM117="Revêtement",Q117,0)</f>
        <v>5.0375050754641375E-2</v>
      </c>
      <c r="BA117" s="1037">
        <f>IF(AM117="Revêtement",S117,0)</f>
        <v>0.17591287565112859</v>
      </c>
      <c r="BB117" s="1038">
        <f>IF(AM117="Revêtement",T117,0)</f>
        <v>1.7591287565112859E-3</v>
      </c>
      <c r="BC117" s="1036"/>
      <c r="BD117" s="1037"/>
      <c r="BE117" s="1037"/>
      <c r="BF117" s="1038"/>
      <c r="BG117" s="1036">
        <f>IF($AM117="Structure", IF($I117="kg",$J117,0), 0)</f>
        <v>0</v>
      </c>
      <c r="BH117" s="1037">
        <f>IF($AM117="Insulation", IF($I117="kg",$J117,0), 0)</f>
        <v>0</v>
      </c>
      <c r="BI117" s="1038">
        <f>IF($AM117="Revêtement", IF($I117="kg",$J117,0), 0)</f>
        <v>2394.654</v>
      </c>
      <c r="BJ117" s="1037">
        <f>_xlfn.XLOOKUP(H117, 'Baumaterialien Matériaux'!A:A, 'Baumaterialien Matériaux'!E:E, "-", 0, 1)</f>
        <v>850</v>
      </c>
      <c r="BK117" s="1036">
        <f t="shared" si="176"/>
        <v>0</v>
      </c>
      <c r="BL117" s="1037">
        <f t="shared" si="177"/>
        <v>0</v>
      </c>
      <c r="BM117" s="1038">
        <f t="shared" si="178"/>
        <v>2.81724</v>
      </c>
      <c r="BN117" s="1037">
        <f>IFERROR((J117*VLOOKUP(H117, 'Baumaterialien Matériaux'!$A$11:$AH$318, 33,FALSE)),0)/$G$1</f>
        <v>0.47709704153866694</v>
      </c>
      <c r="BO117" s="1037">
        <f>(BN117+BP117)*($L$2/L117-1)</f>
        <v>0.48586603185521565</v>
      </c>
      <c r="BP117" s="1037">
        <f>IFERROR((J117*VLOOKUP(H117, 'Baumaterialien Matériaux'!$A$11:$AH$318, 34,FALSE)),0)/$G$1</f>
        <v>8.7689903165486839E-3</v>
      </c>
      <c r="BQ117" s="1037">
        <f t="shared" si="256"/>
        <v>0.17407407407407408</v>
      </c>
      <c r="BR117" s="1037">
        <f t="shared" si="273"/>
        <v>0.80466813877387455</v>
      </c>
    </row>
    <row r="118" spans="2:70">
      <c r="B118" s="1103"/>
      <c r="C118" s="1099"/>
      <c r="D118" s="478"/>
      <c r="E118" s="478"/>
      <c r="F118" s="479" t="s">
        <v>3051</v>
      </c>
      <c r="G118" s="479"/>
      <c r="H118" s="479"/>
      <c r="I118" s="460" t="s">
        <v>39</v>
      </c>
      <c r="J118" s="662"/>
      <c r="K118" s="663"/>
      <c r="L118" s="663"/>
      <c r="M118" s="664">
        <f>SUM(M119:M120)</f>
        <v>14.646273540804062</v>
      </c>
      <c r="N118" s="664">
        <f t="shared" ref="N118:T118" si="276">SUM(N119:N120)</f>
        <v>4.3845532255910245</v>
      </c>
      <c r="O118" s="664">
        <f t="shared" ref="O118" si="277">SUM(O119:O120)</f>
        <v>3.2961889497350962</v>
      </c>
      <c r="P118" s="664">
        <f t="shared" si="276"/>
        <v>5.6750422955344826</v>
      </c>
      <c r="Q118" s="664">
        <f t="shared" si="276"/>
        <v>1.2904890699434577</v>
      </c>
      <c r="R118" s="664">
        <f t="shared" ref="R118" si="278">SUM(R119:R120)</f>
        <v>1.4273120074796313E-2</v>
      </c>
      <c r="S118" s="664">
        <f t="shared" si="276"/>
        <v>0</v>
      </c>
      <c r="T118" s="664">
        <f t="shared" si="276"/>
        <v>0</v>
      </c>
      <c r="V118" s="638">
        <f t="shared" si="138"/>
        <v>0</v>
      </c>
      <c r="W118" s="638">
        <f t="shared" si="272"/>
        <v>0</v>
      </c>
      <c r="X118" s="638">
        <f t="shared" si="224"/>
        <v>0</v>
      </c>
      <c r="Z118" s="638">
        <f t="shared" si="142"/>
        <v>0</v>
      </c>
      <c r="AA118" s="648" t="s">
        <v>3456</v>
      </c>
      <c r="AB118">
        <f>_xlfn.XLOOKUP($H118,'[1]Baumaterialien Matériaux'!$A:$A,'[1]Baumaterialien Matériaux'!AK:AK,0,0)</f>
        <v>0</v>
      </c>
      <c r="AC118" cm="1">
        <f t="array" ref="AC118">_xlfn.SWITCH(I118,"kg"," ",0," ",_xlfn.XLOOKUP(H118, '[1]Baumaterialien Matériaux'!$A:$A, '[1]Baumaterialien Matériaux'!$AL:$AL, "-", 0, 1))</f>
        <v>0</v>
      </c>
      <c r="AD118" s="622" cm="1">
        <f t="array" ref="AD118">IFERROR(_xlfn.SWITCH(I118,"kg",1,"m3",AC118,AC118)*J118/(_xlfn.XLOOKUP(AA118,Métrés!A:A,Métrés!C:C,0)),0)</f>
        <v>0</v>
      </c>
      <c r="AE118" s="1092">
        <f>IFERROR(N118*$G$1/(_xlfn.XLOOKUP($AA118,Métrés!$A:$A,Métrés!$C:$C,0)),0)</f>
        <v>6.5921943088941113</v>
      </c>
      <c r="AF118" s="1092">
        <f>IFERROR(O118*$G$1/(_xlfn.XLOOKUP($AA118,Métrés!$A:$A,Métrés!$C:$C,0)),0)</f>
        <v>4.9558340194523094</v>
      </c>
      <c r="AG118" s="1092">
        <f>IFERROR(Q118*$G$1/(_xlfn.XLOOKUP($AA118,Métrés!$A:$A,Métrés!$C:$C,0)),0)</f>
        <v>1.9402557717667066</v>
      </c>
      <c r="AH118" s="1092">
        <f>IFERROR(R118*$G$1/(_xlfn.XLOOKUP($AA118,Métrés!$A:$A,Métrés!$C:$C,0)),0)</f>
        <v>2.1459696367251042E-2</v>
      </c>
      <c r="AI118" s="1092">
        <f>IFERROR(S118*$G$1/(_xlfn.XLOOKUP($AA118,Métrés!$A:$A,Métrés!$C:$C,0)),0)</f>
        <v>0</v>
      </c>
      <c r="AJ118" s="1021"/>
      <c r="AK118" s="1021"/>
      <c r="AL118" s="1021"/>
      <c r="AM118" s="1021"/>
      <c r="AN118" s="1057"/>
      <c r="AO118" s="1021"/>
      <c r="AP118" s="1021"/>
      <c r="AQ118" s="1021"/>
      <c r="AR118" s="1058"/>
      <c r="AS118" s="1057"/>
      <c r="AT118" s="1021"/>
      <c r="AU118" s="1021"/>
      <c r="AV118" s="1021"/>
      <c r="AW118" s="1058"/>
      <c r="AX118" s="1057"/>
      <c r="AY118" s="1021"/>
      <c r="AZ118" s="1021"/>
      <c r="BA118" s="1021"/>
      <c r="BB118" s="1058"/>
      <c r="BC118" s="1057"/>
      <c r="BD118" s="1021"/>
      <c r="BE118" s="1021"/>
      <c r="BF118" s="1058"/>
      <c r="BG118" s="1057"/>
      <c r="BH118" s="1021"/>
      <c r="BI118" s="1058"/>
      <c r="BJ118" s="1045"/>
      <c r="BK118" s="1057"/>
      <c r="BL118" s="1021"/>
      <c r="BM118" s="1058"/>
      <c r="BN118" s="1037">
        <f>IFERROR((J118*VLOOKUP(H118, 'Baumaterialien Matériaux'!$A$11:$AH$318, 33,FALSE)),0)/$G$1</f>
        <v>0</v>
      </c>
      <c r="BO118" s="1037"/>
      <c r="BP118" s="1037">
        <f>IFERROR((J118*VLOOKUP(H118, 'Baumaterialien Matériaux'!$A$11:$AH$318, 34,FALSE)),0)/$G$1</f>
        <v>0</v>
      </c>
      <c r="BQ118" s="1037">
        <f t="shared" si="256"/>
        <v>0</v>
      </c>
      <c r="BR118" s="1037">
        <f t="shared" si="273"/>
        <v>0</v>
      </c>
    </row>
    <row r="119" spans="2:70">
      <c r="B119" s="1103"/>
      <c r="C119" s="1099"/>
      <c r="D119" s="478"/>
      <c r="E119" s="478"/>
      <c r="F119" s="478" t="s">
        <v>3052</v>
      </c>
      <c r="G119" s="478" t="str">
        <f>_xlfn.XLOOKUP(H119, 'Baumaterialien Matériaux'!A:A, 'Baumaterialien Matériaux'!AD:AD, "-", 0, 1)</f>
        <v>Dalle en céramique/grès, 9 mm</v>
      </c>
      <c r="H119" s="902" t="s">
        <v>786</v>
      </c>
      <c r="I119" s="641" t="str">
        <f>_xlfn.XLOOKUP(H119, 'Baumaterialien Matériaux'!A:A, 'Baumaterialien Matériaux'!F:F, "-", 0, 1)</f>
        <v>m2</v>
      </c>
      <c r="J119" s="890">
        <v>12.21</v>
      </c>
      <c r="K119" s="1096">
        <f>_xlfn.XLOOKUP(H119, 'Baumaterialien Matériaux'!A:A, 'Baumaterialien Matériaux'!E:E, "-", 0, 1)/J113*J11</f>
        <v>0</v>
      </c>
      <c r="L119" s="643">
        <f>'Eléments de constr. inté. et ex'!N9</f>
        <v>30</v>
      </c>
      <c r="M119" s="648">
        <f t="shared" si="271"/>
        <v>0.6400995058100708</v>
      </c>
      <c r="N119" s="720">
        <f>IFERROR(($J119*VLOOKUP($H119, 'Baumaterialien Matériaux'!$A$11:$AD$318, 26,FALSE)),0)/$G$1</f>
        <v>0.19162214505142244</v>
      </c>
      <c r="O119" s="720">
        <f>IFERROR(($J119*VLOOKUP($H119, 'Baumaterialien Matériaux'!$A$11:$AH$318, 33,FALSE)),0)/$G$1</f>
        <v>0.14405636436489916</v>
      </c>
      <c r="P119" s="720">
        <f t="shared" si="275"/>
        <v>0.24802157072258579</v>
      </c>
      <c r="Q119" s="720">
        <f>IFERROR(($J119*VLOOKUP($H119, 'Baumaterialien Matériaux'!$A$11:$AD$318, 27,FALSE)),0)/$G$1</f>
        <v>5.6399425671163357E-2</v>
      </c>
      <c r="R119" s="720">
        <f>IFERROR(($J119*VLOOKUP($H119, 'Baumaterialien Matériaux'!$A$11:$AH$318, 34,FALSE)),0)/$G$1</f>
        <v>6.2379123814612007E-4</v>
      </c>
      <c r="S119" s="720">
        <f>IFERROR((J119*VLOOKUP(H119, 'Baumaterialien Matériaux'!$A$11:$AD$318, 29,FALSE)),0)/$G$1</f>
        <v>0</v>
      </c>
      <c r="T119" s="720"/>
      <c r="V119" s="638">
        <f t="shared" si="138"/>
        <v>0</v>
      </c>
      <c r="W119" s="638">
        <f t="shared" si="272"/>
        <v>0</v>
      </c>
      <c r="X119" s="638" t="str">
        <f t="shared" si="224"/>
        <v>Revêtement</v>
      </c>
      <c r="Z119" s="638">
        <f t="shared" si="142"/>
        <v>30</v>
      </c>
      <c r="AA119" s="648" t="s">
        <v>3456</v>
      </c>
      <c r="AB119" t="str">
        <f>_xlfn.XLOOKUP($H119,'[1]Baumaterialien Matériaux'!$A:$A,'[1]Baumaterialien Matériaux'!AK:AK,0,0)</f>
        <v>stone</v>
      </c>
      <c r="AC119" cm="1">
        <f t="array" ref="AC119">_xlfn.SWITCH(I119,"kg"," ",0," ",_xlfn.XLOOKUP(H119, '[1]Baumaterialien Matériaux'!$A:$A, '[1]Baumaterialien Matériaux'!$AL:$AL, "-", 0, 1))</f>
        <v>18</v>
      </c>
      <c r="AD119" s="622" cm="1">
        <f t="array" ref="AD119">IFERROR(_xlfn.SWITCH(I119,"kg",1,"m3",AC119,AC119)*J119/(_xlfn.XLOOKUP(AA119,Métrés!A:A,Métrés!C:C,0)),0)</f>
        <v>0.36779324055666013</v>
      </c>
      <c r="AE119" s="1092">
        <f>IFERROR(N119*$G$1/(_xlfn.XLOOKUP($AA119,Métrés!$A:$A,Métrés!$C:$C,0)),0)</f>
        <v>0.28810470510271707</v>
      </c>
      <c r="AF119" s="1092">
        <f>IFERROR(O119*$G$1/(_xlfn.XLOOKUP($AA119,Métrés!$A:$A,Métrés!$C:$C,0)),0)</f>
        <v>0.21658935277225538</v>
      </c>
      <c r="AG119" s="1092">
        <f>IFERROR(Q119*$G$1/(_xlfn.XLOOKUP($AA119,Métrés!$A:$A,Métrés!$C:$C,0)),0)</f>
        <v>8.4796774906118866E-2</v>
      </c>
      <c r="AH119" s="1092">
        <f>IFERROR(R119*$G$1/(_xlfn.XLOOKUP($AA119,Métrés!$A:$A,Métrés!$C:$C,0)),0)</f>
        <v>9.3787276341948341E-4</v>
      </c>
      <c r="AI119" s="1092">
        <f>IFERROR(S119*$G$1/(_xlfn.XLOOKUP($AA119,Métrés!$A:$A,Métrés!$C:$C,0)),0)</f>
        <v>0</v>
      </c>
      <c r="AJ119" s="1022"/>
      <c r="AK119" s="638">
        <f>IF(L119=60, 0, T119)</f>
        <v>0</v>
      </c>
      <c r="AL119" s="638">
        <f>IF(L119=60, 0, S119)</f>
        <v>0</v>
      </c>
      <c r="AM119" s="638" t="str">
        <f>IF(L119=$L$2, "Structure", IF(L119&gt;0,"Revêtement",0))</f>
        <v>Revêtement</v>
      </c>
      <c r="AN119" s="1036">
        <f>IF(AM119="Structure",N119,0)</f>
        <v>0</v>
      </c>
      <c r="AO119" s="1037">
        <f>IF(AM119="Structure",P119,0)</f>
        <v>0</v>
      </c>
      <c r="AP119" s="1037">
        <f>IF(AM119="Structure",Q119,0)</f>
        <v>0</v>
      </c>
      <c r="AQ119" s="1038">
        <f>IF(AM119="Structure",S119,0)</f>
        <v>0</v>
      </c>
      <c r="AR119" s="1038">
        <f>IF(AM119="Structure",T119,0)</f>
        <v>0</v>
      </c>
      <c r="AS119" s="1036">
        <f>IF(AM119="Insulation",N119,0)</f>
        <v>0</v>
      </c>
      <c r="AT119" s="1037">
        <f>IF(AM119="Insulation",P119,0)</f>
        <v>0</v>
      </c>
      <c r="AU119" s="1037">
        <f>IF(AM119="Insulation",Q119,0)</f>
        <v>0</v>
      </c>
      <c r="AV119" s="1038">
        <f>IF(AM119="Insulation",S119,0)</f>
        <v>0</v>
      </c>
      <c r="AW119" s="1038">
        <f>IF(AM119="Insulation",T119,0)</f>
        <v>0</v>
      </c>
      <c r="AX119" s="1036">
        <f>IF(AM119="Revêtement",N119,0)</f>
        <v>0.19162214505142244</v>
      </c>
      <c r="AY119" s="1037">
        <f>IF(AM119="Revêtement",P119,0)</f>
        <v>0.24802157072258579</v>
      </c>
      <c r="AZ119" s="1037">
        <f>IF(AM119="Revêtement",Q119,0)</f>
        <v>5.6399425671163357E-2</v>
      </c>
      <c r="BA119" s="1037">
        <f>IF(AM119="Revêtement",S119,0)</f>
        <v>0</v>
      </c>
      <c r="BB119" s="1038">
        <f>IF(AM119="Revêtement",T119,0)</f>
        <v>0</v>
      </c>
      <c r="BC119" s="1036"/>
      <c r="BD119" s="1037"/>
      <c r="BE119" s="1037"/>
      <c r="BF119" s="1038"/>
      <c r="BG119" s="1036">
        <f>IF($AM119="Structure", IF($I119="kg",$J119,0), 0)</f>
        <v>0</v>
      </c>
      <c r="BH119" s="1037">
        <f>IF($AM119="Insulation", IF($I119="kg",$J119,0), 0)</f>
        <v>0</v>
      </c>
      <c r="BI119" s="1038">
        <f>IF($AM119="Revêtement", IF($I119="kg",$J119,0), 0)</f>
        <v>0</v>
      </c>
      <c r="BJ119" s="1037">
        <f>_xlfn.XLOOKUP(H119, 'Baumaterialien Matériaux'!A:A, 'Baumaterialien Matériaux'!E:E, "-", 0, 1)</f>
        <v>18</v>
      </c>
      <c r="BK119" s="1036">
        <f t="shared" si="176"/>
        <v>0</v>
      </c>
      <c r="BL119" s="1037">
        <f t="shared" si="177"/>
        <v>0</v>
      </c>
      <c r="BM119" s="1038">
        <f t="shared" si="178"/>
        <v>0</v>
      </c>
      <c r="BN119" s="1037">
        <f>IFERROR((J119*VLOOKUP(H119, 'Baumaterialien Matériaux'!$A$11:$AH$318, 33,FALSE)),0)/$G$1</f>
        <v>0.14405636436489916</v>
      </c>
      <c r="BO119" s="1037">
        <f>(BN119+BP119)*($L$2/L119-1)</f>
        <v>0.14468015560304529</v>
      </c>
      <c r="BP119" s="1037">
        <f>IFERROR((J119*VLOOKUP(H119, 'Baumaterialien Matériaux'!$A$11:$AH$318, 34,FALSE)),0)/$G$1</f>
        <v>6.2379123814612007E-4</v>
      </c>
      <c r="BQ119" s="1037">
        <f t="shared" si="256"/>
        <v>1.1060240963855423E-2</v>
      </c>
      <c r="BR119" s="1037">
        <f t="shared" si="273"/>
        <v>0.24802157072258579</v>
      </c>
    </row>
    <row r="120" spans="2:70">
      <c r="B120" s="1103"/>
      <c r="C120" s="1099"/>
      <c r="D120" s="478"/>
      <c r="E120" s="478"/>
      <c r="F120" s="478" t="s">
        <v>3053</v>
      </c>
      <c r="G120" s="478" t="str">
        <f>_xlfn.XLOOKUP(H120, 'Baumaterialien Matériaux'!A:A, 'Baumaterialien Matériaux'!AD:AD, "-", 0, 1)</f>
        <v>Dalle en céramique/grès, 9 mm</v>
      </c>
      <c r="H120" s="902" t="s">
        <v>786</v>
      </c>
      <c r="I120" s="641" t="str">
        <f>_xlfn.XLOOKUP(H120, 'Baumaterialien Matériaux'!A:A, 'Baumaterialien Matériaux'!F:F, "-", 0, 1)</f>
        <v>m2</v>
      </c>
      <c r="J120" s="890">
        <v>267.17</v>
      </c>
      <c r="K120" s="1096">
        <f>_xlfn.XLOOKUP(H120, 'Baumaterialien Matériaux'!A:A, 'Baumaterialien Matériaux'!E:E, "-", 0, 1)/J113*J12</f>
        <v>33.894875835924523</v>
      </c>
      <c r="L120" s="647">
        <v>30</v>
      </c>
      <c r="M120" s="648">
        <f t="shared" ref="M120" si="279">SUM(N120:Q120)</f>
        <v>14.006174034993991</v>
      </c>
      <c r="N120" s="720">
        <f>IFERROR(($J120*VLOOKUP($H120, 'Baumaterialien Matériaux'!$A$11:$AD$318, 26,FALSE)),0)/$G$1</f>
        <v>4.1929310805396023</v>
      </c>
      <c r="O120" s="720">
        <f>IFERROR(($J120*VLOOKUP($H120, 'Baumaterialien Matériaux'!$A$11:$AH$318, 33,FALSE)),0)/$G$1</f>
        <v>3.1521325853701971</v>
      </c>
      <c r="P120" s="720">
        <f t="shared" ref="P120" si="280">IFERROR((N120+Q120)*($L$2/L120-1),0)</f>
        <v>5.4270207248118965</v>
      </c>
      <c r="Q120" s="720">
        <f>IFERROR(($J120*VLOOKUP($H120, 'Baumaterialien Matériaux'!$A$11:$AD$318, 27,FALSE)),0)/$G$1</f>
        <v>1.2340896442722944</v>
      </c>
      <c r="R120" s="720">
        <f>IFERROR(($J120*VLOOKUP($H120, 'Baumaterialien Matériaux'!$A$11:$AH$318, 34,FALSE)),0)/$G$1</f>
        <v>1.3649328836650194E-2</v>
      </c>
      <c r="S120" s="720">
        <f>IFERROR((J120*VLOOKUP(H120, 'Baumaterialien Matériaux'!$A$11:$AD$318, 29,FALSE)),0)/$G$1</f>
        <v>0</v>
      </c>
      <c r="V120" s="638">
        <f t="shared" si="138"/>
        <v>0</v>
      </c>
      <c r="W120" s="638">
        <f t="shared" si="272"/>
        <v>0</v>
      </c>
      <c r="X120" s="638" t="str">
        <f t="shared" si="224"/>
        <v>Revêtement</v>
      </c>
      <c r="Z120" s="638">
        <f t="shared" si="142"/>
        <v>30</v>
      </c>
      <c r="AA120" s="648" t="s">
        <v>3456</v>
      </c>
      <c r="AB120" t="str">
        <f>_xlfn.XLOOKUP($H120,'[1]Baumaterialien Matériaux'!$A:$A,'[1]Baumaterialien Matériaux'!AK:AK,0,0)</f>
        <v>stone</v>
      </c>
      <c r="AC120" cm="1">
        <f t="array" ref="AC120">_xlfn.SWITCH(I120,"kg"," ",0," ",_xlfn.XLOOKUP(H120, '[1]Baumaterialien Matériaux'!$A:$A, '[1]Baumaterialien Matériaux'!$AL:$AL, "-", 0, 1))</f>
        <v>18</v>
      </c>
      <c r="AD120" s="622" cm="1">
        <f t="array" ref="AD120">IFERROR(_xlfn.SWITCH(I120,"kg",1,"m3",AC120,AC120)*J120/(_xlfn.XLOOKUP(AA120,Métrés!A:A,Métrés!C:C,0)),0)</f>
        <v>8.047773962286886</v>
      </c>
      <c r="AE120" s="1092">
        <f>IFERROR(N120*$G$1/(_xlfn.XLOOKUP($AA120,Métrés!$A:$A,Métrés!$C:$C,0)),0)</f>
        <v>6.3040896037913949</v>
      </c>
      <c r="AF120" s="1092">
        <f>IFERROR(O120*$G$1/(_xlfn.XLOOKUP($AA120,Métrés!$A:$A,Métrés!$C:$C,0)),0)</f>
        <v>4.7392446666800545</v>
      </c>
      <c r="AG120" s="1092">
        <f>IFERROR(Q120*$G$1/(_xlfn.XLOOKUP($AA120,Métrés!$A:$A,Métrés!$C:$C,0)),0)</f>
        <v>1.8554589968605877</v>
      </c>
      <c r="AH120" s="1092">
        <f>IFERROR(R120*$G$1/(_xlfn.XLOOKUP($AA120,Métrés!$A:$A,Métrés!$C:$C,0)),0)</f>
        <v>2.0521823603831559E-2</v>
      </c>
      <c r="AI120" s="1092">
        <f>IFERROR(S120*$G$1/(_xlfn.XLOOKUP($AA120,Métrés!$A:$A,Métrés!$C:$C,0)),0)</f>
        <v>0</v>
      </c>
      <c r="AJ120" s="1022"/>
      <c r="AK120" s="638">
        <f>IF(L120=60, 0, T120)</f>
        <v>0</v>
      </c>
      <c r="AL120" s="638">
        <f>IF(L120=60, 0, S120)</f>
        <v>0</v>
      </c>
      <c r="AM120" s="638" t="str">
        <f>IF(L120=$L$2, "Structure", IF(L120&gt;0,"Revêtement",0))</f>
        <v>Revêtement</v>
      </c>
      <c r="AN120" s="1036">
        <f>IF(AM120="Structure",N120,0)</f>
        <v>0</v>
      </c>
      <c r="AO120" s="1037">
        <f>IF(AM120="Structure",P120,0)</f>
        <v>0</v>
      </c>
      <c r="AP120" s="1037">
        <f>IF(AM120="Structure",Q120,0)</f>
        <v>0</v>
      </c>
      <c r="AQ120" s="1038">
        <f>IF(AM120="Structure",S120,0)</f>
        <v>0</v>
      </c>
      <c r="AR120" s="1038">
        <f>IF(AM120="Structure",T120,0)</f>
        <v>0</v>
      </c>
      <c r="AS120" s="1036">
        <f>IF(AM120="Insulation",N120,0)</f>
        <v>0</v>
      </c>
      <c r="AT120" s="1037">
        <f>IF(AM120="Insulation",P120,0)</f>
        <v>0</v>
      </c>
      <c r="AU120" s="1037">
        <f>IF(AM120="Insulation",Q120,0)</f>
        <v>0</v>
      </c>
      <c r="AV120" s="1038">
        <f>IF(AM120="Insulation",S120,0)</f>
        <v>0</v>
      </c>
      <c r="AW120" s="1038">
        <f>IF(AM120="Insulation",T120,0)</f>
        <v>0</v>
      </c>
      <c r="AX120" s="1036">
        <f>IF(AM120="Revêtement",N120,0)</f>
        <v>4.1929310805396023</v>
      </c>
      <c r="AY120" s="1037">
        <f>IF(AM120="Revêtement",P120,0)</f>
        <v>5.4270207248118965</v>
      </c>
      <c r="AZ120" s="1037">
        <f>IF(AM120="Revêtement",Q120,0)</f>
        <v>1.2340896442722944</v>
      </c>
      <c r="BA120" s="1037">
        <f>IF(AM120="Revêtement",S120,0)</f>
        <v>0</v>
      </c>
      <c r="BB120" s="1038">
        <f>IF(AM120="Revêtement",T120,0)</f>
        <v>0</v>
      </c>
      <c r="BC120" s="1036"/>
      <c r="BD120" s="1037"/>
      <c r="BE120" s="1037"/>
      <c r="BF120" s="1038"/>
      <c r="BG120" s="1036">
        <f>IF($AM120="Structure", IF($I120="kg",$J120,0), 0)</f>
        <v>0</v>
      </c>
      <c r="BH120" s="1037">
        <f>IF($AM120="Insulation", IF($I120="kg",$J120,0), 0)</f>
        <v>0</v>
      </c>
      <c r="BI120" s="1038">
        <f>IF($AM120="Revêtement", IF($I120="kg",$J120,0), 0)</f>
        <v>0</v>
      </c>
      <c r="BJ120" s="1037">
        <f>_xlfn.XLOOKUP(H120, 'Baumaterialien Matériaux'!A:A, 'Baumaterialien Matériaux'!E:E, "-", 0, 1)</f>
        <v>18</v>
      </c>
      <c r="BK120" s="1036">
        <f t="shared" si="176"/>
        <v>0</v>
      </c>
      <c r="BL120" s="1037">
        <f t="shared" si="177"/>
        <v>0</v>
      </c>
      <c r="BM120" s="1038">
        <f t="shared" si="178"/>
        <v>0</v>
      </c>
      <c r="BN120" s="1037">
        <f>IFERROR((J120*VLOOKUP(H120, 'Baumaterialien Matériaux'!$A$11:$AH$318, 33,FALSE)),0)/$G$1</f>
        <v>3.1521325853701971</v>
      </c>
      <c r="BO120" s="1037">
        <f>(BN120+BP120)*($L$2/L120-1)</f>
        <v>3.1657819142068475</v>
      </c>
      <c r="BP120" s="1037">
        <f>IFERROR((J120*VLOOKUP(H120, 'Baumaterialien Matériaux'!$A$11:$AH$318, 34,FALSE)),0)/$G$1</f>
        <v>1.3649328836650194E-2</v>
      </c>
      <c r="BQ120" s="1037">
        <f t="shared" si="256"/>
        <v>1.106024096385542E-2</v>
      </c>
      <c r="BR120" s="1037"/>
    </row>
    <row r="121" spans="2:70">
      <c r="B121" s="1103"/>
      <c r="C121" s="1099"/>
      <c r="D121" s="478"/>
      <c r="E121" s="478"/>
      <c r="F121" s="479" t="s">
        <v>3071</v>
      </c>
      <c r="G121" s="479"/>
      <c r="H121" s="479"/>
      <c r="I121" s="460" t="s">
        <v>39</v>
      </c>
      <c r="J121" s="662">
        <v>101.05</v>
      </c>
      <c r="K121" s="663"/>
      <c r="L121" s="663"/>
      <c r="M121" s="664">
        <f>SUM(M122:M124)</f>
        <v>16.826705968122525</v>
      </c>
      <c r="N121" s="664">
        <f t="shared" ref="N121:T121" si="281">SUM(N122:N124)</f>
        <v>12.86064752237211</v>
      </c>
      <c r="O121" s="664">
        <f t="shared" ref="O121" si="282">SUM(O122:O124)</f>
        <v>2.8087674858643865</v>
      </c>
      <c r="P121" s="664">
        <f t="shared" si="281"/>
        <v>0</v>
      </c>
      <c r="Q121" s="664">
        <f t="shared" si="281"/>
        <v>1.1572909598860246</v>
      </c>
      <c r="R121" s="664">
        <f t="shared" ref="R121" si="283">SUM(R122:R124)</f>
        <v>0.23538653221138861</v>
      </c>
      <c r="S121" s="664">
        <f t="shared" si="281"/>
        <v>0</v>
      </c>
      <c r="T121" s="664">
        <f t="shared" si="281"/>
        <v>0</v>
      </c>
      <c r="V121" s="638">
        <f t="shared" si="138"/>
        <v>0</v>
      </c>
      <c r="W121" s="638">
        <f t="shared" si="272"/>
        <v>0</v>
      </c>
      <c r="Z121" s="638">
        <f t="shared" si="142"/>
        <v>0</v>
      </c>
      <c r="AA121" s="648" t="s">
        <v>3456</v>
      </c>
      <c r="AB121">
        <f>_xlfn.XLOOKUP($H121,'[1]Baumaterialien Matériaux'!$A:$A,'[1]Baumaterialien Matériaux'!AK:AK,0,0)</f>
        <v>0</v>
      </c>
      <c r="AC121" cm="1">
        <f t="array" ref="AC121">_xlfn.SWITCH(I121,"kg"," ",0," ",_xlfn.XLOOKUP(H121, '[1]Baumaterialien Matériaux'!$A:$A, '[1]Baumaterialien Matériaux'!$AL:$AL, "-", 0, 1))</f>
        <v>0</v>
      </c>
      <c r="AD121" s="622" cm="1">
        <f t="array" ref="AD121">IFERROR(_xlfn.SWITCH(I121,"kg",1,"m3",AC121,AC121)*J121/(_xlfn.XLOOKUP(AA121,Métrés!A:A,Métrés!C:C,0)),0)</f>
        <v>0</v>
      </c>
      <c r="AE121" s="1092">
        <f>IFERROR(N121*$G$1/(_xlfn.XLOOKUP($AA121,Métrés!$A:$A,Métrés!$C:$C,0)),0)</f>
        <v>19.336037913930561</v>
      </c>
      <c r="AF121" s="1092">
        <f>IFERROR(O121*$G$1/(_xlfn.XLOOKUP($AA121,Métrés!$A:$A,Métrés!$C:$C,0)),0)</f>
        <v>4.2229937881130715</v>
      </c>
      <c r="AG121" s="1092">
        <f>IFERROR(Q121*$G$1/(_xlfn.XLOOKUP($AA121,Métrés!$A:$A,Métrés!$C:$C,0)),0)</f>
        <v>1.7399918502453295</v>
      </c>
      <c r="AH121" s="1092">
        <f>IFERROR(R121*$G$1/(_xlfn.XLOOKUP($AA121,Métrés!$A:$A,Métrés!$C:$C,0)),0)</f>
        <v>0.35390464619689271</v>
      </c>
      <c r="AI121" s="1092">
        <f>IFERROR(S121*$G$1/(_xlfn.XLOOKUP($AA121,Métrés!$A:$A,Métrés!$C:$C,0)),0)</f>
        <v>0</v>
      </c>
      <c r="AJ121" s="1021"/>
      <c r="AK121" s="1021"/>
      <c r="AL121" s="1021"/>
      <c r="AM121" s="1021"/>
      <c r="AN121" s="1057"/>
      <c r="AO121" s="1021"/>
      <c r="AP121" s="1021"/>
      <c r="AQ121" s="1021"/>
      <c r="AR121" s="1058"/>
      <c r="AS121" s="1057"/>
      <c r="AT121" s="1021"/>
      <c r="AU121" s="1021"/>
      <c r="AV121" s="1021"/>
      <c r="AW121" s="1058"/>
      <c r="AX121" s="1057"/>
      <c r="AY121" s="1021"/>
      <c r="AZ121" s="1021"/>
      <c r="BA121" s="1021"/>
      <c r="BB121" s="1058"/>
      <c r="BC121" s="1057"/>
      <c r="BD121" s="1021"/>
      <c r="BE121" s="1021"/>
      <c r="BF121" s="1058"/>
      <c r="BG121" s="1057"/>
      <c r="BH121" s="1021"/>
      <c r="BI121" s="1058"/>
      <c r="BJ121" s="1045"/>
      <c r="BK121" s="1057"/>
      <c r="BL121" s="1021"/>
      <c r="BM121" s="1058"/>
      <c r="BN121" s="1037">
        <f>IFERROR((J121*VLOOKUP(H121, 'Baumaterialien Matériaux'!$A$11:$AH$318, 33,FALSE)),0)/$G$1</f>
        <v>0</v>
      </c>
      <c r="BO121" s="1037"/>
      <c r="BP121" s="1037">
        <f>IFERROR((J121*VLOOKUP(H121, 'Baumaterialien Matériaux'!$A$11:$AH$318, 34,FALSE)),0)/$G$1</f>
        <v>0</v>
      </c>
      <c r="BQ121" s="1037">
        <f t="shared" si="256"/>
        <v>0</v>
      </c>
      <c r="BR121" s="1037"/>
    </row>
    <row r="122" spans="2:70">
      <c r="B122" s="1103"/>
      <c r="C122" s="1099"/>
      <c r="D122" s="478"/>
      <c r="E122" s="478"/>
      <c r="F122" s="638" t="s">
        <v>2981</v>
      </c>
      <c r="G122" s="478" t="str">
        <f>_xlfn.XLOOKUP(H122, 'Baumaterialien Matériaux'!A:A, 'Baumaterialien Matériaux'!AD:AD, "-", 0, 1)</f>
        <v>Béton pour bâtiment (sans armature)</v>
      </c>
      <c r="H122" s="891">
        <v>1.0019999999999998</v>
      </c>
      <c r="I122" s="641" t="str">
        <f>_xlfn.XLOOKUP(H122, 'Baumaterialien Matériaux'!A:A, 'Baumaterialien Matériaux'!F:F, "-", 0, 1)</f>
        <v>kg</v>
      </c>
      <c r="J122" s="649">
        <f>$J$121*K122</f>
        <v>46483</v>
      </c>
      <c r="K122" s="893">
        <f>0.2*2300</f>
        <v>460</v>
      </c>
      <c r="L122" s="643">
        <v>60</v>
      </c>
      <c r="M122" s="648">
        <f t="shared" ref="M122:M123" si="284">SUM(N122:Q122)</f>
        <v>6.327490873068875</v>
      </c>
      <c r="N122" s="720">
        <f>IFERROR(($J122*VLOOKUP($H122, 'Baumaterialien Matériaux'!$A$11:$AD$318, 26,FALSE)),0)/$G$1</f>
        <v>4.5942860958995597</v>
      </c>
      <c r="O122" s="720">
        <f>IFERROR(($J122*VLOOKUP($H122, 'Baumaterialien Matériaux'!$A$11:$AH$318, 33,FALSE)),0)/$G$1</f>
        <v>1.0761390855260227</v>
      </c>
      <c r="P122" s="720">
        <f t="shared" ref="P122:P123" si="285">IFERROR((N122+Q122)*($L$2/L122-1),0)</f>
        <v>0</v>
      </c>
      <c r="Q122" s="720">
        <f>IFERROR(($J122*VLOOKUP($H122, 'Baumaterialien Matériaux'!$A$11:$AD$318, 27,FALSE)),0)/$G$1</f>
        <v>0.65706569164329265</v>
      </c>
      <c r="R122" s="720">
        <f>IFERROR(($J122*VLOOKUP($H122, 'Baumaterialien Matériaux'!$A$11:$AH$318, 34,FALSE)),0)/$G$1</f>
        <v>0.13865638217354526</v>
      </c>
      <c r="S122" s="720">
        <f>IFERROR((J122*VLOOKUP(H122, 'Baumaterialien Matériaux'!$A$11:$AD$318, 29,FALSE)),0)/$G$1</f>
        <v>0</v>
      </c>
      <c r="V122" s="638">
        <f t="shared" si="138"/>
        <v>0</v>
      </c>
      <c r="W122" s="638">
        <f t="shared" si="272"/>
        <v>0</v>
      </c>
      <c r="Z122" s="638">
        <f t="shared" si="142"/>
        <v>60</v>
      </c>
      <c r="AA122" s="648" t="s">
        <v>3456</v>
      </c>
      <c r="AB122" t="str">
        <f>_xlfn.XLOOKUP($H122,'[1]Baumaterialien Matériaux'!$A:$A,'[1]Baumaterialien Matériaux'!AK:AK,0,0)</f>
        <v>concrete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 s="622" cm="1">
        <f t="array" ref="AD122">IFERROR(_xlfn.SWITCH(I122,"kg",1,"m3",AC122,AC122)*J122/(_xlfn.XLOOKUP(AA122,Métrés!A:A,Métrés!C:C,0)),0)</f>
        <v>77.787483851102152</v>
      </c>
      <c r="AE122" s="1092">
        <f>IFERROR(N122*$G$1/(_xlfn.XLOOKUP($AA122,Métrés!$A:$A,Métrés!$C:$C,0)),0)</f>
        <v>6.9075285659778709</v>
      </c>
      <c r="AF122" s="1092">
        <f>IFERROR(O122*$G$1/(_xlfn.XLOOKUP($AA122,Métrés!$A:$A,Métrés!$C:$C,0)),0)</f>
        <v>1.6179796641029245</v>
      </c>
      <c r="AG122" s="1092">
        <f>IFERROR(Q122*$G$1/(_xlfn.XLOOKUP($AA122,Métrés!$A:$A,Métrés!$C:$C,0)),0)</f>
        <v>0.98790104490899711</v>
      </c>
      <c r="AH122" s="1092">
        <f>IFERROR(R122*$G$1/(_xlfn.XLOOKUP($AA122,Métrés!$A:$A,Métrés!$C:$C,0)),0)</f>
        <v>0.20847045672095377</v>
      </c>
      <c r="AI122" s="1092">
        <f>IFERROR(S122*$G$1/(_xlfn.XLOOKUP($AA122,Métrés!$A:$A,Métrés!$C:$C,0)),0)</f>
        <v>0</v>
      </c>
      <c r="AJ122" s="1022"/>
      <c r="AK122" s="638">
        <f>IF(L122=60, 0, T122)</f>
        <v>0</v>
      </c>
      <c r="AL122" s="638">
        <f>IF(L122=60, 0, S122)</f>
        <v>0</v>
      </c>
      <c r="AM122" s="638" t="str">
        <f>IF(L122=$L$2, "Structure", IF(L122&gt;0,"Revêtement",0))</f>
        <v>Structure</v>
      </c>
      <c r="AN122" s="1036">
        <f>IF(AM122="Structure",N122,0)</f>
        <v>4.5942860958995597</v>
      </c>
      <c r="AO122" s="1037">
        <f>IF(AM122="Structure",P122,0)</f>
        <v>0</v>
      </c>
      <c r="AP122" s="1037">
        <f>IF(AM122="Structure",Q122,0)</f>
        <v>0.65706569164329265</v>
      </c>
      <c r="AQ122" s="1038">
        <f>IF(AM122="Structure",S122,0)</f>
        <v>0</v>
      </c>
      <c r="AR122" s="1038">
        <f>IF(AM122="Structure",T122,0)</f>
        <v>0</v>
      </c>
      <c r="AS122" s="1036">
        <f>IF(AM122="Insulation",N122,0)</f>
        <v>0</v>
      </c>
      <c r="AT122" s="1037">
        <f>IF(AM122="Insulation",P122,0)</f>
        <v>0</v>
      </c>
      <c r="AU122" s="1037">
        <f>IF(AM122="Insulation",Q122,0)</f>
        <v>0</v>
      </c>
      <c r="AV122" s="1038">
        <f>IF(AM122="Insulation",S122,0)</f>
        <v>0</v>
      </c>
      <c r="AW122" s="1038">
        <f>IF(AM122="Insulation",T122,0)</f>
        <v>0</v>
      </c>
      <c r="AX122" s="1036">
        <f>IF(AM122="Revêtement",N122,0)</f>
        <v>0</v>
      </c>
      <c r="AY122" s="1037">
        <f>IF(AM122="Revêtement",P122,0)</f>
        <v>0</v>
      </c>
      <c r="AZ122" s="1037">
        <f>IF(AM122="Revêtement",Q122,0)</f>
        <v>0</v>
      </c>
      <c r="BA122" s="1037">
        <f>IF(AM122="Revêtement",S122,0)</f>
        <v>0</v>
      </c>
      <c r="BB122" s="1038">
        <f>IF(AM122="Revêtement",T122,0)</f>
        <v>0</v>
      </c>
      <c r="BC122" s="1036"/>
      <c r="BD122" s="1037"/>
      <c r="BE122" s="1037"/>
      <c r="BF122" s="1038"/>
      <c r="BG122" s="1036">
        <f>IF($AM122="Structure", IF($I122="kg",$J122,0), 0)</f>
        <v>46483</v>
      </c>
      <c r="BH122" s="1037">
        <f>IF($AM122="Insulation", IF($I122="kg",$J122,0), 0)</f>
        <v>0</v>
      </c>
      <c r="BI122" s="1038">
        <f>IF($AM122="Revêtement", IF($I122="kg",$J122,0), 0)</f>
        <v>0</v>
      </c>
      <c r="BJ122" s="1037">
        <f>_xlfn.XLOOKUP(H122, 'Baumaterialien Matériaux'!A:A, 'Baumaterialien Matériaux'!E:E, "-", 0, 1)</f>
        <v>2300</v>
      </c>
      <c r="BK122" s="1036">
        <f t="shared" si="176"/>
        <v>20.21</v>
      </c>
      <c r="BL122" s="1037">
        <f t="shared" si="177"/>
        <v>0</v>
      </c>
      <c r="BM122" s="1038">
        <f t="shared" si="178"/>
        <v>0</v>
      </c>
      <c r="BN122" s="1037">
        <f>IFERROR((J122*VLOOKUP(H122, 'Baumaterialien Matériaux'!$A$11:$AH$318, 33,FALSE)),0)/$G$1</f>
        <v>1.0761390855260227</v>
      </c>
      <c r="BO122" s="1037">
        <f>(BN122+BP122)*($L$2/L122-1)</f>
        <v>0</v>
      </c>
      <c r="BP122" s="1037">
        <f>IFERROR((J122*VLOOKUP(H122, 'Baumaterialien Matériaux'!$A$11:$AH$318, 34,FALSE)),0)/$G$1</f>
        <v>0.13865638217354526</v>
      </c>
      <c r="BQ122" s="1037">
        <f t="shared" si="256"/>
        <v>0.21102362204724415</v>
      </c>
      <c r="BR122" s="1037"/>
    </row>
    <row r="123" spans="2:70">
      <c r="B123" s="1103"/>
      <c r="C123" s="1099"/>
      <c r="D123" s="478"/>
      <c r="E123" s="478"/>
      <c r="F123" s="478" t="s">
        <v>3004</v>
      </c>
      <c r="G123" s="478" t="str">
        <f>_xlfn.XLOOKUP(H123, 'Baumaterialien Matériaux'!A:A, 'Baumaterialien Matériaux'!AD:AD, "-", 0, 1)</f>
        <v>Acier d'armature</v>
      </c>
      <c r="H123" s="892" t="s">
        <v>497</v>
      </c>
      <c r="I123" s="641" t="str">
        <f>_xlfn.XLOOKUP(H123, 'Baumaterialien Matériaux'!A:A, 'Baumaterialien Matériaux'!F:F, "-", 0, 1)</f>
        <v>kg</v>
      </c>
      <c r="J123" s="649">
        <f>$J$121*K123</f>
        <v>3031.5</v>
      </c>
      <c r="K123" s="894">
        <f>0.2*150</f>
        <v>30</v>
      </c>
      <c r="L123" s="647">
        <v>60</v>
      </c>
      <c r="M123" s="648">
        <f t="shared" si="284"/>
        <v>6.0849996660878851</v>
      </c>
      <c r="N123" s="720">
        <f>IFERROR(($J123*VLOOKUP($H123, 'Baumaterialien Matériaux'!$A$11:$AD$318, 26,FALSE)),0)/$G$1</f>
        <v>5.0612728729798313</v>
      </c>
      <c r="O123" s="720">
        <f>IFERROR(($J123*VLOOKUP($H123, 'Baumaterialien Matériaux'!$A$11:$AH$318, 33,FALSE)),0)/$G$1</f>
        <v>0.98188693735808719</v>
      </c>
      <c r="P123" s="720">
        <f t="shared" si="285"/>
        <v>0</v>
      </c>
      <c r="Q123" s="720">
        <f>IFERROR(($J123*VLOOKUP($H123, 'Baumaterialien Matériaux'!$A$11:$AD$318, 27,FALSE)),0)/$G$1</f>
        <v>4.1839855749966612E-2</v>
      </c>
      <c r="R123" s="720">
        <f>IFERROR(($J123*VLOOKUP($H123, 'Baumaterialien Matériaux'!$A$11:$AH$318, 34,FALSE)),0)/$G$1</f>
        <v>0</v>
      </c>
      <c r="S123" s="720">
        <f>IFERROR((J123*VLOOKUP(H123, 'Baumaterialien Matériaux'!$A$11:$AD$318, 29,FALSE)),0)/$G$1</f>
        <v>0</v>
      </c>
      <c r="V123" s="638">
        <f t="shared" si="138"/>
        <v>0</v>
      </c>
      <c r="W123" s="638">
        <f t="shared" si="272"/>
        <v>0</v>
      </c>
      <c r="Z123" s="638">
        <f t="shared" si="142"/>
        <v>60</v>
      </c>
      <c r="AA123" s="648" t="s">
        <v>3456</v>
      </c>
      <c r="AB123" t="str">
        <f>_xlfn.XLOOKUP($H123,'[1]Baumaterialien Matériaux'!$A:$A,'[1]Baumaterialien Matériaux'!AK:AK,0,0)</f>
        <v>metal</v>
      </c>
      <c r="AC123" t="str" cm="1">
        <f t="array" ref="AC123">_xlfn.SWITCH(I123,"kg"," ",0," ",_xlfn.XLOOKUP(H123, '[1]Baumaterialien Matériaux'!$A:$A, '[1]Baumaterialien Matériaux'!$AL:$AL, "-", 0, 1))</f>
        <v xml:space="preserve"> </v>
      </c>
      <c r="AD123" s="622" cm="1">
        <f t="array" ref="AD123">IFERROR(_xlfn.SWITCH(I123,"kg",1,"m3",AC123,AC123)*J123/(_xlfn.XLOOKUP(AA123,Métrés!A:A,Métrés!C:C,0)),0)</f>
        <v>5.0730967728979657</v>
      </c>
      <c r="AE123" s="1092">
        <f>IFERROR(N123*$G$1/(_xlfn.XLOOKUP($AA123,Métrés!$A:$A,Métrés!$C:$C,0)),0)</f>
        <v>7.6096451593469494</v>
      </c>
      <c r="AF123" s="1092">
        <f>IFERROR(O123*$G$1/(_xlfn.XLOOKUP($AA123,Métrés!$A:$A,Métrés!$C:$C,0)),0)</f>
        <v>1.4762711609133079</v>
      </c>
      <c r="AG123" s="1092">
        <f>IFERROR(Q123*$G$1/(_xlfn.XLOOKUP($AA123,Métrés!$A:$A,Métrés!$C:$C,0)),0)</f>
        <v>6.2906399983934783E-2</v>
      </c>
      <c r="AH123" s="1092">
        <f>IFERROR(R123*$G$1/(_xlfn.XLOOKUP($AA123,Métrés!$A:$A,Métrés!$C:$C,0)),0)</f>
        <v>0</v>
      </c>
      <c r="AI123" s="1092">
        <f>IFERROR(S123*$G$1/(_xlfn.XLOOKUP($AA123,Métrés!$A:$A,Métrés!$C:$C,0)),0)</f>
        <v>0</v>
      </c>
      <c r="AJ123" s="1022"/>
      <c r="AK123" s="638">
        <f>IF(L123=60, 0, T123)</f>
        <v>0</v>
      </c>
      <c r="AL123" s="638">
        <f>IF(L123=60, 0, S123)</f>
        <v>0</v>
      </c>
      <c r="AM123" s="638" t="str">
        <f>IF(L123=$L$2, "Structure", IF(L123&gt;0,"Revêtement",0))</f>
        <v>Structure</v>
      </c>
      <c r="AN123" s="1036">
        <f>IF(AM123="Structure",N123,0)</f>
        <v>5.0612728729798313</v>
      </c>
      <c r="AO123" s="1037">
        <f>IF(AM123="Structure",P123,0)</f>
        <v>0</v>
      </c>
      <c r="AP123" s="1037">
        <f>IF(AM123="Structure",Q123,0)</f>
        <v>4.1839855749966612E-2</v>
      </c>
      <c r="AQ123" s="1038">
        <f>IF(AM123="Structure",S123,0)</f>
        <v>0</v>
      </c>
      <c r="AR123" s="1038">
        <f>IF(AM123="Structure",T123,0)</f>
        <v>0</v>
      </c>
      <c r="AS123" s="1036">
        <f>IF(AM123="Insulation",N123,0)</f>
        <v>0</v>
      </c>
      <c r="AT123" s="1037">
        <f>IF(AM123="Insulation",P123,0)</f>
        <v>0</v>
      </c>
      <c r="AU123" s="1037">
        <f>IF(AM123="Insulation",Q123,0)</f>
        <v>0</v>
      </c>
      <c r="AV123" s="1038">
        <f>IF(AM123="Insulation",S123,0)</f>
        <v>0</v>
      </c>
      <c r="AW123" s="1038">
        <f>IF(AM123="Insulation",T123,0)</f>
        <v>0</v>
      </c>
      <c r="AX123" s="1036">
        <f>IF(AM123="Revêtement",N123,0)</f>
        <v>0</v>
      </c>
      <c r="AY123" s="1037">
        <f>IF(AM123="Revêtement",P123,0)</f>
        <v>0</v>
      </c>
      <c r="AZ123" s="1037">
        <f>IF(AM123="Revêtement",Q123,0)</f>
        <v>0</v>
      </c>
      <c r="BA123" s="1037">
        <f>IF(AM123="Revêtement",S123,0)</f>
        <v>0</v>
      </c>
      <c r="BB123" s="1038">
        <f>IF(AM123="Revêtement",T123,0)</f>
        <v>0</v>
      </c>
      <c r="BC123" s="1036"/>
      <c r="BD123" s="1037"/>
      <c r="BE123" s="1037"/>
      <c r="BF123" s="1038"/>
      <c r="BG123" s="1036">
        <f>IF($AM123="Structure", IF($I123="kg",$J123,0), 0)</f>
        <v>3031.5</v>
      </c>
      <c r="BH123" s="1037">
        <f>IF($AM123="Insulation", IF($I123="kg",$J123,0), 0)</f>
        <v>0</v>
      </c>
      <c r="BI123" s="1038">
        <f>IF($AM123="Revêtement", IF($I123="kg",$J123,0), 0)</f>
        <v>0</v>
      </c>
      <c r="BJ123" s="1037">
        <f>_xlfn.XLOOKUP(H123, 'Baumaterialien Matériaux'!A:A, 'Baumaterialien Matériaux'!E:E, "-", 0, 1)</f>
        <v>7850</v>
      </c>
      <c r="BK123" s="1036">
        <f t="shared" si="176"/>
        <v>0.3861783439490446</v>
      </c>
      <c r="BL123" s="1037">
        <f t="shared" si="177"/>
        <v>0</v>
      </c>
      <c r="BM123" s="1038">
        <f t="shared" si="178"/>
        <v>0</v>
      </c>
      <c r="BN123" s="1037">
        <f>IFERROR((J123*VLOOKUP(H123, 'Baumaterialien Matériaux'!$A$11:$AH$318, 33,FALSE)),0)/$G$1</f>
        <v>0.98188693735808719</v>
      </c>
      <c r="BO123" s="1037">
        <f>(BN123+BP123)*($L$2/L123-1)</f>
        <v>0</v>
      </c>
      <c r="BP123" s="1037">
        <f>IFERROR((J123*VLOOKUP(H123, 'Baumaterialien Matériaux'!$A$11:$AH$318, 34,FALSE)),0)/$G$1</f>
        <v>0</v>
      </c>
      <c r="BQ123" s="1037">
        <f t="shared" si="256"/>
        <v>0</v>
      </c>
      <c r="BR123" s="1037"/>
    </row>
    <row r="124" spans="2:70">
      <c r="B124" s="1103"/>
      <c r="C124" s="1099"/>
      <c r="D124" s="478"/>
      <c r="E124" s="478"/>
      <c r="F124" s="478" t="s">
        <v>3361</v>
      </c>
      <c r="G124" s="478" t="str">
        <f>_xlfn.XLOOKUP(H124, 'Baumaterialien Matériaux'!A:A, 'Baumaterialien Matériaux'!AD:AD, "-", 0, 1)</f>
        <v>Béton pour bâtiment (sans armature)</v>
      </c>
      <c r="H124" s="891">
        <v>1.0019999999999998</v>
      </c>
      <c r="I124" s="641" t="str">
        <f>_xlfn.XLOOKUP(H124, 'Baumaterialien Matériaux'!A:A, 'Baumaterialien Matériaux'!F:F, "-", 0, 1)</f>
        <v>kg</v>
      </c>
      <c r="J124" s="649">
        <f>K124*140.99</f>
        <v>32427.7</v>
      </c>
      <c r="K124" s="893">
        <f>0.1*2300</f>
        <v>230</v>
      </c>
      <c r="L124" s="647">
        <v>60</v>
      </c>
      <c r="M124" s="648">
        <f t="shared" ref="M124" si="286">SUM(N124:Q124)</f>
        <v>4.4142154289657629</v>
      </c>
      <c r="N124" s="720">
        <f>IFERROR(($J124*VLOOKUP($H124, 'Baumaterialien Matériaux'!$A$11:$AD$318, 26,FALSE)),0)/$G$1</f>
        <v>3.2050885534927205</v>
      </c>
      <c r="O124" s="720">
        <f>IFERROR(($J124*VLOOKUP($H124, 'Baumaterialien Matériaux'!$A$11:$AH$318, 33,FALSE)),0)/$G$1</f>
        <v>0.75074146298027689</v>
      </c>
      <c r="P124" s="720">
        <f t="shared" ref="P124" si="287">IFERROR((N124+Q124)*($L$2/L124-1),0)</f>
        <v>0</v>
      </c>
      <c r="Q124" s="720">
        <f>IFERROR(($J124*VLOOKUP($H124, 'Baumaterialien Matériaux'!$A$11:$AD$318, 27,FALSE)),0)/$G$1</f>
        <v>0.45838541249276521</v>
      </c>
      <c r="R124" s="720">
        <f>IFERROR(($J124*VLOOKUP($H124, 'Baumaterialien Matériaux'!$A$11:$AH$318, 34,FALSE)),0)/$G$1</f>
        <v>9.6730150037843368E-2</v>
      </c>
      <c r="S124" s="720">
        <f>IFERROR((J124*VLOOKUP(H124, 'Baumaterialien Matériaux'!$A$11:$AD$318, 29,FALSE)),0)/$G$1</f>
        <v>0</v>
      </c>
      <c r="Z124" s="638">
        <f t="shared" si="142"/>
        <v>60</v>
      </c>
      <c r="AA124" s="648" t="s">
        <v>3456</v>
      </c>
      <c r="AB124" t="str">
        <f>_xlfn.XLOOKUP($H124,'[1]Baumaterialien Matériaux'!$A:$A,'[1]Baumaterialien Matériaux'!AK:AK,0,0)</f>
        <v>concrete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 s="622" cm="1">
        <f t="array" ref="AD124">IFERROR(_xlfn.SWITCH(I124,"kg",1,"m3",AC124,AC124)*J124/(_xlfn.XLOOKUP(AA124,Métrés!A:A,Métrés!C:C,0)),0)</f>
        <v>54.266488610424993</v>
      </c>
      <c r="AE124" s="1092">
        <f>IFERROR(N124*$G$1/(_xlfn.XLOOKUP($AA124,Métrés!$A:$A,Métrés!$C:$C,0)),0)</f>
        <v>4.8188641886057395</v>
      </c>
      <c r="AF124" s="1092">
        <f>IFERROR(O124*$G$1/(_xlfn.XLOOKUP($AA124,Métrés!$A:$A,Métrés!$C:$C,0)),0)</f>
        <v>1.12874296309684</v>
      </c>
      <c r="AG124" s="1092">
        <f>IFERROR(Q124*$G$1/(_xlfn.XLOOKUP($AA124,Métrés!$A:$A,Métrés!$C:$C,0)),0)</f>
        <v>0.68918440535239744</v>
      </c>
      <c r="AH124" s="1092">
        <f>IFERROR(R124*$G$1/(_xlfn.XLOOKUP($AA124,Métrés!$A:$A,Métrés!$C:$C,0)),0)</f>
        <v>0.145434189475939</v>
      </c>
      <c r="AI124" s="1092">
        <f>IFERROR(S124*$G$1/(_xlfn.XLOOKUP($AA124,Métrés!$A:$A,Métrés!$C:$C,0)),0)</f>
        <v>0</v>
      </c>
      <c r="AJ124" s="1022"/>
      <c r="AM124" s="638" t="str">
        <f>IF(L124=$L$2, "Structure", IF(L124&gt;0,"Revêtement",0))</f>
        <v>Structure</v>
      </c>
      <c r="AN124" s="1036">
        <f>IF(AM124="Structure",N124,0)</f>
        <v>3.2050885534927205</v>
      </c>
      <c r="AO124" s="1037">
        <f>IF(AM124="Structure",P124,0)</f>
        <v>0</v>
      </c>
      <c r="AP124" s="1037">
        <f>IF(AM124="Structure",Q124,0)</f>
        <v>0.45838541249276521</v>
      </c>
      <c r="AQ124" s="1038">
        <f>IF(AM124="Structure",S124,0)</f>
        <v>0</v>
      </c>
      <c r="AR124" s="1038">
        <f>IF(AM124="Structure",T124,0)</f>
        <v>0</v>
      </c>
      <c r="AS124" s="1036">
        <f>IF(AM124="Insulation",N124,0)</f>
        <v>0</v>
      </c>
      <c r="AT124" s="1037">
        <f>IF(AM124="Insulation",P124,0)</f>
        <v>0</v>
      </c>
      <c r="AU124" s="1037">
        <f>IF(AM124="Insulation",Q124,0)</f>
        <v>0</v>
      </c>
      <c r="AV124" s="1038">
        <f>IF(AM124="Insulation",S124,0)</f>
        <v>0</v>
      </c>
      <c r="AW124" s="1038">
        <f>IF(AM124="Insulation",T124,0)</f>
        <v>0</v>
      </c>
      <c r="AX124" s="1036">
        <f>IF(AM124="Revêtement",N124,0)</f>
        <v>0</v>
      </c>
      <c r="AY124" s="1037">
        <f>IF(AM124="Revêtement",P124,0)</f>
        <v>0</v>
      </c>
      <c r="AZ124" s="1037">
        <f>IF(AM124="Revêtement",Q124,0)</f>
        <v>0</v>
      </c>
      <c r="BA124" s="1037">
        <f>IF(AM124="Revêtement",S124,0)</f>
        <v>0</v>
      </c>
      <c r="BB124" s="1038">
        <f>IF(AM124="Revêtement",T124,0)</f>
        <v>0</v>
      </c>
      <c r="BC124" s="1036"/>
      <c r="BD124" s="1037"/>
      <c r="BE124" s="1037"/>
      <c r="BF124" s="1038"/>
      <c r="BG124" s="1036">
        <f>IF($AM124="Structure", IF($I124="kg",$J124,0), 0)</f>
        <v>32427.7</v>
      </c>
      <c r="BH124" s="1037">
        <f>IF($AM124="Insulation", IF($I124="kg",$J124,0), 0)</f>
        <v>0</v>
      </c>
      <c r="BI124" s="1038">
        <f>IF($AM124="Revêtement", IF($I124="kg",$J124,0), 0)</f>
        <v>0</v>
      </c>
      <c r="BJ124" s="1037">
        <f>_xlfn.XLOOKUP(H124, 'Baumaterialien Matériaux'!A:A, 'Baumaterialien Matériaux'!E:E, "-", 0, 1)</f>
        <v>2300</v>
      </c>
      <c r="BK124" s="1036">
        <f t="shared" si="176"/>
        <v>14.099</v>
      </c>
      <c r="BL124" s="1037">
        <f t="shared" si="177"/>
        <v>0</v>
      </c>
      <c r="BM124" s="1038">
        <f t="shared" si="178"/>
        <v>0</v>
      </c>
      <c r="BN124" s="1037">
        <f>IFERROR((J124*VLOOKUP(H124, 'Baumaterialien Matériaux'!$A$11:$AH$318, 33,FALSE)),0)/$G$1</f>
        <v>0.75074146298027689</v>
      </c>
      <c r="BO124" s="1037">
        <f>(BN124+BP124)*($L$2/L124-1)</f>
        <v>0</v>
      </c>
      <c r="BP124" s="1037">
        <f>IFERROR((J124*VLOOKUP(H124, 'Baumaterialien Matériaux'!$A$11:$AH$318, 34,FALSE)),0)/$G$1</f>
        <v>9.6730150037843368E-2</v>
      </c>
      <c r="BQ124" s="1037">
        <f t="shared" si="256"/>
        <v>0.21102362204724409</v>
      </c>
      <c r="BR124" s="1037"/>
    </row>
    <row r="125" spans="2:70">
      <c r="B125" s="1103"/>
      <c r="C125" s="1099"/>
      <c r="D125" s="478"/>
      <c r="E125" s="478"/>
      <c r="F125" s="479" t="s">
        <v>3072</v>
      </c>
      <c r="G125" s="479"/>
      <c r="H125" s="479"/>
      <c r="I125" s="460" t="s">
        <v>39</v>
      </c>
      <c r="J125" s="662">
        <v>50.78</v>
      </c>
      <c r="K125" s="663"/>
      <c r="L125" s="663"/>
      <c r="M125" s="664">
        <f>SUM(M126:M129)</f>
        <v>8.4408467287743196</v>
      </c>
      <c r="N125" s="664">
        <f t="shared" ref="N125:T125" si="288">SUM(N126:N129)</f>
        <v>5.431622996527314</v>
      </c>
      <c r="O125" s="664">
        <f t="shared" ref="O125" si="289">SUM(O126:O129)</f>
        <v>1.2891672955344819</v>
      </c>
      <c r="P125" s="664">
        <f t="shared" si="288"/>
        <v>0.97415882529718156</v>
      </c>
      <c r="Q125" s="664">
        <f t="shared" si="288"/>
        <v>0.74589761141534194</v>
      </c>
      <c r="R125" s="664">
        <f t="shared" ref="R125" si="290">SUM(R126:R129)</f>
        <v>0.15978068207114551</v>
      </c>
      <c r="S125" s="664">
        <f t="shared" si="288"/>
        <v>7.274962713147233E-2</v>
      </c>
      <c r="T125" s="664">
        <f t="shared" si="288"/>
        <v>7.2749627131472329E-4</v>
      </c>
      <c r="V125" s="638">
        <f t="shared" ref="V125:V174" si="291">IF(L125=60, 0, T125)</f>
        <v>7.2749627131472329E-4</v>
      </c>
      <c r="Z125" s="638">
        <f t="shared" si="142"/>
        <v>0</v>
      </c>
      <c r="AA125" s="648" t="s">
        <v>3456</v>
      </c>
      <c r="AB125">
        <f>_xlfn.XLOOKUP($H125,'[1]Baumaterialien Matériaux'!$A:$A,'[1]Baumaterialien Matériaux'!AK:AK,0,0)</f>
        <v>0</v>
      </c>
      <c r="AC125" cm="1">
        <f t="array" ref="AC125">_xlfn.SWITCH(I125,"kg"," ",0," ",_xlfn.XLOOKUP(H125, '[1]Baumaterialien Matériaux'!$A:$A, '[1]Baumaterialien Matériaux'!$AL:$AL, "-", 0, 1))</f>
        <v>0</v>
      </c>
      <c r="AD125" s="622" cm="1">
        <f t="array" ref="AD125">IFERROR(_xlfn.SWITCH(I125,"kg",1,"m3",AC125,AC125)*J125/(_xlfn.XLOOKUP(AA125,Métrés!A:A,Métrés!C:C,0)),0)</f>
        <v>0</v>
      </c>
      <c r="AE125" s="1092">
        <f>IFERROR(N125*$G$1/(_xlfn.XLOOKUP($AA125,Métrés!$A:$A,Métrés!$C:$C,0)),0)</f>
        <v>8.1664681356306605</v>
      </c>
      <c r="AF125" s="1092">
        <f>IFERROR(O125*$G$1/(_xlfn.XLOOKUP($AA125,Métrés!$A:$A,Métrés!$C:$C,0)),0)</f>
        <v>1.9382684783554567</v>
      </c>
      <c r="AG125" s="1092">
        <f>IFERROR(Q125*$G$1/(_xlfn.XLOOKUP($AA125,Métrés!$A:$A,Métrés!$C:$C,0)),0)</f>
        <v>1.1214602117932135</v>
      </c>
      <c r="AH125" s="1092">
        <f>IFERROR(R125*$G$1/(_xlfn.XLOOKUP($AA125,Métrés!$A:$A,Métrés!$C:$C,0)),0)</f>
        <v>0.24023093091283945</v>
      </c>
      <c r="AI125" s="1092">
        <f>IFERROR(S125*$G$1/(_xlfn.XLOOKUP($AA125,Métrés!$A:$A,Métrés!$C:$C,0)),0)</f>
        <v>0.10937937191664827</v>
      </c>
      <c r="AJ125" s="1021"/>
      <c r="AK125" s="1021"/>
      <c r="AL125" s="1021"/>
      <c r="AM125" s="1021"/>
      <c r="AN125" s="1057"/>
      <c r="AO125" s="1021"/>
      <c r="AP125" s="1021"/>
      <c r="AQ125" s="1021"/>
      <c r="AR125" s="1058"/>
      <c r="AS125" s="1057"/>
      <c r="AT125" s="1021"/>
      <c r="AU125" s="1021"/>
      <c r="AV125" s="1021"/>
      <c r="AW125" s="1058"/>
      <c r="AX125" s="1057"/>
      <c r="AY125" s="1021"/>
      <c r="AZ125" s="1021"/>
      <c r="BA125" s="1021"/>
      <c r="BB125" s="1058"/>
      <c r="BC125" s="1057"/>
      <c r="BD125" s="1021"/>
      <c r="BE125" s="1021"/>
      <c r="BF125" s="1058"/>
      <c r="BG125" s="1057"/>
      <c r="BH125" s="1021"/>
      <c r="BI125" s="1058"/>
      <c r="BJ125" s="1045"/>
      <c r="BK125" s="1057"/>
      <c r="BL125" s="1021"/>
      <c r="BM125" s="1058"/>
      <c r="BN125" s="1037">
        <f>IFERROR((J125*VLOOKUP(H125, 'Baumaterialien Matériaux'!$A$11:$AH$318, 33,FALSE)),0)/$G$1</f>
        <v>0</v>
      </c>
      <c r="BO125" s="1037"/>
      <c r="BP125" s="1037">
        <f>IFERROR((J125*VLOOKUP(H125, 'Baumaterialien Matériaux'!$A$11:$AH$318, 34,FALSE)),0)/$G$1</f>
        <v>0</v>
      </c>
      <c r="BQ125" s="1037">
        <f t="shared" si="256"/>
        <v>0</v>
      </c>
      <c r="BR125" s="1037"/>
    </row>
    <row r="126" spans="2:70">
      <c r="B126" s="1103"/>
      <c r="C126" s="1099"/>
      <c r="D126" s="478"/>
      <c r="E126" s="478"/>
      <c r="F126" s="638" t="s">
        <v>2981</v>
      </c>
      <c r="G126" s="478" t="str">
        <f>_xlfn.XLOOKUP(H126, 'Baumaterialien Matériaux'!A:A, 'Baumaterialien Matériaux'!AD:AD, "-", 0, 1)</f>
        <v>Béton pour bâtiment (sans armature)</v>
      </c>
      <c r="H126" s="891">
        <v>1.0019999999999998</v>
      </c>
      <c r="I126" s="641" t="str">
        <f>_xlfn.XLOOKUP(H126, 'Baumaterialien Matériaux'!A:A, 'Baumaterialien Matériaux'!F:F, "-", 0, 1)</f>
        <v>kg</v>
      </c>
      <c r="J126" s="649">
        <f>$J$125*K126</f>
        <v>23358.799999999999</v>
      </c>
      <c r="K126" s="893">
        <f>0.2*2300</f>
        <v>460</v>
      </c>
      <c r="L126" s="643">
        <v>60</v>
      </c>
      <c r="M126" s="648">
        <f t="shared" ref="M126:M127" si="292">SUM(N126:Q126)</f>
        <v>3.1797128801032901</v>
      </c>
      <c r="N126" s="720">
        <f>IFERROR(($J126*VLOOKUP($H126, 'Baumaterialien Matériaux'!$A$11:$AD$318, 26,FALSE)),0)/$G$1</f>
        <v>2.3087367436890611</v>
      </c>
      <c r="O126" s="720">
        <f>IFERROR(($J126*VLOOKUP($H126, 'Baumaterialien Matériaux'!$A$11:$AH$318, 33,FALSE)),0)/$G$1</f>
        <v>0.54078518320644664</v>
      </c>
      <c r="P126" s="720">
        <f t="shared" ref="P126:P127" si="293">IFERROR((N126+Q126)*($L$2/L126-1),0)</f>
        <v>0</v>
      </c>
      <c r="Q126" s="720">
        <f>IFERROR(($J126*VLOOKUP($H126, 'Baumaterialien Matériaux'!$A$11:$AD$318, 27,FALSE)),0)/$G$1</f>
        <v>0.3301909532077823</v>
      </c>
      <c r="R126" s="720">
        <f>IFERROR(($J126*VLOOKUP($H126, 'Baumaterialien Matériaux'!$A$11:$AH$318, 34,FALSE)),0)/$G$1</f>
        <v>6.9678090913138327E-2</v>
      </c>
      <c r="S126" s="720">
        <f>IFERROR((J126*VLOOKUP(H126, 'Baumaterialien Matériaux'!$A$11:$AD$318, 29,FALSE)),0)/$G$1</f>
        <v>0</v>
      </c>
      <c r="V126" s="638">
        <f t="shared" si="291"/>
        <v>0</v>
      </c>
      <c r="W126" s="638">
        <f t="shared" ref="W126:W135" si="294">IF(L126=60, 0, S126)</f>
        <v>0</v>
      </c>
      <c r="Z126" s="638">
        <f t="shared" si="142"/>
        <v>60</v>
      </c>
      <c r="AA126" s="648" t="s">
        <v>3456</v>
      </c>
      <c r="AB126" t="str">
        <f>_xlfn.XLOOKUP($H126,'[1]Baumaterialien Matériaux'!$A:$A,'[1]Baumaterialien Matériaux'!AK:AK,0,0)</f>
        <v>concrete</v>
      </c>
      <c r="AC126" t="str" cm="1">
        <f t="array" ref="AC126">_xlfn.SWITCH(I126,"kg"," ",0," ",_xlfn.XLOOKUP(H126, '[1]Baumaterialien Matériaux'!$A:$A, '[1]Baumaterialien Matériaux'!$AL:$AL, "-", 0, 1))</f>
        <v xml:space="preserve"> </v>
      </c>
      <c r="AD126" s="622" cm="1">
        <f t="array" ref="AD126">IFERROR(_xlfn.SWITCH(I126,"kg",1,"m3",AC126,AC126)*J126/(_xlfn.XLOOKUP(AA126,Métrés!A:A,Métrés!C:C,0)),0)</f>
        <v>39.090038891231735</v>
      </c>
      <c r="AE126" s="1092">
        <f>IFERROR(N126*$G$1/(_xlfn.XLOOKUP($AA126,Métrés!$A:$A,Métrés!$C:$C,0)),0)</f>
        <v>3.4711954535413785</v>
      </c>
      <c r="AF126" s="1092">
        <f>IFERROR(O126*$G$1/(_xlfn.XLOOKUP($AA126,Métrés!$A:$A,Métrés!$C:$C,0)),0)</f>
        <v>0.81307280893762002</v>
      </c>
      <c r="AG126" s="1092">
        <f>IFERROR(Q126*$G$1/(_xlfn.XLOOKUP($AA126,Métrés!$A:$A,Métrés!$C:$C,0)),0)</f>
        <v>0.49644349391864301</v>
      </c>
      <c r="AH126" s="1092">
        <f>IFERROR(R126*$G$1/(_xlfn.XLOOKUP($AA126,Métrés!$A:$A,Métrés!$C:$C,0)),0)</f>
        <v>0.10476130422850106</v>
      </c>
      <c r="AI126" s="1092">
        <f>IFERROR(S126*$G$1/(_xlfn.XLOOKUP($AA126,Métrés!$A:$A,Métrés!$C:$C,0)),0)</f>
        <v>0</v>
      </c>
      <c r="AJ126" s="1022"/>
      <c r="AK126" s="638">
        <f>IF(L126=60, 0, T126)</f>
        <v>0</v>
      </c>
      <c r="AL126" s="638">
        <f>IF(L126=60, 0, S126)</f>
        <v>0</v>
      </c>
      <c r="AM126" s="638" t="str">
        <f>IF(L126=$L$2, "Structure", IF(L126&gt;0,"Revêtement",0))</f>
        <v>Structure</v>
      </c>
      <c r="AN126" s="1036">
        <f>IF(AM126="Structure",N126,0)</f>
        <v>2.3087367436890611</v>
      </c>
      <c r="AO126" s="1037">
        <f>IF(AM126="Structure",P126,0)</f>
        <v>0</v>
      </c>
      <c r="AP126" s="1037">
        <f>IF(AM126="Structure",Q126,0)</f>
        <v>0.3301909532077823</v>
      </c>
      <c r="AQ126" s="1038">
        <f>IF(AM126="Structure",S126,0)</f>
        <v>0</v>
      </c>
      <c r="AR126" s="1038">
        <f>IF(AM126="Structure",T126,0)</f>
        <v>0</v>
      </c>
      <c r="AS126" s="1036">
        <f>IF(AM126="Insulation",N126,0)</f>
        <v>0</v>
      </c>
      <c r="AT126" s="1037">
        <f>IF(AM126="Insulation",P126,0)</f>
        <v>0</v>
      </c>
      <c r="AU126" s="1037">
        <f>IF(AM126="Insulation",Q126,0)</f>
        <v>0</v>
      </c>
      <c r="AV126" s="1038">
        <f>IF(AM126="Insulation",S126,0)</f>
        <v>0</v>
      </c>
      <c r="AW126" s="1038">
        <f>IF(AM126="Insulation",T126,0)</f>
        <v>0</v>
      </c>
      <c r="AX126" s="1036">
        <f>IF(AM126="Revêtement",N126,0)</f>
        <v>0</v>
      </c>
      <c r="AY126" s="1037">
        <f>IF(AM126="Revêtement",P126,0)</f>
        <v>0</v>
      </c>
      <c r="AZ126" s="1037">
        <f>IF(AM126="Revêtement",Q126,0)</f>
        <v>0</v>
      </c>
      <c r="BA126" s="1037">
        <f>IF(AM126="Revêtement",S126,0)</f>
        <v>0</v>
      </c>
      <c r="BB126" s="1038">
        <f>IF(AM126="Revêtement",T126,0)</f>
        <v>0</v>
      </c>
      <c r="BC126" s="1036"/>
      <c r="BD126" s="1037"/>
      <c r="BE126" s="1037"/>
      <c r="BF126" s="1038"/>
      <c r="BG126" s="1036">
        <f>IF($AM126="Structure", IF($I126="kg",$J126,0), 0)</f>
        <v>23358.799999999999</v>
      </c>
      <c r="BH126" s="1037">
        <f>IF($AM126="Insulation", IF($I126="kg",$J126,0), 0)</f>
        <v>0</v>
      </c>
      <c r="BI126" s="1038">
        <f>IF($AM126="Revêtement", IF($I126="kg",$J126,0), 0)</f>
        <v>0</v>
      </c>
      <c r="BJ126" s="1037">
        <f>_xlfn.XLOOKUP(H126, 'Baumaterialien Matériaux'!A:A, 'Baumaterialien Matériaux'!E:E, "-", 0, 1)</f>
        <v>2300</v>
      </c>
      <c r="BK126" s="1036">
        <f t="shared" si="176"/>
        <v>10.155999999999999</v>
      </c>
      <c r="BL126" s="1037">
        <f t="shared" si="177"/>
        <v>0</v>
      </c>
      <c r="BM126" s="1038">
        <f t="shared" si="178"/>
        <v>0</v>
      </c>
      <c r="BN126" s="1037">
        <f>IFERROR((J126*VLOOKUP(H126, 'Baumaterialien Matériaux'!$A$11:$AH$318, 33,FALSE)),0)/$G$1</f>
        <v>0.54078518320644664</v>
      </c>
      <c r="BO126" s="1037">
        <f>(BN126+BP126)*($L$2/L126-1)</f>
        <v>0</v>
      </c>
      <c r="BP126" s="1037">
        <f>IFERROR((J126*VLOOKUP(H126, 'Baumaterialien Matériaux'!$A$11:$AH$318, 34,FALSE)),0)/$G$1</f>
        <v>6.9678090913138327E-2</v>
      </c>
      <c r="BQ126" s="1037">
        <f t="shared" si="256"/>
        <v>0.21102362204724415</v>
      </c>
      <c r="BR126" s="1037"/>
    </row>
    <row r="127" spans="2:70">
      <c r="B127" s="1103"/>
      <c r="C127" s="1099"/>
      <c r="D127" s="478"/>
      <c r="E127" s="478"/>
      <c r="F127" s="478" t="s">
        <v>3004</v>
      </c>
      <c r="G127" s="478" t="str">
        <f>_xlfn.XLOOKUP(H127, 'Baumaterialien Matériaux'!A:A, 'Baumaterialien Matériaux'!AD:AD, "-", 0, 1)</f>
        <v>Acier d'armature</v>
      </c>
      <c r="H127" s="892" t="s">
        <v>497</v>
      </c>
      <c r="I127" s="641" t="str">
        <f>_xlfn.XLOOKUP(H127, 'Baumaterialien Matériaux'!A:A, 'Baumaterialien Matériaux'!F:F, "-", 0, 1)</f>
        <v>kg</v>
      </c>
      <c r="J127" s="649">
        <f t="shared" ref="J127:J128" si="295">$J$125*K127</f>
        <v>1523.4</v>
      </c>
      <c r="K127" s="894">
        <f>0.2*150</f>
        <v>30</v>
      </c>
      <c r="L127" s="647">
        <v>60</v>
      </c>
      <c r="M127" s="648">
        <f t="shared" si="292"/>
        <v>3.0578553492720717</v>
      </c>
      <c r="N127" s="720">
        <f>IFERROR(($J127*VLOOKUP($H127, 'Baumaterialien Matériaux'!$A$11:$AD$318, 26,FALSE)),0)/$G$1</f>
        <v>2.5434085748630961</v>
      </c>
      <c r="O127" s="720">
        <f>IFERROR(($J127*VLOOKUP($H127, 'Baumaterialien Matériaux'!$A$11:$AH$318, 33,FALSE)),0)/$G$1</f>
        <v>0.49342126352344057</v>
      </c>
      <c r="P127" s="720">
        <f t="shared" si="293"/>
        <v>0</v>
      </c>
      <c r="Q127" s="720">
        <f>IFERROR(($J127*VLOOKUP($H127, 'Baumaterialien Matériaux'!$A$11:$AD$318, 27,FALSE)),0)/$G$1</f>
        <v>2.1025510885534927E-2</v>
      </c>
      <c r="R127" s="720">
        <f>IFERROR(($J127*VLOOKUP($H127, 'Baumaterialien Matériaux'!$A$11:$AH$318, 34,FALSE)),0)/$G$1</f>
        <v>0</v>
      </c>
      <c r="S127" s="720">
        <f>IFERROR((J127*VLOOKUP(H127, 'Baumaterialien Matériaux'!$A$11:$AD$318, 29,FALSE)),0)/$G$1</f>
        <v>0</v>
      </c>
      <c r="V127" s="638">
        <f t="shared" si="291"/>
        <v>0</v>
      </c>
      <c r="W127" s="638">
        <f t="shared" si="294"/>
        <v>0</v>
      </c>
      <c r="Z127" s="638">
        <f t="shared" si="142"/>
        <v>60</v>
      </c>
      <c r="AA127" s="648" t="s">
        <v>3456</v>
      </c>
      <c r="AB127" t="str">
        <f>_xlfn.XLOOKUP($H127,'[1]Baumaterialien Matériaux'!$A:$A,'[1]Baumaterialien Matériaux'!AK:AK,0,0)</f>
        <v>metal</v>
      </c>
      <c r="AC127" t="str" cm="1">
        <f t="array" ref="AC127">_xlfn.SWITCH(I127,"kg"," ",0," ",_xlfn.XLOOKUP(H127, '[1]Baumaterialien Matériaux'!$A:$A, '[1]Baumaterialien Matériaux'!$AL:$AL, "-", 0, 1))</f>
        <v xml:space="preserve"> </v>
      </c>
      <c r="AD127" s="622" cm="1">
        <f t="array" ref="AD127">IFERROR(_xlfn.SWITCH(I127,"kg",1,"m3",AC127,AC127)*J127/(_xlfn.XLOOKUP(AA127,Métrés!A:A,Métrés!C:C,0)),0)</f>
        <v>2.5493503624716349</v>
      </c>
      <c r="AE127" s="1092">
        <f>IFERROR(N127*$G$1/(_xlfn.XLOOKUP($AA127,Métrés!$A:$A,Métrés!$C:$C,0)),0)</f>
        <v>3.8240255437074531</v>
      </c>
      <c r="AF127" s="1092">
        <f>IFERROR(O127*$G$1/(_xlfn.XLOOKUP($AA127,Métrés!$A:$A,Métrés!$C:$C,0)),0)</f>
        <v>0.7418609554792458</v>
      </c>
      <c r="AG127" s="1092">
        <f>IFERROR(Q127*$G$1/(_xlfn.XLOOKUP($AA127,Métrés!$A:$A,Métrés!$C:$C,0)),0)</f>
        <v>3.1611944494648277E-2</v>
      </c>
      <c r="AH127" s="1092">
        <f>IFERROR(R127*$G$1/(_xlfn.XLOOKUP($AA127,Métrés!$A:$A,Métrés!$C:$C,0)),0)</f>
        <v>0</v>
      </c>
      <c r="AI127" s="1092">
        <f>IFERROR(S127*$G$1/(_xlfn.XLOOKUP($AA127,Métrés!$A:$A,Métrés!$C:$C,0)),0)</f>
        <v>0</v>
      </c>
      <c r="AJ127" s="1022"/>
      <c r="AK127" s="638">
        <f>IF(L127=60, 0, T127)</f>
        <v>0</v>
      </c>
      <c r="AL127" s="638">
        <f>IF(L127=60, 0, S127)</f>
        <v>0</v>
      </c>
      <c r="AM127" s="638" t="str">
        <f>IF(L127=$L$2, "Structure", IF(L127&gt;0,"Revêtement",0))</f>
        <v>Structure</v>
      </c>
      <c r="AN127" s="1036">
        <f>IF(AM127="Structure",N127,0)</f>
        <v>2.5434085748630961</v>
      </c>
      <c r="AO127" s="1037">
        <f>IF(AM127="Structure",P127,0)</f>
        <v>0</v>
      </c>
      <c r="AP127" s="1037">
        <f>IF(AM127="Structure",Q127,0)</f>
        <v>2.1025510885534927E-2</v>
      </c>
      <c r="AQ127" s="1038">
        <f>IF(AM127="Structure",S127,0)</f>
        <v>0</v>
      </c>
      <c r="AR127" s="1038">
        <f>IF(AM127="Structure",T127,0)</f>
        <v>0</v>
      </c>
      <c r="AS127" s="1036">
        <f>IF(AM127="Insulation",N127,0)</f>
        <v>0</v>
      </c>
      <c r="AT127" s="1037">
        <f>IF(AM127="Insulation",P127,0)</f>
        <v>0</v>
      </c>
      <c r="AU127" s="1037">
        <f>IF(AM127="Insulation",Q127,0)</f>
        <v>0</v>
      </c>
      <c r="AV127" s="1038">
        <f>IF(AM127="Insulation",S127,0)</f>
        <v>0</v>
      </c>
      <c r="AW127" s="1038">
        <f>IF(AM127="Insulation",T127,0)</f>
        <v>0</v>
      </c>
      <c r="AX127" s="1036">
        <f>IF(AM127="Revêtement",N127,0)</f>
        <v>0</v>
      </c>
      <c r="AY127" s="1037">
        <f>IF(AM127="Revêtement",P127,0)</f>
        <v>0</v>
      </c>
      <c r="AZ127" s="1037">
        <f>IF(AM127="Revêtement",Q127,0)</f>
        <v>0</v>
      </c>
      <c r="BA127" s="1037">
        <f>IF(AM127="Revêtement",S127,0)</f>
        <v>0</v>
      </c>
      <c r="BB127" s="1038">
        <f>IF(AM127="Revêtement",T127,0)</f>
        <v>0</v>
      </c>
      <c r="BC127" s="1036"/>
      <c r="BD127" s="1037"/>
      <c r="BE127" s="1037"/>
      <c r="BF127" s="1038"/>
      <c r="BG127" s="1036">
        <f>IF($AM127="Structure", IF($I127="kg",$J127,0), 0)</f>
        <v>1523.4</v>
      </c>
      <c r="BH127" s="1037">
        <f>IF($AM127="Insulation", IF($I127="kg",$J127,0), 0)</f>
        <v>0</v>
      </c>
      <c r="BI127" s="1038">
        <f>IF($AM127="Revêtement", IF($I127="kg",$J127,0), 0)</f>
        <v>0</v>
      </c>
      <c r="BJ127" s="1037">
        <f>_xlfn.XLOOKUP(H127, 'Baumaterialien Matériaux'!A:A, 'Baumaterialien Matériaux'!E:E, "-", 0, 1)</f>
        <v>7850</v>
      </c>
      <c r="BK127" s="1036">
        <f t="shared" si="176"/>
        <v>0.19406369426751593</v>
      </c>
      <c r="BL127" s="1037">
        <f t="shared" si="177"/>
        <v>0</v>
      </c>
      <c r="BM127" s="1038">
        <f t="shared" si="178"/>
        <v>0</v>
      </c>
      <c r="BN127" s="1037">
        <f>IFERROR((J127*VLOOKUP(H127, 'Baumaterialien Matériaux'!$A$11:$AH$318, 33,FALSE)),0)/$G$1</f>
        <v>0.49342126352344057</v>
      </c>
      <c r="BO127" s="1037">
        <f>(BN127+BP127)*($L$2/L127-1)</f>
        <v>0</v>
      </c>
      <c r="BP127" s="1037">
        <f>IFERROR((J127*VLOOKUP(H127, 'Baumaterialien Matériaux'!$A$11:$AH$318, 34,FALSE)),0)/$G$1</f>
        <v>0</v>
      </c>
      <c r="BQ127" s="1037">
        <f t="shared" si="256"/>
        <v>0</v>
      </c>
      <c r="BR127" s="1037"/>
    </row>
    <row r="128" spans="2:70">
      <c r="B128" s="1103"/>
      <c r="C128" s="1099"/>
      <c r="D128" s="478"/>
      <c r="E128" s="478"/>
      <c r="F128" s="478" t="s">
        <v>3074</v>
      </c>
      <c r="G128" s="478" t="str">
        <f>_xlfn.XLOOKUP(H128, 'Baumaterialien Matériaux'!A:A, 'Baumaterialien Matériaux'!AD:AD, "-", 0, 1)</f>
        <v>Polystyrène expansé (EPS)</v>
      </c>
      <c r="H128" s="902" t="s">
        <v>118</v>
      </c>
      <c r="I128" s="641" t="str">
        <f>_xlfn.XLOOKUP(H128, 'Baumaterialien Matériaux'!A:A, 'Baumaterialien Matériaux'!F:F, "-", 0, 1)</f>
        <v>kg</v>
      </c>
      <c r="J128" s="649">
        <f t="shared" si="295"/>
        <v>114.255</v>
      </c>
      <c r="K128" s="647">
        <f>0.15*15</f>
        <v>2.25</v>
      </c>
      <c r="L128" s="647">
        <v>30</v>
      </c>
      <c r="M128" s="648">
        <f t="shared" ref="M128:M129" si="296">SUM(N128:Q128)</f>
        <v>2.1860596700948305</v>
      </c>
      <c r="N128" s="720">
        <f>IFERROR(($J128*VLOOKUP($H128, 'Baumaterialien Matériaux'!$A$11:$AD$318, 26,FALSE)),0)/$G$1</f>
        <v>0.57353863363162805</v>
      </c>
      <c r="O128" s="720">
        <f>IFERROR(($J128*VLOOKUP($H128, 'Baumaterialien Matériaux'!$A$11:$AH$318, 33,FALSE)),0)/$G$1</f>
        <v>0.25306915319887802</v>
      </c>
      <c r="P128" s="720">
        <f t="shared" ref="P128:P129" si="297">IFERROR((N128+Q128)*($L$2/L128-1),0)</f>
        <v>0.96649525844797624</v>
      </c>
      <c r="Q128" s="720">
        <f>IFERROR(($J128*VLOOKUP($H128, 'Baumaterialien Matériaux'!$A$11:$AD$318, 27,FALSE)),0)/$G$1</f>
        <v>0.39295662481634824</v>
      </c>
      <c r="R128" s="720">
        <f>IFERROR(($J128*VLOOKUP($H128, 'Baumaterialien Matériaux'!$A$11:$AH$318, 34,FALSE)),0)/$G$1</f>
        <v>8.9782322692667282E-2</v>
      </c>
      <c r="S128" s="720">
        <f>IFERROR((J128*VLOOKUP(H128, 'Baumaterialien Matériaux'!$A$11:$AD$318, 29,FALSE)),0)/$G$1</f>
        <v>0</v>
      </c>
      <c r="V128" s="638">
        <f t="shared" si="291"/>
        <v>0</v>
      </c>
      <c r="W128" s="638">
        <f t="shared" si="294"/>
        <v>0</v>
      </c>
      <c r="Z128" s="638">
        <f t="shared" si="142"/>
        <v>30</v>
      </c>
      <c r="AA128" s="648" t="s">
        <v>3456</v>
      </c>
      <c r="AB128" t="str">
        <f>_xlfn.XLOOKUP($H128,'[1]Baumaterialien Matériaux'!$A:$A,'[1]Baumaterialien Matériaux'!AK:AK,0,0)</f>
        <v>oil_product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 s="622" cm="1">
        <f t="array" ref="AD128">IFERROR(_xlfn.SWITCH(I128,"kg",1,"m3",AC128,AC128)*J128/(_xlfn.XLOOKUP(AA128,Métrés!A:A,Métrés!C:C,0)),0)</f>
        <v>0.19120127718537261</v>
      </c>
      <c r="AE128" s="1092">
        <f>IFERROR(N128*$G$1/(_xlfn.XLOOKUP($AA128,Métrés!$A:$A,Métrés!$C:$C,0)),0)</f>
        <v>0.86231776010603045</v>
      </c>
      <c r="AF128" s="1092">
        <f>IFERROR(O128*$G$1/(_xlfn.XLOOKUP($AA128,Métrés!$A:$A,Métrés!$C:$C,0)),0)</f>
        <v>0.38049054159889151</v>
      </c>
      <c r="AG128" s="1092">
        <f>IFERROR(Q128*$G$1/(_xlfn.XLOOKUP($AA128,Métrés!$A:$A,Métrés!$C:$C,0)),0)</f>
        <v>0.59081194650280133</v>
      </c>
      <c r="AH128" s="1092">
        <f>IFERROR(R128*$G$1/(_xlfn.XLOOKUP($AA128,Métrés!$A:$A,Métrés!$C:$C,0)),0)</f>
        <v>0.13498810169287306</v>
      </c>
      <c r="AI128" s="1092">
        <f>IFERROR(S128*$G$1/(_xlfn.XLOOKUP($AA128,Métrés!$A:$A,Métrés!$C:$C,0)),0)</f>
        <v>0</v>
      </c>
      <c r="AJ128" s="1022"/>
      <c r="AK128" s="638">
        <f>IF(L128=60, 0, T128)</f>
        <v>0</v>
      </c>
      <c r="AL128" s="638">
        <f>IF(L128=60, 0, S128)</f>
        <v>0</v>
      </c>
      <c r="AM128" s="638" t="s">
        <v>3388</v>
      </c>
      <c r="AN128" s="1036">
        <f>IF(AM128="Structure",N128,0)</f>
        <v>0</v>
      </c>
      <c r="AO128" s="1037">
        <f>IF(AM128="Structure",P128,0)</f>
        <v>0</v>
      </c>
      <c r="AP128" s="1037">
        <f>IF(AM128="Structure",Q128,0)</f>
        <v>0</v>
      </c>
      <c r="AQ128" s="1038">
        <f>IF(AM128="Structure",S128,0)</f>
        <v>0</v>
      </c>
      <c r="AR128" s="1038">
        <f>IF(AM128="Structure",T128,0)</f>
        <v>0</v>
      </c>
      <c r="AS128" s="1036">
        <f>IF(AM128="Insulation",N128,0)</f>
        <v>0.57353863363162805</v>
      </c>
      <c r="AT128" s="1037">
        <f>IF(AM128="Insulation",P128,0)</f>
        <v>0.96649525844797624</v>
      </c>
      <c r="AU128" s="1037">
        <f>IF(AM128="Insulation",Q128,0)</f>
        <v>0.39295662481634824</v>
      </c>
      <c r="AV128" s="1038">
        <f>IF(AM128="Insulation",S128,0)</f>
        <v>0</v>
      </c>
      <c r="AW128" s="1038">
        <f>IF(AM128="Insulation",T128,0)</f>
        <v>0</v>
      </c>
      <c r="AX128" s="1036">
        <f>IF(AM128="Revêtement",N128,0)</f>
        <v>0</v>
      </c>
      <c r="AY128" s="1037">
        <f>IF(AM128="Revêtement",P128,0)</f>
        <v>0</v>
      </c>
      <c r="AZ128" s="1037">
        <f>IF(AM128="Revêtement",Q128,0)</f>
        <v>0</v>
      </c>
      <c r="BA128" s="1037">
        <f>IF(AM128="Revêtement",S128,0)</f>
        <v>0</v>
      </c>
      <c r="BB128" s="1038">
        <f>IF(AM128="Revêtement",T128,0)</f>
        <v>0</v>
      </c>
      <c r="BC128" s="1036"/>
      <c r="BD128" s="1037"/>
      <c r="BE128" s="1037"/>
      <c r="BF128" s="1038"/>
      <c r="BG128" s="1036">
        <f>IF($AM128="Structure", IF($I128="kg",$J128,0), 0)</f>
        <v>0</v>
      </c>
      <c r="BH128" s="1037">
        <f>IF($AM128="Insulation", IF($I128="kg",$J128,0), 0)</f>
        <v>114.255</v>
      </c>
      <c r="BI128" s="1038">
        <f>IF($AM128="Revêtement", IF($I128="kg",$J128,0), 0)</f>
        <v>0</v>
      </c>
      <c r="BJ128" s="1037">
        <v>15</v>
      </c>
      <c r="BK128" s="1036">
        <f t="shared" si="176"/>
        <v>0</v>
      </c>
      <c r="BL128" s="1037">
        <f t="shared" si="177"/>
        <v>7.617</v>
      </c>
      <c r="BM128" s="1038">
        <f t="shared" si="178"/>
        <v>0</v>
      </c>
      <c r="BN128" s="1037">
        <f>IFERROR((J128*VLOOKUP(H128, 'Baumaterialien Matériaux'!$A$11:$AH$318, 33,FALSE)),0)/$G$1</f>
        <v>0.25306915319887802</v>
      </c>
      <c r="BO128" s="1037">
        <f>(BN128+BP128)*($L$2/L128-1)</f>
        <v>0.3428514758915453</v>
      </c>
      <c r="BP128" s="1037">
        <f>IFERROR((J128*VLOOKUP(H128, 'Baumaterialien Matériaux'!$A$11:$AH$318, 34,FALSE)),0)/$G$1</f>
        <v>8.9782322692667282E-2</v>
      </c>
      <c r="BQ128" s="1037">
        <f t="shared" si="256"/>
        <v>0.22847896440129453</v>
      </c>
      <c r="BR128" s="1037"/>
    </row>
    <row r="129" spans="2:70">
      <c r="B129" s="1103"/>
      <c r="C129" s="1099"/>
      <c r="D129" s="478"/>
      <c r="E129" s="478"/>
      <c r="F129" s="478" t="s">
        <v>3073</v>
      </c>
      <c r="G129" s="478" t="str">
        <f>_xlfn.XLOOKUP(H129, 'Baumaterialien Matériaux'!A:A, 'Baumaterialien Matériaux'!AD:AD, "-", 0, 1)</f>
        <v>Bois massif épicéa / sapin / mélèze, séché en cellule, raboté</v>
      </c>
      <c r="H129" s="902" t="s">
        <v>129</v>
      </c>
      <c r="I129" s="641" t="str">
        <f>_xlfn.XLOOKUP(H129, 'Baumaterialien Matériaux'!A:A, 'Baumaterialien Matériaux'!F:F, "-", 0, 1)</f>
        <v>kg</v>
      </c>
      <c r="J129" s="649">
        <f>465*0.085</f>
        <v>39.525000000000006</v>
      </c>
      <c r="K129" s="647">
        <f>J129/J125</f>
        <v>0.77835762111067364</v>
      </c>
      <c r="L129" s="647">
        <v>30</v>
      </c>
      <c r="M129" s="648">
        <f t="shared" si="296"/>
        <v>1.7218829304127155E-2</v>
      </c>
      <c r="N129" s="720">
        <f>IFERROR(($J129*VLOOKUP($H129, 'Baumaterialien Matériaux'!$A$11:$AD$318, 26,FALSE)),0)/$G$1</f>
        <v>5.9390443435287845E-3</v>
      </c>
      <c r="O129" s="720">
        <f>IFERROR(($J129*VLOOKUP($H129, 'Baumaterialien Matériaux'!$A$11:$AH$318, 33,FALSE)),0)/$G$1</f>
        <v>1.8916956057165753E-3</v>
      </c>
      <c r="P129" s="720">
        <f t="shared" si="297"/>
        <v>7.6635668492052904E-3</v>
      </c>
      <c r="Q129" s="720">
        <f>IFERROR(($J129*VLOOKUP($H129, 'Baumaterialien Matériaux'!$A$11:$AD$318, 27,FALSE)),0)/$G$1</f>
        <v>1.7245225056765061E-3</v>
      </c>
      <c r="R129" s="720">
        <f>IFERROR(($J129*VLOOKUP($H129, 'Baumaterialien Matériaux'!$A$11:$AH$318, 34,FALSE)),0)/$G$1</f>
        <v>3.2026846533992259E-4</v>
      </c>
      <c r="S129" s="720">
        <f>IFERROR((J129*VLOOKUP(H129, 'Baumaterialien Matériaux'!$A$11:$AD$318, 29,FALSE)),0)/$G$1</f>
        <v>7.274962713147233E-2</v>
      </c>
      <c r="T129" s="720">
        <f>S129*AJ129</f>
        <v>7.2749627131472329E-4</v>
      </c>
      <c r="U129" s="638">
        <v>0.01</v>
      </c>
      <c r="V129" s="638">
        <f t="shared" si="291"/>
        <v>7.2749627131472329E-4</v>
      </c>
      <c r="W129" s="638">
        <f t="shared" si="294"/>
        <v>7.274962713147233E-2</v>
      </c>
      <c r="Z129" s="638">
        <f t="shared" si="142"/>
        <v>30</v>
      </c>
      <c r="AA129" s="648" t="s">
        <v>3456</v>
      </c>
      <c r="AB129" t="str">
        <f>_xlfn.XLOOKUP($H129,'[1]Baumaterialien Matériaux'!$A:$A,'[1]Baumaterialien Matériaux'!AK:AK,0,0)</f>
        <v>timber</v>
      </c>
      <c r="AC129" t="str" cm="1">
        <f t="array" ref="AC129">_xlfn.SWITCH(I129,"kg"," ",0," ",_xlfn.XLOOKUP(H129, '[1]Baumaterialien Matériaux'!$A:$A, '[1]Baumaterialien Matériaux'!$AL:$AL, "-", 0, 1))</f>
        <v xml:space="preserve"> </v>
      </c>
      <c r="AD129" s="622" cm="1">
        <f t="array" ref="AD129">IFERROR(_xlfn.SWITCH(I129,"kg",1,"m3",AC129,AC129)*J129/(_xlfn.XLOOKUP(AA129,Métrés!A:A,Métrés!C:C,0)),0)</f>
        <v>6.6143542783701839E-2</v>
      </c>
      <c r="AE129" s="1092">
        <f>IFERROR(N129*$G$1/(_xlfn.XLOOKUP($AA129,Métrés!$A:$A,Métrés!$C:$C,0)),0)</f>
        <v>8.9293782757997493E-3</v>
      </c>
      <c r="AF129" s="1092">
        <f>IFERROR(O129*$G$1/(_xlfn.XLOOKUP($AA129,Métrés!$A:$A,Métrés!$C:$C,0)),0)</f>
        <v>2.8441723396991788E-3</v>
      </c>
      <c r="AG129" s="1092">
        <f>IFERROR(Q129*$G$1/(_xlfn.XLOOKUP($AA129,Métrés!$A:$A,Métrés!$C:$C,0)),0)</f>
        <v>2.5928268771211122E-3</v>
      </c>
      <c r="AH129" s="1092">
        <f>IFERROR(R129*$G$1/(_xlfn.XLOOKUP($AA129,Métrés!$A:$A,Métrés!$C:$C,0)),0)</f>
        <v>4.8152499146534943E-4</v>
      </c>
      <c r="AI129" s="1092">
        <f>IFERROR(S129*$G$1/(_xlfn.XLOOKUP($AA129,Métrés!$A:$A,Métrés!$C:$C,0)),0)</f>
        <v>0.10937937191664827</v>
      </c>
      <c r="AJ129" s="1022">
        <v>0.01</v>
      </c>
      <c r="AK129" s="638">
        <f>IF(L129=60, 0, T129)</f>
        <v>7.2749627131472329E-4</v>
      </c>
      <c r="AL129" s="638">
        <f>IF(L129=60, 0, S129)</f>
        <v>7.274962713147233E-2</v>
      </c>
      <c r="AM129" s="638" t="str">
        <f>IF(L129=$L$2, "Structure", IF(L129&gt;0,"Revêtement",0))</f>
        <v>Revêtement</v>
      </c>
      <c r="AN129" s="1036">
        <f>IF(AM129="Structure",N129,0)</f>
        <v>0</v>
      </c>
      <c r="AO129" s="1037">
        <f>IF(AM129="Structure",P129,0)</f>
        <v>0</v>
      </c>
      <c r="AP129" s="1037">
        <f>IF(AM129="Structure",Q129,0)</f>
        <v>0</v>
      </c>
      <c r="AQ129" s="1038">
        <f>IF(AM129="Structure",S129,0)</f>
        <v>0</v>
      </c>
      <c r="AR129" s="1038">
        <f>IF(AM129="Structure",T129,0)</f>
        <v>0</v>
      </c>
      <c r="AS129" s="1036">
        <f>IF(AM129="Insulation",N129,0)</f>
        <v>0</v>
      </c>
      <c r="AT129" s="1037">
        <f>IF(AM129="Insulation",P129,0)</f>
        <v>0</v>
      </c>
      <c r="AU129" s="1037">
        <f>IF(AM129="Insulation",Q129,0)</f>
        <v>0</v>
      </c>
      <c r="AV129" s="1038">
        <f>IF(AM129="Insulation",S129,0)</f>
        <v>0</v>
      </c>
      <c r="AW129" s="1038">
        <f>IF(AM129="Insulation",T129,0)</f>
        <v>0</v>
      </c>
      <c r="AX129" s="1036">
        <f>IF(AM129="Revêtement",N129,0)</f>
        <v>5.9390443435287845E-3</v>
      </c>
      <c r="AY129" s="1037">
        <f>IF(AM129="Revêtement",P129,0)</f>
        <v>7.6635668492052904E-3</v>
      </c>
      <c r="AZ129" s="1037">
        <f>IF(AM129="Revêtement",Q129,0)</f>
        <v>1.7245225056765061E-3</v>
      </c>
      <c r="BA129" s="1037">
        <f>IF(AM129="Revêtement",S129,0)</f>
        <v>7.274962713147233E-2</v>
      </c>
      <c r="BB129" s="1038">
        <f>IF(AM129="Revêtement",T129,0)</f>
        <v>7.2749627131472329E-4</v>
      </c>
      <c r="BC129" s="1036"/>
      <c r="BD129" s="1037"/>
      <c r="BE129" s="1037"/>
      <c r="BF129" s="1038"/>
      <c r="BG129" s="1036">
        <f>IF($AM129="Structure", IF($I129="kg",$J129,0), 0)</f>
        <v>0</v>
      </c>
      <c r="BH129" s="1037">
        <f>IF($AM129="Insulation", IF($I129="kg",$J129,0), 0)</f>
        <v>0</v>
      </c>
      <c r="BI129" s="1038">
        <f>IF($AM129="Revêtement", IF($I129="kg",$J129,0), 0)</f>
        <v>39.525000000000006</v>
      </c>
      <c r="BJ129" s="1037">
        <f>_xlfn.XLOOKUP(H129, 'Baumaterialien Matériaux'!A:A, 'Baumaterialien Matériaux'!E:E, "-", 0, 1)</f>
        <v>465</v>
      </c>
      <c r="BK129" s="1036">
        <f t="shared" si="176"/>
        <v>0</v>
      </c>
      <c r="BL129" s="1037">
        <f t="shared" si="177"/>
        <v>0</v>
      </c>
      <c r="BM129" s="1038">
        <f t="shared" si="178"/>
        <v>8.5000000000000006E-2</v>
      </c>
      <c r="BN129" s="1037">
        <f>IFERROR((J129*VLOOKUP(H129, 'Baumaterialien Matériaux'!$A$11:$AH$318, 33,FALSE)),0)/$G$1</f>
        <v>1.8916956057165753E-3</v>
      </c>
      <c r="BO129" s="1037">
        <f>(BN129+BP129)*($L$2/L129-1)</f>
        <v>2.2119640710564978E-3</v>
      </c>
      <c r="BP129" s="1037">
        <f>IFERROR((J129*VLOOKUP(H129, 'Baumaterialien Matériaux'!$A$11:$AH$318, 34,FALSE)),0)/$G$1</f>
        <v>3.2026846533992259E-4</v>
      </c>
      <c r="BQ129" s="1037">
        <f t="shared" si="256"/>
        <v>0.18571428571428572</v>
      </c>
      <c r="BR129" s="1037"/>
    </row>
    <row r="130" spans="2:70">
      <c r="B130" s="1103"/>
      <c r="C130" s="1099"/>
      <c r="D130" s="478"/>
      <c r="E130" s="478"/>
      <c r="F130" s="479" t="s">
        <v>3075</v>
      </c>
      <c r="G130" s="479"/>
      <c r="H130" s="479"/>
      <c r="I130" s="460" t="s">
        <v>39</v>
      </c>
      <c r="J130" s="662">
        <v>133.54</v>
      </c>
      <c r="K130" s="663"/>
      <c r="L130" s="663"/>
      <c r="M130" s="664">
        <f>SUM(M131:M132)</f>
        <v>22.964765771782201</v>
      </c>
      <c r="N130" s="664">
        <f t="shared" ref="N130:O130" si="298">SUM(N131:N132)</f>
        <v>17.864074048350474</v>
      </c>
      <c r="O130" s="664">
        <f t="shared" si="298"/>
        <v>3.8076230889096658</v>
      </c>
      <c r="P130" s="664">
        <f t="shared" ref="P130" si="299">SUM(P131:P132)</f>
        <v>0</v>
      </c>
      <c r="Q130" s="664">
        <f t="shared" ref="Q130:R130" si="300">SUM(Q131:Q132)</f>
        <v>1.2930686345220606</v>
      </c>
      <c r="R130" s="664">
        <f t="shared" si="300"/>
        <v>0.25653283112951342</v>
      </c>
      <c r="S130" s="664">
        <f t="shared" ref="S130:T130" si="301">SUM(S131:S132)</f>
        <v>0</v>
      </c>
      <c r="T130" s="664">
        <f t="shared" si="301"/>
        <v>0</v>
      </c>
      <c r="V130" s="638">
        <f t="shared" si="291"/>
        <v>0</v>
      </c>
      <c r="W130" s="638">
        <f t="shared" si="294"/>
        <v>0</v>
      </c>
      <c r="X130" s="638">
        <f t="shared" si="224"/>
        <v>0</v>
      </c>
      <c r="Z130" s="638">
        <f t="shared" si="142"/>
        <v>0</v>
      </c>
      <c r="AA130" s="648" t="s">
        <v>3456</v>
      </c>
      <c r="AB130">
        <f>_xlfn.XLOOKUP($H130,'[1]Baumaterialien Matériaux'!$A:$A,'[1]Baumaterialien Matériaux'!AK:AK,0,0)</f>
        <v>0</v>
      </c>
      <c r="AC130" cm="1">
        <f t="array" ref="AC130">_xlfn.SWITCH(I130,"kg"," ",0," ",_xlfn.XLOOKUP(H130, '[1]Baumaterialien Matériaux'!$A:$A, '[1]Baumaterialien Matériaux'!$AL:$AL, "-", 0, 1))</f>
        <v>0</v>
      </c>
      <c r="AD130" s="622" cm="1">
        <f t="array" ref="AD130">IFERROR(_xlfn.SWITCH(I130,"kg",1,"m3",AC130,AC130)*J130/(_xlfn.XLOOKUP(AA130,Métrés!A:A,Métrés!C:C,0)),0)</f>
        <v>0</v>
      </c>
      <c r="AE130" s="1092">
        <f>IFERROR(N130*$G$1/(_xlfn.XLOOKUP($AA130,Métrés!$A:$A,Métrés!$C:$C,0)),0)</f>
        <v>26.858710846034903</v>
      </c>
      <c r="AF130" s="1092">
        <f>IFERROR(O130*$G$1/(_xlfn.XLOOKUP($AA130,Métrés!$A:$A,Métrés!$C:$C,0)),0)</f>
        <v>5.7247774096163768</v>
      </c>
      <c r="AG130" s="1092">
        <f>IFERROR(Q130*$G$1/(_xlfn.XLOOKUP($AA130,Métrés!$A:$A,Métrés!$C:$C,0)),0)</f>
        <v>1.9441341580148743</v>
      </c>
      <c r="AH130" s="1092">
        <f>IFERROR(R130*$G$1/(_xlfn.XLOOKUP($AA130,Métrés!$A:$A,Métrés!$C:$C,0)),0)</f>
        <v>0.38569819600913052</v>
      </c>
      <c r="AI130" s="1092">
        <f>IFERROR(S130*$G$1/(_xlfn.XLOOKUP($AA130,Métrés!$A:$A,Métrés!$C:$C,0)),0)</f>
        <v>0</v>
      </c>
      <c r="AJ130" s="1021"/>
      <c r="AK130" s="1021"/>
      <c r="AL130" s="1021"/>
      <c r="AM130" s="1021"/>
      <c r="AN130" s="1057"/>
      <c r="AO130" s="1021"/>
      <c r="AP130" s="1021"/>
      <c r="AQ130" s="1021"/>
      <c r="AR130" s="1058"/>
      <c r="AS130" s="1057"/>
      <c r="AT130" s="1021"/>
      <c r="AU130" s="1021"/>
      <c r="AV130" s="1021"/>
      <c r="AW130" s="1058"/>
      <c r="AX130" s="1057"/>
      <c r="AY130" s="1021"/>
      <c r="AZ130" s="1021"/>
      <c r="BA130" s="1021"/>
      <c r="BB130" s="1058"/>
      <c r="BC130" s="1057"/>
      <c r="BD130" s="1021"/>
      <c r="BE130" s="1021"/>
      <c r="BF130" s="1058"/>
      <c r="BG130" s="1057"/>
      <c r="BH130" s="1021"/>
      <c r="BI130" s="1058"/>
      <c r="BJ130" s="1045"/>
      <c r="BK130" s="1057"/>
      <c r="BL130" s="1021"/>
      <c r="BM130" s="1058"/>
      <c r="BN130" s="1037">
        <f>IFERROR((J130*VLOOKUP(H130, 'Baumaterialien Matériaux'!$A$11:$AH$318, 33,FALSE)),0)/$G$1</f>
        <v>0</v>
      </c>
      <c r="BO130" s="1037"/>
      <c r="BP130" s="1037">
        <f>IFERROR((J130*VLOOKUP(H130, 'Baumaterialien Matériaux'!$A$11:$AH$318, 34,FALSE)),0)/$G$1</f>
        <v>0</v>
      </c>
      <c r="BQ130" s="1037">
        <f t="shared" si="256"/>
        <v>0</v>
      </c>
      <c r="BR130" s="1037"/>
    </row>
    <row r="131" spans="2:70">
      <c r="B131" s="1103"/>
      <c r="C131" s="1099"/>
      <c r="D131" s="478"/>
      <c r="E131" s="478"/>
      <c r="F131" s="638" t="s">
        <v>3076</v>
      </c>
      <c r="G131" s="478" t="str">
        <f>_xlfn.XLOOKUP(H131, 'Baumaterialien Matériaux'!A:A, 'Baumaterialien Matériaux'!AD:AD, "-", 0, 1)</f>
        <v>Béton pour bâtiment (sans armature)</v>
      </c>
      <c r="H131" s="891">
        <v>1.0019999999999998</v>
      </c>
      <c r="I131" s="641" t="str">
        <f>_xlfn.XLOOKUP(H131, 'Baumaterialien Matériaux'!A:A, 'Baumaterialien Matériaux'!F:F, "-", 0, 1)</f>
        <v>kg</v>
      </c>
      <c r="J131" s="649">
        <f>$J$130*K131</f>
        <v>85999.760000000009</v>
      </c>
      <c r="K131" s="893">
        <f>0.28*2300</f>
        <v>644.00000000000011</v>
      </c>
      <c r="L131" s="643">
        <v>60</v>
      </c>
      <c r="M131" s="648">
        <f t="shared" ref="M131:M132" si="302">SUM(N131:Q131)</f>
        <v>11.706703450425183</v>
      </c>
      <c r="N131" s="720">
        <f>IFERROR(($J131*VLOOKUP($H131, 'Baumaterialien Matériaux'!$A$11:$AD$318, 26,FALSE)),0)/$G$1</f>
        <v>8.5000430613062647</v>
      </c>
      <c r="O131" s="720">
        <f>IFERROR(($J131*VLOOKUP($H131, 'Baumaterialien Matériaux'!$A$11:$AH$318, 33,FALSE)),0)/$G$1</f>
        <v>1.9910010774230888</v>
      </c>
      <c r="P131" s="720">
        <f t="shared" ref="P131:P132" si="303">IFERROR((N131+Q131)*($L$2/L131-1),0)</f>
        <v>0</v>
      </c>
      <c r="Q131" s="720">
        <f>IFERROR(($J131*VLOOKUP($H131, 'Baumaterialien Matériaux'!$A$11:$AD$318, 27,FALSE)),0)/$G$1</f>
        <v>1.2156593116958283</v>
      </c>
      <c r="R131" s="720">
        <f>IFERROR(($J131*VLOOKUP($H131, 'Baumaterialien Matériaux'!$A$11:$AH$318, 34,FALSE)),0)/$G$1</f>
        <v>0.25653283112951342</v>
      </c>
      <c r="S131" s="720">
        <f>IFERROR((J131*VLOOKUP(H131, 'Baumaterialien Matériaux'!$A$11:$AD$318, 29,FALSE)),0)/$G$1</f>
        <v>0</v>
      </c>
      <c r="V131" s="638">
        <f t="shared" si="291"/>
        <v>0</v>
      </c>
      <c r="W131" s="638">
        <f t="shared" si="294"/>
        <v>0</v>
      </c>
      <c r="Z131" s="638">
        <f t="shared" si="142"/>
        <v>60</v>
      </c>
      <c r="AA131" s="648" t="s">
        <v>3456</v>
      </c>
      <c r="AB131" t="str">
        <f>_xlfn.XLOOKUP($H131,'[1]Baumaterialien Matériaux'!$A:$A,'[1]Baumaterialien Matériaux'!AK:AK,0,0)</f>
        <v>concrete</v>
      </c>
      <c r="AC131" t="str" cm="1">
        <f t="array" ref="AC131">_xlfn.SWITCH(I131,"kg"," ",0," ",_xlfn.XLOOKUP(H131, '[1]Baumaterialien Matériaux'!$A:$A, '[1]Baumaterialien Matériaux'!$AL:$AL, "-", 0, 1))</f>
        <v xml:space="preserve"> </v>
      </c>
      <c r="AD131" s="622" cm="1">
        <f t="array" ref="AD131">IFERROR(_xlfn.SWITCH(I131,"kg",1,"m3",AC131,AC131)*J131/(_xlfn.XLOOKUP(AA131,Métrés!A:A,Métrés!C:C,0)),0)</f>
        <v>143.91723731683973</v>
      </c>
      <c r="AE131" s="1092">
        <f>IFERROR(N131*$G$1/(_xlfn.XLOOKUP($AA131,Métrés!$A:$A,Métrés!$C:$C,0)),0)</f>
        <v>12.779850673735368</v>
      </c>
      <c r="AF131" s="1092">
        <f>IFERROR(O131*$G$1/(_xlfn.XLOOKUP($AA131,Métrés!$A:$A,Métrés!$C:$C,0)),0)</f>
        <v>2.993478536190266</v>
      </c>
      <c r="AG131" s="1092">
        <f>IFERROR(Q131*$G$1/(_xlfn.XLOOKUP($AA131,Métrés!$A:$A,Métrés!$C:$C,0)),0)</f>
        <v>1.8277489139238643</v>
      </c>
      <c r="AH131" s="1092">
        <f>IFERROR(R131*$G$1/(_xlfn.XLOOKUP($AA131,Métrés!$A:$A,Métrés!$C:$C,0)),0)</f>
        <v>0.38569819600913052</v>
      </c>
      <c r="AI131" s="1092">
        <f>IFERROR(S131*$G$1/(_xlfn.XLOOKUP($AA131,Métrés!$A:$A,Métrés!$C:$C,0)),0)</f>
        <v>0</v>
      </c>
      <c r="AJ131" s="1022"/>
      <c r="AK131" s="638">
        <f>IF(L131=60, 0, T131)</f>
        <v>0</v>
      </c>
      <c r="AL131" s="638">
        <f>IF(L131=60, 0, S131)</f>
        <v>0</v>
      </c>
      <c r="AM131" s="638" t="str">
        <f>IF(L131=$L$2, "Structure", IF(L131&gt;0,"Revêtement",0))</f>
        <v>Structure</v>
      </c>
      <c r="AN131" s="1036">
        <f>IF(AM131="Structure",N131,0)</f>
        <v>8.5000430613062647</v>
      </c>
      <c r="AO131" s="1037">
        <f>IF(AM131="Structure",P131,0)</f>
        <v>0</v>
      </c>
      <c r="AP131" s="1037">
        <f>IF(AM131="Structure",Q131,0)</f>
        <v>1.2156593116958283</v>
      </c>
      <c r="AQ131" s="1038">
        <f>IF(AM131="Structure",S131,0)</f>
        <v>0</v>
      </c>
      <c r="AR131" s="1038">
        <f>IF(AM131="Structure",T131,0)</f>
        <v>0</v>
      </c>
      <c r="AS131" s="1036">
        <f>IF(AM131="Insulation",N131,0)</f>
        <v>0</v>
      </c>
      <c r="AT131" s="1037">
        <f>IF(AM131="Insulation",P131,0)</f>
        <v>0</v>
      </c>
      <c r="AU131" s="1037">
        <f>IF(AM131="Insulation",Q131,0)</f>
        <v>0</v>
      </c>
      <c r="AV131" s="1038">
        <f>IF(AM131="Insulation",S131,0)</f>
        <v>0</v>
      </c>
      <c r="AW131" s="1038">
        <f>IF(AM131="Insulation",T131,0)</f>
        <v>0</v>
      </c>
      <c r="AX131" s="1036">
        <f>IF(AM131="Revêtement",N131,0)</f>
        <v>0</v>
      </c>
      <c r="AY131" s="1037">
        <f>IF(AM131="Revêtement",P131,0)</f>
        <v>0</v>
      </c>
      <c r="AZ131" s="1037">
        <f>IF(AM131="Revêtement",Q131,0)</f>
        <v>0</v>
      </c>
      <c r="BA131" s="1037">
        <f>IF(AM131="Revêtement",S131,0)</f>
        <v>0</v>
      </c>
      <c r="BB131" s="1038">
        <f>IF(AM131="Revêtement",T131,0)</f>
        <v>0</v>
      </c>
      <c r="BC131" s="1036"/>
      <c r="BD131" s="1037"/>
      <c r="BE131" s="1037"/>
      <c r="BF131" s="1038"/>
      <c r="BG131" s="1036">
        <f>IF($AM131="Structure", IF($I131="kg",$J131,0), 0)</f>
        <v>85999.760000000009</v>
      </c>
      <c r="BH131" s="1037">
        <f>IF($AM131="Insulation", IF($I131="kg",$J131,0), 0)</f>
        <v>0</v>
      </c>
      <c r="BI131" s="1038">
        <f>IF($AM131="Revêtement", IF($I131="kg",$J131,0), 0)</f>
        <v>0</v>
      </c>
      <c r="BJ131" s="1037">
        <f>_xlfn.XLOOKUP(H131, 'Baumaterialien Matériaux'!A:A, 'Baumaterialien Matériaux'!E:E, "-", 0, 1)</f>
        <v>2300</v>
      </c>
      <c r="BK131" s="1036">
        <f t="shared" si="176"/>
        <v>37.391200000000005</v>
      </c>
      <c r="BL131" s="1037">
        <f t="shared" si="177"/>
        <v>0</v>
      </c>
      <c r="BM131" s="1038">
        <f t="shared" si="178"/>
        <v>0</v>
      </c>
      <c r="BN131" s="1037">
        <f>IFERROR((J131*VLOOKUP(H131, 'Baumaterialien Matériaux'!$A$11:$AH$318, 33,FALSE)),0)/$G$1</f>
        <v>1.9910010774230888</v>
      </c>
      <c r="BO131" s="1037">
        <f>(BN131+BP131)*($L$2/L131-1)</f>
        <v>0</v>
      </c>
      <c r="BP131" s="1037">
        <f>IFERROR((J131*VLOOKUP(H131, 'Baumaterialien Matériaux'!$A$11:$AH$318, 34,FALSE)),0)/$G$1</f>
        <v>0.25653283112951342</v>
      </c>
      <c r="BQ131" s="1037">
        <f t="shared" si="256"/>
        <v>0.21102362204724412</v>
      </c>
      <c r="BR131" s="1037"/>
    </row>
    <row r="132" spans="2:70">
      <c r="B132" s="1103"/>
      <c r="C132" s="1099"/>
      <c r="D132" s="478"/>
      <c r="E132" s="478"/>
      <c r="F132" s="478" t="s">
        <v>3004</v>
      </c>
      <c r="G132" s="478" t="str">
        <f>_xlfn.XLOOKUP(H132, 'Baumaterialien Matériaux'!A:A, 'Baumaterialien Matériaux'!AD:AD, "-", 0, 1)</f>
        <v>Acier d'armature</v>
      </c>
      <c r="H132" s="892" t="s">
        <v>497</v>
      </c>
      <c r="I132" s="641" t="str">
        <f>_xlfn.XLOOKUP(H132, 'Baumaterialien Matériaux'!A:A, 'Baumaterialien Matériaux'!F:F, "-", 0, 1)</f>
        <v>kg</v>
      </c>
      <c r="J132" s="649">
        <f>$J$130*K132</f>
        <v>5608.68</v>
      </c>
      <c r="K132" s="894">
        <f>0.28*150</f>
        <v>42.000000000000007</v>
      </c>
      <c r="L132" s="647">
        <v>60</v>
      </c>
      <c r="M132" s="648">
        <f t="shared" si="302"/>
        <v>11.258062321357018</v>
      </c>
      <c r="N132" s="720">
        <f>IFERROR(($J132*VLOOKUP($H132, 'Baumaterialien Matériaux'!$A$11:$AD$318, 26,FALSE)),0)/$G$1</f>
        <v>9.3640309870442096</v>
      </c>
      <c r="O132" s="720">
        <f>IFERROR(($J132*VLOOKUP($H132, 'Baumaterialien Matériaux'!$A$11:$AH$318, 33,FALSE)),0)/$G$1</f>
        <v>1.8166220114865768</v>
      </c>
      <c r="P132" s="720">
        <f t="shared" si="303"/>
        <v>0</v>
      </c>
      <c r="Q132" s="720">
        <f>IFERROR(($J132*VLOOKUP($H132, 'Baumaterialien Matériaux'!$A$11:$AD$318, 27,FALSE)),0)/$G$1</f>
        <v>7.7409322826232141E-2</v>
      </c>
      <c r="R132" s="720">
        <f>IFERROR(($J132*VLOOKUP($H132, 'Baumaterialien Matériaux'!$A$11:$AH$318, 34,FALSE)),0)/$G$1</f>
        <v>0</v>
      </c>
      <c r="S132" s="720">
        <f>IFERROR((J132*VLOOKUP(H132, 'Baumaterialien Matériaux'!$A$11:$AD$318, 29,FALSE)),0)/$G$1</f>
        <v>0</v>
      </c>
      <c r="V132" s="638">
        <f t="shared" si="291"/>
        <v>0</v>
      </c>
      <c r="W132" s="638">
        <f t="shared" si="294"/>
        <v>0</v>
      </c>
      <c r="Z132" s="638">
        <f t="shared" si="142"/>
        <v>60</v>
      </c>
      <c r="AA132" s="648" t="s">
        <v>3456</v>
      </c>
      <c r="AB132" t="str">
        <f>_xlfn.XLOOKUP($H132,'[1]Baumaterialien Matériaux'!$A:$A,'[1]Baumaterialien Matériaux'!AK:AK,0,0)</f>
        <v>metal</v>
      </c>
      <c r="AC132" t="str" cm="1">
        <f t="array" ref="AC132">_xlfn.SWITCH(I132,"kg"," ",0," ",_xlfn.XLOOKUP(H132, '[1]Baumaterialien Matériaux'!$A:$A, '[1]Baumaterialien Matériaux'!$AL:$AL, "-", 0, 1))</f>
        <v xml:space="preserve"> </v>
      </c>
      <c r="AD132" s="622" cm="1">
        <f t="array" ref="AD132">IFERROR(_xlfn.SWITCH(I132,"kg",1,"m3",AC132,AC132)*J132/(_xlfn.XLOOKUP(AA132,Métrés!A:A,Métrés!C:C,0)),0)</f>
        <v>9.3859067815330253</v>
      </c>
      <c r="AE132" s="1092">
        <f>IFERROR(N132*$G$1/(_xlfn.XLOOKUP($AA132,Métrés!$A:$A,Métrés!$C:$C,0)),0)</f>
        <v>14.078860172299537</v>
      </c>
      <c r="AF132" s="1092">
        <f>IFERROR(O132*$G$1/(_xlfn.XLOOKUP($AA132,Métrés!$A:$A,Métrés!$C:$C,0)),0)</f>
        <v>2.7312988734261103</v>
      </c>
      <c r="AG132" s="1092">
        <f>IFERROR(Q132*$G$1/(_xlfn.XLOOKUP($AA132,Métrés!$A:$A,Métrés!$C:$C,0)),0)</f>
        <v>0.11638524409100952</v>
      </c>
      <c r="AH132" s="1092">
        <f>IFERROR(R132*$G$1/(_xlfn.XLOOKUP($AA132,Métrés!$A:$A,Métrés!$C:$C,0)),0)</f>
        <v>0</v>
      </c>
      <c r="AI132" s="1092">
        <f>IFERROR(S132*$G$1/(_xlfn.XLOOKUP($AA132,Métrés!$A:$A,Métrés!$C:$C,0)),0)</f>
        <v>0</v>
      </c>
      <c r="AJ132" s="1022"/>
      <c r="AK132" s="638">
        <f>IF(L132=60, 0, T132)</f>
        <v>0</v>
      </c>
      <c r="AL132" s="638">
        <f>IF(L132=60, 0, S132)</f>
        <v>0</v>
      </c>
      <c r="AM132" s="638" t="str">
        <f>IF(L132=$L$2, "Structure", IF(L132&gt;0,"Revêtement",0))</f>
        <v>Structure</v>
      </c>
      <c r="AN132" s="1036">
        <f>IF(AM132="Structure",N132,0)</f>
        <v>9.3640309870442096</v>
      </c>
      <c r="AO132" s="1037">
        <f>IF(AM132="Structure",P132,0)</f>
        <v>0</v>
      </c>
      <c r="AP132" s="1037">
        <f>IF(AM132="Structure",Q132,0)</f>
        <v>7.7409322826232141E-2</v>
      </c>
      <c r="AQ132" s="1038">
        <f>IF(AM132="Structure",S132,0)</f>
        <v>0</v>
      </c>
      <c r="AR132" s="1038">
        <f>IF(AM132="Structure",T132,0)</f>
        <v>0</v>
      </c>
      <c r="AS132" s="1036">
        <f>IF(AM132="Insulation",N132,0)</f>
        <v>0</v>
      </c>
      <c r="AT132" s="1037">
        <f>IF(AM132="Insulation",P132,0)</f>
        <v>0</v>
      </c>
      <c r="AU132" s="1037">
        <f>IF(AM132="Insulation",Q132,0)</f>
        <v>0</v>
      </c>
      <c r="AV132" s="1038">
        <f>IF(AM132="Insulation",S132,0)</f>
        <v>0</v>
      </c>
      <c r="AW132" s="1038">
        <f>IF(AM132="Insulation",T132,0)</f>
        <v>0</v>
      </c>
      <c r="AX132" s="1036">
        <f>IF(AM132="Revêtement",N132,0)</f>
        <v>0</v>
      </c>
      <c r="AY132" s="1037">
        <f>IF(AM132="Revêtement",P132,0)</f>
        <v>0</v>
      </c>
      <c r="AZ132" s="1037">
        <f>IF(AM132="Revêtement",Q132,0)</f>
        <v>0</v>
      </c>
      <c r="BA132" s="1037">
        <f>IF(AM132="Revêtement",S132,0)</f>
        <v>0</v>
      </c>
      <c r="BB132" s="1038">
        <f>IF(AM132="Revêtement",T132,0)</f>
        <v>0</v>
      </c>
      <c r="BC132" s="1036"/>
      <c r="BD132" s="1037"/>
      <c r="BE132" s="1037"/>
      <c r="BF132" s="1038"/>
      <c r="BG132" s="1036">
        <f>IF($AM132="Structure", IF($I132="kg",$J132,0), 0)</f>
        <v>5608.68</v>
      </c>
      <c r="BH132" s="1037">
        <f>IF($AM132="Insulation", IF($I132="kg",$J132,0), 0)</f>
        <v>0</v>
      </c>
      <c r="BI132" s="1038">
        <f>IF($AM132="Revêtement", IF($I132="kg",$J132,0), 0)</f>
        <v>0</v>
      </c>
      <c r="BJ132" s="1037">
        <f>_xlfn.XLOOKUP(H132, 'Baumaterialien Matériaux'!A:A, 'Baumaterialien Matériaux'!E:E, "-", 0, 1)</f>
        <v>7850</v>
      </c>
      <c r="BK132" s="1036">
        <f t="shared" si="176"/>
        <v>0.71448152866242043</v>
      </c>
      <c r="BL132" s="1037">
        <f t="shared" si="177"/>
        <v>0</v>
      </c>
      <c r="BM132" s="1038">
        <f t="shared" si="178"/>
        <v>0</v>
      </c>
      <c r="BN132" s="1037">
        <f>IFERROR((J132*VLOOKUP(H132, 'Baumaterialien Matériaux'!$A$11:$AH$318, 33,FALSE)),0)/$G$1</f>
        <v>1.8166220114865768</v>
      </c>
      <c r="BO132" s="1037">
        <f>(BN132+BP132)*($L$2/L132-1)</f>
        <v>0</v>
      </c>
      <c r="BP132" s="1037">
        <f>IFERROR((J132*VLOOKUP(H132, 'Baumaterialien Matériaux'!$A$11:$AH$318, 34,FALSE)),0)/$G$1</f>
        <v>0</v>
      </c>
      <c r="BQ132" s="1037">
        <f t="shared" si="256"/>
        <v>0</v>
      </c>
      <c r="BR132" s="1037"/>
    </row>
    <row r="133" spans="2:70">
      <c r="B133" s="1103"/>
      <c r="C133" s="1099"/>
      <c r="D133" s="478"/>
      <c r="E133" s="478"/>
      <c r="F133" s="479" t="s">
        <v>3077</v>
      </c>
      <c r="G133" s="479"/>
      <c r="H133" s="479"/>
      <c r="I133" s="460" t="s">
        <v>39</v>
      </c>
      <c r="J133" s="662">
        <v>30.47</v>
      </c>
      <c r="K133" s="663"/>
      <c r="L133" s="663"/>
      <c r="M133" s="664">
        <f>SUM(M134:M135)</f>
        <v>3.7427866078981342</v>
      </c>
      <c r="N133" s="664">
        <f t="shared" ref="N133:O133" si="304">SUM(N134:N135)</f>
        <v>2.911478295712568</v>
      </c>
      <c r="O133" s="664">
        <f t="shared" si="304"/>
        <v>0.62056460086371923</v>
      </c>
      <c r="P133" s="664">
        <f t="shared" ref="P133" si="305">SUM(P134:P135)</f>
        <v>0</v>
      </c>
      <c r="Q133" s="664">
        <f t="shared" ref="Q133:R133" si="306">SUM(Q134:Q135)</f>
        <v>0.21074371132184672</v>
      </c>
      <c r="R133" s="664">
        <f t="shared" si="306"/>
        <v>4.1809598860246641E-2</v>
      </c>
      <c r="S133" s="664">
        <f t="shared" ref="S133:T133" si="307">SUM(S134:S135)</f>
        <v>0</v>
      </c>
      <c r="T133" s="664">
        <f t="shared" si="307"/>
        <v>0</v>
      </c>
      <c r="V133" s="638">
        <f t="shared" si="291"/>
        <v>0</v>
      </c>
      <c r="W133" s="638">
        <f t="shared" si="294"/>
        <v>0</v>
      </c>
      <c r="Z133" s="638">
        <f t="shared" si="142"/>
        <v>0</v>
      </c>
      <c r="AA133" s="648" t="s">
        <v>3456</v>
      </c>
      <c r="AB133">
        <f>_xlfn.XLOOKUP($H133,'[1]Baumaterialien Matériaux'!$A:$A,'[1]Baumaterialien Matériaux'!AK:AK,0,0)</f>
        <v>0</v>
      </c>
      <c r="AC133" cm="1">
        <f t="array" ref="AC133">_xlfn.SWITCH(I133,"kg"," ",0," ",_xlfn.XLOOKUP(H133, '[1]Baumaterialien Matériaux'!$A:$A, '[1]Baumaterialien Matériaux'!$AL:$AL, "-", 0, 1))</f>
        <v>0</v>
      </c>
      <c r="AD133" s="622" cm="1">
        <f t="array" ref="AD133">IFERROR(_xlfn.SWITCH(I133,"kg",1,"m3",AC133,AC133)*J133/(_xlfn.XLOOKUP(AA133,Métrés!A:A,Métrés!C:C,0)),0)</f>
        <v>0</v>
      </c>
      <c r="AE133" s="1092">
        <f>IFERROR(N133*$G$1/(_xlfn.XLOOKUP($AA133,Métrés!$A:$A,Métrés!$C:$C,0)),0)</f>
        <v>4.377419924895074</v>
      </c>
      <c r="AF133" s="1092">
        <f>IFERROR(O133*$G$1/(_xlfn.XLOOKUP($AA133,Métrés!$A:$A,Métrés!$C:$C,0)),0)</f>
        <v>0.9330215006258743</v>
      </c>
      <c r="AG133" s="1092">
        <f>IFERROR(Q133*$G$1/(_xlfn.XLOOKUP($AA133,Métrés!$A:$A,Métrés!$C:$C,0)),0)</f>
        <v>0.31685406082026363</v>
      </c>
      <c r="AH133" s="1092">
        <f>IFERROR(R133*$G$1/(_xlfn.XLOOKUP($AA133,Métrés!$A:$A,Métrés!$C:$C,0)),0)</f>
        <v>6.2860908622340034E-2</v>
      </c>
      <c r="AI133" s="1092">
        <f>IFERROR(S133*$G$1/(_xlfn.XLOOKUP($AA133,Métrés!$A:$A,Métrés!$C:$C,0)),0)</f>
        <v>0</v>
      </c>
      <c r="AJ133" s="1021"/>
      <c r="AK133" s="1021"/>
      <c r="AL133" s="1021"/>
      <c r="AM133" s="1021"/>
      <c r="AN133" s="1057"/>
      <c r="AO133" s="1021"/>
      <c r="AP133" s="1021"/>
      <c r="AQ133" s="1021"/>
      <c r="AR133" s="1058"/>
      <c r="AS133" s="1057"/>
      <c r="AT133" s="1021"/>
      <c r="AU133" s="1021"/>
      <c r="AV133" s="1021"/>
      <c r="AW133" s="1058"/>
      <c r="AX133" s="1057"/>
      <c r="AY133" s="1021"/>
      <c r="AZ133" s="1021"/>
      <c r="BA133" s="1021"/>
      <c r="BB133" s="1058"/>
      <c r="BC133" s="1057"/>
      <c r="BD133" s="1021"/>
      <c r="BE133" s="1021"/>
      <c r="BF133" s="1058"/>
      <c r="BG133" s="1057"/>
      <c r="BH133" s="1021"/>
      <c r="BI133" s="1058"/>
      <c r="BJ133" s="1045"/>
      <c r="BK133" s="1057"/>
      <c r="BL133" s="1021"/>
      <c r="BM133" s="1058"/>
      <c r="BN133" s="1037">
        <f>IFERROR((J133*VLOOKUP(H133, 'Baumaterialien Matériaux'!$A$11:$AH$318, 33,FALSE)),0)/$G$1</f>
        <v>0</v>
      </c>
      <c r="BO133" s="1037"/>
      <c r="BP133" s="1037">
        <f>IFERROR((J133*VLOOKUP(H133, 'Baumaterialien Matériaux'!$A$11:$AH$318, 34,FALSE)),0)/$G$1</f>
        <v>0</v>
      </c>
      <c r="BQ133" s="1037">
        <f t="shared" si="256"/>
        <v>0</v>
      </c>
      <c r="BR133" s="1037"/>
    </row>
    <row r="134" spans="2:70">
      <c r="B134" s="1103"/>
      <c r="C134" s="1099"/>
      <c r="D134" s="478"/>
      <c r="E134" s="478"/>
      <c r="F134" s="638" t="s">
        <v>2981</v>
      </c>
      <c r="G134" s="478" t="str">
        <f>_xlfn.XLOOKUP(H134, 'Baumaterialien Matériaux'!A:A, 'Baumaterialien Matériaux'!AD:AD, "-", 0, 1)</f>
        <v>Béton pour bâtiment (sans armature)</v>
      </c>
      <c r="H134" s="891">
        <v>1.0019999999999998</v>
      </c>
      <c r="I134" s="641" t="str">
        <f>_xlfn.XLOOKUP(H134, 'Baumaterialien Matériaux'!A:A, 'Baumaterialien Matériaux'!F:F, "-", 0, 1)</f>
        <v>kg</v>
      </c>
      <c r="J134" s="649">
        <f>$J$133*K134</f>
        <v>14016.199999999999</v>
      </c>
      <c r="K134" s="893">
        <f>0.2*2300</f>
        <v>460</v>
      </c>
      <c r="L134" s="643">
        <v>60</v>
      </c>
      <c r="M134" s="648">
        <f t="shared" ref="M134:M135" si="308">SUM(N134:Q134)</f>
        <v>1.9079529629134944</v>
      </c>
      <c r="N134" s="720">
        <f>IFERROR(($J134*VLOOKUP($H134, 'Baumaterialien Matériaux'!$A$11:$AD$318, 26,FALSE)),0)/$G$1</f>
        <v>1.3853329771604113</v>
      </c>
      <c r="O134" s="720">
        <f>IFERROR(($J134*VLOOKUP($H134, 'Baumaterialien Matériaux'!$A$11:$AH$318, 33,FALSE)),0)/$G$1</f>
        <v>0.32449240906460081</v>
      </c>
      <c r="P134" s="720">
        <f t="shared" ref="P134:P135" si="309">IFERROR((N134+Q134)*($L$2/L134-1),0)</f>
        <v>0</v>
      </c>
      <c r="Q134" s="720">
        <f>IFERROR(($J134*VLOOKUP($H134, 'Baumaterialien Matériaux'!$A$11:$AD$318, 27,FALSE)),0)/$G$1</f>
        <v>0.19812757668848222</v>
      </c>
      <c r="R134" s="720">
        <f>IFERROR(($J134*VLOOKUP($H134, 'Baumaterialien Matériaux'!$A$11:$AH$318, 34,FALSE)),0)/$G$1</f>
        <v>4.1809598860246641E-2</v>
      </c>
      <c r="S134" s="720">
        <f>IFERROR((J134*VLOOKUP(H134, 'Baumaterialien Matériaux'!$A$11:$AD$318, 29,FALSE)),0)/$G$1</f>
        <v>0</v>
      </c>
      <c r="V134" s="638">
        <f t="shared" si="291"/>
        <v>0</v>
      </c>
      <c r="W134" s="638">
        <f t="shared" si="294"/>
        <v>0</v>
      </c>
      <c r="Z134" s="638">
        <f t="shared" si="142"/>
        <v>60</v>
      </c>
      <c r="AA134" s="648" t="s">
        <v>3456</v>
      </c>
      <c r="AB134" t="str">
        <f>_xlfn.XLOOKUP($H134,'[1]Baumaterialien Matériaux'!$A:$A,'[1]Baumaterialien Matériaux'!AK:AK,0,0)</f>
        <v>concrete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 s="622" cm="1">
        <f t="array" ref="AD134">IFERROR(_xlfn.SWITCH(I134,"kg",1,"m3",AC134,AC134)*J134/(_xlfn.XLOOKUP(AA134,Métrés!A:A,Métrés!C:C,0)),0)</f>
        <v>23.455562918783595</v>
      </c>
      <c r="AE134" s="1092">
        <f>IFERROR(N134*$G$1/(_xlfn.XLOOKUP($AA134,Métrés!$A:$A,Métrés!$C:$C,0)),0)</f>
        <v>2.082853987187983</v>
      </c>
      <c r="AF134" s="1092">
        <f>IFERROR(O134*$G$1/(_xlfn.XLOOKUP($AA134,Métrés!$A:$A,Métrés!$C:$C,0)),0)</f>
        <v>0.48787570871069874</v>
      </c>
      <c r="AG134" s="1092">
        <f>IFERROR(Q134*$G$1/(_xlfn.XLOOKUP($AA134,Métrés!$A:$A,Métrés!$C:$C,0)),0)</f>
        <v>0.29788564906855164</v>
      </c>
      <c r="AH134" s="1092">
        <f>IFERROR(R134*$G$1/(_xlfn.XLOOKUP($AA134,Métrés!$A:$A,Métrés!$C:$C,0)),0)</f>
        <v>6.2860908622340034E-2</v>
      </c>
      <c r="AI134" s="1092">
        <f>IFERROR(S134*$G$1/(_xlfn.XLOOKUP($AA134,Métrés!$A:$A,Métrés!$C:$C,0)),0)</f>
        <v>0</v>
      </c>
      <c r="AJ134" s="1022"/>
      <c r="AK134" s="638">
        <f>IF(L134=60, 0, T134)</f>
        <v>0</v>
      </c>
      <c r="AL134" s="638">
        <f>IF(L134=60, 0, S134)</f>
        <v>0</v>
      </c>
      <c r="AM134" s="638" t="str">
        <f>IF(L134=$L$2, "Structure", IF(L134&gt;0,"Revêtement",0))</f>
        <v>Structure</v>
      </c>
      <c r="AN134" s="1036">
        <f>IF(AM134="Structure",N134,0)</f>
        <v>1.3853329771604113</v>
      </c>
      <c r="AO134" s="1037">
        <f>IF(AM134="Structure",P134,0)</f>
        <v>0</v>
      </c>
      <c r="AP134" s="1037">
        <f>IF(AM134="Structure",Q134,0)</f>
        <v>0.19812757668848222</v>
      </c>
      <c r="AQ134" s="1038">
        <f>IF(AM134="Structure",S134,0)</f>
        <v>0</v>
      </c>
      <c r="AR134" s="1038">
        <f>IF(AM134="Structure",T134,0)</f>
        <v>0</v>
      </c>
      <c r="AS134" s="1036">
        <f>IF(AM134="Insulation",N134,0)</f>
        <v>0</v>
      </c>
      <c r="AT134" s="1037">
        <f>IF(AM134="Insulation",P134,0)</f>
        <v>0</v>
      </c>
      <c r="AU134" s="1037">
        <f>IF(AM134="Insulation",Q134,0)</f>
        <v>0</v>
      </c>
      <c r="AV134" s="1038">
        <f>IF(AM134="Insulation",S134,0)</f>
        <v>0</v>
      </c>
      <c r="AW134" s="1038">
        <f>IF(AM134="Insulation",T134,0)</f>
        <v>0</v>
      </c>
      <c r="AX134" s="1036">
        <f>IF(AM134="Revêtement",N134,0)</f>
        <v>0</v>
      </c>
      <c r="AY134" s="1037">
        <f>IF(AM134="Revêtement",P134,0)</f>
        <v>0</v>
      </c>
      <c r="AZ134" s="1037">
        <f>IF(AM134="Revêtement",Q134,0)</f>
        <v>0</v>
      </c>
      <c r="BA134" s="1037">
        <f>IF(AM134="Revêtement",S134,0)</f>
        <v>0</v>
      </c>
      <c r="BB134" s="1038">
        <f>IF(AM134="Revêtement",T134,0)</f>
        <v>0</v>
      </c>
      <c r="BC134" s="1036"/>
      <c r="BD134" s="1037"/>
      <c r="BE134" s="1037"/>
      <c r="BF134" s="1038"/>
      <c r="BG134" s="1036">
        <f>IF($AM134="Structure", IF($I134="kg",$J134,0), 0)</f>
        <v>14016.199999999999</v>
      </c>
      <c r="BH134" s="1037">
        <f>IF($AM134="Insulation", IF($I134="kg",$J134,0), 0)</f>
        <v>0</v>
      </c>
      <c r="BI134" s="1038">
        <f>IF($AM134="Revêtement", IF($I134="kg",$J134,0), 0)</f>
        <v>0</v>
      </c>
      <c r="BJ134" s="1037">
        <f>_xlfn.XLOOKUP(H134, 'Baumaterialien Matériaux'!A:A, 'Baumaterialien Matériaux'!E:E, "-", 0, 1)</f>
        <v>2300</v>
      </c>
      <c r="BK134" s="1036">
        <f t="shared" si="176"/>
        <v>6.0939999999999994</v>
      </c>
      <c r="BL134" s="1037">
        <f t="shared" si="177"/>
        <v>0</v>
      </c>
      <c r="BM134" s="1038">
        <f t="shared" si="178"/>
        <v>0</v>
      </c>
      <c r="BN134" s="1037">
        <f>IFERROR((J134*VLOOKUP(H134, 'Baumaterialien Matériaux'!$A$11:$AH$318, 33,FALSE)),0)/$G$1</f>
        <v>0.32449240906460081</v>
      </c>
      <c r="BO134" s="1037">
        <f>(BN134+BP134)*($L$2/L134-1)</f>
        <v>0</v>
      </c>
      <c r="BP134" s="1037">
        <f>IFERROR((J134*VLOOKUP(H134, 'Baumaterialien Matériaux'!$A$11:$AH$318, 34,FALSE)),0)/$G$1</f>
        <v>4.1809598860246641E-2</v>
      </c>
      <c r="BQ134" s="1037">
        <f t="shared" si="256"/>
        <v>0.21102362204724409</v>
      </c>
      <c r="BR134" s="1037"/>
    </row>
    <row r="135" spans="2:70">
      <c r="B135" s="1103"/>
      <c r="C135" s="1099"/>
      <c r="D135" s="478"/>
      <c r="E135" s="478"/>
      <c r="F135" s="478" t="s">
        <v>3004</v>
      </c>
      <c r="G135" s="478" t="str">
        <f>_xlfn.XLOOKUP(H135, 'Baumaterialien Matériaux'!A:A, 'Baumaterialien Matériaux'!AD:AD, "-", 0, 1)</f>
        <v>Acier d'armature</v>
      </c>
      <c r="H135" s="892" t="s">
        <v>497</v>
      </c>
      <c r="I135" s="641" t="str">
        <f>_xlfn.XLOOKUP(H135, 'Baumaterialien Matériaux'!A:A, 'Baumaterialien Matériaux'!F:F, "-", 0, 1)</f>
        <v>kg</v>
      </c>
      <c r="J135" s="649">
        <f>$J$133*K135</f>
        <v>914.09999999999991</v>
      </c>
      <c r="K135" s="894">
        <f>0.2*150</f>
        <v>30</v>
      </c>
      <c r="L135" s="647">
        <v>60</v>
      </c>
      <c r="M135" s="648">
        <f t="shared" si="308"/>
        <v>1.8348336449846396</v>
      </c>
      <c r="N135" s="720">
        <f>IFERROR(($J135*VLOOKUP($H135, 'Baumaterialien Matériaux'!$A$11:$AD$318, 26,FALSE)),0)/$G$1</f>
        <v>1.5261453185521567</v>
      </c>
      <c r="O135" s="720">
        <f>IFERROR(($J135*VLOOKUP($H135, 'Baumaterialien Matériaux'!$A$11:$AH$318, 33,FALSE)),0)/$G$1</f>
        <v>0.29607219179911842</v>
      </c>
      <c r="P135" s="720">
        <f t="shared" si="309"/>
        <v>0</v>
      </c>
      <c r="Q135" s="720">
        <f>IFERROR(($J135*VLOOKUP($H135, 'Baumaterialien Matériaux'!$A$11:$AD$318, 27,FALSE)),0)/$G$1</f>
        <v>1.2616134633364496E-2</v>
      </c>
      <c r="R135" s="720">
        <f>IFERROR(($J135*VLOOKUP($H135, 'Baumaterialien Matériaux'!$A$11:$AH$318, 34,FALSE)),0)/$G$1</f>
        <v>0</v>
      </c>
      <c r="S135" s="720">
        <f>IFERROR((J135*VLOOKUP(H135, 'Baumaterialien Matériaux'!$A$11:$AD$318, 29,FALSE)),0)/$G$1</f>
        <v>0</v>
      </c>
      <c r="V135" s="638">
        <f t="shared" si="291"/>
        <v>0</v>
      </c>
      <c r="W135" s="638">
        <f t="shared" si="294"/>
        <v>0</v>
      </c>
      <c r="Z135" s="638">
        <f t="shared" si="142"/>
        <v>60</v>
      </c>
      <c r="AA135" s="648" t="s">
        <v>3456</v>
      </c>
      <c r="AB135" t="str">
        <f>_xlfn.XLOOKUP($H135,'[1]Baumaterialien Matériaux'!$A:$A,'[1]Baumaterialien Matériaux'!AK:AK,0,0)</f>
        <v>metal</v>
      </c>
      <c r="AC135" t="str" cm="1">
        <f t="array" ref="AC135">_xlfn.SWITCH(I135,"kg"," ",0," ",_xlfn.XLOOKUP(H135, '[1]Baumaterialien Matériaux'!$A:$A, '[1]Baumaterialien Matériaux'!$AL:$AL, "-", 0, 1))</f>
        <v xml:space="preserve"> </v>
      </c>
      <c r="AD135" s="622" cm="1">
        <f t="array" ref="AD135">IFERROR(_xlfn.SWITCH(I135,"kg",1,"m3",AC135,AC135)*J135/(_xlfn.XLOOKUP(AA135,Métrés!A:A,Métrés!C:C,0)),0)</f>
        <v>1.5297106251380606</v>
      </c>
      <c r="AE135" s="1092">
        <f>IFERROR(N135*$G$1/(_xlfn.XLOOKUP($AA135,Métrés!$A:$A,Métrés!$C:$C,0)),0)</f>
        <v>2.2945659377070906</v>
      </c>
      <c r="AF135" s="1092">
        <f>IFERROR(O135*$G$1/(_xlfn.XLOOKUP($AA135,Métrés!$A:$A,Métrés!$C:$C,0)),0)</f>
        <v>0.44514579191517556</v>
      </c>
      <c r="AG135" s="1092">
        <f>IFERROR(Q135*$G$1/(_xlfn.XLOOKUP($AA135,Métrés!$A:$A,Métrés!$C:$C,0)),0)</f>
        <v>1.8968411751711947E-2</v>
      </c>
      <c r="AH135" s="1092">
        <f>IFERROR(R135*$G$1/(_xlfn.XLOOKUP($AA135,Métrés!$A:$A,Métrés!$C:$C,0)),0)</f>
        <v>0</v>
      </c>
      <c r="AI135" s="1092">
        <f>IFERROR(S135*$G$1/(_xlfn.XLOOKUP($AA135,Métrés!$A:$A,Métrés!$C:$C,0)),0)</f>
        <v>0</v>
      </c>
      <c r="AJ135" s="1022"/>
      <c r="AK135" s="638">
        <f>IF(L135=60, 0, T135)</f>
        <v>0</v>
      </c>
      <c r="AL135" s="638">
        <f>IF(L135=60, 0, S135)</f>
        <v>0</v>
      </c>
      <c r="AM135" s="638" t="str">
        <f>IF(L135=$L$2, "Structure", IF(L135&gt;0,"Revêtement",0))</f>
        <v>Structure</v>
      </c>
      <c r="AN135" s="1036">
        <f>IF(AM135="Structure",N135,0)</f>
        <v>1.5261453185521567</v>
      </c>
      <c r="AO135" s="1037">
        <f>IF(AM135="Structure",P135,0)</f>
        <v>0</v>
      </c>
      <c r="AP135" s="1037">
        <f>IF(AM135="Structure",Q135,0)</f>
        <v>1.2616134633364496E-2</v>
      </c>
      <c r="AQ135" s="1038">
        <f>IF(AM135="Structure",S135,0)</f>
        <v>0</v>
      </c>
      <c r="AR135" s="1038">
        <f>IF(AM135="Structure",T135,0)</f>
        <v>0</v>
      </c>
      <c r="AS135" s="1036">
        <f>IF(AM135="Insulation",N135,0)</f>
        <v>0</v>
      </c>
      <c r="AT135" s="1037">
        <f>IF(AM135="Insulation",P135,0)</f>
        <v>0</v>
      </c>
      <c r="AU135" s="1037">
        <f>IF(AM135="Insulation",Q135,0)</f>
        <v>0</v>
      </c>
      <c r="AV135" s="1038">
        <f>IF(AM135="Insulation",S135,0)</f>
        <v>0</v>
      </c>
      <c r="AW135" s="1038">
        <f>IF(AM135="Insulation",T135,0)</f>
        <v>0</v>
      </c>
      <c r="AX135" s="1036">
        <f>IF(AM135="Revêtement",N135,0)</f>
        <v>0</v>
      </c>
      <c r="AY135" s="1037">
        <f>IF(AM135="Revêtement",P135,0)</f>
        <v>0</v>
      </c>
      <c r="AZ135" s="1037">
        <f>IF(AM135="Revêtement",Q135,0)</f>
        <v>0</v>
      </c>
      <c r="BA135" s="1037">
        <f>IF(AM135="Revêtement",S135,0)</f>
        <v>0</v>
      </c>
      <c r="BB135" s="1038">
        <f>IF(AM135="Revêtement",T135,0)</f>
        <v>0</v>
      </c>
      <c r="BC135" s="1036"/>
      <c r="BD135" s="1037"/>
      <c r="BE135" s="1037"/>
      <c r="BF135" s="1038"/>
      <c r="BG135" s="1036">
        <f>IF($AM135="Structure", IF($I135="kg",$J135,0), 0)</f>
        <v>914.09999999999991</v>
      </c>
      <c r="BH135" s="1037">
        <f>IF($AM135="Insulation", IF($I135="kg",$J135,0), 0)</f>
        <v>0</v>
      </c>
      <c r="BI135" s="1038">
        <f>IF($AM135="Revêtement", IF($I135="kg",$J135,0), 0)</f>
        <v>0</v>
      </c>
      <c r="BJ135" s="1037">
        <f>_xlfn.XLOOKUP(H135, 'Baumaterialien Matériaux'!A:A, 'Baumaterialien Matériaux'!E:E, "-", 0, 1)</f>
        <v>7850</v>
      </c>
      <c r="BK135" s="1036">
        <f t="shared" si="176"/>
        <v>0.11644585987261145</v>
      </c>
      <c r="BL135" s="1037">
        <f t="shared" si="177"/>
        <v>0</v>
      </c>
      <c r="BM135" s="1038">
        <f t="shared" si="178"/>
        <v>0</v>
      </c>
      <c r="BN135" s="1037">
        <f>IFERROR((J135*VLOOKUP(H135, 'Baumaterialien Matériaux'!$A$11:$AH$318, 33,FALSE)),0)/$G$1</f>
        <v>0.29607219179911842</v>
      </c>
      <c r="BO135" s="1037">
        <f>(BN135+BP135)*($L$2/L135-1)</f>
        <v>0</v>
      </c>
      <c r="BP135" s="1037">
        <f>IFERROR((J135*VLOOKUP(H135, 'Baumaterialien Matériaux'!$A$11:$AH$318, 34,FALSE)),0)/$G$1</f>
        <v>0</v>
      </c>
      <c r="BQ135" s="1037">
        <f t="shared" si="256"/>
        <v>0</v>
      </c>
      <c r="BR135" s="1037"/>
    </row>
    <row r="136" spans="2:70">
      <c r="B136" s="1103"/>
      <c r="C136" s="1099"/>
      <c r="D136" s="478" t="s">
        <v>135</v>
      </c>
      <c r="E136" s="479" t="str">
        <f>BillQuantities!E25</f>
        <v>Non porteuse (moyenne) (avec enduit intérieur)</v>
      </c>
      <c r="F136" s="479" t="s">
        <v>3044</v>
      </c>
      <c r="G136" s="479"/>
      <c r="H136" s="479"/>
      <c r="I136" s="460" t="s">
        <v>39</v>
      </c>
      <c r="J136" s="662">
        <v>174.15600000000001</v>
      </c>
      <c r="K136" s="663"/>
      <c r="L136" s="663"/>
      <c r="M136" s="664">
        <f>SUM(M137:M140)</f>
        <v>9.292078066429811</v>
      </c>
      <c r="N136" s="664">
        <f t="shared" ref="N136:T136" si="310">SUM(N137:N140)</f>
        <v>3.7141416829170559</v>
      </c>
      <c r="O136" s="664">
        <f t="shared" ref="O136" si="311">SUM(O137:O140)</f>
        <v>1.6766227086950711</v>
      </c>
      <c r="P136" s="664">
        <f t="shared" si="310"/>
        <v>3.8077276788673702</v>
      </c>
      <c r="Q136" s="664">
        <f t="shared" si="310"/>
        <v>9.3585995950313874E-2</v>
      </c>
      <c r="R136" s="664">
        <f t="shared" ref="R136" si="312">SUM(R137:R140)</f>
        <v>1.2460593909443035E-2</v>
      </c>
      <c r="S136" s="664">
        <f t="shared" si="310"/>
        <v>0.21749146520635765</v>
      </c>
      <c r="T136" s="664">
        <f t="shared" si="310"/>
        <v>2.1749146520635763E-3</v>
      </c>
      <c r="V136" s="638">
        <f t="shared" si="291"/>
        <v>2.1749146520635763E-3</v>
      </c>
      <c r="X136" s="638">
        <f t="shared" si="224"/>
        <v>0</v>
      </c>
      <c r="Z136" s="638">
        <f t="shared" si="142"/>
        <v>0</v>
      </c>
      <c r="AB136">
        <f>_xlfn.XLOOKUP($H136,'[1]Baumaterialien Matériaux'!$A:$A,'[1]Baumaterialien Matériaux'!AK:AK,0,0)</f>
        <v>0</v>
      </c>
      <c r="AC136" cm="1">
        <f t="array" ref="AC136">_xlfn.SWITCH(I136,"kg"," ",0," ",_xlfn.XLOOKUP(H136, '[1]Baumaterialien Matériaux'!$A:$A, '[1]Baumaterialien Matériaux'!$AL:$AL, "-", 0, 1))</f>
        <v>0</v>
      </c>
      <c r="AD136" s="622" cm="1">
        <f t="array" ref="AD136">IFERROR(_xlfn.SWITCH(I136,"kg",1,"m3",AC136,AC136)*J136/(_xlfn.XLOOKUP(AA136,Métrés!A:A,Métrés!C:C,0)),0)</f>
        <v>0</v>
      </c>
      <c r="AE136" s="1092">
        <f>IFERROR(N136*$G$1/(_xlfn.XLOOKUP($AA136,Métrés!$A:$A,Métrés!$C:$C,0)),0)</f>
        <v>0</v>
      </c>
      <c r="AF136" s="1092">
        <f>IFERROR(O136*$G$1/(_xlfn.XLOOKUP($AA136,Métrés!$A:$A,Métrés!$C:$C,0)),0)</f>
        <v>0</v>
      </c>
      <c r="AG136" s="1092">
        <f>IFERROR(Q136*$G$1/(_xlfn.XLOOKUP($AA136,Métrés!$A:$A,Métrés!$C:$C,0)),0)</f>
        <v>0</v>
      </c>
      <c r="AH136" s="1092">
        <f>IFERROR(R136*$G$1/(_xlfn.XLOOKUP($AA136,Métrés!$A:$A,Métrés!$C:$C,0)),0)</f>
        <v>0</v>
      </c>
      <c r="AI136" s="1092">
        <f>IFERROR(S136*$G$1/(_xlfn.XLOOKUP($AA136,Métrés!$A:$A,Métrés!$C:$C,0)),0)</f>
        <v>0</v>
      </c>
      <c r="AJ136" s="1021"/>
      <c r="AK136" s="1021"/>
      <c r="AL136" s="1021"/>
      <c r="AM136" s="1021"/>
      <c r="AN136" s="1057"/>
      <c r="AO136" s="1021"/>
      <c r="AP136" s="1021"/>
      <c r="AQ136" s="1021"/>
      <c r="AR136" s="1058"/>
      <c r="AS136" s="1057"/>
      <c r="AT136" s="1021"/>
      <c r="AU136" s="1021"/>
      <c r="AV136" s="1021"/>
      <c r="AW136" s="1058"/>
      <c r="AX136" s="1057"/>
      <c r="AY136" s="1021"/>
      <c r="AZ136" s="1021"/>
      <c r="BA136" s="1021"/>
      <c r="BB136" s="1058"/>
      <c r="BC136" s="1057"/>
      <c r="BD136" s="1021"/>
      <c r="BE136" s="1021"/>
      <c r="BF136" s="1058"/>
      <c r="BG136" s="1057"/>
      <c r="BH136" s="1021"/>
      <c r="BI136" s="1058"/>
      <c r="BJ136" s="1045"/>
      <c r="BK136" s="1057"/>
      <c r="BL136" s="1021"/>
      <c r="BM136" s="1058"/>
      <c r="BN136" s="1037">
        <f>IFERROR((J136*VLOOKUP(H136, 'Baumaterialien Matériaux'!$A$11:$AH$318, 33,FALSE)),0)/$G$1</f>
        <v>0</v>
      </c>
      <c r="BO136" s="1037"/>
      <c r="BP136" s="1037">
        <f>IFERROR((J136*VLOOKUP(H136, 'Baumaterialien Matériaux'!$A$11:$AH$318, 34,FALSE)),0)/$G$1</f>
        <v>0</v>
      </c>
      <c r="BQ136" s="1037">
        <f t="shared" si="256"/>
        <v>0</v>
      </c>
      <c r="BR136" s="1037"/>
    </row>
    <row r="137" spans="2:70">
      <c r="B137" s="1103"/>
      <c r="C137" s="1099"/>
      <c r="D137" s="478"/>
      <c r="E137" s="478"/>
      <c r="F137" s="478" t="s">
        <v>3045</v>
      </c>
      <c r="G137" s="478" t="str">
        <f>_xlfn.XLOOKUP(H137, 'Baumaterialien Matériaux'!A:A, 'Baumaterialien Matériaux'!AD:AD, "-", 0, 1)</f>
        <v>Plaque de plâtre cartonnée</v>
      </c>
      <c r="H137" s="892" t="s">
        <v>107</v>
      </c>
      <c r="I137" s="641" t="str">
        <f>_xlfn.XLOOKUP(H137, 'Baumaterialien Matériaux'!A:A, 'Baumaterialien Matériaux'!F:F, "-", 0, 1)</f>
        <v>kg</v>
      </c>
      <c r="J137" s="649">
        <f>$J$136*K137</f>
        <v>1480.326</v>
      </c>
      <c r="K137" s="894">
        <f>0.01*850</f>
        <v>8.5</v>
      </c>
      <c r="L137" s="643">
        <f>'Eléments de constr. inté. et ex'!N29</f>
        <v>30</v>
      </c>
      <c r="M137" s="648">
        <f t="shared" ref="M137:M139" si="313">SUM(N137:Q137)</f>
        <v>1.2897902951783087</v>
      </c>
      <c r="N137" s="720">
        <f>IFERROR(($J137*VLOOKUP($H137, 'Baumaterialien Matériaux'!$A$11:$AD$318, 26,FALSE)),0)/$G$1</f>
        <v>0.46628852010150923</v>
      </c>
      <c r="O137" s="720">
        <f>IFERROR(($J137*VLOOKUP($H137, 'Baumaterialien Matériaux'!$A$11:$AH$318, 33,FALSE)),0)/$G$1</f>
        <v>0.29493160812074254</v>
      </c>
      <c r="P137" s="720">
        <f>IFERROR((N137+Q137)*($L$2/L137-1),0)</f>
        <v>0.49742934352878315</v>
      </c>
      <c r="Q137" s="720">
        <f>IFERROR(($J137*VLOOKUP($H137, 'Baumaterialien Matériaux'!$A$11:$AD$318, 27,FALSE)),0)/$G$1</f>
        <v>3.114082342727394E-2</v>
      </c>
      <c r="R137" s="720">
        <f>IFERROR(($J137*VLOOKUP($H137, 'Baumaterialien Matériaux'!$A$11:$AH$318, 34,FALSE)),0)/$G$1</f>
        <v>5.4208100040069457E-3</v>
      </c>
      <c r="S137" s="720">
        <f>IFERROR((J137*VLOOKUP(H137, 'Baumaterialien Matériaux'!$A$11:$AD$318, 29,FALSE)),0)/$G$1</f>
        <v>0.10874573260317882</v>
      </c>
      <c r="T137" s="720">
        <f>S137*AJ137</f>
        <v>1.0874573260317882E-3</v>
      </c>
      <c r="U137" s="638">
        <v>0.01</v>
      </c>
      <c r="V137" s="638">
        <f t="shared" si="291"/>
        <v>1.0874573260317882E-3</v>
      </c>
      <c r="W137" s="638">
        <f>IF(L137=60, 0, S137)</f>
        <v>0.10874573260317882</v>
      </c>
      <c r="X137" s="638" t="str">
        <f t="shared" si="224"/>
        <v>Revêtement</v>
      </c>
      <c r="Z137" s="638">
        <f t="shared" ref="Z137:Z200" si="314">L137</f>
        <v>30</v>
      </c>
      <c r="AA137" s="648" t="s">
        <v>3454</v>
      </c>
      <c r="AB137" t="str">
        <f>_xlfn.XLOOKUP($H137,'[1]Baumaterialien Matériaux'!$A:$A,'[1]Baumaterialien Matériaux'!AK:AK,0,0)</f>
        <v>gypsum</v>
      </c>
      <c r="AC137" t="str" cm="1">
        <f t="array" ref="AC137">_xlfn.SWITCH(I137,"kg"," ",0," ",_xlfn.XLOOKUP(H137, '[1]Baumaterialien Matériaux'!$A:$A, '[1]Baumaterialien Matériaux'!$AL:$AL, "-", 0, 1))</f>
        <v xml:space="preserve"> </v>
      </c>
      <c r="AD137" s="622" cm="1">
        <f t="array" ref="AD137">IFERROR(_xlfn.SWITCH(I137,"kg",1,"m3",AC137,AC137)*J137/(_xlfn.XLOOKUP(AA137,Métrés!A:A,Métrés!C:C,0)),0)</f>
        <v>8.5</v>
      </c>
      <c r="AE137" s="1092">
        <f>IFERROR(N137*$G$1/(_xlfn.XLOOKUP($AA137,Métrés!$A:$A,Métrés!$C:$C,0)),0)</f>
        <v>2.4055</v>
      </c>
      <c r="AF137" s="1092">
        <f>IFERROR(O137*$G$1/(_xlfn.XLOOKUP($AA137,Métrés!$A:$A,Métrés!$C:$C,0)),0)</f>
        <v>1.5214999999999999</v>
      </c>
      <c r="AG137" s="1092">
        <f>IFERROR(Q137*$G$1/(_xlfn.XLOOKUP($AA137,Métrés!$A:$A,Métrés!$C:$C,0)),0)</f>
        <v>0.16065000000000002</v>
      </c>
      <c r="AH137" s="1092">
        <f>IFERROR(R137*$G$1/(_xlfn.XLOOKUP($AA137,Métrés!$A:$A,Métrés!$C:$C,0)),0)</f>
        <v>2.7965E-2</v>
      </c>
      <c r="AI137" s="1092">
        <f>IFERROR(S137*$G$1/(_xlfn.XLOOKUP($AA137,Métrés!$A:$A,Métrés!$C:$C,0)),0)</f>
        <v>0.56099999999999994</v>
      </c>
      <c r="AJ137" s="1022">
        <v>0.01</v>
      </c>
      <c r="AK137" s="638">
        <f>IF(L137=60, 0, T137)</f>
        <v>1.0874573260317882E-3</v>
      </c>
      <c r="AL137" s="638">
        <f>IF(L137=60, 0, S137)</f>
        <v>0.10874573260317882</v>
      </c>
      <c r="AM137" s="638" t="str">
        <f>IF(L137=$L$2, "Structure", IF(L137&gt;0,"Revêtement",0))</f>
        <v>Revêtement</v>
      </c>
      <c r="AN137" s="1036">
        <f>IF(AM137="Structure",N137,0)</f>
        <v>0</v>
      </c>
      <c r="AO137" s="1037">
        <f>IF(AM137="Structure",P137,0)</f>
        <v>0</v>
      </c>
      <c r="AP137" s="1037">
        <f>IF(AM137="Structure",Q137,0)</f>
        <v>0</v>
      </c>
      <c r="AQ137" s="1038">
        <f>IF(AM137="Structure",S137,0)</f>
        <v>0</v>
      </c>
      <c r="AR137" s="1038">
        <f>IF(AM137="Structure",T137,0)</f>
        <v>0</v>
      </c>
      <c r="AS137" s="1036">
        <f>IF(AM137="Insulation",N137,0)</f>
        <v>0</v>
      </c>
      <c r="AT137" s="1037">
        <f>IF(AM137="Insulation",P137,0)</f>
        <v>0</v>
      </c>
      <c r="AU137" s="1037">
        <f>IF(AM137="Insulation",Q137,0)</f>
        <v>0</v>
      </c>
      <c r="AV137" s="1038">
        <f>IF(AM137="Insulation",S137,0)</f>
        <v>0</v>
      </c>
      <c r="AW137" s="1038">
        <f>IF(AM137="Insulation",T137,0)</f>
        <v>0</v>
      </c>
      <c r="AX137" s="1036">
        <f>IF(AM137="Revêtement",N137,0)</f>
        <v>0.46628852010150923</v>
      </c>
      <c r="AY137" s="1037">
        <f>IF(AM137="Revêtement",P137,0)</f>
        <v>0.49742934352878315</v>
      </c>
      <c r="AZ137" s="1037">
        <f>IF(AM137="Revêtement",Q137,0)</f>
        <v>3.114082342727394E-2</v>
      </c>
      <c r="BA137" s="1037">
        <f>IF(AM137="Revêtement",S137,0)</f>
        <v>0.10874573260317882</v>
      </c>
      <c r="BB137" s="1038">
        <f>IF(AM137="Revêtement",T137,0)</f>
        <v>1.0874573260317882E-3</v>
      </c>
      <c r="BC137" s="1036"/>
      <c r="BD137" s="1037"/>
      <c r="BE137" s="1037"/>
      <c r="BF137" s="1038"/>
      <c r="BG137" s="1036">
        <f>IF($AM137="Structure", IF($I137="kg",$J137,0), 0)</f>
        <v>0</v>
      </c>
      <c r="BH137" s="1037">
        <f>IF($AM137="Insulation", IF($I137="kg",$J137,0), 0)</f>
        <v>0</v>
      </c>
      <c r="BI137" s="1038">
        <f>IF($AM137="Revêtement", IF($I137="kg",$J137,0), 0)</f>
        <v>1480.326</v>
      </c>
      <c r="BJ137" s="1037">
        <f>_xlfn.XLOOKUP(H137, 'Baumaterialien Matériaux'!A:A, 'Baumaterialien Matériaux'!E:E, "-", 0, 1)</f>
        <v>850</v>
      </c>
      <c r="BK137" s="1036">
        <f t="shared" si="176"/>
        <v>0</v>
      </c>
      <c r="BL137" s="1037">
        <f t="shared" si="177"/>
        <v>0</v>
      </c>
      <c r="BM137" s="1038">
        <f t="shared" si="178"/>
        <v>1.74156</v>
      </c>
      <c r="BN137" s="1037">
        <f>IFERROR((J137*VLOOKUP(H137, 'Baumaterialien Matériaux'!$A$11:$AH$318, 33,FALSE)),0)/$G$1</f>
        <v>0.29493160812074254</v>
      </c>
      <c r="BO137" s="1037">
        <f>(BN137+BP137)*($L$2/L137-1)</f>
        <v>0.3003524181247495</v>
      </c>
      <c r="BP137" s="1037">
        <f>IFERROR((J137*VLOOKUP(H137, 'Baumaterialien Matériaux'!$A$11:$AH$318, 34,FALSE)),0)/$G$1</f>
        <v>5.4208100040069457E-3</v>
      </c>
      <c r="BQ137" s="1037">
        <f t="shared" si="256"/>
        <v>0.1740740740740741</v>
      </c>
      <c r="BR137" s="1037">
        <f>IFERROR((N137+Q137)*($L$2/L137-1),0)</f>
        <v>0.49742934352878315</v>
      </c>
    </row>
    <row r="138" spans="2:70">
      <c r="B138" s="1103"/>
      <c r="C138" s="1099"/>
      <c r="D138" s="478"/>
      <c r="E138" s="478"/>
      <c r="F138" s="478" t="s">
        <v>3046</v>
      </c>
      <c r="G138" s="478" t="str">
        <f>_xlfn.XLOOKUP(H138, 'Baumaterialien Matériaux'!A:A, 'Baumaterialien Matériaux'!AD:AD, "-", 0, 1)</f>
        <v>Tôle d'acier, zinguée</v>
      </c>
      <c r="H138" s="892" t="s">
        <v>618</v>
      </c>
      <c r="I138" s="641" t="str">
        <f>_xlfn.XLOOKUP(H138, 'Baumaterialien Matériaux'!A:A, 'Baumaterialien Matériaux'!F:F, "-", 0, 1)</f>
        <v>kg</v>
      </c>
      <c r="J138" s="649">
        <f t="shared" ref="J138:J140" si="315">$J$136*K138</f>
        <v>459.77184000000005</v>
      </c>
      <c r="K138" s="884">
        <v>2.64</v>
      </c>
      <c r="L138" s="643">
        <f>'Eléments de constr. inté. et ex'!N30</f>
        <v>30</v>
      </c>
      <c r="M138" s="648">
        <f t="shared" si="313"/>
        <v>5.493056559284093</v>
      </c>
      <c r="N138" s="720">
        <f>IFERROR(($J138*VLOOKUP($H138, 'Baumaterialien Matériaux'!$A$11:$AD$318, 26,FALSE)),0)/$G$1</f>
        <v>2.2977333618271674</v>
      </c>
      <c r="O138" s="720">
        <f>IFERROR(($J138*VLOOKUP($H138, 'Baumaterialien Matériaux'!$A$11:$AH$318, 33,FALSE)),0)/$G$1</f>
        <v>0.89043564578602918</v>
      </c>
      <c r="P138" s="720">
        <f t="shared" ref="P138:P139" si="316">IFERROR((N138+Q138)*($L$2/L138-1),0)</f>
        <v>2.3013104567490319</v>
      </c>
      <c r="Q138" s="720">
        <f>IFERROR(($J138*VLOOKUP($H138, 'Baumaterialien Matériaux'!$A$11:$AD$318, 27,FALSE)),0)/$G$1</f>
        <v>3.5770949218645654E-3</v>
      </c>
      <c r="R138" s="720">
        <f>IFERROR(($J138*VLOOKUP($H138, 'Baumaterialien Matériaux'!$A$11:$AH$318, 34,FALSE)),0)/$G$1</f>
        <v>0</v>
      </c>
      <c r="S138" s="720">
        <f>IFERROR((J138*VLOOKUP(H138, 'Baumaterialien Matériaux'!$A$11:$AD$318, 29,FALSE)),0)/$G$1</f>
        <v>0</v>
      </c>
      <c r="T138" s="720"/>
      <c r="V138" s="638">
        <f t="shared" si="291"/>
        <v>0</v>
      </c>
      <c r="W138" s="638">
        <f>IF(L138=60, 0, S138)</f>
        <v>0</v>
      </c>
      <c r="X138" s="638" t="str">
        <f t="shared" si="224"/>
        <v>Revêtement</v>
      </c>
      <c r="Z138" s="638">
        <f t="shared" si="314"/>
        <v>30</v>
      </c>
      <c r="AA138" s="648" t="s">
        <v>3454</v>
      </c>
      <c r="AB138" t="str">
        <f>_xlfn.XLOOKUP($H138,'[1]Baumaterialien Matériaux'!$A:$A,'[1]Baumaterialien Matériaux'!AK:AK,0,0)</f>
        <v>metal</v>
      </c>
      <c r="AC138" t="str" cm="1">
        <f t="array" ref="AC138">_xlfn.SWITCH(I138,"kg"," ",0," ",_xlfn.XLOOKUP(H138, '[1]Baumaterialien Matériaux'!$A:$A, '[1]Baumaterialien Matériaux'!$AL:$AL, "-", 0, 1))</f>
        <v xml:space="preserve"> </v>
      </c>
      <c r="AD138" s="622" cm="1">
        <f t="array" ref="AD138">IFERROR(_xlfn.SWITCH(I138,"kg",1,"m3",AC138,AC138)*J138/(_xlfn.XLOOKUP(AA138,Métrés!A:A,Métrés!C:C,0)),0)</f>
        <v>2.64</v>
      </c>
      <c r="AE138" s="1092">
        <f>IFERROR(N138*$G$1/(_xlfn.XLOOKUP($AA138,Métrés!$A:$A,Métrés!$C:$C,0)),0)</f>
        <v>11.853600000000002</v>
      </c>
      <c r="AF138" s="1092">
        <f>IFERROR(O138*$G$1/(_xlfn.XLOOKUP($AA138,Métrés!$A:$A,Métrés!$C:$C,0)),0)</f>
        <v>4.5936000000000003</v>
      </c>
      <c r="AG138" s="1092">
        <f>IFERROR(Q138*$G$1/(_xlfn.XLOOKUP($AA138,Métrés!$A:$A,Métrés!$C:$C,0)),0)</f>
        <v>1.8453600000000001E-2</v>
      </c>
      <c r="AH138" s="1092">
        <f>IFERROR(R138*$G$1/(_xlfn.XLOOKUP($AA138,Métrés!$A:$A,Métrés!$C:$C,0)),0)</f>
        <v>0</v>
      </c>
      <c r="AI138" s="1092">
        <f>IFERROR(S138*$G$1/(_xlfn.XLOOKUP($AA138,Métrés!$A:$A,Métrés!$C:$C,0)),0)</f>
        <v>0</v>
      </c>
      <c r="AJ138" s="1022"/>
      <c r="AK138" s="638">
        <f>IF(L138=60, 0, T138)</f>
        <v>0</v>
      </c>
      <c r="AL138" s="638">
        <f>IF(L138=60, 0, S138)</f>
        <v>0</v>
      </c>
      <c r="AM138" s="638" t="str">
        <f>IF(L138=$L$2, "Structure", IF(L138&gt;0,"Revêtement",0))</f>
        <v>Revêtement</v>
      </c>
      <c r="AN138" s="1036">
        <f>IF(AM138="Structure",N138,0)</f>
        <v>0</v>
      </c>
      <c r="AO138" s="1037">
        <f>IF(AM138="Structure",P138,0)</f>
        <v>0</v>
      </c>
      <c r="AP138" s="1037">
        <f>IF(AM138="Structure",Q138,0)</f>
        <v>0</v>
      </c>
      <c r="AQ138" s="1038">
        <f>IF(AM138="Structure",S138,0)</f>
        <v>0</v>
      </c>
      <c r="AR138" s="1038">
        <f>IF(AM138="Structure",T138,0)</f>
        <v>0</v>
      </c>
      <c r="AS138" s="1036">
        <f>IF(AM138="Insulation",N138,0)</f>
        <v>0</v>
      </c>
      <c r="AT138" s="1037">
        <f>IF(AM138="Insulation",P138,0)</f>
        <v>0</v>
      </c>
      <c r="AU138" s="1037">
        <f>IF(AM138="Insulation",Q138,0)</f>
        <v>0</v>
      </c>
      <c r="AV138" s="1038">
        <f>IF(AM138="Insulation",S138,0)</f>
        <v>0</v>
      </c>
      <c r="AW138" s="1038">
        <f>IF(AM138="Insulation",T138,0)</f>
        <v>0</v>
      </c>
      <c r="AX138" s="1036">
        <f>IF(AM138="Revêtement",N138,0)</f>
        <v>2.2977333618271674</v>
      </c>
      <c r="AY138" s="1037">
        <f>IF(AM138="Revêtement",P138,0)</f>
        <v>2.3013104567490319</v>
      </c>
      <c r="AZ138" s="1037">
        <f>IF(AM138="Revêtement",Q138,0)</f>
        <v>3.5770949218645654E-3</v>
      </c>
      <c r="BA138" s="1037">
        <f>IF(AM138="Revêtement",S138,0)</f>
        <v>0</v>
      </c>
      <c r="BB138" s="1038">
        <f>IF(AM138="Revêtement",T138,0)</f>
        <v>0</v>
      </c>
      <c r="BC138" s="1036"/>
      <c r="BD138" s="1037"/>
      <c r="BE138" s="1037"/>
      <c r="BF138" s="1038"/>
      <c r="BG138" s="1036">
        <f>IF($AM138="Structure", IF($I138="kg",$J138,0), 0)</f>
        <v>0</v>
      </c>
      <c r="BH138" s="1037">
        <f>IF($AM138="Insulation", IF($I138="kg",$J138,0), 0)</f>
        <v>0</v>
      </c>
      <c r="BI138" s="1038">
        <f>IF($AM138="Revêtement", IF($I138="kg",$J138,0), 0)</f>
        <v>459.77184000000005</v>
      </c>
      <c r="BJ138" s="1037">
        <f>_xlfn.XLOOKUP(H138, 'Baumaterialien Matériaux'!A:A, 'Baumaterialien Matériaux'!E:E, "-", 0, 1)</f>
        <v>7850</v>
      </c>
      <c r="BK138" s="1036">
        <f t="shared" si="176"/>
        <v>0</v>
      </c>
      <c r="BL138" s="1037">
        <f t="shared" si="177"/>
        <v>0</v>
      </c>
      <c r="BM138" s="1038">
        <f t="shared" si="178"/>
        <v>5.8569661146496824E-2</v>
      </c>
      <c r="BN138" s="1037">
        <f>IFERROR((J138*VLOOKUP(H138, 'Baumaterialien Matériaux'!$A$11:$AH$318, 33,FALSE)),0)/$G$1</f>
        <v>0.89043564578602918</v>
      </c>
      <c r="BO138" s="1037">
        <f>(BN138+BP138)*($L$2/L138-1)</f>
        <v>0.89043564578602918</v>
      </c>
      <c r="BP138" s="1037">
        <f>IFERROR((J138*VLOOKUP(H138, 'Baumaterialien Matériaux'!$A$11:$AH$318, 34,FALSE)),0)/$G$1</f>
        <v>0</v>
      </c>
      <c r="BQ138" s="1037">
        <f t="shared" si="256"/>
        <v>0</v>
      </c>
      <c r="BR138" s="1037">
        <f>IFERROR((N138+Q138)*($L$2/L138-1),0)</f>
        <v>2.3013104567490319</v>
      </c>
    </row>
    <row r="139" spans="2:70">
      <c r="B139" s="1103"/>
      <c r="C139" s="1099"/>
      <c r="D139" s="478"/>
      <c r="E139" s="478"/>
      <c r="F139" s="478" t="s">
        <v>3047</v>
      </c>
      <c r="G139" s="478" t="str">
        <f>_xlfn.XLOOKUP(H139, 'Baumaterialien Matériaux'!A:A, 'Baumaterialien Matériaux'!AD:AD, "-", 0, 1)</f>
        <v>Laine de verre</v>
      </c>
      <c r="H139" s="892" t="s">
        <v>130</v>
      </c>
      <c r="I139" s="641" t="str">
        <f>_xlfn.XLOOKUP(H139, 'Baumaterialien Matériaux'!A:A, 'Baumaterialien Matériaux'!F:F, "-", 0, 1)</f>
        <v>kg</v>
      </c>
      <c r="J139" s="649">
        <f t="shared" si="315"/>
        <v>417.9744</v>
      </c>
      <c r="K139" s="884">
        <f>0.12*20</f>
        <v>2.4</v>
      </c>
      <c r="L139" s="643">
        <f>'Eléments de constr. inté. et ex'!N31</f>
        <v>30</v>
      </c>
      <c r="M139" s="648">
        <f t="shared" si="313"/>
        <v>1.2194409167891012</v>
      </c>
      <c r="N139" s="720">
        <f>IFERROR(($J139*VLOOKUP($H139, 'Baumaterialien Matériaux'!$A$11:$AD$318, 26,FALSE)),0)/$G$1</f>
        <v>0.48383128088687055</v>
      </c>
      <c r="O139" s="720">
        <f>IFERROR(($J139*VLOOKUP($H139, 'Baumaterialien Matériaux'!$A$11:$AH$318, 33,FALSE)),0)/$G$1</f>
        <v>0.19632384666755706</v>
      </c>
      <c r="P139" s="720">
        <f t="shared" si="316"/>
        <v>0.51155853506077198</v>
      </c>
      <c r="Q139" s="720">
        <f>IFERROR(($J139*VLOOKUP($H139, 'Baumaterialien Matériaux'!$A$11:$AD$318, 27,FALSE)),0)/$G$1</f>
        <v>2.7727254173901428E-2</v>
      </c>
      <c r="R139" s="720">
        <f>IFERROR(($J139*VLOOKUP($H139, 'Baumaterialien Matériaux'!$A$11:$AH$318, 34,FALSE)),0)/$G$1</f>
        <v>1.6189739014291437E-3</v>
      </c>
      <c r="S139" s="720">
        <f>IFERROR((J139*VLOOKUP(H139, 'Baumaterialien Matériaux'!$A$11:$AD$318, 29,FALSE)),0)/$G$1</f>
        <v>0</v>
      </c>
      <c r="T139" s="720">
        <f>S139*0.01</f>
        <v>0</v>
      </c>
      <c r="V139" s="638">
        <f t="shared" si="291"/>
        <v>0</v>
      </c>
      <c r="W139" s="638">
        <f>IF(L139=60, 0, S139)</f>
        <v>0</v>
      </c>
      <c r="X139" s="638" t="str">
        <f t="shared" si="224"/>
        <v>Revêtement</v>
      </c>
      <c r="Z139" s="638">
        <f t="shared" si="314"/>
        <v>30</v>
      </c>
      <c r="AA139" s="648" t="s">
        <v>3454</v>
      </c>
      <c r="AB139" t="str">
        <f>_xlfn.XLOOKUP($H139,'[1]Baumaterialien Matériaux'!$A:$A,'[1]Baumaterialien Matériaux'!AK:AK,0,0)</f>
        <v>mineral_fiber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 s="622" cm="1">
        <f t="array" ref="AD139">IFERROR(_xlfn.SWITCH(I139,"kg",1,"m3",AC139,AC139)*J139/(_xlfn.XLOOKUP(AA139,Métrés!A:A,Métrés!C:C,0)),0)</f>
        <v>2.4</v>
      </c>
      <c r="AE139" s="1092">
        <f>IFERROR(N139*$G$1/(_xlfn.XLOOKUP($AA139,Métrés!$A:$A,Métrés!$C:$C,0)),0)</f>
        <v>2.496</v>
      </c>
      <c r="AF139" s="1092">
        <f>IFERROR(O139*$G$1/(_xlfn.XLOOKUP($AA139,Métrés!$A:$A,Métrés!$C:$C,0)),0)</f>
        <v>1.0127999999999999</v>
      </c>
      <c r="AG139" s="1092">
        <f>IFERROR(Q139*$G$1/(_xlfn.XLOOKUP($AA139,Métrés!$A:$A,Métrés!$C:$C,0)),0)</f>
        <v>0.14304</v>
      </c>
      <c r="AH139" s="1092">
        <f>IFERROR(R139*$G$1/(_xlfn.XLOOKUP($AA139,Métrés!$A:$A,Métrés!$C:$C,0)),0)</f>
        <v>8.352E-3</v>
      </c>
      <c r="AI139" s="1092">
        <f>IFERROR(S139*$G$1/(_xlfn.XLOOKUP($AA139,Métrés!$A:$A,Métrés!$C:$C,0)),0)</f>
        <v>0</v>
      </c>
      <c r="AJ139" s="1022"/>
      <c r="AK139" s="638">
        <f>IF(L139=60, 0, T139)</f>
        <v>0</v>
      </c>
      <c r="AL139" s="638">
        <f>IF(L139=60, 0, S139)</f>
        <v>0</v>
      </c>
      <c r="AM139" s="638" t="s">
        <v>3388</v>
      </c>
      <c r="AN139" s="1036">
        <f>IF(AM139="Structure",N139,0)</f>
        <v>0</v>
      </c>
      <c r="AO139" s="1037">
        <f>IF(AM139="Structure",P139,0)</f>
        <v>0</v>
      </c>
      <c r="AP139" s="1037">
        <f>IF(AM139="Structure",Q139,0)</f>
        <v>0</v>
      </c>
      <c r="AQ139" s="1038">
        <f>IF(AM139="Structure",S139,0)</f>
        <v>0</v>
      </c>
      <c r="AR139" s="1038">
        <f>IF(AM139="Structure",T139,0)</f>
        <v>0</v>
      </c>
      <c r="AS139" s="1036">
        <f>IF(AM139="Insulation",N139,0)</f>
        <v>0.48383128088687055</v>
      </c>
      <c r="AT139" s="1037">
        <f>IF(AM139="Insulation",P139,0)</f>
        <v>0.51155853506077198</v>
      </c>
      <c r="AU139" s="1037">
        <f>IF(AM139="Insulation",Q139,0)</f>
        <v>2.7727254173901428E-2</v>
      </c>
      <c r="AV139" s="1038">
        <f>IF(AM139="Insulation",S139,0)</f>
        <v>0</v>
      </c>
      <c r="AW139" s="1038">
        <f>IF(AM139="Insulation",T139,0)</f>
        <v>0</v>
      </c>
      <c r="AX139" s="1036">
        <f>IF(AM139="Revêtement",N139,0)</f>
        <v>0</v>
      </c>
      <c r="AY139" s="1037">
        <f>IF(AM139="Revêtement",P139,0)</f>
        <v>0</v>
      </c>
      <c r="AZ139" s="1037">
        <f>IF(AM139="Revêtement",Q139,0)</f>
        <v>0</v>
      </c>
      <c r="BA139" s="1037">
        <f>IF(AM139="Revêtement",S139,0)</f>
        <v>0</v>
      </c>
      <c r="BB139" s="1038">
        <f>IF(AM139="Revêtement",T139,0)</f>
        <v>0</v>
      </c>
      <c r="BC139" s="1036"/>
      <c r="BD139" s="1037"/>
      <c r="BE139" s="1037"/>
      <c r="BF139" s="1038"/>
      <c r="BG139" s="1036">
        <f>IF($AM139="Structure", IF($I139="kg",$J139,0), 0)</f>
        <v>0</v>
      </c>
      <c r="BH139" s="1037">
        <f>IF($AM139="Insulation", IF($I139="kg",$J139,0), 0)</f>
        <v>417.9744</v>
      </c>
      <c r="BI139" s="1038">
        <f>IF($AM139="Revêtement", IF($I139="kg",$J139,0), 0)</f>
        <v>0</v>
      </c>
      <c r="BJ139" s="1037">
        <v>20</v>
      </c>
      <c r="BK139" s="1036">
        <f t="shared" si="176"/>
        <v>0</v>
      </c>
      <c r="BL139" s="1037">
        <f t="shared" si="177"/>
        <v>20.898720000000001</v>
      </c>
      <c r="BM139" s="1038">
        <f t="shared" si="178"/>
        <v>0</v>
      </c>
      <c r="BN139" s="1037">
        <f>IFERROR((J139*VLOOKUP(H139, 'Baumaterialien Matériaux'!$A$11:$AH$318, 33,FALSE)),0)/$G$1</f>
        <v>0.19632384666755706</v>
      </c>
      <c r="BO139" s="1037">
        <f>(BN139+BP139)*($L$2/L139-1)</f>
        <v>0.19794282056898621</v>
      </c>
      <c r="BP139" s="1037">
        <f>IFERROR((J139*VLOOKUP(H139, 'Baumaterialien Matériaux'!$A$11:$AH$318, 34,FALSE)),0)/$G$1</f>
        <v>1.6189739014291437E-3</v>
      </c>
      <c r="BQ139" s="1037">
        <f t="shared" si="256"/>
        <v>5.8389261744966441E-2</v>
      </c>
      <c r="BR139" s="1037">
        <f>IFERROR((N139+Q139)*($L$2/L139-1),0)</f>
        <v>0.51155853506077198</v>
      </c>
    </row>
    <row r="140" spans="2:70">
      <c r="B140" s="1103"/>
      <c r="C140" s="1099"/>
      <c r="D140" s="478"/>
      <c r="E140" s="478"/>
      <c r="F140" s="478" t="s">
        <v>3045</v>
      </c>
      <c r="G140" s="478" t="str">
        <f>_xlfn.XLOOKUP(H140, 'Baumaterialien Matériaux'!A:A, 'Baumaterialien Matériaux'!AD:AD, "-", 0, 1)</f>
        <v>Plaque de plâtre cartonnée</v>
      </c>
      <c r="H140" s="892" t="s">
        <v>107</v>
      </c>
      <c r="I140" s="641" t="str">
        <f>_xlfn.XLOOKUP(H140, 'Baumaterialien Matériaux'!A:A, 'Baumaterialien Matériaux'!F:F, "-", 0, 1)</f>
        <v>kg</v>
      </c>
      <c r="J140" s="649">
        <f t="shared" si="315"/>
        <v>1480.326</v>
      </c>
      <c r="K140" s="894">
        <f>0.01*850</f>
        <v>8.5</v>
      </c>
      <c r="L140" s="643">
        <v>30</v>
      </c>
      <c r="M140" s="648">
        <f t="shared" ref="M140" si="317">SUM(N140:Q140)</f>
        <v>1.2897902951783087</v>
      </c>
      <c r="N140" s="720">
        <f>IFERROR(($J140*VLOOKUP($H140, 'Baumaterialien Matériaux'!$A$11:$AD$318, 26,FALSE)),0)/$G$1</f>
        <v>0.46628852010150923</v>
      </c>
      <c r="O140" s="720">
        <f>IFERROR(($J140*VLOOKUP($H140, 'Baumaterialien Matériaux'!$A$11:$AH$318, 33,FALSE)),0)/$G$1</f>
        <v>0.29493160812074254</v>
      </c>
      <c r="P140" s="720">
        <f t="shared" ref="P140" si="318">IFERROR((N140+Q140)*($L$2/L140-1),0)</f>
        <v>0.49742934352878315</v>
      </c>
      <c r="Q140" s="720">
        <f>IFERROR(($J140*VLOOKUP($H140, 'Baumaterialien Matériaux'!$A$11:$AD$318, 27,FALSE)),0)/$G$1</f>
        <v>3.114082342727394E-2</v>
      </c>
      <c r="R140" s="720">
        <f>IFERROR(($J140*VLOOKUP($H140, 'Baumaterialien Matériaux'!$A$11:$AH$318, 34,FALSE)),0)/$G$1</f>
        <v>5.4208100040069457E-3</v>
      </c>
      <c r="S140" s="720">
        <f>IFERROR((J140*VLOOKUP(H140, 'Baumaterialien Matériaux'!$A$11:$AD$318, 29,FALSE)),0)/$G$1</f>
        <v>0.10874573260317882</v>
      </c>
      <c r="T140" s="720">
        <f>S140*AJ140</f>
        <v>1.0874573260317882E-3</v>
      </c>
      <c r="U140" s="638">
        <v>0.01</v>
      </c>
      <c r="V140" s="638">
        <f t="shared" si="291"/>
        <v>1.0874573260317882E-3</v>
      </c>
      <c r="W140" s="638">
        <f>IF(L140=60, 0, S140)</f>
        <v>0.10874573260317882</v>
      </c>
      <c r="Z140" s="638">
        <f t="shared" si="314"/>
        <v>30</v>
      </c>
      <c r="AA140" s="648" t="s">
        <v>3454</v>
      </c>
      <c r="AB140" t="str">
        <f>_xlfn.XLOOKUP($H140,'[1]Baumaterialien Matériaux'!$A:$A,'[1]Baumaterialien Matériaux'!AK:AK,0,0)</f>
        <v>gypsum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 s="622" cm="1">
        <f t="array" ref="AD140">IFERROR(_xlfn.SWITCH(I140,"kg",1,"m3",AC140,AC140)*J140/(_xlfn.XLOOKUP(AA140,Métrés!A:A,Métrés!C:C,0)),0)</f>
        <v>8.5</v>
      </c>
      <c r="AE140" s="1092">
        <f>IFERROR(N140*$G$1/(_xlfn.XLOOKUP($AA140,Métrés!$A:$A,Métrés!$C:$C,0)),0)</f>
        <v>2.4055</v>
      </c>
      <c r="AF140" s="1092">
        <f>IFERROR(O140*$G$1/(_xlfn.XLOOKUP($AA140,Métrés!$A:$A,Métrés!$C:$C,0)),0)</f>
        <v>1.5214999999999999</v>
      </c>
      <c r="AG140" s="1092">
        <f>IFERROR(Q140*$G$1/(_xlfn.XLOOKUP($AA140,Métrés!$A:$A,Métrés!$C:$C,0)),0)</f>
        <v>0.16065000000000002</v>
      </c>
      <c r="AH140" s="1092">
        <f>IFERROR(R140*$G$1/(_xlfn.XLOOKUP($AA140,Métrés!$A:$A,Métrés!$C:$C,0)),0)</f>
        <v>2.7965E-2</v>
      </c>
      <c r="AI140" s="1092">
        <f>IFERROR(S140*$G$1/(_xlfn.XLOOKUP($AA140,Métrés!$A:$A,Métrés!$C:$C,0)),0)</f>
        <v>0.56099999999999994</v>
      </c>
      <c r="AJ140" s="1022">
        <v>0.01</v>
      </c>
      <c r="AK140" s="638">
        <f>IF(L140=60, 0, T140)</f>
        <v>1.0874573260317882E-3</v>
      </c>
      <c r="AL140" s="638">
        <f>IF(L140=60, 0, S140)</f>
        <v>0.10874573260317882</v>
      </c>
      <c r="AM140" s="638" t="str">
        <f>IF(L140=$L$2, "Structure", IF(L140&gt;0,"Revêtement",0))</f>
        <v>Revêtement</v>
      </c>
      <c r="AN140" s="1036">
        <f>IF(AM140="Structure",N140,0)</f>
        <v>0</v>
      </c>
      <c r="AO140" s="1037">
        <f>IF(AM140="Structure",P140,0)</f>
        <v>0</v>
      </c>
      <c r="AP140" s="1037">
        <f>IF(AM140="Structure",Q140,0)</f>
        <v>0</v>
      </c>
      <c r="AQ140" s="1038">
        <f>IF(AM140="Structure",S140,0)</f>
        <v>0</v>
      </c>
      <c r="AR140" s="1038">
        <f>IF(AM140="Structure",T140,0)</f>
        <v>0</v>
      </c>
      <c r="AS140" s="1036">
        <f>IF(AM140="Insulation",N140,0)</f>
        <v>0</v>
      </c>
      <c r="AT140" s="1037">
        <f>IF(AM140="Insulation",P140,0)</f>
        <v>0</v>
      </c>
      <c r="AU140" s="1037">
        <f>IF(AM140="Insulation",Q140,0)</f>
        <v>0</v>
      </c>
      <c r="AV140" s="1038">
        <f>IF(AM140="Insulation",S140,0)</f>
        <v>0</v>
      </c>
      <c r="AW140" s="1038">
        <f>IF(AM140="Insulation",T140,0)</f>
        <v>0</v>
      </c>
      <c r="AX140" s="1036">
        <f>IF(AM140="Revêtement",N140,0)</f>
        <v>0.46628852010150923</v>
      </c>
      <c r="AY140" s="1037">
        <f>IF(AM140="Revêtement",P140,0)</f>
        <v>0.49742934352878315</v>
      </c>
      <c r="AZ140" s="1037">
        <f>IF(AM140="Revêtement",Q140,0)</f>
        <v>3.114082342727394E-2</v>
      </c>
      <c r="BA140" s="1037">
        <f>IF(AM140="Revêtement",S140,0)</f>
        <v>0.10874573260317882</v>
      </c>
      <c r="BB140" s="1038">
        <f>IF(AM140="Revêtement",T140,0)</f>
        <v>1.0874573260317882E-3</v>
      </c>
      <c r="BC140" s="1036"/>
      <c r="BD140" s="1037"/>
      <c r="BE140" s="1037"/>
      <c r="BF140" s="1038"/>
      <c r="BG140" s="1036">
        <f>IF($AM140="Structure", IF($I140="kg",$J140,0), 0)</f>
        <v>0</v>
      </c>
      <c r="BH140" s="1037">
        <f>IF($AM140="Insulation", IF($I140="kg",$J140,0), 0)</f>
        <v>0</v>
      </c>
      <c r="BI140" s="1038">
        <f>IF($AM140="Revêtement", IF($I140="kg",$J140,0), 0)</f>
        <v>1480.326</v>
      </c>
      <c r="BJ140" s="1037">
        <f>_xlfn.XLOOKUP(H140, 'Baumaterialien Matériaux'!A:A, 'Baumaterialien Matériaux'!E:E, "-", 0, 1)</f>
        <v>850</v>
      </c>
      <c r="BK140" s="1036">
        <f t="shared" si="176"/>
        <v>0</v>
      </c>
      <c r="BL140" s="1037">
        <f t="shared" si="177"/>
        <v>0</v>
      </c>
      <c r="BM140" s="1038">
        <f t="shared" si="178"/>
        <v>1.74156</v>
      </c>
      <c r="BN140" s="1037">
        <f>IFERROR((J140*VLOOKUP(H140, 'Baumaterialien Matériaux'!$A$11:$AH$318, 33,FALSE)),0)/$G$1</f>
        <v>0.29493160812074254</v>
      </c>
      <c r="BO140" s="1037">
        <f>(BN140+BP140)*($L$2/L140-1)</f>
        <v>0.3003524181247495</v>
      </c>
      <c r="BP140" s="1037">
        <f>IFERROR((J140*VLOOKUP(H140, 'Baumaterialien Matériaux'!$A$11:$AH$318, 34,FALSE)),0)/$G$1</f>
        <v>5.4208100040069457E-3</v>
      </c>
      <c r="BQ140" s="1037">
        <f t="shared" ref="BQ140:BQ171" si="319">BP140/Q140</f>
        <v>0.1740740740740741</v>
      </c>
      <c r="BR140" s="1037"/>
    </row>
    <row r="141" spans="2:70">
      <c r="B141" s="1103"/>
      <c r="C141" s="1099"/>
      <c r="D141" s="478"/>
      <c r="E141" s="478"/>
      <c r="F141" s="479" t="s">
        <v>3048</v>
      </c>
      <c r="G141" s="479"/>
      <c r="H141" s="479"/>
      <c r="I141" s="460" t="s">
        <v>39</v>
      </c>
      <c r="J141" s="662">
        <v>116.84</v>
      </c>
      <c r="K141" s="663"/>
      <c r="L141" s="663"/>
      <c r="M141" s="664">
        <f>SUM(M142:M143)</f>
        <v>5.8485293277770349</v>
      </c>
      <c r="N141" s="664">
        <f t="shared" ref="N141:T141" si="320">SUM(N142:N143)</f>
        <v>2.3236066671118829</v>
      </c>
      <c r="O141" s="664">
        <f t="shared" ref="O141" si="321">SUM(O142:O143)</f>
        <v>1.0920555340367748</v>
      </c>
      <c r="P141" s="664">
        <f t="shared" si="320"/>
        <v>2.3782368968701304</v>
      </c>
      <c r="Q141" s="664">
        <f t="shared" si="320"/>
        <v>5.4630229758247627E-2</v>
      </c>
      <c r="R141" s="664">
        <f t="shared" ref="R141" si="322">SUM(R142:R143)</f>
        <v>9.0919555006455637E-3</v>
      </c>
      <c r="S141" s="664">
        <f t="shared" si="320"/>
        <v>0.18239181247495656</v>
      </c>
      <c r="T141" s="664">
        <f t="shared" si="320"/>
        <v>1.8239181247495656E-3</v>
      </c>
      <c r="V141" s="638">
        <f t="shared" si="291"/>
        <v>1.8239181247495656E-3</v>
      </c>
      <c r="X141" s="638">
        <f t="shared" si="224"/>
        <v>0</v>
      </c>
      <c r="Z141" s="638">
        <f t="shared" si="314"/>
        <v>0</v>
      </c>
      <c r="AA141" s="648" t="s">
        <v>3454</v>
      </c>
      <c r="AB141">
        <f>_xlfn.XLOOKUP($H141,'[1]Baumaterialien Matériaux'!$A:$A,'[1]Baumaterialien Matériaux'!AK:AK,0,0)</f>
        <v>0</v>
      </c>
      <c r="AC141" cm="1">
        <f t="array" ref="AC141">_xlfn.SWITCH(I141,"kg"," ",0," ",_xlfn.XLOOKUP(H141, '[1]Baumaterialien Matériaux'!$A:$A, '[1]Baumaterialien Matériaux'!$AL:$AL, "-", 0, 1))</f>
        <v>0</v>
      </c>
      <c r="AD141" s="622" cm="1">
        <f t="array" ref="AD141">IFERROR(_xlfn.SWITCH(I141,"kg",1,"m3",AC141,AC141)*J141/(_xlfn.XLOOKUP(AA141,Métrés!A:A,Métrés!C:C,0)),0)</f>
        <v>0</v>
      </c>
      <c r="AE141" s="1092">
        <f>IFERROR(N141*$G$1/(_xlfn.XLOOKUP($AA141,Métrés!$A:$A,Métrés!$C:$C,0)),0)</f>
        <v>11.987075805599579</v>
      </c>
      <c r="AF141" s="1092">
        <f>IFERROR(O141*$G$1/(_xlfn.XLOOKUP($AA141,Métrés!$A:$A,Métrés!$C:$C,0)),0)</f>
        <v>5.6337213417855256</v>
      </c>
      <c r="AG141" s="1092">
        <f>IFERROR(Q141*$G$1/(_xlfn.XLOOKUP($AA141,Métrés!$A:$A,Métrés!$C:$C,0)),0)</f>
        <v>0.28182769255150553</v>
      </c>
      <c r="AH141" s="1092">
        <f>IFERROR(R141*$G$1/(_xlfn.XLOOKUP($AA141,Métrés!$A:$A,Métrés!$C:$C,0)),0)</f>
        <v>4.6903790279978867E-2</v>
      </c>
      <c r="AI141" s="1092">
        <f>IFERROR(S141*$G$1/(_xlfn.XLOOKUP($AA141,Métrés!$A:$A,Métrés!$C:$C,0)),0)</f>
        <v>0.94092709984152123</v>
      </c>
      <c r="AJ141" s="1021"/>
      <c r="AK141" s="1021"/>
      <c r="AL141" s="1021"/>
      <c r="AM141" s="1021"/>
      <c r="AN141" s="1057"/>
      <c r="AO141" s="1021"/>
      <c r="AP141" s="1021"/>
      <c r="AQ141" s="1021"/>
      <c r="AR141" s="1058"/>
      <c r="AS141" s="1057"/>
      <c r="AT141" s="1021"/>
      <c r="AU141" s="1021"/>
      <c r="AV141" s="1021"/>
      <c r="AW141" s="1058"/>
      <c r="AX141" s="1057"/>
      <c r="AY141" s="1021"/>
      <c r="AZ141" s="1021"/>
      <c r="BA141" s="1021"/>
      <c r="BB141" s="1058"/>
      <c r="BC141" s="1057"/>
      <c r="BD141" s="1021"/>
      <c r="BE141" s="1021"/>
      <c r="BF141" s="1058"/>
      <c r="BG141" s="1057"/>
      <c r="BH141" s="1021"/>
      <c r="BI141" s="1058"/>
      <c r="BJ141" s="1045"/>
      <c r="BK141" s="1057"/>
      <c r="BL141" s="1021"/>
      <c r="BM141" s="1058"/>
      <c r="BN141" s="1037">
        <f>IFERROR((J141*VLOOKUP(H141, 'Baumaterialien Matériaux'!$A$11:$AH$318, 33,FALSE)),0)/$G$1</f>
        <v>0</v>
      </c>
      <c r="BO141" s="1037"/>
      <c r="BP141" s="1037">
        <f>IFERROR((J141*VLOOKUP(H141, 'Baumaterialien Matériaux'!$A$11:$AH$318, 34,FALSE)),0)/$G$1</f>
        <v>0</v>
      </c>
      <c r="BQ141" s="1037">
        <f t="shared" si="319"/>
        <v>0</v>
      </c>
      <c r="BR141" s="1037">
        <f>IFERROR((N141+Q141)*($L$2/L141-1),0)</f>
        <v>0</v>
      </c>
    </row>
    <row r="142" spans="2:70">
      <c r="B142" s="1103"/>
      <c r="C142" s="1099"/>
      <c r="D142" s="478"/>
      <c r="E142" s="478"/>
      <c r="F142" s="478" t="s">
        <v>3062</v>
      </c>
      <c r="G142" s="478" t="str">
        <f>_xlfn.XLOOKUP(H142, 'Baumaterialien Matériaux'!A:A, 'Baumaterialien Matériaux'!AD:AD, "-", 0, 1)</f>
        <v>Tôle d'acier, zinguée</v>
      </c>
      <c r="H142" s="892" t="s">
        <v>618</v>
      </c>
      <c r="I142" s="641" t="str">
        <f>_xlfn.XLOOKUP(H142, 'Baumaterialien Matériaux'!A:A, 'Baumaterialien Matériaux'!F:F, "-", 0, 1)</f>
        <v>kg</v>
      </c>
      <c r="J142" s="649">
        <f>$J$141*K142</f>
        <v>308.45760000000001</v>
      </c>
      <c r="K142" s="884">
        <v>2.64</v>
      </c>
      <c r="L142" s="643">
        <f>'Eléments de constr. inté. et ex'!N33</f>
        <v>30</v>
      </c>
      <c r="M142" s="648">
        <f t="shared" ref="M142:M143" si="323">SUM(N142:Q142)</f>
        <v>3.6852518913316414</v>
      </c>
      <c r="N142" s="720">
        <f>IFERROR(($J142*VLOOKUP($H142, 'Baumaterialien Matériaux'!$A$11:$AD$318, 26,FALSE)),0)/$G$1</f>
        <v>1.541532683317751</v>
      </c>
      <c r="O142" s="720">
        <f>IFERROR(($J142*VLOOKUP($H142, 'Baumaterialien Matériaux'!$A$11:$AH$318, 33,FALSE)),0)/$G$1</f>
        <v>0.59738683050621078</v>
      </c>
      <c r="P142" s="720">
        <f>IFERROR((N142+Q142)*($L$2/L142-1),0)</f>
        <v>1.5439325304127156</v>
      </c>
      <c r="Q142" s="720">
        <f>IFERROR(($J142*VLOOKUP($H142, 'Baumaterialien Matériaux'!$A$11:$AD$318, 27,FALSE)),0)/$G$1</f>
        <v>2.3998470949646048E-3</v>
      </c>
      <c r="R142" s="720">
        <f>IFERROR(($J142*VLOOKUP($H142, 'Baumaterialien Matériaux'!$A$11:$AH$318, 34,FALSE)),0)/$G$1</f>
        <v>0</v>
      </c>
      <c r="S142" s="720">
        <f>IFERROR((J142*VLOOKUP(H142, 'Baumaterialien Matériaux'!$A$11:$AD$318, 29,FALSE)),0)/$G$1</f>
        <v>0</v>
      </c>
      <c r="T142" s="720">
        <f>S142*0.01</f>
        <v>0</v>
      </c>
      <c r="V142" s="638">
        <f t="shared" si="291"/>
        <v>0</v>
      </c>
      <c r="W142" s="638">
        <f>IF(L142=60, 0, S142)</f>
        <v>0</v>
      </c>
      <c r="X142" s="638" t="str">
        <f t="shared" si="224"/>
        <v>Revêtement</v>
      </c>
      <c r="Z142" s="638">
        <f t="shared" si="314"/>
        <v>30</v>
      </c>
      <c r="AA142" s="648" t="s">
        <v>3454</v>
      </c>
      <c r="AB142" t="str">
        <f>_xlfn.XLOOKUP($H142,'[1]Baumaterialien Matériaux'!$A:$A,'[1]Baumaterialien Matériaux'!AK:AK,0,0)</f>
        <v>metal</v>
      </c>
      <c r="AC142" t="str" cm="1">
        <f t="array" ref="AC142">_xlfn.SWITCH(I142,"kg"," ",0," ",_xlfn.XLOOKUP(H142, '[1]Baumaterialien Matériaux'!$A:$A, '[1]Baumaterialien Matériaux'!$AL:$AL, "-", 0, 1))</f>
        <v xml:space="preserve"> </v>
      </c>
      <c r="AD142" s="622" cm="1">
        <f t="array" ref="AD142">IFERROR(_xlfn.SWITCH(I142,"kg",1,"m3",AC142,AC142)*J142/(_xlfn.XLOOKUP(AA142,Métrés!A:A,Métrés!C:C,0)),0)</f>
        <v>1.7711568938193345</v>
      </c>
      <c r="AE142" s="1092">
        <f>IFERROR(N142*$G$1/(_xlfn.XLOOKUP($AA142,Métrés!$A:$A,Métrés!$C:$C,0)),0)</f>
        <v>7.9524944532488124</v>
      </c>
      <c r="AF142" s="1092">
        <f>IFERROR(O142*$G$1/(_xlfn.XLOOKUP($AA142,Métrés!$A:$A,Métrés!$C:$C,0)),0)</f>
        <v>3.0818129952456417</v>
      </c>
      <c r="AG142" s="1092">
        <f>IFERROR(Q142*$G$1/(_xlfn.XLOOKUP($AA142,Métrés!$A:$A,Métrés!$C:$C,0)),0)</f>
        <v>1.2380386687797146E-2</v>
      </c>
      <c r="AH142" s="1092">
        <f>IFERROR(R142*$G$1/(_xlfn.XLOOKUP($AA142,Métrés!$A:$A,Métrés!$C:$C,0)),0)</f>
        <v>0</v>
      </c>
      <c r="AI142" s="1092">
        <f>IFERROR(S142*$G$1/(_xlfn.XLOOKUP($AA142,Métrés!$A:$A,Métrés!$C:$C,0)),0)</f>
        <v>0</v>
      </c>
      <c r="AJ142" s="1022"/>
      <c r="AK142" s="638">
        <f>IF(L142=60, 0, T142)</f>
        <v>0</v>
      </c>
      <c r="AL142" s="638">
        <f>IF(L142=60, 0, S142)</f>
        <v>0</v>
      </c>
      <c r="AM142" s="638" t="str">
        <f>IF(L142=$L$2, "Structure", IF(L142&gt;0,"Revêtement",0))</f>
        <v>Revêtement</v>
      </c>
      <c r="AN142" s="1036">
        <f>IF(AM142="Structure",N142,0)</f>
        <v>0</v>
      </c>
      <c r="AO142" s="1037">
        <f>IF(AM142="Structure",P142,0)</f>
        <v>0</v>
      </c>
      <c r="AP142" s="1037">
        <f>IF(AM142="Structure",Q142,0)</f>
        <v>0</v>
      </c>
      <c r="AQ142" s="1038">
        <f>IF(AM142="Structure",S142,0)</f>
        <v>0</v>
      </c>
      <c r="AR142" s="1038">
        <f>IF(AM142="Structure",T142,0)</f>
        <v>0</v>
      </c>
      <c r="AS142" s="1036">
        <f>IF(AM142="Insulation",N142,0)</f>
        <v>0</v>
      </c>
      <c r="AT142" s="1037">
        <f>IF(AM142="Insulation",P142,0)</f>
        <v>0</v>
      </c>
      <c r="AU142" s="1037">
        <f>IF(AM142="Insulation",Q142,0)</f>
        <v>0</v>
      </c>
      <c r="AV142" s="1038">
        <f>IF(AM142="Insulation",S142,0)</f>
        <v>0</v>
      </c>
      <c r="AW142" s="1038">
        <f>IF(AM142="Insulation",T142,0)</f>
        <v>0</v>
      </c>
      <c r="AX142" s="1036">
        <f>IF(AM142="Revêtement",N142,0)</f>
        <v>1.541532683317751</v>
      </c>
      <c r="AY142" s="1037">
        <f>IF(AM142="Revêtement",P142,0)</f>
        <v>1.5439325304127156</v>
      </c>
      <c r="AZ142" s="1037">
        <f>IF(AM142="Revêtement",Q142,0)</f>
        <v>2.3998470949646048E-3</v>
      </c>
      <c r="BA142" s="1037">
        <f>IF(AM142="Revêtement",S142,0)</f>
        <v>0</v>
      </c>
      <c r="BB142" s="1038">
        <f>IF(AM142="Revêtement",T142,0)</f>
        <v>0</v>
      </c>
      <c r="BC142" s="1036"/>
      <c r="BD142" s="1037"/>
      <c r="BE142" s="1037"/>
      <c r="BF142" s="1038"/>
      <c r="BG142" s="1036">
        <f>IF($AM142="Structure", IF($I142="kg",$J142,0), 0)</f>
        <v>0</v>
      </c>
      <c r="BH142" s="1037">
        <f>IF($AM142="Insulation", IF($I142="kg",$J142,0), 0)</f>
        <v>0</v>
      </c>
      <c r="BI142" s="1038">
        <f>IF($AM142="Revêtement", IF($I142="kg",$J142,0), 0)</f>
        <v>308.45760000000001</v>
      </c>
      <c r="BJ142" s="1037">
        <f>_xlfn.XLOOKUP(H142, 'Baumaterialien Matériaux'!A:A, 'Baumaterialien Matériaux'!E:E, "-", 0, 1)</f>
        <v>7850</v>
      </c>
      <c r="BK142" s="1036">
        <f t="shared" si="176"/>
        <v>0</v>
      </c>
      <c r="BL142" s="1037">
        <f t="shared" si="177"/>
        <v>0</v>
      </c>
      <c r="BM142" s="1038">
        <f t="shared" si="178"/>
        <v>3.9293961783439489E-2</v>
      </c>
      <c r="BN142" s="1037">
        <f>IFERROR((J142*VLOOKUP(H142, 'Baumaterialien Matériaux'!$A$11:$AH$318, 33,FALSE)),0)/$G$1</f>
        <v>0.59738683050621078</v>
      </c>
      <c r="BO142" s="1037">
        <f>(BN142+BP142)*($L$2/L142-1)</f>
        <v>0.59738683050621078</v>
      </c>
      <c r="BP142" s="1037">
        <f>IFERROR((J142*VLOOKUP(H142, 'Baumaterialien Matériaux'!$A$11:$AH$318, 34,FALSE)),0)/$G$1</f>
        <v>0</v>
      </c>
      <c r="BQ142" s="1037">
        <f t="shared" si="319"/>
        <v>0</v>
      </c>
      <c r="BR142" s="1037">
        <f>IFERROR((N142+Q142)*($L$2/L142-1),0)</f>
        <v>1.5439325304127156</v>
      </c>
    </row>
    <row r="143" spans="2:70">
      <c r="B143" s="1103"/>
      <c r="C143" s="1099"/>
      <c r="D143" s="478"/>
      <c r="E143" s="478"/>
      <c r="F143" s="478" t="s">
        <v>3063</v>
      </c>
      <c r="G143" s="478" t="str">
        <f>_xlfn.XLOOKUP(H143, 'Baumaterialien Matériaux'!A:A, 'Baumaterialien Matériaux'!AD:AD, "-", 0, 1)</f>
        <v>Plaque de plâtre cartonnée</v>
      </c>
      <c r="H143" s="892" t="s">
        <v>107</v>
      </c>
      <c r="I143" s="641" t="str">
        <f>_xlfn.XLOOKUP(H143, 'Baumaterialien Matériaux'!A:A, 'Baumaterialien Matériaux'!F:F, "-", 0, 1)</f>
        <v>kg</v>
      </c>
      <c r="J143" s="649">
        <f>$J$141*K143</f>
        <v>2482.85</v>
      </c>
      <c r="K143" s="894">
        <f>0.025*850</f>
        <v>21.25</v>
      </c>
      <c r="L143" s="643">
        <f>'Eléments de constr. inté. et ex'!N34</f>
        <v>30</v>
      </c>
      <c r="M143" s="648">
        <f t="shared" si="323"/>
        <v>2.1632774364453939</v>
      </c>
      <c r="N143" s="720">
        <f>IFERROR(($J143*VLOOKUP($H143, 'Baumaterialien Matériaux'!$A$11:$AD$318, 26,FALSE)),0)/$G$1</f>
        <v>0.78207398379413195</v>
      </c>
      <c r="O143" s="720">
        <f>IFERROR(($J143*VLOOKUP($H143, 'Baumaterialien Matériaux'!$A$11:$AH$318, 33,FALSE)),0)/$G$1</f>
        <v>0.49466870353056402</v>
      </c>
      <c r="P143" s="720">
        <f t="shared" ref="P143" si="324">IFERROR((N143+Q143)*($L$2/L143-1),0)</f>
        <v>0.83430436645741501</v>
      </c>
      <c r="Q143" s="720">
        <f>IFERROR(($J143*VLOOKUP($H143, 'Baumaterialien Matériaux'!$A$11:$AD$318, 27,FALSE)),0)/$G$1</f>
        <v>5.2230382663283025E-2</v>
      </c>
      <c r="R143" s="720">
        <f>IFERROR(($J143*VLOOKUP($H143, 'Baumaterialien Matériaux'!$A$11:$AH$318, 34,FALSE)),0)/$G$1</f>
        <v>9.0919555006455637E-3</v>
      </c>
      <c r="S143" s="720">
        <f>IFERROR((J143*VLOOKUP(H143, 'Baumaterialien Matériaux'!$A$11:$AD$318, 29,FALSE)),0)/$G$1</f>
        <v>0.18239181247495656</v>
      </c>
      <c r="T143" s="720">
        <f>S143*AJ143</f>
        <v>1.8239181247495656E-3</v>
      </c>
      <c r="U143" s="638">
        <v>0.01</v>
      </c>
      <c r="V143" s="638">
        <f t="shared" si="291"/>
        <v>1.8239181247495656E-3</v>
      </c>
      <c r="W143" s="638">
        <f>IF(L143=60, 0, S143)</f>
        <v>0.18239181247495656</v>
      </c>
      <c r="X143" s="638" t="str">
        <f t="shared" si="224"/>
        <v>Revêtement</v>
      </c>
      <c r="Z143" s="638">
        <f t="shared" si="314"/>
        <v>30</v>
      </c>
      <c r="AA143" s="648" t="s">
        <v>3454</v>
      </c>
      <c r="AB143" t="str">
        <f>_xlfn.XLOOKUP($H143,'[1]Baumaterialien Matériaux'!$A:$A,'[1]Baumaterialien Matériaux'!AK:AK,0,0)</f>
        <v>gypsum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 s="622" cm="1">
        <f t="array" ref="AD143">IFERROR(_xlfn.SWITCH(I143,"kg",1,"m3",AC143,AC143)*J143/(_xlfn.XLOOKUP(AA143,Métrés!A:A,Métrés!C:C,0)),0)</f>
        <v>14.25647120972002</v>
      </c>
      <c r="AE143" s="1092">
        <f>IFERROR(N143*$G$1/(_xlfn.XLOOKUP($AA143,Métrés!$A:$A,Métrés!$C:$C,0)),0)</f>
        <v>4.0345813523507656</v>
      </c>
      <c r="AF143" s="1092">
        <f>IFERROR(O143*$G$1/(_xlfn.XLOOKUP($AA143,Métrés!$A:$A,Métrés!$C:$C,0)),0)</f>
        <v>2.5519083465398835</v>
      </c>
      <c r="AG143" s="1092">
        <f>IFERROR(Q143*$G$1/(_xlfn.XLOOKUP($AA143,Métrés!$A:$A,Métrés!$C:$C,0)),0)</f>
        <v>0.26944730586370841</v>
      </c>
      <c r="AH143" s="1092">
        <f>IFERROR(R143*$G$1/(_xlfn.XLOOKUP($AA143,Métrés!$A:$A,Métrés!$C:$C,0)),0)</f>
        <v>4.6903790279978867E-2</v>
      </c>
      <c r="AI143" s="1092">
        <f>IFERROR(S143*$G$1/(_xlfn.XLOOKUP($AA143,Métrés!$A:$A,Métrés!$C:$C,0)),0)</f>
        <v>0.94092709984152123</v>
      </c>
      <c r="AJ143" s="1022">
        <v>0.01</v>
      </c>
      <c r="AK143" s="638">
        <f>IF(L143=60, 0, T143)</f>
        <v>1.8239181247495656E-3</v>
      </c>
      <c r="AL143" s="638">
        <f>IF(L143=60, 0, S143)</f>
        <v>0.18239181247495656</v>
      </c>
      <c r="AM143" s="638" t="str">
        <f>IF(L143=$L$2, "Structure", IF(L143&gt;0,"Revêtement",0))</f>
        <v>Revêtement</v>
      </c>
      <c r="AN143" s="1036">
        <f>IF(AM143="Structure",N143,0)</f>
        <v>0</v>
      </c>
      <c r="AO143" s="1037">
        <f>IF(AM143="Structure",P143,0)</f>
        <v>0</v>
      </c>
      <c r="AP143" s="1037">
        <f>IF(AM143="Structure",Q143,0)</f>
        <v>0</v>
      </c>
      <c r="AQ143" s="1038">
        <f>IF(AM143="Structure",S143,0)</f>
        <v>0</v>
      </c>
      <c r="AR143" s="1038">
        <f>IF(AM143="Structure",T143,0)</f>
        <v>0</v>
      </c>
      <c r="AS143" s="1036">
        <f>IF(AM143="Insulation",N143,0)</f>
        <v>0</v>
      </c>
      <c r="AT143" s="1037">
        <f>IF(AM143="Insulation",P143,0)</f>
        <v>0</v>
      </c>
      <c r="AU143" s="1037">
        <f>IF(AM143="Insulation",Q143,0)</f>
        <v>0</v>
      </c>
      <c r="AV143" s="1038">
        <f>IF(AM143="Insulation",S143,0)</f>
        <v>0</v>
      </c>
      <c r="AW143" s="1038">
        <f>IF(AM143="Insulation",T143,0)</f>
        <v>0</v>
      </c>
      <c r="AX143" s="1036">
        <f>IF(AM143="Revêtement",N143,0)</f>
        <v>0.78207398379413195</v>
      </c>
      <c r="AY143" s="1037">
        <f>IF(AM143="Revêtement",P143,0)</f>
        <v>0.83430436645741501</v>
      </c>
      <c r="AZ143" s="1037">
        <f>IF(AM143="Revêtement",Q143,0)</f>
        <v>5.2230382663283025E-2</v>
      </c>
      <c r="BA143" s="1037">
        <f>IF(AM143="Revêtement",S143,0)</f>
        <v>0.18239181247495656</v>
      </c>
      <c r="BB143" s="1038">
        <f>IF(AM143="Revêtement",T143,0)</f>
        <v>1.8239181247495656E-3</v>
      </c>
      <c r="BC143" s="1036"/>
      <c r="BD143" s="1037"/>
      <c r="BE143" s="1037"/>
      <c r="BF143" s="1038"/>
      <c r="BG143" s="1036">
        <f>IF($AM143="Structure", IF($I143="kg",$J143,0), 0)</f>
        <v>0</v>
      </c>
      <c r="BH143" s="1037">
        <f>IF($AM143="Insulation", IF($I143="kg",$J143,0), 0)</f>
        <v>0</v>
      </c>
      <c r="BI143" s="1038">
        <f>IF($AM143="Revêtement", IF($I143="kg",$J143,0), 0)</f>
        <v>2482.85</v>
      </c>
      <c r="BJ143" s="1037">
        <f>_xlfn.XLOOKUP(H143, 'Baumaterialien Matériaux'!A:A, 'Baumaterialien Matériaux'!E:E, "-", 0, 1)</f>
        <v>850</v>
      </c>
      <c r="BK143" s="1036">
        <f t="shared" si="176"/>
        <v>0</v>
      </c>
      <c r="BL143" s="1037">
        <f t="shared" si="177"/>
        <v>0</v>
      </c>
      <c r="BM143" s="1038">
        <f t="shared" si="178"/>
        <v>2.9209999999999998</v>
      </c>
      <c r="BN143" s="1037">
        <f>IFERROR((J143*VLOOKUP(H143, 'Baumaterialien Matériaux'!$A$11:$AH$318, 33,FALSE)),0)/$G$1</f>
        <v>0.49466870353056402</v>
      </c>
      <c r="BO143" s="1037">
        <f>(BN143+BP143)*($L$2/L143-1)</f>
        <v>0.50376065903120959</v>
      </c>
      <c r="BP143" s="1037">
        <f>IFERROR((J143*VLOOKUP(H143, 'Baumaterialien Matériaux'!$A$11:$AH$318, 34,FALSE)),0)/$G$1</f>
        <v>9.0919555006455637E-3</v>
      </c>
      <c r="BQ143" s="1037">
        <f t="shared" si="319"/>
        <v>0.17407407407407408</v>
      </c>
      <c r="BR143" s="1037"/>
    </row>
    <row r="144" spans="2:70">
      <c r="B144" s="1103"/>
      <c r="C144" s="1099"/>
      <c r="D144" s="478"/>
      <c r="E144" s="478"/>
      <c r="F144" s="479" t="s">
        <v>3049</v>
      </c>
      <c r="G144" s="479"/>
      <c r="H144" s="479"/>
      <c r="I144" s="460" t="s">
        <v>39</v>
      </c>
      <c r="J144" s="662">
        <f>J136-J141</f>
        <v>57.316000000000003</v>
      </c>
      <c r="K144" s="663"/>
      <c r="L144" s="663"/>
      <c r="M144" s="664">
        <f>SUM(M145:M146)</f>
        <v>0.27955275811406433</v>
      </c>
      <c r="N144" s="664">
        <f t="shared" ref="N144:T144" si="325">SUM(N145:N146)</f>
        <v>9.6422131694937879E-2</v>
      </c>
      <c r="O144" s="664">
        <f t="shared" ref="O144" si="326">SUM(O145:O146)</f>
        <v>3.0712234539869099E-2</v>
      </c>
      <c r="P144" s="664">
        <f t="shared" si="325"/>
        <v>0.12442026178709761</v>
      </c>
      <c r="Q144" s="664">
        <f t="shared" si="325"/>
        <v>2.7998130092159738E-2</v>
      </c>
      <c r="R144" s="664">
        <f t="shared" ref="R144" si="327">SUM(R145:R146)</f>
        <v>5.199652731401095E-3</v>
      </c>
      <c r="S144" s="664">
        <f t="shared" si="325"/>
        <v>1.1811115934286094</v>
      </c>
      <c r="T144" s="664">
        <f t="shared" si="325"/>
        <v>1.1811115934286093E-2</v>
      </c>
      <c r="V144" s="638">
        <f t="shared" si="291"/>
        <v>1.1811115934286093E-2</v>
      </c>
      <c r="X144" s="638">
        <f t="shared" si="224"/>
        <v>0</v>
      </c>
      <c r="Z144" s="638">
        <f t="shared" si="314"/>
        <v>0</v>
      </c>
      <c r="AA144" s="648" t="s">
        <v>3454</v>
      </c>
      <c r="AB144">
        <f>_xlfn.XLOOKUP($H144,'[1]Baumaterialien Matériaux'!$A:$A,'[1]Baumaterialien Matériaux'!AK:AK,0,0)</f>
        <v>0</v>
      </c>
      <c r="AC144" cm="1">
        <f t="array" ref="AC144">_xlfn.SWITCH(I144,"kg"," ",0," ",_xlfn.XLOOKUP(H144, '[1]Baumaterialien Matériaux'!$A:$A, '[1]Baumaterialien Matériaux'!$AL:$AL, "-", 0, 1))</f>
        <v>0</v>
      </c>
      <c r="AD144" s="622" cm="1">
        <f t="array" ref="AD144">IFERROR(_xlfn.SWITCH(I144,"kg",1,"m3",AC144,AC144)*J144/(_xlfn.XLOOKUP(AA144,Métrés!A:A,Métrés!C:C,0)),0)</f>
        <v>0</v>
      </c>
      <c r="AE144" s="1092">
        <f>IFERROR(N144*$G$1/(_xlfn.XLOOKUP($AA144,Métrés!$A:$A,Métrés!$C:$C,0)),0)</f>
        <v>0.49742472266244053</v>
      </c>
      <c r="AF144" s="1092">
        <f>IFERROR(O144*$G$1/(_xlfn.XLOOKUP($AA144,Métrés!$A:$A,Métrés!$C:$C,0)),0)</f>
        <v>0.1584389857369255</v>
      </c>
      <c r="AG144" s="1092">
        <f>IFERROR(Q144*$G$1/(_xlfn.XLOOKUP($AA144,Métrés!$A:$A,Métrés!$C:$C,0)),0)</f>
        <v>0.1444374009508716</v>
      </c>
      <c r="AH144" s="1092">
        <f>IFERROR(R144*$G$1/(_xlfn.XLOOKUP($AA144,Métrés!$A:$A,Métrés!$C:$C,0)),0)</f>
        <v>2.6824088748019018E-2</v>
      </c>
      <c r="AI144" s="1092">
        <f>IFERROR(S144*$G$1/(_xlfn.XLOOKUP($AA144,Métrés!$A:$A,Métrés!$C:$C,0)),0)</f>
        <v>6.0931458003169565</v>
      </c>
      <c r="AJ144" s="1021"/>
      <c r="AK144" s="1021"/>
      <c r="AL144" s="1021"/>
      <c r="AM144" s="1021"/>
      <c r="AN144" s="1057"/>
      <c r="AO144" s="1021"/>
      <c r="AP144" s="1021"/>
      <c r="AQ144" s="1021"/>
      <c r="AR144" s="1058"/>
      <c r="AS144" s="1057"/>
      <c r="AT144" s="1021"/>
      <c r="AU144" s="1021"/>
      <c r="AV144" s="1021"/>
      <c r="AW144" s="1058"/>
      <c r="AX144" s="1057"/>
      <c r="AY144" s="1021"/>
      <c r="AZ144" s="1021"/>
      <c r="BA144" s="1021"/>
      <c r="BB144" s="1058"/>
      <c r="BC144" s="1057"/>
      <c r="BD144" s="1021"/>
      <c r="BE144" s="1021"/>
      <c r="BF144" s="1058"/>
      <c r="BG144" s="1057"/>
      <c r="BH144" s="1021"/>
      <c r="BI144" s="1058"/>
      <c r="BJ144" s="1045"/>
      <c r="BK144" s="1057"/>
      <c r="BL144" s="1021"/>
      <c r="BM144" s="1058"/>
      <c r="BN144" s="1037">
        <f>IFERROR((J144*VLOOKUP(H144, 'Baumaterialien Matériaux'!$A$11:$AH$318, 33,FALSE)),0)/$G$1</f>
        <v>0</v>
      </c>
      <c r="BO144" s="1037"/>
      <c r="BP144" s="1037">
        <f>IFERROR((J144*VLOOKUP(H144, 'Baumaterialien Matériaux'!$A$11:$AH$318, 34,FALSE)),0)/$G$1</f>
        <v>0</v>
      </c>
      <c r="BQ144" s="1037">
        <f t="shared" si="319"/>
        <v>0</v>
      </c>
      <c r="BR144" s="1037"/>
    </row>
    <row r="145" spans="2:70">
      <c r="B145" s="1103"/>
      <c r="C145" s="1099"/>
      <c r="D145" s="478"/>
      <c r="E145" s="478"/>
      <c r="F145" s="478" t="s">
        <v>3050</v>
      </c>
      <c r="G145" s="478" t="str">
        <f>_xlfn.XLOOKUP(H145, 'Baumaterialien Matériaux'!A:A, 'Baumaterialien Matériaux'!AD:AD, "-", 0, 1)</f>
        <v>Bois massif épicéa / sapin / mélèze, séché en cellule, raboté</v>
      </c>
      <c r="H145" s="875" t="s">
        <v>129</v>
      </c>
      <c r="I145" s="641" t="str">
        <f>_xlfn.XLOOKUP(H145, 'Baumaterialien Matériaux'!A:A, 'Baumaterialien Matériaux'!F:F, "-", 0, 1)</f>
        <v>kg</v>
      </c>
      <c r="J145" s="649">
        <f>465*1.38</f>
        <v>641.69999999999993</v>
      </c>
      <c r="K145" s="647">
        <f>J145/J136</f>
        <v>3.6846275752773372</v>
      </c>
      <c r="L145" s="643">
        <v>30</v>
      </c>
      <c r="M145" s="648">
        <f t="shared" ref="M145" si="328">SUM(N145:Q145)</f>
        <v>0.27955275811406433</v>
      </c>
      <c r="N145" s="720">
        <f>IFERROR(($J145*VLOOKUP($H145, 'Baumaterialien Matériaux'!$A$11:$AD$318, 26,FALSE)),0)/$G$1</f>
        <v>9.6422131694937879E-2</v>
      </c>
      <c r="O145" s="720">
        <f>IFERROR(($J145*VLOOKUP($H145, 'Baumaterialien Matériaux'!$A$11:$AH$318, 33,FALSE)),0)/$G$1</f>
        <v>3.0712234539869099E-2</v>
      </c>
      <c r="P145" s="720">
        <f>IFERROR((N145+Q145)*($L$2/L145-1),0)</f>
        <v>0.12442026178709761</v>
      </c>
      <c r="Q145" s="720">
        <f>IFERROR(($J145*VLOOKUP($H145, 'Baumaterialien Matériaux'!$A$11:$AD$318, 27,FALSE)),0)/$G$1</f>
        <v>2.7998130092159738E-2</v>
      </c>
      <c r="R145" s="720">
        <f>IFERROR(($J145*VLOOKUP($H145, 'Baumaterialien Matériaux'!$A$11:$AH$318, 34,FALSE)),0)/$G$1</f>
        <v>5.199652731401095E-3</v>
      </c>
      <c r="S145" s="720">
        <f>IFERROR((J145*VLOOKUP(H145, 'Baumaterialien Matériaux'!$A$11:$AD$318, 29,FALSE)),0)/$G$1</f>
        <v>1.1811115934286094</v>
      </c>
      <c r="T145" s="720">
        <f>S145*AJ145</f>
        <v>1.1811115934286093E-2</v>
      </c>
      <c r="U145" s="638">
        <v>0.01</v>
      </c>
      <c r="V145" s="638">
        <f t="shared" si="291"/>
        <v>1.1811115934286093E-2</v>
      </c>
      <c r="W145" s="638">
        <f>IF(L145=60, 0, S145)</f>
        <v>1.1811115934286094</v>
      </c>
      <c r="X145" s="638" t="str">
        <f t="shared" si="224"/>
        <v>Revêtement</v>
      </c>
      <c r="Z145" s="638">
        <f t="shared" si="314"/>
        <v>30</v>
      </c>
      <c r="AA145" s="648" t="s">
        <v>3454</v>
      </c>
      <c r="AB145" t="str">
        <f>_xlfn.XLOOKUP($H145,'[1]Baumaterialien Matériaux'!$A:$A,'[1]Baumaterialien Matériaux'!AK:AK,0,0)</f>
        <v>timber</v>
      </c>
      <c r="AC145" t="str" cm="1">
        <f t="array" ref="AC145">_xlfn.SWITCH(I145,"kg"," ",0," ",_xlfn.XLOOKUP(H145, '[1]Baumaterialien Matériaux'!$A:$A, '[1]Baumaterialien Matériaux'!$AL:$AL, "-", 0, 1))</f>
        <v xml:space="preserve"> </v>
      </c>
      <c r="AD145" s="622" cm="1">
        <f t="array" ref="AD145">IFERROR(_xlfn.SWITCH(I145,"kg",1,"m3",AC145,AC145)*J145/(_xlfn.XLOOKUP(AA145,Métrés!A:A,Métrés!C:C,0)),0)</f>
        <v>3.6846275752773372</v>
      </c>
      <c r="AE145" s="1092">
        <f>IFERROR(N145*$G$1/(_xlfn.XLOOKUP($AA145,Métrés!$A:$A,Métrés!$C:$C,0)),0)</f>
        <v>0.49742472266244053</v>
      </c>
      <c r="AF145" s="1092">
        <f>IFERROR(O145*$G$1/(_xlfn.XLOOKUP($AA145,Métrés!$A:$A,Métrés!$C:$C,0)),0)</f>
        <v>0.1584389857369255</v>
      </c>
      <c r="AG145" s="1092">
        <f>IFERROR(Q145*$G$1/(_xlfn.XLOOKUP($AA145,Métrés!$A:$A,Métrés!$C:$C,0)),0)</f>
        <v>0.1444374009508716</v>
      </c>
      <c r="AH145" s="1092">
        <f>IFERROR(R145*$G$1/(_xlfn.XLOOKUP($AA145,Métrés!$A:$A,Métrés!$C:$C,0)),0)</f>
        <v>2.6824088748019018E-2</v>
      </c>
      <c r="AI145" s="1092">
        <f>IFERROR(S145*$G$1/(_xlfn.XLOOKUP($AA145,Métrés!$A:$A,Métrés!$C:$C,0)),0)</f>
        <v>6.0931458003169565</v>
      </c>
      <c r="AJ145" s="1022">
        <v>0.01</v>
      </c>
      <c r="AK145" s="638">
        <f>IF(L145=60, 0, T145)</f>
        <v>1.1811115934286093E-2</v>
      </c>
      <c r="AL145" s="638">
        <f>IF(L145=60, 0, S145)</f>
        <v>1.1811115934286094</v>
      </c>
      <c r="AM145" s="638" t="str">
        <f>IF(L145=$L$2, "Structure", IF(L145&gt;0,"Revêtement",0))</f>
        <v>Revêtement</v>
      </c>
      <c r="AN145" s="1036">
        <f>IF(AM145="Structure",N145,0)</f>
        <v>0</v>
      </c>
      <c r="AO145" s="1037">
        <f>IF(AM145="Structure",P145,0)</f>
        <v>0</v>
      </c>
      <c r="AP145" s="1037">
        <f>IF(AM145="Structure",Q145,0)</f>
        <v>0</v>
      </c>
      <c r="AQ145" s="1038">
        <f>IF(AM145="Structure",S145,0)</f>
        <v>0</v>
      </c>
      <c r="AR145" s="1038">
        <f>IF(AM145="Structure",T145,0)</f>
        <v>0</v>
      </c>
      <c r="AS145" s="1036">
        <f>IF(AM145="Insulation",N145,0)</f>
        <v>0</v>
      </c>
      <c r="AT145" s="1037">
        <f>IF(AM145="Insulation",P145,0)</f>
        <v>0</v>
      </c>
      <c r="AU145" s="1037">
        <f>IF(AM145="Insulation",Q145,0)</f>
        <v>0</v>
      </c>
      <c r="AV145" s="1038">
        <f>IF(AM145="Insulation",S145,0)</f>
        <v>0</v>
      </c>
      <c r="AW145" s="1038">
        <f>IF(AM145="Insulation",T145,0)</f>
        <v>0</v>
      </c>
      <c r="AX145" s="1036">
        <f>IF(AM145="Revêtement",N145,0)</f>
        <v>9.6422131694937879E-2</v>
      </c>
      <c r="AY145" s="1037">
        <f>IF(AM145="Revêtement",P145,0)</f>
        <v>0.12442026178709761</v>
      </c>
      <c r="AZ145" s="1037">
        <f>IF(AM145="Revêtement",Q145,0)</f>
        <v>2.7998130092159738E-2</v>
      </c>
      <c r="BA145" s="1037">
        <f>IF(AM145="Revêtement",S145,0)</f>
        <v>1.1811115934286094</v>
      </c>
      <c r="BB145" s="1038">
        <f>IF(AM145="Revêtement",T145,0)</f>
        <v>1.1811115934286093E-2</v>
      </c>
      <c r="BC145" s="1036"/>
      <c r="BD145" s="1037"/>
      <c r="BE145" s="1037"/>
      <c r="BF145" s="1038"/>
      <c r="BG145" s="1036">
        <f>IF($AM145="Structure", IF($I145="kg",$J145,0), 0)</f>
        <v>0</v>
      </c>
      <c r="BH145" s="1037">
        <f>IF($AM145="Insulation", IF($I145="kg",$J145,0), 0)</f>
        <v>0</v>
      </c>
      <c r="BI145" s="1038">
        <f>IF($AM145="Revêtement", IF($I145="kg",$J145,0), 0)</f>
        <v>641.69999999999993</v>
      </c>
      <c r="BJ145" s="1037">
        <f>_xlfn.XLOOKUP(H145, 'Baumaterialien Matériaux'!A:A, 'Baumaterialien Matériaux'!E:E, "-", 0, 1)</f>
        <v>465</v>
      </c>
      <c r="BK145" s="1036">
        <f t="shared" ref="BK145:BK208" si="329">IFERROR(BG145/$BJ145,0)</f>
        <v>0</v>
      </c>
      <c r="BL145" s="1037">
        <f t="shared" ref="BL145:BL208" si="330">IFERROR(BH145/$BJ145,0)</f>
        <v>0</v>
      </c>
      <c r="BM145" s="1038">
        <f t="shared" ref="BM145:BM208" si="331">IFERROR(BI145/$BJ145,0)</f>
        <v>1.38</v>
      </c>
      <c r="BN145" s="1037">
        <f>IFERROR((J145*VLOOKUP(H145, 'Baumaterialien Matériaux'!$A$11:$AH$318, 33,FALSE)),0)/$G$1</f>
        <v>3.0712234539869099E-2</v>
      </c>
      <c r="BO145" s="1037">
        <f>(BN145+BP145)*($L$2/L145-1)</f>
        <v>3.591188727127019E-2</v>
      </c>
      <c r="BP145" s="1037">
        <f>IFERROR((J145*VLOOKUP(H145, 'Baumaterialien Matériaux'!$A$11:$AH$318, 34,FALSE)),0)/$G$1</f>
        <v>5.199652731401095E-3</v>
      </c>
      <c r="BQ145" s="1037">
        <f t="shared" si="319"/>
        <v>0.18571428571428575</v>
      </c>
      <c r="BR145" s="1037"/>
    </row>
    <row r="146" spans="2:70">
      <c r="B146" s="1103"/>
      <c r="C146" s="1099"/>
      <c r="D146" s="478"/>
      <c r="E146" s="478"/>
      <c r="F146" s="478" t="s">
        <v>2989</v>
      </c>
      <c r="G146" s="478" t="str">
        <f>_xlfn.XLOOKUP(H146, 'Baumaterialien Matériaux'!A:A, 'Baumaterialien Matériaux'!AD:AD, "-", 0, 1)</f>
        <v>Tôle d'acier, zinguée</v>
      </c>
      <c r="H146" s="892" t="s">
        <v>618</v>
      </c>
      <c r="I146" s="641" t="str">
        <f>_xlfn.XLOOKUP(H146, 'Baumaterialien Matériaux'!A:A, 'Baumaterialien Matériaux'!F:F, "-", 0, 1)</f>
        <v>kg</v>
      </c>
      <c r="J146" s="649"/>
      <c r="K146" s="879"/>
      <c r="L146" s="643">
        <v>30</v>
      </c>
      <c r="M146" s="648">
        <f t="shared" ref="M146" si="332">SUM(N146:Q146)</f>
        <v>0</v>
      </c>
      <c r="N146" s="720">
        <f>IFERROR(($J146*VLOOKUP($H146, 'Baumaterialien Matériaux'!$A$11:$AD$318, 26,FALSE)),0)/$G$1</f>
        <v>0</v>
      </c>
      <c r="O146" s="720">
        <f>IFERROR(($J146*VLOOKUP($H146, 'Baumaterialien Matériaux'!$A$11:$AH$318, 33,FALSE)),0)/$G$1</f>
        <v>0</v>
      </c>
      <c r="P146" s="720">
        <f>IFERROR((N146+Q146)*($L$2/L146-1),0)</f>
        <v>0</v>
      </c>
      <c r="Q146" s="720">
        <f>IFERROR(($J146*VLOOKUP($H146, 'Baumaterialien Matériaux'!$A$11:$AD$318, 27,FALSE)),0)/$G$1</f>
        <v>0</v>
      </c>
      <c r="R146" s="720">
        <f>IFERROR(($J146*VLOOKUP($H146, 'Baumaterialien Matériaux'!$A$11:$AH$318, 34,FALSE)),0)/$G$1</f>
        <v>0</v>
      </c>
      <c r="S146" s="720">
        <f>IFERROR((J146*VLOOKUP(H146, 'Baumaterialien Matériaux'!$A$11:$AD$318, 29,FALSE)),0)/$G$1</f>
        <v>0</v>
      </c>
      <c r="V146" s="638">
        <f t="shared" si="291"/>
        <v>0</v>
      </c>
      <c r="W146" s="638">
        <f>IF(L146=60, 0, S146)</f>
        <v>0</v>
      </c>
      <c r="Z146" s="638">
        <f t="shared" si="314"/>
        <v>30</v>
      </c>
      <c r="AA146" s="648" t="s">
        <v>3454</v>
      </c>
      <c r="AB146" t="str">
        <f>_xlfn.XLOOKUP($H146,'[1]Baumaterialien Matériaux'!$A:$A,'[1]Baumaterialien Matériaux'!AK:AK,0,0)</f>
        <v>metal</v>
      </c>
      <c r="AC146" t="str" cm="1">
        <f t="array" ref="AC146">_xlfn.SWITCH(I146,"kg"," ",0," ",_xlfn.XLOOKUP(H146, '[1]Baumaterialien Matériaux'!$A:$A, '[1]Baumaterialien Matériaux'!$AL:$AL, "-", 0, 1))</f>
        <v xml:space="preserve"> </v>
      </c>
      <c r="AD146" s="622" cm="1">
        <f t="array" ref="AD146">IFERROR(_xlfn.SWITCH(I146,"kg",1,"m3",AC146,AC146)*J146/(_xlfn.XLOOKUP(AA146,Métrés!A:A,Métrés!C:C,0)),0)</f>
        <v>0</v>
      </c>
      <c r="AE146" s="1092">
        <f>IFERROR(N146*$G$1/(_xlfn.XLOOKUP($AA146,Métrés!$A:$A,Métrés!$C:$C,0)),0)</f>
        <v>0</v>
      </c>
      <c r="AF146" s="1092">
        <f>IFERROR(O146*$G$1/(_xlfn.XLOOKUP($AA146,Métrés!$A:$A,Métrés!$C:$C,0)),0)</f>
        <v>0</v>
      </c>
      <c r="AG146" s="1092">
        <f>IFERROR(Q146*$G$1/(_xlfn.XLOOKUP($AA146,Métrés!$A:$A,Métrés!$C:$C,0)),0)</f>
        <v>0</v>
      </c>
      <c r="AH146" s="1092">
        <f>IFERROR(R146*$G$1/(_xlfn.XLOOKUP($AA146,Métrés!$A:$A,Métrés!$C:$C,0)),0)</f>
        <v>0</v>
      </c>
      <c r="AI146" s="1092">
        <f>IFERROR(S146*$G$1/(_xlfn.XLOOKUP($AA146,Métrés!$A:$A,Métrés!$C:$C,0)),0)</f>
        <v>0</v>
      </c>
      <c r="AJ146" s="1022"/>
      <c r="AK146" s="638">
        <f>IF(L146=60, 0, T146)</f>
        <v>0</v>
      </c>
      <c r="AL146" s="638">
        <f>IF(L146=60, 0, S146)</f>
        <v>0</v>
      </c>
      <c r="AM146" s="638" t="str">
        <f>IF(L146=$L$2, "Structure", IF(L146&gt;0,"Revêtement",0))</f>
        <v>Revêtement</v>
      </c>
      <c r="AN146" s="1036">
        <f>IF(AM146="Structure",N146,0)</f>
        <v>0</v>
      </c>
      <c r="AO146" s="1037">
        <f>IF(AM146="Structure",P146,0)</f>
        <v>0</v>
      </c>
      <c r="AP146" s="1037">
        <f>IF(AM146="Structure",Q146,0)</f>
        <v>0</v>
      </c>
      <c r="AQ146" s="1038">
        <f>IF(AM146="Structure",S146,0)</f>
        <v>0</v>
      </c>
      <c r="AR146" s="1038">
        <f>IF(AM146="Structure",T146,0)</f>
        <v>0</v>
      </c>
      <c r="AS146" s="1036">
        <f>IF(AM146="Insulation",N146,0)</f>
        <v>0</v>
      </c>
      <c r="AT146" s="1037">
        <f>IF(AM146="Insulation",P146,0)</f>
        <v>0</v>
      </c>
      <c r="AU146" s="1037">
        <f>IF(AM146="Insulation",Q146,0)</f>
        <v>0</v>
      </c>
      <c r="AV146" s="1038">
        <f>IF(AM146="Insulation",S146,0)</f>
        <v>0</v>
      </c>
      <c r="AW146" s="1038">
        <f>IF(AM146="Insulation",T146,0)</f>
        <v>0</v>
      </c>
      <c r="AX146" s="1036">
        <f>IF(AM146="Revêtement",N146,0)</f>
        <v>0</v>
      </c>
      <c r="AY146" s="1037">
        <f>IF(AM146="Revêtement",P146,0)</f>
        <v>0</v>
      </c>
      <c r="AZ146" s="1037">
        <f>IF(AM146="Revêtement",Q146,0)</f>
        <v>0</v>
      </c>
      <c r="BA146" s="1037">
        <f>IF(AM146="Revêtement",S146,0)</f>
        <v>0</v>
      </c>
      <c r="BB146" s="1038">
        <f>IF(AM146="Revêtement",T146,0)</f>
        <v>0</v>
      </c>
      <c r="BC146" s="1036"/>
      <c r="BD146" s="1037"/>
      <c r="BE146" s="1037"/>
      <c r="BF146" s="1038"/>
      <c r="BG146" s="1036">
        <f>IF($AM146="Structure", IF($I146="kg",$J146,0), 0)</f>
        <v>0</v>
      </c>
      <c r="BH146" s="1037">
        <f>IF($AM146="Insulation", IF($I146="kg",$J146,0), 0)</f>
        <v>0</v>
      </c>
      <c r="BI146" s="1038">
        <f>IF($AM146="Revêtement", IF($I146="kg",$J146,0), 0)</f>
        <v>0</v>
      </c>
      <c r="BJ146" s="1037">
        <f>_xlfn.XLOOKUP(H146, 'Baumaterialien Matériaux'!A:A, 'Baumaterialien Matériaux'!E:E, "-", 0, 1)</f>
        <v>7850</v>
      </c>
      <c r="BK146" s="1036">
        <f t="shared" si="329"/>
        <v>0</v>
      </c>
      <c r="BL146" s="1037">
        <f t="shared" si="330"/>
        <v>0</v>
      </c>
      <c r="BM146" s="1038">
        <f t="shared" si="331"/>
        <v>0</v>
      </c>
      <c r="BN146" s="1037">
        <f>IFERROR((J146*VLOOKUP(H146, 'Baumaterialien Matériaux'!$A$11:$AH$318, 33,FALSE)),0)/$G$1</f>
        <v>0</v>
      </c>
      <c r="BO146" s="1037">
        <f>(BN146+BP146)*($L$2/L146-1)</f>
        <v>0</v>
      </c>
      <c r="BP146" s="1037">
        <f>IFERROR((J146*VLOOKUP(H146, 'Baumaterialien Matériaux'!$A$11:$AH$318, 34,FALSE)),0)/$G$1</f>
        <v>0</v>
      </c>
      <c r="BQ146" s="1037" t="e">
        <f t="shared" si="319"/>
        <v>#DIV/0!</v>
      </c>
      <c r="BR146" s="1037"/>
    </row>
    <row r="147" spans="2:70">
      <c r="B147" s="1103"/>
      <c r="C147" s="1097" t="s">
        <v>136</v>
      </c>
      <c r="D147" s="473" t="s">
        <v>137</v>
      </c>
      <c r="E147" s="473"/>
      <c r="F147" s="473"/>
      <c r="G147" s="473"/>
      <c r="H147" s="473"/>
      <c r="I147" s="463"/>
      <c r="J147" s="654"/>
      <c r="K147" s="652"/>
      <c r="L147" s="652"/>
      <c r="M147" s="653">
        <f ca="1">M148+M157+M166</f>
        <v>128.72895996616359</v>
      </c>
      <c r="N147" s="653">
        <f>N148+N157+N166</f>
        <v>98.72956257067807</v>
      </c>
      <c r="O147" s="653">
        <f>O148+O157+O166</f>
        <v>21.556127438671474</v>
      </c>
      <c r="P147" s="653">
        <f t="shared" ref="P147:Q147" ca="1" si="333">P148+P157+P166</f>
        <v>1.3036969703040824</v>
      </c>
      <c r="Q147" s="653">
        <f t="shared" si="333"/>
        <v>7.1395729865099504</v>
      </c>
      <c r="R147" s="653">
        <f t="shared" ref="R147" si="334">R148+R157+R166</f>
        <v>1.4144404725969459</v>
      </c>
      <c r="S147" s="653">
        <f>S148+S157+S166</f>
        <v>0.28500828102043535</v>
      </c>
      <c r="T147" s="653">
        <f>T148+T157+T166</f>
        <v>2.8500828102043536E-3</v>
      </c>
      <c r="V147" s="638">
        <f t="shared" si="291"/>
        <v>2.8500828102043536E-3</v>
      </c>
      <c r="X147" s="638">
        <f t="shared" si="224"/>
        <v>0</v>
      </c>
      <c r="Z147" s="638">
        <f t="shared" si="314"/>
        <v>0</v>
      </c>
      <c r="AA147" s="648"/>
      <c r="AB147">
        <f>_xlfn.XLOOKUP($H147,'[1]Baumaterialien Matériaux'!$A:$A,'[1]Baumaterialien Matériaux'!AK:AK,0,0)</f>
        <v>0</v>
      </c>
      <c r="AC147" t="str" cm="1">
        <f t="array" ref="AC147">_xlfn.SWITCH(I147,"kg"," ",0," ",_xlfn.XLOOKUP(H147, '[1]Baumaterialien Matériaux'!$A:$A, '[1]Baumaterialien Matériaux'!$AL:$AL, "-", 0, 1))</f>
        <v xml:space="preserve"> </v>
      </c>
      <c r="AD147" s="622" cm="1">
        <f t="array" ref="AD147">IFERROR(_xlfn.SWITCH(I147,"kg",1,"m3",AC147,AC147)*J147/(_xlfn.XLOOKUP(AA147,Métrés!A:A,Métrés!C:C,0)),0)</f>
        <v>0</v>
      </c>
      <c r="AE147" s="1092">
        <f>IFERROR(N147*$G$1/(_xlfn.XLOOKUP($AA147,Métrés!$A:$A,Métrés!$C:$C,0)),0)</f>
        <v>0</v>
      </c>
      <c r="AF147" s="1092">
        <f>IFERROR(O147*$G$1/(_xlfn.XLOOKUP($AA147,Métrés!$A:$A,Métrés!$C:$C,0)),0)</f>
        <v>0</v>
      </c>
      <c r="AG147" s="1092">
        <f>IFERROR(Q147*$G$1/(_xlfn.XLOOKUP($AA147,Métrés!$A:$A,Métrés!$C:$C,0)),0)</f>
        <v>0</v>
      </c>
      <c r="AH147" s="1092">
        <f>IFERROR(R147*$G$1/(_xlfn.XLOOKUP($AA147,Métrés!$A:$A,Métrés!$C:$C,0)),0)</f>
        <v>0</v>
      </c>
      <c r="AI147" s="1092">
        <f>IFERROR(S147*$G$1/(_xlfn.XLOOKUP($AA147,Métrés!$A:$A,Métrés!$C:$C,0)),0)</f>
        <v>0</v>
      </c>
      <c r="AJ147" s="666"/>
      <c r="AK147" s="666"/>
      <c r="AL147" s="666"/>
      <c r="AM147" s="666"/>
      <c r="AN147" s="1051"/>
      <c r="AO147" s="666"/>
      <c r="AP147" s="666"/>
      <c r="AQ147" s="666"/>
      <c r="AR147" s="1052"/>
      <c r="AS147" s="1051"/>
      <c r="AT147" s="666"/>
      <c r="AU147" s="666"/>
      <c r="AV147" s="666"/>
      <c r="AW147" s="1052"/>
      <c r="AX147" s="1051"/>
      <c r="AY147" s="666"/>
      <c r="AZ147" s="666"/>
      <c r="BA147" s="666"/>
      <c r="BB147" s="1052"/>
      <c r="BC147" s="1051"/>
      <c r="BD147" s="666"/>
      <c r="BE147" s="666"/>
      <c r="BF147" s="1052"/>
      <c r="BG147" s="1051"/>
      <c r="BH147" s="666"/>
      <c r="BI147" s="1052"/>
      <c r="BJ147" s="666"/>
      <c r="BK147" s="1051"/>
      <c r="BL147" s="666"/>
      <c r="BM147" s="1052"/>
      <c r="BN147" s="1037">
        <f>IFERROR((J147*VLOOKUP(H147, 'Baumaterialien Matériaux'!$A$11:$AH$318, 33,FALSE)),0)/$G$1</f>
        <v>0</v>
      </c>
      <c r="BO147" s="1037"/>
      <c r="BP147" s="1037">
        <f>IFERROR((J147*VLOOKUP(H147, 'Baumaterialien Matériaux'!$A$11:$AH$318, 34,FALSE)),0)/$G$1</f>
        <v>0</v>
      </c>
      <c r="BQ147" s="1037">
        <f t="shared" si="319"/>
        <v>0</v>
      </c>
      <c r="BR147" s="1037"/>
    </row>
    <row r="148" spans="2:70">
      <c r="B148" s="1103"/>
      <c r="C148" s="1099"/>
      <c r="D148" s="478" t="s">
        <v>2979</v>
      </c>
      <c r="E148" s="479" t="str">
        <f>BillQuantities!E27</f>
        <v>Dalle en béton 25cm (avec enduit intérieur)</v>
      </c>
      <c r="F148" s="479" t="s">
        <v>3017</v>
      </c>
      <c r="G148" s="479"/>
      <c r="H148" s="479"/>
      <c r="I148" s="459" t="s">
        <v>39</v>
      </c>
      <c r="J148" s="662">
        <v>238.73</v>
      </c>
      <c r="K148" s="663"/>
      <c r="L148" s="663"/>
      <c r="M148" s="664">
        <f>SUM(M149:M155)</f>
        <v>58.068345398691065</v>
      </c>
      <c r="N148" s="664">
        <f t="shared" ref="N148:S148" si="335">SUM(N149:N155)</f>
        <v>45.170816562040869</v>
      </c>
      <c r="O148" s="664">
        <f t="shared" ref="O148" si="336">SUM(O149:O155)</f>
        <v>9.6278958327768134</v>
      </c>
      <c r="P148" s="664">
        <f t="shared" si="335"/>
        <v>0</v>
      </c>
      <c r="Q148" s="664">
        <f t="shared" si="335"/>
        <v>3.269633003873381</v>
      </c>
      <c r="R148" s="664">
        <f t="shared" ref="R148" si="337">SUM(R149:R155)</f>
        <v>0.64866488045946302</v>
      </c>
      <c r="S148" s="664">
        <f t="shared" si="335"/>
        <v>0</v>
      </c>
      <c r="T148" s="664">
        <f t="shared" ref="T148" si="338">SUM(T149:T155)</f>
        <v>0</v>
      </c>
      <c r="V148" s="638">
        <f t="shared" si="291"/>
        <v>0</v>
      </c>
      <c r="W148" s="638">
        <f t="shared" ref="W148:W156" si="339">IF(L148=60, 0, S148)</f>
        <v>0</v>
      </c>
      <c r="X148" s="638">
        <f t="shared" si="224"/>
        <v>0</v>
      </c>
      <c r="Z148" s="638">
        <f t="shared" si="314"/>
        <v>0</v>
      </c>
      <c r="AB148">
        <f>_xlfn.XLOOKUP($H148,'[1]Baumaterialien Matériaux'!$A:$A,'[1]Baumaterialien Matériaux'!AK:AK,0,0)</f>
        <v>0</v>
      </c>
      <c r="AC148" cm="1">
        <f t="array" ref="AC148">_xlfn.SWITCH(I148,"kg"," ",0," ",_xlfn.XLOOKUP(H148, '[1]Baumaterialien Matériaux'!$A:$A, '[1]Baumaterialien Matériaux'!$AL:$AL, "-", 0, 1))</f>
        <v>0</v>
      </c>
      <c r="AD148" s="622" cm="1">
        <f t="array" ref="AD148">IFERROR(_xlfn.SWITCH(I148,"kg",1,"m3",AC148,AC148)*J148/(_xlfn.XLOOKUP(AA148,Métrés!A:A,Métrés!C:C,0)),0)</f>
        <v>0</v>
      </c>
      <c r="AE148" s="1092">
        <f>IFERROR(N148*$G$1/(_xlfn.XLOOKUP($AA148,Métrés!$A:$A,Métrés!$C:$C,0)),0)</f>
        <v>0</v>
      </c>
      <c r="AF148" s="1092">
        <f>IFERROR(O148*$G$1/(_xlfn.XLOOKUP($AA148,Métrés!$A:$A,Métrés!$C:$C,0)),0)</f>
        <v>0</v>
      </c>
      <c r="AG148" s="1092">
        <f>IFERROR(Q148*$G$1/(_xlfn.XLOOKUP($AA148,Métrés!$A:$A,Métrés!$C:$C,0)),0)</f>
        <v>0</v>
      </c>
      <c r="AH148" s="1092">
        <f>IFERROR(R148*$G$1/(_xlfn.XLOOKUP($AA148,Métrés!$A:$A,Métrés!$C:$C,0)),0)</f>
        <v>0</v>
      </c>
      <c r="AI148" s="1092">
        <f>IFERROR(S148*$G$1/(_xlfn.XLOOKUP($AA148,Métrés!$A:$A,Métrés!$C:$C,0)),0)</f>
        <v>0</v>
      </c>
      <c r="AJ148" s="878"/>
      <c r="AK148" s="878"/>
      <c r="AL148" s="878"/>
      <c r="AM148" s="878"/>
      <c r="AN148" s="1053"/>
      <c r="AO148" s="878"/>
      <c r="AP148" s="878"/>
      <c r="AQ148" s="878"/>
      <c r="AR148" s="1054"/>
      <c r="AS148" s="1053"/>
      <c r="AT148" s="878"/>
      <c r="AU148" s="878"/>
      <c r="AV148" s="878"/>
      <c r="AW148" s="1054"/>
      <c r="AX148" s="1053"/>
      <c r="AY148" s="878"/>
      <c r="AZ148" s="878"/>
      <c r="BA148" s="878"/>
      <c r="BB148" s="1054"/>
      <c r="BC148" s="1053"/>
      <c r="BD148" s="878"/>
      <c r="BE148" s="878"/>
      <c r="BF148" s="1054"/>
      <c r="BG148" s="1053"/>
      <c r="BH148" s="878"/>
      <c r="BI148" s="1054"/>
      <c r="BJ148" s="878"/>
      <c r="BK148" s="1053"/>
      <c r="BL148" s="878"/>
      <c r="BM148" s="1054"/>
      <c r="BN148" s="1037">
        <f>IFERROR((J148*VLOOKUP(H148, 'Baumaterialien Matériaux'!$A$11:$AH$318, 33,FALSE)),0)/$G$1</f>
        <v>0</v>
      </c>
      <c r="BO148" s="1037"/>
      <c r="BP148" s="1037">
        <f>IFERROR((J148*VLOOKUP(H148, 'Baumaterialien Matériaux'!$A$11:$AH$318, 34,FALSE)),0)/$G$1</f>
        <v>0</v>
      </c>
      <c r="BQ148" s="1037">
        <f t="shared" si="319"/>
        <v>0</v>
      </c>
      <c r="BR148" s="1037"/>
    </row>
    <row r="149" spans="2:70">
      <c r="B149" s="1103"/>
      <c r="C149" s="1099"/>
      <c r="D149" s="478"/>
      <c r="E149" s="478"/>
      <c r="F149" s="638" t="s">
        <v>3006</v>
      </c>
      <c r="G149" s="478" t="str">
        <f>_xlfn.XLOOKUP(H149, 'Baumaterialien Matériaux'!A:A, 'Baumaterialien Matériaux'!AD:AD, "-", 0, 1)</f>
        <v>Béton pour bâtiment (sans armature)</v>
      </c>
      <c r="H149" s="891">
        <v>1.0019999999999998</v>
      </c>
      <c r="I149" s="641" t="str">
        <f>_xlfn.XLOOKUP(H149, 'Baumaterialien Matériaux'!A:A, 'Baumaterialien Matériaux'!F:F, "-", 0, 1)</f>
        <v>kg</v>
      </c>
      <c r="J149" s="649">
        <f>$J$148*K149</f>
        <v>197668.44</v>
      </c>
      <c r="K149" s="893">
        <f>0.36*2300</f>
        <v>828</v>
      </c>
      <c r="L149" s="647">
        <v>60</v>
      </c>
      <c r="M149" s="648">
        <f t="shared" ref="M149:M151" si="340">SUM(N149:Q149)</f>
        <v>26.907584493121412</v>
      </c>
      <c r="N149" s="720">
        <f>IFERROR(($J149*VLOOKUP($H149, 'Baumaterialien Matériaux'!$A$11:$AD$318, 26,FALSE)),0)/$G$1</f>
        <v>19.537150474155204</v>
      </c>
      <c r="O149" s="720">
        <f>IFERROR(($J149*VLOOKUP($H149, 'Baumaterialien Matériaux'!$A$11:$AH$318, 33,FALSE)),0)/$G$1</f>
        <v>4.5762694804327504</v>
      </c>
      <c r="P149" s="720">
        <f>IFERROR((N149+Q149)*($L$2/L149-1),0)</f>
        <v>0</v>
      </c>
      <c r="Q149" s="720">
        <f>IFERROR(($J149*VLOOKUP($H149, 'Baumaterialien Matériaux'!$A$11:$AD$318, 27,FALSE)),0)/$G$1</f>
        <v>2.7941645385334581</v>
      </c>
      <c r="R149" s="720">
        <f>IFERROR(($J149*VLOOKUP($H149, 'Baumaterialien Matériaux'!$A$11:$AH$318, 34,FALSE)),0)/$G$1</f>
        <v>0.58963472151729657</v>
      </c>
      <c r="S149" s="720">
        <f>IFERROR((J149*VLOOKUP(H149, 'Baumaterialien Matériaux'!$A$11:$AD$318, 29,FALSE)),0)/$G$1</f>
        <v>0</v>
      </c>
      <c r="T149" s="720"/>
      <c r="V149" s="638">
        <f t="shared" si="291"/>
        <v>0</v>
      </c>
      <c r="W149" s="638">
        <f t="shared" si="339"/>
        <v>0</v>
      </c>
      <c r="X149" s="638" t="str">
        <f t="shared" si="224"/>
        <v>Structure</v>
      </c>
      <c r="Z149" s="638">
        <f t="shared" si="314"/>
        <v>60</v>
      </c>
      <c r="AA149" s="664" t="s">
        <v>3448</v>
      </c>
      <c r="AB149" t="str">
        <f>_xlfn.XLOOKUP($H149,'[1]Baumaterialien Matériaux'!$A:$A,'[1]Baumaterialien Matériaux'!AK:AK,0,0)</f>
        <v>concrete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 s="622" cm="1">
        <f t="array" ref="AD149">IFERROR(_xlfn.SWITCH(I149,"kg",1,"m3",AC149,AC149)*J149/(_xlfn.XLOOKUP(AA149,Métrés!A:A,Métrés!C:C,0)),0)</f>
        <v>828</v>
      </c>
      <c r="AE149" s="1092">
        <f>IFERROR(N149*$G$1/(_xlfn.XLOOKUP($AA149,Métrés!$A:$A,Métrés!$C:$C,0)),0)</f>
        <v>73.52640000000001</v>
      </c>
      <c r="AF149" s="1092">
        <f>IFERROR(O149*$G$1/(_xlfn.XLOOKUP($AA149,Métrés!$A:$A,Métrés!$C:$C,0)),0)</f>
        <v>17.2224</v>
      </c>
      <c r="AG149" s="1092">
        <f>IFERROR(Q149*$G$1/(_xlfn.XLOOKUP($AA149,Métrés!$A:$A,Métrés!$C:$C,0)),0)</f>
        <v>10.515600000000001</v>
      </c>
      <c r="AH149" s="1092">
        <f>IFERROR(R149*$G$1/(_xlfn.XLOOKUP($AA149,Métrés!$A:$A,Métrés!$C:$C,0)),0)</f>
        <v>2.2190400000000001</v>
      </c>
      <c r="AI149" s="1092">
        <f>IFERROR(S149*$G$1/(_xlfn.XLOOKUP($AA149,Métrés!$A:$A,Métrés!$C:$C,0)),0)</f>
        <v>0</v>
      </c>
      <c r="AJ149" s="1022"/>
      <c r="AK149" s="638">
        <f t="shared" ref="AK149:AK156" si="341">IF(L149=60, 0, T149)</f>
        <v>0</v>
      </c>
      <c r="AL149" s="638">
        <f t="shared" ref="AL149:AL156" si="342">IF(L149=60, 0, S149)</f>
        <v>0</v>
      </c>
      <c r="AM149" s="638" t="str">
        <f t="shared" ref="AM149:AM156" si="343">IF(L149=$L$2, "Structure", IF(L149&gt;0,"Revêtement",0))</f>
        <v>Structure</v>
      </c>
      <c r="AN149" s="1036">
        <f t="shared" ref="AN149:AN156" si="344">IF(AM149="Structure",N149,0)</f>
        <v>19.537150474155204</v>
      </c>
      <c r="AO149" s="1037">
        <f t="shared" ref="AO149:AO156" si="345">IF(AM149="Structure",P149,0)</f>
        <v>0</v>
      </c>
      <c r="AP149" s="1037">
        <f t="shared" ref="AP149:AP156" si="346">IF(AM149="Structure",Q149,0)</f>
        <v>2.7941645385334581</v>
      </c>
      <c r="AQ149" s="1038">
        <f t="shared" ref="AQ149:AQ156" si="347">IF(AM149="Structure",S149,0)</f>
        <v>0</v>
      </c>
      <c r="AR149" s="1038">
        <f t="shared" ref="AR149:AR156" si="348">IF(AM149="Structure",T149,0)</f>
        <v>0</v>
      </c>
      <c r="AS149" s="1036">
        <f t="shared" ref="AS149:AS156" si="349">IF(AM149="Insulation",N149,0)</f>
        <v>0</v>
      </c>
      <c r="AT149" s="1037">
        <f t="shared" ref="AT149:AT156" si="350">IF(AM149="Insulation",P149,0)</f>
        <v>0</v>
      </c>
      <c r="AU149" s="1037">
        <f t="shared" ref="AU149:AU156" si="351">IF(AM149="Insulation",Q149,0)</f>
        <v>0</v>
      </c>
      <c r="AV149" s="1038">
        <f t="shared" ref="AV149:AV156" si="352">IF(AM149="Insulation",S149,0)</f>
        <v>0</v>
      </c>
      <c r="AW149" s="1038">
        <f t="shared" ref="AW149:AW156" si="353">IF(AM149="Insulation",T149,0)</f>
        <v>0</v>
      </c>
      <c r="AX149" s="1036">
        <f t="shared" ref="AX149:AX156" si="354">IF(AM149="Revêtement",N149,0)</f>
        <v>0</v>
      </c>
      <c r="AY149" s="1037">
        <f t="shared" ref="AY149:AY156" si="355">IF(AM149="Revêtement",P149,0)</f>
        <v>0</v>
      </c>
      <c r="AZ149" s="1037">
        <f t="shared" ref="AZ149:AZ156" si="356">IF(AM149="Revêtement",Q149,0)</f>
        <v>0</v>
      </c>
      <c r="BA149" s="1037">
        <f t="shared" ref="BA149:BA156" si="357">IF(AM149="Revêtement",S149,0)</f>
        <v>0</v>
      </c>
      <c r="BB149" s="1038">
        <f t="shared" ref="BB149:BB156" si="358">IF(AM149="Revêtement",T149,0)</f>
        <v>0</v>
      </c>
      <c r="BC149" s="1036"/>
      <c r="BD149" s="1037"/>
      <c r="BE149" s="1037"/>
      <c r="BF149" s="1038"/>
      <c r="BG149" s="1036">
        <f t="shared" ref="BG149:BG156" si="359">IF($AM149="Structure", IF($I149="kg",$J149,0), 0)</f>
        <v>197668.44</v>
      </c>
      <c r="BH149" s="1037">
        <f t="shared" ref="BH149:BH156" si="360">IF($AM149="Insulation", IF($I149="kg",$J149,0), 0)</f>
        <v>0</v>
      </c>
      <c r="BI149" s="1038">
        <f t="shared" ref="BI149:BI156" si="361">IF($AM149="Revêtement", IF($I149="kg",$J149,0), 0)</f>
        <v>0</v>
      </c>
      <c r="BJ149" s="1037">
        <f>_xlfn.XLOOKUP(H149, 'Baumaterialien Matériaux'!A:A, 'Baumaterialien Matériaux'!E:E, "-", 0, 1)</f>
        <v>2300</v>
      </c>
      <c r="BK149" s="1036">
        <f t="shared" si="329"/>
        <v>85.942800000000005</v>
      </c>
      <c r="BL149" s="1037">
        <f t="shared" si="330"/>
        <v>0</v>
      </c>
      <c r="BM149" s="1038">
        <f t="shared" si="331"/>
        <v>0</v>
      </c>
      <c r="BN149" s="1037">
        <f>IFERROR((J149*VLOOKUP(H149, 'Baumaterialien Matériaux'!$A$11:$AH$318, 33,FALSE)),0)/$G$1</f>
        <v>4.5762694804327504</v>
      </c>
      <c r="BO149" s="1037">
        <f>(BN149+BP149)*($L$2/L149-1)</f>
        <v>0</v>
      </c>
      <c r="BP149" s="1037">
        <f>IFERROR((J149*VLOOKUP(H149, 'Baumaterialien Matériaux'!$A$11:$AH$318, 34,FALSE)),0)/$G$1</f>
        <v>0.58963472151729657</v>
      </c>
      <c r="BQ149" s="1037">
        <f t="shared" si="319"/>
        <v>0.21102362204724406</v>
      </c>
      <c r="BR149" s="1037">
        <f t="shared" ref="BR149:BR154" si="362">IFERROR((N149+Q149)*($L$2/L149-1),0)</f>
        <v>0</v>
      </c>
    </row>
    <row r="150" spans="2:70">
      <c r="B150" s="1103"/>
      <c r="C150" s="1099"/>
      <c r="D150" s="478"/>
      <c r="E150" s="478"/>
      <c r="F150" s="638" t="s">
        <v>3004</v>
      </c>
      <c r="G150" s="478" t="str">
        <f>_xlfn.XLOOKUP(H150, 'Baumaterialien Matériaux'!A:A, 'Baumaterialien Matériaux'!AD:AD, "-", 0, 1)</f>
        <v>Acier d'armature</v>
      </c>
      <c r="H150" s="892" t="s">
        <v>497</v>
      </c>
      <c r="I150" s="641" t="str">
        <f>_xlfn.XLOOKUP(H150, 'Baumaterialien Matériaux'!A:A, 'Baumaterialien Matériaux'!F:F, "-", 0, 1)</f>
        <v>kg</v>
      </c>
      <c r="J150" s="649">
        <f>$J$148*K150</f>
        <v>12891.42</v>
      </c>
      <c r="K150" s="894">
        <f>0.36*150</f>
        <v>54</v>
      </c>
      <c r="L150" s="647">
        <v>60</v>
      </c>
      <c r="M150" s="648">
        <f t="shared" si="340"/>
        <v>25.876393335114194</v>
      </c>
      <c r="N150" s="720">
        <f>IFERROR(($J150*VLOOKUP($H150, 'Baumaterialien Matériaux'!$A$11:$AD$318, 26,FALSE)),0)/$G$1</f>
        <v>21.52300654467744</v>
      </c>
      <c r="O150" s="720">
        <f>IFERROR(($J150*VLOOKUP($H150, 'Baumaterialien Matériaux'!$A$11:$AH$318, 33,FALSE)),0)/$G$1</f>
        <v>4.1754632696674232</v>
      </c>
      <c r="P150" s="720">
        <f t="shared" ref="P150:P151" si="363">IFERROR((N150+Q150)*($L$2/L150-1),0)</f>
        <v>0</v>
      </c>
      <c r="Q150" s="720">
        <f>IFERROR(($J150*VLOOKUP($H150, 'Baumaterialien Matériaux'!$A$11:$AD$318, 27,FALSE)),0)/$G$1</f>
        <v>0.17792352076933352</v>
      </c>
      <c r="R150" s="720">
        <f>IFERROR(($J150*VLOOKUP($H150, 'Baumaterialien Matériaux'!$A$11:$AH$318, 34,FALSE)),0)/$G$1</f>
        <v>0</v>
      </c>
      <c r="S150" s="720">
        <f>IFERROR((J150*VLOOKUP(H150, 'Baumaterialien Matériaux'!$A$11:$AD$318, 29,FALSE)),0)/$G$1</f>
        <v>0</v>
      </c>
      <c r="T150" s="720"/>
      <c r="V150" s="638">
        <f t="shared" si="291"/>
        <v>0</v>
      </c>
      <c r="W150" s="638">
        <f t="shared" si="339"/>
        <v>0</v>
      </c>
      <c r="X150" s="638" t="str">
        <f t="shared" si="224"/>
        <v>Structure</v>
      </c>
      <c r="Z150" s="638">
        <f t="shared" si="314"/>
        <v>60</v>
      </c>
      <c r="AA150" s="664" t="s">
        <v>3448</v>
      </c>
      <c r="AB150" t="str">
        <f>_xlfn.XLOOKUP($H150,'[1]Baumaterialien Matériaux'!$A:$A,'[1]Baumaterialien Matériaux'!AK:AK,0,0)</f>
        <v>metal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 s="622" cm="1">
        <f t="array" ref="AD150">IFERROR(_xlfn.SWITCH(I150,"kg",1,"m3",AC150,AC150)*J150/(_xlfn.XLOOKUP(AA150,Métrés!A:A,Métrés!C:C,0)),0)</f>
        <v>54</v>
      </c>
      <c r="AE150" s="1092">
        <f>IFERROR(N150*$G$1/(_xlfn.XLOOKUP($AA150,Métrés!$A:$A,Métrés!$C:$C,0)),0)</f>
        <v>81.000000000000014</v>
      </c>
      <c r="AF150" s="1092">
        <f>IFERROR(O150*$G$1/(_xlfn.XLOOKUP($AA150,Métrés!$A:$A,Métrés!$C:$C,0)),0)</f>
        <v>15.714</v>
      </c>
      <c r="AG150" s="1092">
        <f>IFERROR(Q150*$G$1/(_xlfn.XLOOKUP($AA150,Métrés!$A:$A,Métrés!$C:$C,0)),0)</f>
        <v>0.66960000000000008</v>
      </c>
      <c r="AH150" s="1092">
        <f>IFERROR(R150*$G$1/(_xlfn.XLOOKUP($AA150,Métrés!$A:$A,Métrés!$C:$C,0)),0)</f>
        <v>0</v>
      </c>
      <c r="AI150" s="1092">
        <f>IFERROR(S150*$G$1/(_xlfn.XLOOKUP($AA150,Métrés!$A:$A,Métrés!$C:$C,0)),0)</f>
        <v>0</v>
      </c>
      <c r="AJ150" s="1022"/>
      <c r="AK150" s="638">
        <f t="shared" si="341"/>
        <v>0</v>
      </c>
      <c r="AL150" s="638">
        <f t="shared" si="342"/>
        <v>0</v>
      </c>
      <c r="AM150" s="638" t="str">
        <f t="shared" si="343"/>
        <v>Structure</v>
      </c>
      <c r="AN150" s="1036">
        <f t="shared" si="344"/>
        <v>21.52300654467744</v>
      </c>
      <c r="AO150" s="1037">
        <f t="shared" si="345"/>
        <v>0</v>
      </c>
      <c r="AP150" s="1037">
        <f t="shared" si="346"/>
        <v>0.17792352076933352</v>
      </c>
      <c r="AQ150" s="1038">
        <f t="shared" si="347"/>
        <v>0</v>
      </c>
      <c r="AR150" s="1038">
        <f t="shared" si="348"/>
        <v>0</v>
      </c>
      <c r="AS150" s="1036">
        <f t="shared" si="349"/>
        <v>0</v>
      </c>
      <c r="AT150" s="1037">
        <f t="shared" si="350"/>
        <v>0</v>
      </c>
      <c r="AU150" s="1037">
        <f t="shared" si="351"/>
        <v>0</v>
      </c>
      <c r="AV150" s="1038">
        <f t="shared" si="352"/>
        <v>0</v>
      </c>
      <c r="AW150" s="1038">
        <f t="shared" si="353"/>
        <v>0</v>
      </c>
      <c r="AX150" s="1036">
        <f t="shared" si="354"/>
        <v>0</v>
      </c>
      <c r="AY150" s="1037">
        <f t="shared" si="355"/>
        <v>0</v>
      </c>
      <c r="AZ150" s="1037">
        <f t="shared" si="356"/>
        <v>0</v>
      </c>
      <c r="BA150" s="1037">
        <f t="shared" si="357"/>
        <v>0</v>
      </c>
      <c r="BB150" s="1038">
        <f t="shared" si="358"/>
        <v>0</v>
      </c>
      <c r="BC150" s="1036"/>
      <c r="BD150" s="1037"/>
      <c r="BE150" s="1037"/>
      <c r="BF150" s="1038"/>
      <c r="BG150" s="1036">
        <f t="shared" si="359"/>
        <v>12891.42</v>
      </c>
      <c r="BH150" s="1037">
        <f t="shared" si="360"/>
        <v>0</v>
      </c>
      <c r="BI150" s="1038">
        <f t="shared" si="361"/>
        <v>0</v>
      </c>
      <c r="BJ150" s="1037">
        <f>_xlfn.XLOOKUP(H150, 'Baumaterialien Matériaux'!A:A, 'Baumaterialien Matériaux'!E:E, "-", 0, 1)</f>
        <v>7850</v>
      </c>
      <c r="BK150" s="1036">
        <f t="shared" si="329"/>
        <v>1.6422191082802549</v>
      </c>
      <c r="BL150" s="1037">
        <f t="shared" si="330"/>
        <v>0</v>
      </c>
      <c r="BM150" s="1038">
        <f t="shared" si="331"/>
        <v>0</v>
      </c>
      <c r="BN150" s="1037">
        <f>IFERROR((J150*VLOOKUP(H150, 'Baumaterialien Matériaux'!$A$11:$AH$318, 33,FALSE)),0)/$G$1</f>
        <v>4.1754632696674232</v>
      </c>
      <c r="BO150" s="1037">
        <f>(BN150+BP150)*($L$2/L150-1)</f>
        <v>0</v>
      </c>
      <c r="BP150" s="1037">
        <f>IFERROR((J150*VLOOKUP(H150, 'Baumaterialien Matériaux'!$A$11:$AH$318, 34,FALSE)),0)/$G$1</f>
        <v>0</v>
      </c>
      <c r="BQ150" s="1037">
        <f t="shared" si="319"/>
        <v>0</v>
      </c>
      <c r="BR150" s="1037">
        <f t="shared" si="362"/>
        <v>0</v>
      </c>
    </row>
    <row r="151" spans="2:70">
      <c r="B151" s="1103"/>
      <c r="C151" s="1099"/>
      <c r="D151" s="478"/>
      <c r="E151" s="478"/>
      <c r="F151" s="483" t="s">
        <v>3393</v>
      </c>
      <c r="G151" s="478" t="str">
        <f>_xlfn.XLOOKUP(H151, 'Baumaterialien Matériaux'!A:A, 'Baumaterialien Matériaux'!AD:AD, "-", 0, 1)</f>
        <v>Béton pour bâtiment (sans armature)</v>
      </c>
      <c r="H151" s="891">
        <v>1.0019999999999998</v>
      </c>
      <c r="I151" s="641" t="str">
        <f>_xlfn.XLOOKUP(H151, 'Baumaterialien Matériaux'!A:A, 'Baumaterialien Matériaux'!F:F, "-", 0, 1)</f>
        <v>kg</v>
      </c>
      <c r="J151" s="649">
        <f>8.604*2300</f>
        <v>19789.199999999997</v>
      </c>
      <c r="K151" s="647">
        <f>J151/J148</f>
        <v>82.89364554098772</v>
      </c>
      <c r="L151" s="647">
        <v>60</v>
      </c>
      <c r="M151" s="648">
        <f t="shared" si="340"/>
        <v>2.6938016562040867</v>
      </c>
      <c r="N151" s="720">
        <f>IFERROR(($J151*VLOOKUP($H151, 'Baumaterialien Matériaux'!$A$11:$AD$318, 26,FALSE)),0)/$G$1</f>
        <v>1.9559246694270065</v>
      </c>
      <c r="O151" s="720">
        <f>IFERROR(($J151*VLOOKUP($H151, 'Baumaterialien Matériaux'!$A$11:$AH$318, 33,FALSE)),0)/$G$1</f>
        <v>0.45814451716308252</v>
      </c>
      <c r="P151" s="720">
        <f t="shared" si="363"/>
        <v>0</v>
      </c>
      <c r="Q151" s="720">
        <f>IFERROR(($J151*VLOOKUP($H151, 'Baumaterialien Matériaux'!$A$11:$AD$318, 27,FALSE)),0)/$G$1</f>
        <v>0.2797324696139975</v>
      </c>
      <c r="R151" s="720">
        <f>IFERROR(($J151*VLOOKUP($H151, 'Baumaterialien Matériaux'!$A$11:$AH$318, 34,FALSE)),0)/$G$1</f>
        <v>5.9030158942166414E-2</v>
      </c>
      <c r="S151" s="720">
        <f>IFERROR((J151*VLOOKUP(H151, 'Baumaterialien Matériaux'!$A$11:$AD$318, 29,FALSE)),0)/$G$1</f>
        <v>0</v>
      </c>
      <c r="T151" s="720"/>
      <c r="V151" s="638">
        <f t="shared" si="291"/>
        <v>0</v>
      </c>
      <c r="W151" s="638">
        <f t="shared" si="339"/>
        <v>0</v>
      </c>
      <c r="X151" s="638" t="str">
        <f t="shared" si="224"/>
        <v>Structure</v>
      </c>
      <c r="Z151" s="638">
        <f t="shared" si="314"/>
        <v>60</v>
      </c>
      <c r="AA151" s="664" t="s">
        <v>3448</v>
      </c>
      <c r="AB151" t="str">
        <f>_xlfn.XLOOKUP($H151,'[1]Baumaterialien Matériaux'!$A:$A,'[1]Baumaterialien Matériaux'!AK:AK,0,0)</f>
        <v>concrete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 s="622" cm="1">
        <f t="array" ref="AD151">IFERROR(_xlfn.SWITCH(I151,"kg",1,"m3",AC151,AC151)*J151/(_xlfn.XLOOKUP(AA151,Métrés!A:A,Métrés!C:C,0)),0)</f>
        <v>82.89364554098772</v>
      </c>
      <c r="AE151" s="1092">
        <f>IFERROR(N151*$G$1/(_xlfn.XLOOKUP($AA151,Métrés!$A:$A,Métrés!$C:$C,0)),0)</f>
        <v>7.3609557240397097</v>
      </c>
      <c r="AF151" s="1092">
        <f>IFERROR(O151*$G$1/(_xlfn.XLOOKUP($AA151,Métrés!$A:$A,Métrés!$C:$C,0)),0)</f>
        <v>1.7241878272525444</v>
      </c>
      <c r="AG151" s="1092">
        <f>IFERROR(Q151*$G$1/(_xlfn.XLOOKUP($AA151,Métrés!$A:$A,Métrés!$C:$C,0)),0)</f>
        <v>1.052749298370544</v>
      </c>
      <c r="AH151" s="1092">
        <f>IFERROR(R151*$G$1/(_xlfn.XLOOKUP($AA151,Métrés!$A:$A,Métrés!$C:$C,0)),0)</f>
        <v>0.22215497004984711</v>
      </c>
      <c r="AI151" s="1092">
        <f>IFERROR(S151*$G$1/(_xlfn.XLOOKUP($AA151,Métrés!$A:$A,Métrés!$C:$C,0)),0)</f>
        <v>0</v>
      </c>
      <c r="AJ151" s="1022"/>
      <c r="AK151" s="638">
        <f t="shared" si="341"/>
        <v>0</v>
      </c>
      <c r="AL151" s="638">
        <f t="shared" si="342"/>
        <v>0</v>
      </c>
      <c r="AM151" s="638" t="str">
        <f t="shared" si="343"/>
        <v>Structure</v>
      </c>
      <c r="AN151" s="1036">
        <f t="shared" si="344"/>
        <v>1.9559246694270065</v>
      </c>
      <c r="AO151" s="1037">
        <f t="shared" si="345"/>
        <v>0</v>
      </c>
      <c r="AP151" s="1037">
        <f t="shared" si="346"/>
        <v>0.2797324696139975</v>
      </c>
      <c r="AQ151" s="1038">
        <f t="shared" si="347"/>
        <v>0</v>
      </c>
      <c r="AR151" s="1038">
        <f t="shared" si="348"/>
        <v>0</v>
      </c>
      <c r="AS151" s="1036">
        <f t="shared" si="349"/>
        <v>0</v>
      </c>
      <c r="AT151" s="1037">
        <f t="shared" si="350"/>
        <v>0</v>
      </c>
      <c r="AU151" s="1037">
        <f t="shared" si="351"/>
        <v>0</v>
      </c>
      <c r="AV151" s="1038">
        <f t="shared" si="352"/>
        <v>0</v>
      </c>
      <c r="AW151" s="1038">
        <f t="shared" si="353"/>
        <v>0</v>
      </c>
      <c r="AX151" s="1036">
        <f t="shared" si="354"/>
        <v>0</v>
      </c>
      <c r="AY151" s="1037">
        <f t="shared" si="355"/>
        <v>0</v>
      </c>
      <c r="AZ151" s="1037">
        <f t="shared" si="356"/>
        <v>0</v>
      </c>
      <c r="BA151" s="1037">
        <f t="shared" si="357"/>
        <v>0</v>
      </c>
      <c r="BB151" s="1038">
        <f t="shared" si="358"/>
        <v>0</v>
      </c>
      <c r="BC151" s="1036"/>
      <c r="BD151" s="1037"/>
      <c r="BE151" s="1037"/>
      <c r="BF151" s="1038"/>
      <c r="BG151" s="1036">
        <f t="shared" si="359"/>
        <v>19789.199999999997</v>
      </c>
      <c r="BH151" s="1037">
        <f t="shared" si="360"/>
        <v>0</v>
      </c>
      <c r="BI151" s="1038">
        <f t="shared" si="361"/>
        <v>0</v>
      </c>
      <c r="BJ151" s="1037">
        <f>_xlfn.XLOOKUP(H151, 'Baumaterialien Matériaux'!A:A, 'Baumaterialien Matériaux'!E:E, "-", 0, 1)</f>
        <v>2300</v>
      </c>
      <c r="BK151" s="1036">
        <f t="shared" si="329"/>
        <v>8.6039999999999992</v>
      </c>
      <c r="BL151" s="1037">
        <f t="shared" si="330"/>
        <v>0</v>
      </c>
      <c r="BM151" s="1038">
        <f t="shared" si="331"/>
        <v>0</v>
      </c>
      <c r="BN151" s="1037">
        <f>IFERROR((J151*VLOOKUP(H151, 'Baumaterialien Matériaux'!$A$11:$AH$318, 33,FALSE)),0)/$G$1</f>
        <v>0.45814451716308252</v>
      </c>
      <c r="BO151" s="1037">
        <f>(BN151+BP151)*($L$2/L151-1)</f>
        <v>0</v>
      </c>
      <c r="BP151" s="1037">
        <f>IFERROR((J151*VLOOKUP(H151, 'Baumaterialien Matériaux'!$A$11:$AH$318, 34,FALSE)),0)/$G$1</f>
        <v>5.9030158942166414E-2</v>
      </c>
      <c r="BQ151" s="1037">
        <f t="shared" si="319"/>
        <v>0.21102362204724415</v>
      </c>
      <c r="BR151" s="1037">
        <f t="shared" si="362"/>
        <v>0</v>
      </c>
    </row>
    <row r="152" spans="2:70">
      <c r="B152" s="1103"/>
      <c r="C152" s="1099"/>
      <c r="D152" s="478"/>
      <c r="E152" s="478"/>
      <c r="F152" s="483" t="s">
        <v>3392</v>
      </c>
      <c r="G152" s="478" t="str">
        <f>_xlfn.XLOOKUP(H152, 'Baumaterialien Matériaux'!A:A, 'Baumaterialien Matériaux'!AD:AD, "-", 0, 1)</f>
        <v>Acier d'armature</v>
      </c>
      <c r="H152" s="892" t="s">
        <v>497</v>
      </c>
      <c r="I152" s="641" t="str">
        <f>_xlfn.XLOOKUP(H152, 'Baumaterialien Matériaux'!A:A, 'Baumaterialien Matériaux'!F:F, "-", 0, 1)</f>
        <v>kg</v>
      </c>
      <c r="J152" s="649">
        <f>150*8.604</f>
        <v>1290.5999999999999</v>
      </c>
      <c r="K152" s="647">
        <f>J152/J148</f>
        <v>5.4061073178905037</v>
      </c>
      <c r="L152" s="647">
        <v>60</v>
      </c>
      <c r="M152" s="648">
        <f t="shared" ref="M152" si="364">SUM(N152:Q152)</f>
        <v>2.5905659142513691</v>
      </c>
      <c r="N152" s="720">
        <f>IFERROR(($J152*VLOOKUP($H152, 'Baumaterialien Matériaux'!$A$11:$AD$318, 26,FALSE)),0)/$G$1</f>
        <v>2.1547348737812206</v>
      </c>
      <c r="O152" s="720">
        <f>IFERROR(($J152*VLOOKUP($H152, 'Baumaterialien Matériaux'!$A$11:$AH$318, 33,FALSE)),0)/$G$1</f>
        <v>0.41801856551355671</v>
      </c>
      <c r="P152" s="720">
        <f t="shared" ref="P152" si="365">IFERROR((N152+Q152)*($L$2/L152-1),0)</f>
        <v>0</v>
      </c>
      <c r="Q152" s="720">
        <f>IFERROR(($J152*VLOOKUP($H152, 'Baumaterialien Matériaux'!$A$11:$AD$318, 27,FALSE)),0)/$G$1</f>
        <v>1.7812474956591422E-2</v>
      </c>
      <c r="R152" s="720">
        <f>IFERROR(($J152*VLOOKUP($H152, 'Baumaterialien Matériaux'!$A$11:$AH$318, 34,FALSE)),0)/$G$1</f>
        <v>0</v>
      </c>
      <c r="S152" s="720">
        <f>IFERROR((J152*VLOOKUP(H152, 'Baumaterialien Matériaux'!$A$11:$AD$318, 29,FALSE)),0)/$G$1</f>
        <v>0</v>
      </c>
      <c r="T152" s="720"/>
      <c r="V152" s="638">
        <f t="shared" si="291"/>
        <v>0</v>
      </c>
      <c r="W152" s="638">
        <f t="shared" si="339"/>
        <v>0</v>
      </c>
      <c r="X152" s="638" t="str">
        <f t="shared" si="224"/>
        <v>Structure</v>
      </c>
      <c r="Z152" s="638">
        <f t="shared" si="314"/>
        <v>60</v>
      </c>
      <c r="AA152" s="664" t="s">
        <v>3448</v>
      </c>
      <c r="AB152" t="str">
        <f>_xlfn.XLOOKUP($H152,'[1]Baumaterialien Matériaux'!$A:$A,'[1]Baumaterialien Matériaux'!AK:AK,0,0)</f>
        <v>metal</v>
      </c>
      <c r="AC152" t="str" cm="1">
        <f t="array" ref="AC152">_xlfn.SWITCH(I152,"kg"," ",0," ",_xlfn.XLOOKUP(H152, '[1]Baumaterialien Matériaux'!$A:$A, '[1]Baumaterialien Matériaux'!$AL:$AL, "-", 0, 1))</f>
        <v xml:space="preserve"> </v>
      </c>
      <c r="AD152" s="622" cm="1">
        <f t="array" ref="AD152">IFERROR(_xlfn.SWITCH(I152,"kg",1,"m3",AC152,AC152)*J152/(_xlfn.XLOOKUP(AA152,Métrés!A:A,Métrés!C:C,0)),0)</f>
        <v>5.4061073178905037</v>
      </c>
      <c r="AE152" s="1092">
        <f>IFERROR(N152*$G$1/(_xlfn.XLOOKUP($AA152,Métrés!$A:$A,Métrés!$C:$C,0)),0)</f>
        <v>8.1091609768357564</v>
      </c>
      <c r="AF152" s="1092">
        <f>IFERROR(O152*$G$1/(_xlfn.XLOOKUP($AA152,Métrés!$A:$A,Métrés!$C:$C,0)),0)</f>
        <v>1.5731772295061364</v>
      </c>
      <c r="AG152" s="1092">
        <f>IFERROR(Q152*$G$1/(_xlfn.XLOOKUP($AA152,Métrés!$A:$A,Métrés!$C:$C,0)),0)</f>
        <v>6.7035730741842242E-2</v>
      </c>
      <c r="AH152" s="1092">
        <f>IFERROR(R152*$G$1/(_xlfn.XLOOKUP($AA152,Métrés!$A:$A,Métrés!$C:$C,0)),0)</f>
        <v>0</v>
      </c>
      <c r="AI152" s="1092">
        <f>IFERROR(S152*$G$1/(_xlfn.XLOOKUP($AA152,Métrés!$A:$A,Métrés!$C:$C,0)),0)</f>
        <v>0</v>
      </c>
      <c r="AJ152" s="1022"/>
      <c r="AK152" s="638">
        <f t="shared" si="341"/>
        <v>0</v>
      </c>
      <c r="AL152" s="638">
        <f t="shared" si="342"/>
        <v>0</v>
      </c>
      <c r="AM152" s="638" t="str">
        <f t="shared" si="343"/>
        <v>Structure</v>
      </c>
      <c r="AN152" s="1036">
        <f t="shared" si="344"/>
        <v>2.1547348737812206</v>
      </c>
      <c r="AO152" s="1037">
        <f t="shared" si="345"/>
        <v>0</v>
      </c>
      <c r="AP152" s="1037">
        <f t="shared" si="346"/>
        <v>1.7812474956591422E-2</v>
      </c>
      <c r="AQ152" s="1038">
        <f t="shared" si="347"/>
        <v>0</v>
      </c>
      <c r="AR152" s="1038">
        <f t="shared" si="348"/>
        <v>0</v>
      </c>
      <c r="AS152" s="1036">
        <f t="shared" si="349"/>
        <v>0</v>
      </c>
      <c r="AT152" s="1037">
        <f t="shared" si="350"/>
        <v>0</v>
      </c>
      <c r="AU152" s="1037">
        <f t="shared" si="351"/>
        <v>0</v>
      </c>
      <c r="AV152" s="1038">
        <f t="shared" si="352"/>
        <v>0</v>
      </c>
      <c r="AW152" s="1038">
        <f t="shared" si="353"/>
        <v>0</v>
      </c>
      <c r="AX152" s="1036">
        <f t="shared" si="354"/>
        <v>0</v>
      </c>
      <c r="AY152" s="1037">
        <f t="shared" si="355"/>
        <v>0</v>
      </c>
      <c r="AZ152" s="1037">
        <f t="shared" si="356"/>
        <v>0</v>
      </c>
      <c r="BA152" s="1037">
        <f t="shared" si="357"/>
        <v>0</v>
      </c>
      <c r="BB152" s="1038">
        <f t="shared" si="358"/>
        <v>0</v>
      </c>
      <c r="BC152" s="1036"/>
      <c r="BD152" s="1037"/>
      <c r="BE152" s="1037"/>
      <c r="BF152" s="1038"/>
      <c r="BG152" s="1036">
        <f t="shared" si="359"/>
        <v>1290.5999999999999</v>
      </c>
      <c r="BH152" s="1037">
        <f t="shared" si="360"/>
        <v>0</v>
      </c>
      <c r="BI152" s="1038">
        <f t="shared" si="361"/>
        <v>0</v>
      </c>
      <c r="BJ152" s="1037">
        <f>_xlfn.XLOOKUP(H152, 'Baumaterialien Matériaux'!A:A, 'Baumaterialien Matériaux'!E:E, "-", 0, 1)</f>
        <v>7850</v>
      </c>
      <c r="BK152" s="1036">
        <f t="shared" si="329"/>
        <v>0.16440764331210189</v>
      </c>
      <c r="BL152" s="1037">
        <f t="shared" si="330"/>
        <v>0</v>
      </c>
      <c r="BM152" s="1038">
        <f t="shared" si="331"/>
        <v>0</v>
      </c>
      <c r="BN152" s="1037">
        <f>IFERROR((J152*VLOOKUP(H152, 'Baumaterialien Matériaux'!$A$11:$AH$318, 33,FALSE)),0)/$G$1</f>
        <v>0.41801856551355671</v>
      </c>
      <c r="BO152" s="1037"/>
      <c r="BP152" s="1037">
        <f>IFERROR((J152*VLOOKUP(H152, 'Baumaterialien Matériaux'!$A$11:$AH$318, 34,FALSE)),0)/$G$1</f>
        <v>0</v>
      </c>
      <c r="BQ152" s="1037">
        <f t="shared" si="319"/>
        <v>0</v>
      </c>
      <c r="BR152" s="1037">
        <f t="shared" si="362"/>
        <v>0</v>
      </c>
    </row>
    <row r="153" spans="2:70">
      <c r="B153" s="1103"/>
      <c r="C153" s="1099"/>
      <c r="D153" s="478"/>
      <c r="E153" s="478"/>
      <c r="F153" s="483"/>
      <c r="G153" s="478"/>
      <c r="H153" s="478"/>
      <c r="I153" s="641"/>
      <c r="J153" s="649"/>
      <c r="K153" s="647"/>
      <c r="L153" s="647"/>
      <c r="M153" s="648"/>
      <c r="N153" s="720"/>
      <c r="O153" s="720"/>
      <c r="P153" s="720"/>
      <c r="Q153" s="720"/>
      <c r="R153" s="720"/>
      <c r="S153" s="720"/>
      <c r="T153" s="720"/>
      <c r="V153" s="638">
        <f t="shared" si="291"/>
        <v>0</v>
      </c>
      <c r="W153" s="638">
        <f t="shared" si="339"/>
        <v>0</v>
      </c>
      <c r="X153" s="638">
        <f t="shared" si="224"/>
        <v>0</v>
      </c>
      <c r="Z153" s="638">
        <f t="shared" si="314"/>
        <v>0</v>
      </c>
      <c r="AA153" s="664" t="s">
        <v>3448</v>
      </c>
      <c r="AB153">
        <f>_xlfn.XLOOKUP($H153,'[1]Baumaterialien Matériaux'!$A:$A,'[1]Baumaterialien Matériaux'!AK:AK,0,0)</f>
        <v>0</v>
      </c>
      <c r="AC153" t="str" cm="1">
        <f t="array" ref="AC153">_xlfn.SWITCH(I153,"kg"," ",0," ",_xlfn.XLOOKUP(H153, '[1]Baumaterialien Matériaux'!$A:$A, '[1]Baumaterialien Matériaux'!$AL:$AL, "-", 0, 1))</f>
        <v xml:space="preserve"> </v>
      </c>
      <c r="AD153" s="622" cm="1">
        <f t="array" ref="AD153">IFERROR(_xlfn.SWITCH(I153,"kg",1,"m3",AC153,AC153)*J153/(_xlfn.XLOOKUP(AA153,Métrés!A:A,Métrés!C:C,0)),0)</f>
        <v>0</v>
      </c>
      <c r="AE153" s="1092">
        <f>IFERROR(N153*$G$1/(_xlfn.XLOOKUP($AA153,Métrés!$A:$A,Métrés!$C:$C,0)),0)</f>
        <v>0</v>
      </c>
      <c r="AF153" s="1092">
        <f>IFERROR(O153*$G$1/(_xlfn.XLOOKUP($AA153,Métrés!$A:$A,Métrés!$C:$C,0)),0)</f>
        <v>0</v>
      </c>
      <c r="AG153" s="1092">
        <f>IFERROR(Q153*$G$1/(_xlfn.XLOOKUP($AA153,Métrés!$A:$A,Métrés!$C:$C,0)),0)</f>
        <v>0</v>
      </c>
      <c r="AH153" s="1092">
        <f>IFERROR(R153*$G$1/(_xlfn.XLOOKUP($AA153,Métrés!$A:$A,Métrés!$C:$C,0)),0)</f>
        <v>0</v>
      </c>
      <c r="AI153" s="1092">
        <f>IFERROR(S153*$G$1/(_xlfn.XLOOKUP($AA153,Métrés!$A:$A,Métrés!$C:$C,0)),0)</f>
        <v>0</v>
      </c>
      <c r="AJ153" s="1022"/>
      <c r="AK153" s="638">
        <f t="shared" si="341"/>
        <v>0</v>
      </c>
      <c r="AL153" s="638">
        <f t="shared" si="342"/>
        <v>0</v>
      </c>
      <c r="AM153" s="638">
        <f t="shared" si="343"/>
        <v>0</v>
      </c>
      <c r="AN153" s="1036">
        <f t="shared" si="344"/>
        <v>0</v>
      </c>
      <c r="AO153" s="1037">
        <f t="shared" si="345"/>
        <v>0</v>
      </c>
      <c r="AP153" s="1037">
        <f t="shared" si="346"/>
        <v>0</v>
      </c>
      <c r="AQ153" s="1038">
        <f t="shared" si="347"/>
        <v>0</v>
      </c>
      <c r="AR153" s="1038">
        <f t="shared" si="348"/>
        <v>0</v>
      </c>
      <c r="AS153" s="1036">
        <f t="shared" si="349"/>
        <v>0</v>
      </c>
      <c r="AT153" s="1037">
        <f t="shared" si="350"/>
        <v>0</v>
      </c>
      <c r="AU153" s="1037">
        <f t="shared" si="351"/>
        <v>0</v>
      </c>
      <c r="AV153" s="1038">
        <f t="shared" si="352"/>
        <v>0</v>
      </c>
      <c r="AW153" s="1038">
        <f t="shared" si="353"/>
        <v>0</v>
      </c>
      <c r="AX153" s="1036">
        <f t="shared" si="354"/>
        <v>0</v>
      </c>
      <c r="AY153" s="1037">
        <f t="shared" si="355"/>
        <v>0</v>
      </c>
      <c r="AZ153" s="1037">
        <f t="shared" si="356"/>
        <v>0</v>
      </c>
      <c r="BA153" s="1037">
        <f t="shared" si="357"/>
        <v>0</v>
      </c>
      <c r="BB153" s="1038">
        <f t="shared" si="358"/>
        <v>0</v>
      </c>
      <c r="BC153" s="1036"/>
      <c r="BD153" s="1037"/>
      <c r="BE153" s="1037"/>
      <c r="BF153" s="1038"/>
      <c r="BG153" s="1036">
        <f t="shared" si="359"/>
        <v>0</v>
      </c>
      <c r="BH153" s="1037">
        <f t="shared" si="360"/>
        <v>0</v>
      </c>
      <c r="BI153" s="1038">
        <f t="shared" si="361"/>
        <v>0</v>
      </c>
      <c r="BJ153" s="1037">
        <f>_xlfn.XLOOKUP(H153, 'Baumaterialien Matériaux'!A:A, 'Baumaterialien Matériaux'!E:E, "-", 0, 1)</f>
        <v>0</v>
      </c>
      <c r="BK153" s="1036">
        <f t="shared" si="329"/>
        <v>0</v>
      </c>
      <c r="BL153" s="1037">
        <f t="shared" si="330"/>
        <v>0</v>
      </c>
      <c r="BM153" s="1038">
        <f t="shared" si="331"/>
        <v>0</v>
      </c>
      <c r="BN153" s="1037">
        <f>IFERROR((J153*VLOOKUP(H153, 'Baumaterialien Matériaux'!$A$11:$AH$318, 33,FALSE)),0)/$G$1</f>
        <v>0</v>
      </c>
      <c r="BO153" s="1037"/>
      <c r="BP153" s="1037">
        <f>IFERROR((J153*VLOOKUP(H153, 'Baumaterialien Matériaux'!$A$11:$AH$318, 34,FALSE)),0)/$G$1</f>
        <v>0</v>
      </c>
      <c r="BQ153" s="1037" t="e">
        <f t="shared" si="319"/>
        <v>#DIV/0!</v>
      </c>
      <c r="BR153" s="1037">
        <f t="shared" si="362"/>
        <v>0</v>
      </c>
    </row>
    <row r="154" spans="2:70">
      <c r="B154" s="1103"/>
      <c r="C154" s="1099"/>
      <c r="D154" s="478"/>
      <c r="E154" s="478"/>
      <c r="F154" s="483"/>
      <c r="G154" s="478"/>
      <c r="H154" s="478"/>
      <c r="I154" s="641"/>
      <c r="J154" s="649"/>
      <c r="K154" s="647"/>
      <c r="L154" s="647"/>
      <c r="M154" s="648"/>
      <c r="N154" s="720"/>
      <c r="O154" s="720"/>
      <c r="P154" s="720"/>
      <c r="Q154" s="720"/>
      <c r="R154" s="720"/>
      <c r="S154" s="720"/>
      <c r="T154" s="720"/>
      <c r="V154" s="638">
        <f t="shared" si="291"/>
        <v>0</v>
      </c>
      <c r="W154" s="638">
        <f t="shared" si="339"/>
        <v>0</v>
      </c>
      <c r="X154" s="638">
        <f t="shared" si="224"/>
        <v>0</v>
      </c>
      <c r="Z154" s="638">
        <f t="shared" si="314"/>
        <v>0</v>
      </c>
      <c r="AA154" s="664" t="s">
        <v>3448</v>
      </c>
      <c r="AB154">
        <f>_xlfn.XLOOKUP($H154,'[1]Baumaterialien Matériaux'!$A:$A,'[1]Baumaterialien Matériaux'!AK:AK,0,0)</f>
        <v>0</v>
      </c>
      <c r="AC154" t="str" cm="1">
        <f t="array" ref="AC154">_xlfn.SWITCH(I154,"kg"," ",0," ",_xlfn.XLOOKUP(H154, '[1]Baumaterialien Matériaux'!$A:$A, '[1]Baumaterialien Matériaux'!$AL:$AL, "-", 0, 1))</f>
        <v xml:space="preserve"> </v>
      </c>
      <c r="AD154" s="622" cm="1">
        <f t="array" ref="AD154">IFERROR(_xlfn.SWITCH(I154,"kg",1,"m3",AC154,AC154)*J154/(_xlfn.XLOOKUP(AA154,Métrés!A:A,Métrés!C:C,0)),0)</f>
        <v>0</v>
      </c>
      <c r="AE154" s="1092">
        <f>IFERROR(N154*$G$1/(_xlfn.XLOOKUP($AA154,Métrés!$A:$A,Métrés!$C:$C,0)),0)</f>
        <v>0</v>
      </c>
      <c r="AF154" s="1092">
        <f>IFERROR(O154*$G$1/(_xlfn.XLOOKUP($AA154,Métrés!$A:$A,Métrés!$C:$C,0)),0)</f>
        <v>0</v>
      </c>
      <c r="AG154" s="1092">
        <f>IFERROR(Q154*$G$1/(_xlfn.XLOOKUP($AA154,Métrés!$A:$A,Métrés!$C:$C,0)),0)</f>
        <v>0</v>
      </c>
      <c r="AH154" s="1092">
        <f>IFERROR(R154*$G$1/(_xlfn.XLOOKUP($AA154,Métrés!$A:$A,Métrés!$C:$C,0)),0)</f>
        <v>0</v>
      </c>
      <c r="AI154" s="1092">
        <f>IFERROR(S154*$G$1/(_xlfn.XLOOKUP($AA154,Métrés!$A:$A,Métrés!$C:$C,0)),0)</f>
        <v>0</v>
      </c>
      <c r="AJ154" s="1022"/>
      <c r="AK154" s="638">
        <f t="shared" si="341"/>
        <v>0</v>
      </c>
      <c r="AL154" s="638">
        <f t="shared" si="342"/>
        <v>0</v>
      </c>
      <c r="AM154" s="638">
        <f t="shared" si="343"/>
        <v>0</v>
      </c>
      <c r="AN154" s="1036">
        <f t="shared" si="344"/>
        <v>0</v>
      </c>
      <c r="AO154" s="1037">
        <f t="shared" si="345"/>
        <v>0</v>
      </c>
      <c r="AP154" s="1037">
        <f t="shared" si="346"/>
        <v>0</v>
      </c>
      <c r="AQ154" s="1038">
        <f t="shared" si="347"/>
        <v>0</v>
      </c>
      <c r="AR154" s="1038">
        <f t="shared" si="348"/>
        <v>0</v>
      </c>
      <c r="AS154" s="1036">
        <f t="shared" si="349"/>
        <v>0</v>
      </c>
      <c r="AT154" s="1037">
        <f t="shared" si="350"/>
        <v>0</v>
      </c>
      <c r="AU154" s="1037">
        <f t="shared" si="351"/>
        <v>0</v>
      </c>
      <c r="AV154" s="1038">
        <f t="shared" si="352"/>
        <v>0</v>
      </c>
      <c r="AW154" s="1038">
        <f t="shared" si="353"/>
        <v>0</v>
      </c>
      <c r="AX154" s="1036">
        <f t="shared" si="354"/>
        <v>0</v>
      </c>
      <c r="AY154" s="1037">
        <f t="shared" si="355"/>
        <v>0</v>
      </c>
      <c r="AZ154" s="1037">
        <f t="shared" si="356"/>
        <v>0</v>
      </c>
      <c r="BA154" s="1037">
        <f t="shared" si="357"/>
        <v>0</v>
      </c>
      <c r="BB154" s="1038">
        <f t="shared" si="358"/>
        <v>0</v>
      </c>
      <c r="BC154" s="1036"/>
      <c r="BD154" s="1037"/>
      <c r="BE154" s="1037"/>
      <c r="BF154" s="1038"/>
      <c r="BG154" s="1036">
        <f t="shared" si="359"/>
        <v>0</v>
      </c>
      <c r="BH154" s="1037">
        <f t="shared" si="360"/>
        <v>0</v>
      </c>
      <c r="BI154" s="1038">
        <f t="shared" si="361"/>
        <v>0</v>
      </c>
      <c r="BJ154" s="1037">
        <f>_xlfn.XLOOKUP(H154, 'Baumaterialien Matériaux'!A:A, 'Baumaterialien Matériaux'!E:E, "-", 0, 1)</f>
        <v>0</v>
      </c>
      <c r="BK154" s="1036">
        <f t="shared" si="329"/>
        <v>0</v>
      </c>
      <c r="BL154" s="1037">
        <f t="shared" si="330"/>
        <v>0</v>
      </c>
      <c r="BM154" s="1038">
        <f t="shared" si="331"/>
        <v>0</v>
      </c>
      <c r="BN154" s="1037">
        <f>IFERROR((J154*VLOOKUP(H154, 'Baumaterialien Matériaux'!$A$11:$AH$318, 33,FALSE)),0)/$G$1</f>
        <v>0</v>
      </c>
      <c r="BO154" s="1037"/>
      <c r="BP154" s="1037">
        <f>IFERROR((J154*VLOOKUP(H154, 'Baumaterialien Matériaux'!$A$11:$AH$318, 34,FALSE)),0)/$G$1</f>
        <v>0</v>
      </c>
      <c r="BQ154" s="1037" t="e">
        <f t="shared" si="319"/>
        <v>#DIV/0!</v>
      </c>
      <c r="BR154" s="1037">
        <f t="shared" si="362"/>
        <v>0</v>
      </c>
    </row>
    <row r="155" spans="2:70">
      <c r="B155" s="1103"/>
      <c r="C155" s="1099"/>
      <c r="D155" s="478"/>
      <c r="E155" s="478"/>
      <c r="F155" s="483"/>
      <c r="G155" s="478"/>
      <c r="H155" s="478"/>
      <c r="I155" s="641"/>
      <c r="J155" s="649"/>
      <c r="K155" s="647"/>
      <c r="L155" s="647"/>
      <c r="M155" s="648"/>
      <c r="N155" s="720"/>
      <c r="O155" s="720"/>
      <c r="P155" s="720"/>
      <c r="Q155" s="720"/>
      <c r="R155" s="720"/>
      <c r="S155" s="720"/>
      <c r="T155" s="720"/>
      <c r="V155" s="638">
        <f t="shared" si="291"/>
        <v>0</v>
      </c>
      <c r="W155" s="638">
        <f t="shared" si="339"/>
        <v>0</v>
      </c>
      <c r="X155" s="638">
        <f t="shared" si="224"/>
        <v>0</v>
      </c>
      <c r="Z155" s="638">
        <f t="shared" si="314"/>
        <v>0</v>
      </c>
      <c r="AA155" s="664" t="s">
        <v>3448</v>
      </c>
      <c r="AB155">
        <f>_xlfn.XLOOKUP($H155,'[1]Baumaterialien Matériaux'!$A:$A,'[1]Baumaterialien Matériaux'!AK:AK,0,0)</f>
        <v>0</v>
      </c>
      <c r="AC155" t="str" cm="1">
        <f t="array" ref="AC155">_xlfn.SWITCH(I155,"kg"," ",0," ",_xlfn.XLOOKUP(H155, '[1]Baumaterialien Matériaux'!$A:$A, '[1]Baumaterialien Matériaux'!$AL:$AL, "-", 0, 1))</f>
        <v xml:space="preserve"> </v>
      </c>
      <c r="AD155" s="622" cm="1">
        <f t="array" ref="AD155">IFERROR(_xlfn.SWITCH(I155,"kg",1,"m3",AC155,AC155)*J155/(_xlfn.XLOOKUP(AA155,Métrés!A:A,Métrés!C:C,0)),0)</f>
        <v>0</v>
      </c>
      <c r="AE155" s="1092">
        <f>IFERROR(N155*$G$1/(_xlfn.XLOOKUP($AA155,Métrés!$A:$A,Métrés!$C:$C,0)),0)</f>
        <v>0</v>
      </c>
      <c r="AF155" s="1092">
        <f>IFERROR(O155*$G$1/(_xlfn.XLOOKUP($AA155,Métrés!$A:$A,Métrés!$C:$C,0)),0)</f>
        <v>0</v>
      </c>
      <c r="AG155" s="1092">
        <f>IFERROR(Q155*$G$1/(_xlfn.XLOOKUP($AA155,Métrés!$A:$A,Métrés!$C:$C,0)),0)</f>
        <v>0</v>
      </c>
      <c r="AH155" s="1092">
        <f>IFERROR(R155*$G$1/(_xlfn.XLOOKUP($AA155,Métrés!$A:$A,Métrés!$C:$C,0)),0)</f>
        <v>0</v>
      </c>
      <c r="AI155" s="1092">
        <f>IFERROR(S155*$G$1/(_xlfn.XLOOKUP($AA155,Métrés!$A:$A,Métrés!$C:$C,0)),0)</f>
        <v>0</v>
      </c>
      <c r="AJ155" s="1022"/>
      <c r="AK155" s="638">
        <f t="shared" si="341"/>
        <v>0</v>
      </c>
      <c r="AL155" s="638">
        <f t="shared" si="342"/>
        <v>0</v>
      </c>
      <c r="AM155" s="638">
        <f t="shared" si="343"/>
        <v>0</v>
      </c>
      <c r="AN155" s="1036">
        <f t="shared" si="344"/>
        <v>0</v>
      </c>
      <c r="AO155" s="1037">
        <f t="shared" si="345"/>
        <v>0</v>
      </c>
      <c r="AP155" s="1037">
        <f t="shared" si="346"/>
        <v>0</v>
      </c>
      <c r="AQ155" s="1038">
        <f t="shared" si="347"/>
        <v>0</v>
      </c>
      <c r="AR155" s="1038">
        <f t="shared" si="348"/>
        <v>0</v>
      </c>
      <c r="AS155" s="1036">
        <f t="shared" si="349"/>
        <v>0</v>
      </c>
      <c r="AT155" s="1037">
        <f t="shared" si="350"/>
        <v>0</v>
      </c>
      <c r="AU155" s="1037">
        <f t="shared" si="351"/>
        <v>0</v>
      </c>
      <c r="AV155" s="1038">
        <f t="shared" si="352"/>
        <v>0</v>
      </c>
      <c r="AW155" s="1038">
        <f t="shared" si="353"/>
        <v>0</v>
      </c>
      <c r="AX155" s="1036">
        <f t="shared" si="354"/>
        <v>0</v>
      </c>
      <c r="AY155" s="1037">
        <f t="shared" si="355"/>
        <v>0</v>
      </c>
      <c r="AZ155" s="1037">
        <f t="shared" si="356"/>
        <v>0</v>
      </c>
      <c r="BA155" s="1037">
        <f t="shared" si="357"/>
        <v>0</v>
      </c>
      <c r="BB155" s="1038">
        <f t="shared" si="358"/>
        <v>0</v>
      </c>
      <c r="BC155" s="1036"/>
      <c r="BD155" s="1037"/>
      <c r="BE155" s="1037"/>
      <c r="BF155" s="1038"/>
      <c r="BG155" s="1036">
        <f t="shared" si="359"/>
        <v>0</v>
      </c>
      <c r="BH155" s="1037">
        <f t="shared" si="360"/>
        <v>0</v>
      </c>
      <c r="BI155" s="1038">
        <f t="shared" si="361"/>
        <v>0</v>
      </c>
      <c r="BJ155" s="1037">
        <f>_xlfn.XLOOKUP(H155, 'Baumaterialien Matériaux'!A:A, 'Baumaterialien Matériaux'!E:E, "-", 0, 1)</f>
        <v>0</v>
      </c>
      <c r="BK155" s="1036">
        <f t="shared" si="329"/>
        <v>0</v>
      </c>
      <c r="BL155" s="1037">
        <f t="shared" si="330"/>
        <v>0</v>
      </c>
      <c r="BM155" s="1038">
        <f t="shared" si="331"/>
        <v>0</v>
      </c>
      <c r="BN155" s="1037">
        <f>IFERROR((J155*VLOOKUP(H155, 'Baumaterialien Matériaux'!$A$11:$AH$318, 33,FALSE)),0)/$G$1</f>
        <v>0</v>
      </c>
      <c r="BO155" s="1037"/>
      <c r="BP155" s="1037">
        <f>IFERROR((J155*VLOOKUP(H155, 'Baumaterialien Matériaux'!$A$11:$AH$318, 34,FALSE)),0)/$G$1</f>
        <v>0</v>
      </c>
      <c r="BQ155" s="1037" t="e">
        <f t="shared" si="319"/>
        <v>#DIV/0!</v>
      </c>
      <c r="BR155" s="1037"/>
    </row>
    <row r="156" spans="2:70">
      <c r="B156" s="1103"/>
      <c r="C156" s="1099"/>
      <c r="D156" s="478"/>
      <c r="E156" s="478"/>
      <c r="F156" s="478"/>
      <c r="G156" s="478"/>
      <c r="H156" s="478"/>
      <c r="I156" s="641"/>
      <c r="J156" s="649"/>
      <c r="K156" s="647"/>
      <c r="L156" s="647"/>
      <c r="M156" s="648"/>
      <c r="V156" s="638">
        <f t="shared" si="291"/>
        <v>0</v>
      </c>
      <c r="W156" s="638">
        <f t="shared" si="339"/>
        <v>0</v>
      </c>
      <c r="X156" s="638">
        <f t="shared" si="224"/>
        <v>0</v>
      </c>
      <c r="Z156" s="638">
        <f t="shared" si="314"/>
        <v>0</v>
      </c>
      <c r="AA156" s="664" t="s">
        <v>3448</v>
      </c>
      <c r="AB156">
        <f>_xlfn.XLOOKUP($H156,'[1]Baumaterialien Matériaux'!$A:$A,'[1]Baumaterialien Matériaux'!AK:AK,0,0)</f>
        <v>0</v>
      </c>
      <c r="AC156" t="str" cm="1">
        <f t="array" ref="AC156">_xlfn.SWITCH(I156,"kg"," ",0," ",_xlfn.XLOOKUP(H156, '[1]Baumaterialien Matériaux'!$A:$A, '[1]Baumaterialien Matériaux'!$AL:$AL, "-", 0, 1))</f>
        <v xml:space="preserve"> </v>
      </c>
      <c r="AD156" s="622" cm="1">
        <f t="array" ref="AD156">IFERROR(_xlfn.SWITCH(I156,"kg",1,"m3",AC156,AC156)*J156/(_xlfn.XLOOKUP(AA156,Métrés!A:A,Métrés!C:C,0)),0)</f>
        <v>0</v>
      </c>
      <c r="AE156" s="1092">
        <f>IFERROR(N156*$G$1/(_xlfn.XLOOKUP($AA156,Métrés!$A:$A,Métrés!$C:$C,0)),0)</f>
        <v>0</v>
      </c>
      <c r="AF156" s="1092">
        <f>IFERROR(O156*$G$1/(_xlfn.XLOOKUP($AA156,Métrés!$A:$A,Métrés!$C:$C,0)),0)</f>
        <v>0</v>
      </c>
      <c r="AG156" s="1092">
        <f>IFERROR(Q156*$G$1/(_xlfn.XLOOKUP($AA156,Métrés!$A:$A,Métrés!$C:$C,0)),0)</f>
        <v>0</v>
      </c>
      <c r="AH156" s="1092">
        <f>IFERROR(R156*$G$1/(_xlfn.XLOOKUP($AA156,Métrés!$A:$A,Métrés!$C:$C,0)),0)</f>
        <v>0</v>
      </c>
      <c r="AI156" s="1092">
        <f>IFERROR(S156*$G$1/(_xlfn.XLOOKUP($AA156,Métrés!$A:$A,Métrés!$C:$C,0)),0)</f>
        <v>0</v>
      </c>
      <c r="AJ156" s="1022"/>
      <c r="AK156" s="638">
        <f t="shared" si="341"/>
        <v>0</v>
      </c>
      <c r="AL156" s="638">
        <f t="shared" si="342"/>
        <v>0</v>
      </c>
      <c r="AM156" s="638">
        <f t="shared" si="343"/>
        <v>0</v>
      </c>
      <c r="AN156" s="1036">
        <f t="shared" si="344"/>
        <v>0</v>
      </c>
      <c r="AO156" s="1037">
        <f t="shared" si="345"/>
        <v>0</v>
      </c>
      <c r="AP156" s="1037">
        <f t="shared" si="346"/>
        <v>0</v>
      </c>
      <c r="AQ156" s="1038">
        <f t="shared" si="347"/>
        <v>0</v>
      </c>
      <c r="AR156" s="1038">
        <f t="shared" si="348"/>
        <v>0</v>
      </c>
      <c r="AS156" s="1036">
        <f t="shared" si="349"/>
        <v>0</v>
      </c>
      <c r="AT156" s="1037">
        <f t="shared" si="350"/>
        <v>0</v>
      </c>
      <c r="AU156" s="1037">
        <f t="shared" si="351"/>
        <v>0</v>
      </c>
      <c r="AV156" s="1038">
        <f t="shared" si="352"/>
        <v>0</v>
      </c>
      <c r="AW156" s="1038">
        <f t="shared" si="353"/>
        <v>0</v>
      </c>
      <c r="AX156" s="1036">
        <f t="shared" si="354"/>
        <v>0</v>
      </c>
      <c r="AY156" s="1037">
        <f t="shared" si="355"/>
        <v>0</v>
      </c>
      <c r="AZ156" s="1037">
        <f t="shared" si="356"/>
        <v>0</v>
      </c>
      <c r="BA156" s="1037">
        <f t="shared" si="357"/>
        <v>0</v>
      </c>
      <c r="BB156" s="1038">
        <f t="shared" si="358"/>
        <v>0</v>
      </c>
      <c r="BC156" s="1036"/>
      <c r="BD156" s="1037"/>
      <c r="BE156" s="1037"/>
      <c r="BF156" s="1038"/>
      <c r="BG156" s="1036">
        <f t="shared" si="359"/>
        <v>0</v>
      </c>
      <c r="BH156" s="1037">
        <f t="shared" si="360"/>
        <v>0</v>
      </c>
      <c r="BI156" s="1038">
        <f t="shared" si="361"/>
        <v>0</v>
      </c>
      <c r="BJ156" s="1037">
        <f>_xlfn.XLOOKUP(H156, 'Baumaterialien Matériaux'!A:A, 'Baumaterialien Matériaux'!E:E, "-", 0, 1)</f>
        <v>0</v>
      </c>
      <c r="BK156" s="1036">
        <f t="shared" si="329"/>
        <v>0</v>
      </c>
      <c r="BL156" s="1037">
        <f t="shared" si="330"/>
        <v>0</v>
      </c>
      <c r="BM156" s="1038">
        <f t="shared" si="331"/>
        <v>0</v>
      </c>
      <c r="BN156" s="1037">
        <f>IFERROR((J156*VLOOKUP(H156, 'Baumaterialien Matériaux'!$A$11:$AH$318, 33,FALSE)),0)/$G$1</f>
        <v>0</v>
      </c>
      <c r="BO156" s="1037"/>
      <c r="BP156" s="1037">
        <f>IFERROR((J156*VLOOKUP(H156, 'Baumaterialien Matériaux'!$A$11:$AH$318, 34,FALSE)),0)/$G$1</f>
        <v>0</v>
      </c>
      <c r="BQ156" s="1037" t="e">
        <f t="shared" si="319"/>
        <v>#DIV/0!</v>
      </c>
      <c r="BR156" s="1037"/>
    </row>
    <row r="157" spans="2:70">
      <c r="B157" s="1103"/>
      <c r="C157" s="1099"/>
      <c r="D157" s="478" t="s">
        <v>2984</v>
      </c>
      <c r="E157" s="479" t="str">
        <f>BillQuantities!E28</f>
        <v>Dalle en béton 25cm (avec enduit intérieur)</v>
      </c>
      <c r="F157" s="479"/>
      <c r="G157" s="479"/>
      <c r="H157" s="479"/>
      <c r="I157" s="459" t="s">
        <v>39</v>
      </c>
      <c r="J157" s="662">
        <v>456.44</v>
      </c>
      <c r="K157" s="663"/>
      <c r="L157" s="663"/>
      <c r="M157" s="664">
        <f ca="1">SUM(M158:M164)</f>
        <v>70.660614567472507</v>
      </c>
      <c r="N157" s="664">
        <f t="shared" ref="N157:T157" si="366">SUM(N158:N164)</f>
        <v>53.558746008637193</v>
      </c>
      <c r="O157" s="664">
        <f t="shared" ref="O157" si="367">SUM(O158:O164)</f>
        <v>11.928231605894659</v>
      </c>
      <c r="P157" s="664">
        <f t="shared" ca="1" si="366"/>
        <v>1.3036969703040824</v>
      </c>
      <c r="Q157" s="664">
        <f t="shared" si="366"/>
        <v>3.8699399826365695</v>
      </c>
      <c r="R157" s="664">
        <f t="shared" ref="R157" si="368">SUM(R158:R164)</f>
        <v>0.76577559213748281</v>
      </c>
      <c r="S157" s="664">
        <f t="shared" si="366"/>
        <v>0.28500828102043535</v>
      </c>
      <c r="T157" s="664">
        <f t="shared" si="366"/>
        <v>2.8500828102043536E-3</v>
      </c>
      <c r="V157" s="638">
        <f t="shared" si="291"/>
        <v>2.8500828102043536E-3</v>
      </c>
      <c r="X157" s="638">
        <f t="shared" si="224"/>
        <v>0</v>
      </c>
      <c r="Z157" s="638">
        <f t="shared" si="314"/>
        <v>0</v>
      </c>
      <c r="AB157">
        <f>_xlfn.XLOOKUP($H157,'[1]Baumaterialien Matériaux'!$A:$A,'[1]Baumaterialien Matériaux'!AK:AK,0,0)</f>
        <v>0</v>
      </c>
      <c r="AC157" cm="1">
        <f t="array" ref="AC157">_xlfn.SWITCH(I157,"kg"," ",0," ",_xlfn.XLOOKUP(H157, '[1]Baumaterialien Matériaux'!$A:$A, '[1]Baumaterialien Matériaux'!$AL:$AL, "-", 0, 1))</f>
        <v>0</v>
      </c>
      <c r="AD157" s="622" cm="1">
        <f t="array" ref="AD157">IFERROR(_xlfn.SWITCH(I157,"kg",1,"m3",AC157,AC157)*J157/(_xlfn.XLOOKUP(AA157,Métrés!A:A,Métrés!C:C,0)),0)</f>
        <v>0</v>
      </c>
      <c r="AE157" s="1092">
        <f>IFERROR(N157*$G$1/(_xlfn.XLOOKUP($AA157,Métrés!$A:$A,Métrés!$C:$C,0)),0)</f>
        <v>0</v>
      </c>
      <c r="AF157" s="1092">
        <f>IFERROR(O157*$G$1/(_xlfn.XLOOKUP($AA157,Métrés!$A:$A,Métrés!$C:$C,0)),0)</f>
        <v>0</v>
      </c>
      <c r="AG157" s="1092">
        <f>IFERROR(Q157*$G$1/(_xlfn.XLOOKUP($AA157,Métrés!$A:$A,Métrés!$C:$C,0)),0)</f>
        <v>0</v>
      </c>
      <c r="AH157" s="1092">
        <f>IFERROR(R157*$G$1/(_xlfn.XLOOKUP($AA157,Métrés!$A:$A,Métrés!$C:$C,0)),0)</f>
        <v>0</v>
      </c>
      <c r="AI157" s="1092">
        <f>IFERROR(S157*$G$1/(_xlfn.XLOOKUP($AA157,Métrés!$A:$A,Métrés!$C:$C,0)),0)</f>
        <v>0</v>
      </c>
      <c r="AJ157" s="1021"/>
      <c r="AK157" s="1021"/>
      <c r="AL157" s="1021"/>
      <c r="AM157" s="1021"/>
      <c r="AN157" s="1057"/>
      <c r="AO157" s="1021"/>
      <c r="AP157" s="1021"/>
      <c r="AQ157" s="1021"/>
      <c r="AR157" s="1058"/>
      <c r="AS157" s="1057"/>
      <c r="AT157" s="1021"/>
      <c r="AU157" s="1021"/>
      <c r="AV157" s="1021"/>
      <c r="AW157" s="1058"/>
      <c r="AX157" s="1057"/>
      <c r="AY157" s="1021"/>
      <c r="AZ157" s="1021"/>
      <c r="BA157" s="1021"/>
      <c r="BB157" s="1058"/>
      <c r="BC157" s="1057"/>
      <c r="BD157" s="1021"/>
      <c r="BE157" s="1021"/>
      <c r="BF157" s="1058"/>
      <c r="BG157" s="1057"/>
      <c r="BH157" s="1021"/>
      <c r="BI157" s="1058"/>
      <c r="BJ157" s="1045"/>
      <c r="BK157" s="1057"/>
      <c r="BL157" s="1021"/>
      <c r="BM157" s="1058"/>
      <c r="BN157" s="1037">
        <f>IFERROR((J157*VLOOKUP(H157, 'Baumaterialien Matériaux'!$A$11:$AH$318, 33,FALSE)),0)/$G$1</f>
        <v>0</v>
      </c>
      <c r="BO157" s="1037"/>
      <c r="BP157" s="1037">
        <f>IFERROR((J157*VLOOKUP(H157, 'Baumaterialien Matériaux'!$A$11:$AH$318, 34,FALSE)),0)/$G$1</f>
        <v>0</v>
      </c>
      <c r="BQ157" s="1037">
        <f t="shared" si="319"/>
        <v>0</v>
      </c>
      <c r="BR157" s="1037"/>
    </row>
    <row r="158" spans="2:70">
      <c r="B158" s="1103"/>
      <c r="C158" s="1099"/>
      <c r="D158" s="478"/>
      <c r="E158" s="478"/>
      <c r="F158" s="483" t="s">
        <v>3007</v>
      </c>
      <c r="G158" s="478" t="str">
        <f>_xlfn.XLOOKUP(H158, 'Baumaterialien Matériaux'!A:A, 'Baumaterialien Matériaux'!AD:AD, "-", 0, 1)</f>
        <v>Béton pour bâtiment (sans armature)</v>
      </c>
      <c r="H158" s="891">
        <v>1.0019999999999998</v>
      </c>
      <c r="I158" s="641" t="str">
        <f>_xlfn.XLOOKUP(H158, 'Baumaterialien Matériaux'!A:A, 'Baumaterialien Matériaux'!F:F, "-", 0, 1)</f>
        <v>kg</v>
      </c>
      <c r="J158" s="649">
        <f>$J$157*K158</f>
        <v>251954.88</v>
      </c>
      <c r="K158" s="893">
        <f>0.24*2300</f>
        <v>552</v>
      </c>
      <c r="L158" s="647" cm="1">
        <f t="array" aca="1" ref="L158" ca="1">INDEX('Eléments de constr. inté. et ex'!N46:N88, 'Eléments de constr. inté. et ex'!W56)</f>
        <v>60</v>
      </c>
      <c r="M158" s="648">
        <f t="shared" ref="M158:M160" ca="1" si="369">SUM(N158:Q158)</f>
        <v>34.297317376786424</v>
      </c>
      <c r="N158" s="720">
        <f>IFERROR(($J158*VLOOKUP($H158, 'Baumaterialien Matériaux'!$A$11:$AD$318, 26,FALSE)),0)/$G$1</f>
        <v>24.902712862294642</v>
      </c>
      <c r="O158" s="720">
        <f>IFERROR(($J158*VLOOKUP($H158, 'Baumaterialien Matériaux'!$A$11:$AH$318, 33,FALSE)),0)/$G$1</f>
        <v>5.8330678776546003</v>
      </c>
      <c r="P158" s="720">
        <f ca="1">IFERROR((N158+Q158)*($L$2/L158-1),0)</f>
        <v>0</v>
      </c>
      <c r="Q158" s="720">
        <f>IFERROR(($J158*VLOOKUP($H158, 'Baumaterialien Matériaux'!$A$11:$AD$318, 27,FALSE)),0)/$G$1</f>
        <v>3.5615366368371841</v>
      </c>
      <c r="R158" s="720">
        <f>IFERROR(($J158*VLOOKUP($H158, 'Baumaterialien Matériaux'!$A$11:$AH$318, 34,FALSE)),0)/$G$1</f>
        <v>0.75156836115934289</v>
      </c>
      <c r="S158" s="720">
        <f>IFERROR((J158*VLOOKUP(H158, 'Baumaterialien Matériaux'!$A$11:$AD$318, 29,FALSE)),0)/$G$1</f>
        <v>0</v>
      </c>
      <c r="T158" s="720"/>
      <c r="V158" s="638">
        <f t="shared" ca="1" si="291"/>
        <v>0</v>
      </c>
      <c r="W158" s="638">
        <f t="shared" ref="W158:W174" ca="1" si="370">IF(L158=60, 0, S158)</f>
        <v>0</v>
      </c>
      <c r="X158" s="638" t="str">
        <f t="shared" ca="1" si="224"/>
        <v>Structure</v>
      </c>
      <c r="Z158" s="638">
        <f t="shared" ca="1" si="314"/>
        <v>60</v>
      </c>
      <c r="AA158" s="648" t="s">
        <v>3458</v>
      </c>
      <c r="AB158" t="str">
        <f>_xlfn.XLOOKUP($H158,'[1]Baumaterialien Matériaux'!$A:$A,'[1]Baumaterialien Matériaux'!AK:AK,0,0)</f>
        <v>concrete</v>
      </c>
      <c r="AC158" t="str" cm="1">
        <f t="array" ref="AC158">_xlfn.SWITCH(I158,"kg"," ",0," ",_xlfn.XLOOKUP(H158, '[1]Baumaterialien Matériaux'!$A:$A, '[1]Baumaterialien Matériaux'!$AL:$AL, "-", 0, 1))</f>
        <v xml:space="preserve"> </v>
      </c>
      <c r="AD158" s="622" cm="1">
        <f t="array" ref="AD158">IFERROR(_xlfn.SWITCH(I158,"kg",1,"m3",AC158,AC158)*J158/(_xlfn.XLOOKUP(AA158,Métrés!A:A,Métrés!C:C,0)),0)</f>
        <v>552</v>
      </c>
      <c r="AE158" s="1092">
        <f>IFERROR(N158*$G$1/(_xlfn.XLOOKUP($AA158,Métrés!$A:$A,Métrés!$C:$C,0)),0)</f>
        <v>49.017600000000002</v>
      </c>
      <c r="AF158" s="1092">
        <f>IFERROR(O158*$G$1/(_xlfn.XLOOKUP($AA158,Métrés!$A:$A,Métrés!$C:$C,0)),0)</f>
        <v>11.4816</v>
      </c>
      <c r="AG158" s="1092">
        <f>IFERROR(Q158*$G$1/(_xlfn.XLOOKUP($AA158,Métrés!$A:$A,Métrés!$C:$C,0)),0)</f>
        <v>7.0103999999999997</v>
      </c>
      <c r="AH158" s="1092">
        <f>IFERROR(R158*$G$1/(_xlfn.XLOOKUP($AA158,Métrés!$A:$A,Métrés!$C:$C,0)),0)</f>
        <v>1.47936</v>
      </c>
      <c r="AI158" s="1092">
        <f>IFERROR(S158*$G$1/(_xlfn.XLOOKUP($AA158,Métrés!$A:$A,Métrés!$C:$C,0)),0)</f>
        <v>0</v>
      </c>
      <c r="AJ158" s="1022"/>
      <c r="AK158" s="638">
        <f t="shared" ref="AK158:AK165" ca="1" si="371">IF(L158=60, 0, T158)</f>
        <v>0</v>
      </c>
      <c r="AL158" s="638">
        <f t="shared" ref="AL158:AL165" ca="1" si="372">IF(L158=60, 0, S158)</f>
        <v>0</v>
      </c>
      <c r="AM158" s="638" t="str">
        <f t="shared" ref="AM158:AM165" ca="1" si="373">IF(L158=$L$2, "Structure", IF(L158&gt;0,"Revêtement",0))</f>
        <v>Structure</v>
      </c>
      <c r="AN158" s="1036">
        <f t="shared" ref="AN158:AN165" ca="1" si="374">IF(AM158="Structure",N158,0)</f>
        <v>24.902712862294642</v>
      </c>
      <c r="AO158" s="1037">
        <f t="shared" ref="AO158:AO165" ca="1" si="375">IF(AM158="Structure",P158,0)</f>
        <v>0</v>
      </c>
      <c r="AP158" s="1037">
        <f t="shared" ref="AP158:AP165" ca="1" si="376">IF(AM158="Structure",Q158,0)</f>
        <v>3.5615366368371841</v>
      </c>
      <c r="AQ158" s="1038">
        <f t="shared" ref="AQ158:AQ165" ca="1" si="377">IF(AM158="Structure",S158,0)</f>
        <v>0</v>
      </c>
      <c r="AR158" s="1038">
        <f t="shared" ref="AR158:AR165" ca="1" si="378">IF(AM158="Structure",T158,0)</f>
        <v>0</v>
      </c>
      <c r="AS158" s="1036">
        <f t="shared" ref="AS158:AS165" ca="1" si="379">IF(AM158="Insulation",N158,0)</f>
        <v>0</v>
      </c>
      <c r="AT158" s="1037">
        <f t="shared" ref="AT158:AT165" ca="1" si="380">IF(AM158="Insulation",P158,0)</f>
        <v>0</v>
      </c>
      <c r="AU158" s="1037">
        <f t="shared" ref="AU158:AU165" ca="1" si="381">IF(AM158="Insulation",Q158,0)</f>
        <v>0</v>
      </c>
      <c r="AV158" s="1038">
        <f t="shared" ref="AV158:AV165" ca="1" si="382">IF(AM158="Insulation",S158,0)</f>
        <v>0</v>
      </c>
      <c r="AW158" s="1038">
        <f t="shared" ref="AW158:AW165" ca="1" si="383">IF(AM158="Insulation",T158,0)</f>
        <v>0</v>
      </c>
      <c r="AX158" s="1036">
        <f t="shared" ref="AX158:AX165" ca="1" si="384">IF(AM158="Revêtement",N158,0)</f>
        <v>0</v>
      </c>
      <c r="AY158" s="1037">
        <f t="shared" ref="AY158:AY165" ca="1" si="385">IF(AM158="Revêtement",P158,0)</f>
        <v>0</v>
      </c>
      <c r="AZ158" s="1037">
        <f t="shared" ref="AZ158:AZ165" ca="1" si="386">IF(AM158="Revêtement",Q158,0)</f>
        <v>0</v>
      </c>
      <c r="BA158" s="1037">
        <f t="shared" ref="BA158:BA165" ca="1" si="387">IF(AM158="Revêtement",S158,0)</f>
        <v>0</v>
      </c>
      <c r="BB158" s="1038">
        <f t="shared" ref="BB158:BB165" ca="1" si="388">IF(AM158="Revêtement",T158,0)</f>
        <v>0</v>
      </c>
      <c r="BC158" s="1036"/>
      <c r="BD158" s="1037"/>
      <c r="BE158" s="1037"/>
      <c r="BF158" s="1038"/>
      <c r="BG158" s="1036">
        <f t="shared" ref="BG158:BG165" ca="1" si="389">IF($AM158="Structure", IF($I158="kg",$J158,0), 0)</f>
        <v>251954.88</v>
      </c>
      <c r="BH158" s="1037">
        <f t="shared" ref="BH158:BH165" ca="1" si="390">IF($AM158="Insulation", IF($I158="kg",$J158,0), 0)</f>
        <v>0</v>
      </c>
      <c r="BI158" s="1038">
        <f t="shared" ref="BI158:BI165" ca="1" si="391">IF($AM158="Revêtement", IF($I158="kg",$J158,0), 0)</f>
        <v>0</v>
      </c>
      <c r="BJ158" s="1037">
        <f>_xlfn.XLOOKUP(H158, 'Baumaterialien Matériaux'!A:A, 'Baumaterialien Matériaux'!E:E, "-", 0, 1)</f>
        <v>2300</v>
      </c>
      <c r="BK158" s="1036">
        <f t="shared" ca="1" si="329"/>
        <v>109.54560000000001</v>
      </c>
      <c r="BL158" s="1037">
        <f t="shared" ca="1" si="330"/>
        <v>0</v>
      </c>
      <c r="BM158" s="1038">
        <f t="shared" ca="1" si="331"/>
        <v>0</v>
      </c>
      <c r="BN158" s="1037">
        <f>IFERROR((J158*VLOOKUP(H158, 'Baumaterialien Matériaux'!$A$11:$AH$318, 33,FALSE)),0)/$G$1</f>
        <v>5.8330678776546003</v>
      </c>
      <c r="BO158" s="1037">
        <f ca="1">(BN158+BP158)*($L$2/L158-1)</f>
        <v>0</v>
      </c>
      <c r="BP158" s="1037">
        <f>IFERROR((J158*VLOOKUP(H158, 'Baumaterialien Matériaux'!$A$11:$AH$318, 34,FALSE)),0)/$G$1</f>
        <v>0.75156836115934289</v>
      </c>
      <c r="BQ158" s="1037">
        <f t="shared" si="319"/>
        <v>0.21102362204724412</v>
      </c>
      <c r="BR158" s="1037">
        <f t="shared" ref="BR158:BR164" ca="1" si="392">IFERROR((N158+Q158)*($L$2/L158-1),0)</f>
        <v>0</v>
      </c>
    </row>
    <row r="159" spans="2:70">
      <c r="B159" s="1103"/>
      <c r="C159" s="1099"/>
      <c r="D159" s="478"/>
      <c r="E159" s="478"/>
      <c r="F159" s="638" t="s">
        <v>3008</v>
      </c>
      <c r="G159" s="478" t="str">
        <f>_xlfn.XLOOKUP(H159, 'Baumaterialien Matériaux'!A:A, 'Baumaterialien Matériaux'!AD:AD, "-", 0, 1)</f>
        <v>Acier d'armature</v>
      </c>
      <c r="H159" s="892" t="s">
        <v>497</v>
      </c>
      <c r="I159" s="641" t="str">
        <f>_xlfn.XLOOKUP(H159, 'Baumaterialien Matériaux'!A:A, 'Baumaterialien Matériaux'!F:F, "-", 0, 1)</f>
        <v>kg</v>
      </c>
      <c r="J159" s="649">
        <f t="shared" ref="J159:J160" si="393">$J$157*K159</f>
        <v>16431.84</v>
      </c>
      <c r="K159" s="894">
        <f>0.24*150</f>
        <v>36</v>
      </c>
      <c r="L159" s="647" cm="1">
        <f t="array" aca="1" ref="L159" ca="1">INDEX('Eléments de constr. inté. et ex'!N47:N89, 'Eléments de constr. inté. et ex'!W57)</f>
        <v>60</v>
      </c>
      <c r="M159" s="648">
        <f t="shared" ca="1" si="369"/>
        <v>32.982926245492187</v>
      </c>
      <c r="N159" s="720">
        <f>IFERROR(($J159*VLOOKUP($H159, 'Baumaterialien Matériaux'!$A$11:$AD$318, 26,FALSE)),0)/$G$1</f>
        <v>27.433952183785227</v>
      </c>
      <c r="O159" s="720">
        <f>IFERROR(($J159*VLOOKUP($H159, 'Baumaterialien Matériaux'!$A$11:$AH$318, 33,FALSE)),0)/$G$1</f>
        <v>5.3221867236543332</v>
      </c>
      <c r="P159" s="720">
        <f t="shared" ref="P159:P160" ca="1" si="394">IFERROR((N159+Q159)*($L$2/L159-1),0)</f>
        <v>0</v>
      </c>
      <c r="Q159" s="720">
        <f>IFERROR(($J159*VLOOKUP($H159, 'Baumaterialien Matériaux'!$A$11:$AD$318, 27,FALSE)),0)/$G$1</f>
        <v>0.22678733805262455</v>
      </c>
      <c r="R159" s="720">
        <f>IFERROR(($J159*VLOOKUP($H159, 'Baumaterialien Matériaux'!$A$11:$AH$318, 34,FALSE)),0)/$G$1</f>
        <v>0</v>
      </c>
      <c r="S159" s="720">
        <f>IFERROR((J159*VLOOKUP(H159, 'Baumaterialien Matériaux'!$A$11:$AD$318, 29,FALSE)),0)/$G$1</f>
        <v>0</v>
      </c>
      <c r="T159" s="720"/>
      <c r="V159" s="638">
        <f t="shared" ca="1" si="291"/>
        <v>0</v>
      </c>
      <c r="W159" s="638">
        <f t="shared" ca="1" si="370"/>
        <v>0</v>
      </c>
      <c r="X159" s="638" t="str">
        <f t="shared" ca="1" si="224"/>
        <v>Structure</v>
      </c>
      <c r="Z159" s="638">
        <f t="shared" ca="1" si="314"/>
        <v>60</v>
      </c>
      <c r="AA159" s="648" t="s">
        <v>3458</v>
      </c>
      <c r="AB159" t="str">
        <f>_xlfn.XLOOKUP($H159,'[1]Baumaterialien Matériaux'!$A:$A,'[1]Baumaterialien Matériaux'!AK:AK,0,0)</f>
        <v>metal</v>
      </c>
      <c r="AC159" t="str" cm="1">
        <f t="array" ref="AC159">_xlfn.SWITCH(I159,"kg"," ",0," ",_xlfn.XLOOKUP(H159, '[1]Baumaterialien Matériaux'!$A:$A, '[1]Baumaterialien Matériaux'!$AL:$AL, "-", 0, 1))</f>
        <v xml:space="preserve"> </v>
      </c>
      <c r="AD159" s="622" cm="1">
        <f t="array" ref="AD159">IFERROR(_xlfn.SWITCH(I159,"kg",1,"m3",AC159,AC159)*J159/(_xlfn.XLOOKUP(AA159,Métrés!A:A,Métrés!C:C,0)),0)</f>
        <v>36</v>
      </c>
      <c r="AE159" s="1092">
        <f>IFERROR(N159*$G$1/(_xlfn.XLOOKUP($AA159,Métrés!$A:$A,Métrés!$C:$C,0)),0)</f>
        <v>54.000000000000007</v>
      </c>
      <c r="AF159" s="1092">
        <f>IFERROR(O159*$G$1/(_xlfn.XLOOKUP($AA159,Métrés!$A:$A,Métrés!$C:$C,0)),0)</f>
        <v>10.475999999999999</v>
      </c>
      <c r="AG159" s="1092">
        <f>IFERROR(Q159*$G$1/(_xlfn.XLOOKUP($AA159,Métrés!$A:$A,Métrés!$C:$C,0)),0)</f>
        <v>0.44640000000000002</v>
      </c>
      <c r="AH159" s="1092">
        <f>IFERROR(R159*$G$1/(_xlfn.XLOOKUP($AA159,Métrés!$A:$A,Métrés!$C:$C,0)),0)</f>
        <v>0</v>
      </c>
      <c r="AI159" s="1092">
        <f>IFERROR(S159*$G$1/(_xlfn.XLOOKUP($AA159,Métrés!$A:$A,Métrés!$C:$C,0)),0)</f>
        <v>0</v>
      </c>
      <c r="AJ159" s="1022"/>
      <c r="AK159" s="638">
        <f t="shared" ca="1" si="371"/>
        <v>0</v>
      </c>
      <c r="AL159" s="638">
        <f t="shared" ca="1" si="372"/>
        <v>0</v>
      </c>
      <c r="AM159" s="638" t="str">
        <f t="shared" ca="1" si="373"/>
        <v>Structure</v>
      </c>
      <c r="AN159" s="1036">
        <f t="shared" ca="1" si="374"/>
        <v>27.433952183785227</v>
      </c>
      <c r="AO159" s="1037">
        <f t="shared" ca="1" si="375"/>
        <v>0</v>
      </c>
      <c r="AP159" s="1037">
        <f t="shared" ca="1" si="376"/>
        <v>0.22678733805262455</v>
      </c>
      <c r="AQ159" s="1038">
        <f t="shared" ca="1" si="377"/>
        <v>0</v>
      </c>
      <c r="AR159" s="1038">
        <f t="shared" ca="1" si="378"/>
        <v>0</v>
      </c>
      <c r="AS159" s="1036">
        <f t="shared" ca="1" si="379"/>
        <v>0</v>
      </c>
      <c r="AT159" s="1037">
        <f t="shared" ca="1" si="380"/>
        <v>0</v>
      </c>
      <c r="AU159" s="1037">
        <f t="shared" ca="1" si="381"/>
        <v>0</v>
      </c>
      <c r="AV159" s="1038">
        <f t="shared" ca="1" si="382"/>
        <v>0</v>
      </c>
      <c r="AW159" s="1038">
        <f t="shared" ca="1" si="383"/>
        <v>0</v>
      </c>
      <c r="AX159" s="1036">
        <f t="shared" ca="1" si="384"/>
        <v>0</v>
      </c>
      <c r="AY159" s="1037">
        <f t="shared" ca="1" si="385"/>
        <v>0</v>
      </c>
      <c r="AZ159" s="1037">
        <f t="shared" ca="1" si="386"/>
        <v>0</v>
      </c>
      <c r="BA159" s="1037">
        <f t="shared" ca="1" si="387"/>
        <v>0</v>
      </c>
      <c r="BB159" s="1038">
        <f t="shared" ca="1" si="388"/>
        <v>0</v>
      </c>
      <c r="BC159" s="1036"/>
      <c r="BD159" s="1037"/>
      <c r="BE159" s="1037"/>
      <c r="BF159" s="1038"/>
      <c r="BG159" s="1036">
        <f t="shared" ca="1" si="389"/>
        <v>16431.84</v>
      </c>
      <c r="BH159" s="1037">
        <f t="shared" ca="1" si="390"/>
        <v>0</v>
      </c>
      <c r="BI159" s="1038">
        <f t="shared" ca="1" si="391"/>
        <v>0</v>
      </c>
      <c r="BJ159" s="1037">
        <f>_xlfn.XLOOKUP(H159, 'Baumaterialien Matériaux'!A:A, 'Baumaterialien Matériaux'!E:E, "-", 0, 1)</f>
        <v>7850</v>
      </c>
      <c r="BK159" s="1036">
        <f t="shared" ca="1" si="329"/>
        <v>2.0932280254777069</v>
      </c>
      <c r="BL159" s="1037">
        <f t="shared" ca="1" si="330"/>
        <v>0</v>
      </c>
      <c r="BM159" s="1038">
        <f t="shared" ca="1" si="331"/>
        <v>0</v>
      </c>
      <c r="BN159" s="1037">
        <f>IFERROR((J159*VLOOKUP(H159, 'Baumaterialien Matériaux'!$A$11:$AH$318, 33,FALSE)),0)/$G$1</f>
        <v>5.3221867236543332</v>
      </c>
      <c r="BO159" s="1037">
        <f ca="1">(BN159+BP159)*($L$2/L159-1)</f>
        <v>0</v>
      </c>
      <c r="BP159" s="1037">
        <f>IFERROR((J159*VLOOKUP(H159, 'Baumaterialien Matériaux'!$A$11:$AH$318, 34,FALSE)),0)/$G$1</f>
        <v>0</v>
      </c>
      <c r="BQ159" s="1037">
        <f t="shared" si="319"/>
        <v>0</v>
      </c>
      <c r="BR159" s="1037">
        <f t="shared" ca="1" si="392"/>
        <v>0</v>
      </c>
    </row>
    <row r="160" spans="2:70">
      <c r="B160" s="1103"/>
      <c r="C160" s="1099"/>
      <c r="D160" s="478"/>
      <c r="E160" s="478"/>
      <c r="F160" s="483" t="s">
        <v>3009</v>
      </c>
      <c r="G160" s="478" t="str">
        <f>_xlfn.XLOOKUP(H160, 'Baumaterialien Matériaux'!A:A, 'Baumaterialien Matériaux'!AD:AD, "-", 0, 1)</f>
        <v>Plaque de plâtre cartonnée</v>
      </c>
      <c r="H160" s="892" t="s">
        <v>107</v>
      </c>
      <c r="I160" s="641" t="str">
        <f>_xlfn.XLOOKUP(H160, 'Baumaterialien Matériaux'!A:A, 'Baumaterialien Matériaux'!F:F, "-", 0, 1)</f>
        <v>kg</v>
      </c>
      <c r="J160" s="649">
        <f t="shared" si="393"/>
        <v>3879.74</v>
      </c>
      <c r="K160" s="894">
        <f>0.01*850</f>
        <v>8.5</v>
      </c>
      <c r="L160" s="647">
        <v>30</v>
      </c>
      <c r="M160" s="648">
        <f t="shared" si="369"/>
        <v>3.3803709451938908</v>
      </c>
      <c r="N160" s="720">
        <f>IFERROR(($J160*VLOOKUP($H160, 'Baumaterialien Matériaux'!$A$11:$AD$318, 26,FALSE)),0)/$G$1</f>
        <v>1.2220809625573212</v>
      </c>
      <c r="O160" s="720">
        <f>IFERROR(($J160*VLOOKUP($H160, 'Baumaterialien Matériaux'!$A$11:$AH$318, 33,FALSE)),0)/$G$1</f>
        <v>0.77297700458572627</v>
      </c>
      <c r="P160" s="720">
        <f t="shared" si="394"/>
        <v>1.3036969703040824</v>
      </c>
      <c r="Q160" s="720">
        <f>IFERROR(($J160*VLOOKUP($H160, 'Baumaterialien Matériaux'!$A$11:$AD$318, 27,FALSE)),0)/$G$1</f>
        <v>8.1616007746761046E-2</v>
      </c>
      <c r="R160" s="720">
        <f>IFERROR(($J160*VLOOKUP($H160, 'Baumaterialien Matériaux'!$A$11:$AH$318, 34,FALSE)),0)/$G$1</f>
        <v>1.4207230978139885E-2</v>
      </c>
      <c r="S160" s="720">
        <f>IFERROR((J160*VLOOKUP(H160, 'Baumaterialien Matériaux'!$A$11:$AD$318, 29,FALSE)),0)/$G$1</f>
        <v>0.28500828102043535</v>
      </c>
      <c r="T160" s="720">
        <f>S160*AJ160</f>
        <v>2.8500828102043536E-3</v>
      </c>
      <c r="U160" s="638">
        <v>0.01</v>
      </c>
      <c r="V160" s="638">
        <f t="shared" si="291"/>
        <v>2.8500828102043536E-3</v>
      </c>
      <c r="W160" s="638">
        <f t="shared" si="370"/>
        <v>0.28500828102043535</v>
      </c>
      <c r="X160" s="638" t="str">
        <f t="shared" si="224"/>
        <v>Revêtement</v>
      </c>
      <c r="Z160" s="638">
        <f t="shared" si="314"/>
        <v>30</v>
      </c>
      <c r="AA160" s="648" t="s">
        <v>3458</v>
      </c>
      <c r="AB160" t="str">
        <f>_xlfn.XLOOKUP($H160,'[1]Baumaterialien Matériaux'!$A:$A,'[1]Baumaterialien Matériaux'!AK:AK,0,0)</f>
        <v>gypsum</v>
      </c>
      <c r="AC160" t="str" cm="1">
        <f t="array" ref="AC160">_xlfn.SWITCH(I160,"kg"," ",0," ",_xlfn.XLOOKUP(H160, '[1]Baumaterialien Matériaux'!$A:$A, '[1]Baumaterialien Matériaux'!$AL:$AL, "-", 0, 1))</f>
        <v xml:space="preserve"> </v>
      </c>
      <c r="AD160" s="622" cm="1">
        <f t="array" ref="AD160">IFERROR(_xlfn.SWITCH(I160,"kg",1,"m3",AC160,AC160)*J160/(_xlfn.XLOOKUP(AA160,Métrés!A:A,Métrés!C:C,0)),0)</f>
        <v>8.5</v>
      </c>
      <c r="AE160" s="1092">
        <f>IFERROR(N160*$G$1/(_xlfn.XLOOKUP($AA160,Métrés!$A:$A,Métrés!$C:$C,0)),0)</f>
        <v>2.4054999999999995</v>
      </c>
      <c r="AF160" s="1092">
        <f>IFERROR(O160*$G$1/(_xlfn.XLOOKUP($AA160,Métrés!$A:$A,Métrés!$C:$C,0)),0)</f>
        <v>1.5214999999999999</v>
      </c>
      <c r="AG160" s="1092">
        <f>IFERROR(Q160*$G$1/(_xlfn.XLOOKUP($AA160,Métrés!$A:$A,Métrés!$C:$C,0)),0)</f>
        <v>0.16064999999999999</v>
      </c>
      <c r="AH160" s="1092">
        <f>IFERROR(R160*$G$1/(_xlfn.XLOOKUP($AA160,Métrés!$A:$A,Métrés!$C:$C,0)),0)</f>
        <v>2.7965E-2</v>
      </c>
      <c r="AI160" s="1092">
        <f>IFERROR(S160*$G$1/(_xlfn.XLOOKUP($AA160,Métrés!$A:$A,Métrés!$C:$C,0)),0)</f>
        <v>0.56099999999999983</v>
      </c>
      <c r="AJ160" s="1022">
        <v>0.01</v>
      </c>
      <c r="AK160" s="638">
        <f t="shared" si="371"/>
        <v>2.8500828102043536E-3</v>
      </c>
      <c r="AL160" s="638">
        <f t="shared" si="372"/>
        <v>0.28500828102043535</v>
      </c>
      <c r="AM160" s="638" t="str">
        <f t="shared" si="373"/>
        <v>Revêtement</v>
      </c>
      <c r="AN160" s="1036">
        <f t="shared" si="374"/>
        <v>0</v>
      </c>
      <c r="AO160" s="1037">
        <f t="shared" si="375"/>
        <v>0</v>
      </c>
      <c r="AP160" s="1037">
        <f t="shared" si="376"/>
        <v>0</v>
      </c>
      <c r="AQ160" s="1038">
        <f t="shared" si="377"/>
        <v>0</v>
      </c>
      <c r="AR160" s="1038">
        <f t="shared" si="378"/>
        <v>0</v>
      </c>
      <c r="AS160" s="1036">
        <f t="shared" si="379"/>
        <v>0</v>
      </c>
      <c r="AT160" s="1037">
        <f t="shared" si="380"/>
        <v>0</v>
      </c>
      <c r="AU160" s="1037">
        <f t="shared" si="381"/>
        <v>0</v>
      </c>
      <c r="AV160" s="1038">
        <f t="shared" si="382"/>
        <v>0</v>
      </c>
      <c r="AW160" s="1038">
        <f t="shared" si="383"/>
        <v>0</v>
      </c>
      <c r="AX160" s="1036">
        <f t="shared" si="384"/>
        <v>1.2220809625573212</v>
      </c>
      <c r="AY160" s="1037">
        <f t="shared" si="385"/>
        <v>1.3036969703040824</v>
      </c>
      <c r="AZ160" s="1037">
        <f t="shared" si="386"/>
        <v>8.1616007746761046E-2</v>
      </c>
      <c r="BA160" s="1037">
        <f t="shared" si="387"/>
        <v>0.28500828102043535</v>
      </c>
      <c r="BB160" s="1038">
        <f t="shared" si="388"/>
        <v>2.8500828102043536E-3</v>
      </c>
      <c r="BC160" s="1036"/>
      <c r="BD160" s="1037"/>
      <c r="BE160" s="1037"/>
      <c r="BF160" s="1038"/>
      <c r="BG160" s="1036">
        <f t="shared" si="389"/>
        <v>0</v>
      </c>
      <c r="BH160" s="1037">
        <f t="shared" si="390"/>
        <v>0</v>
      </c>
      <c r="BI160" s="1038">
        <f t="shared" si="391"/>
        <v>3879.74</v>
      </c>
      <c r="BJ160" s="1037">
        <f>_xlfn.XLOOKUP(H160, 'Baumaterialien Matériaux'!A:A, 'Baumaterialien Matériaux'!E:E, "-", 0, 1)</f>
        <v>850</v>
      </c>
      <c r="BK160" s="1036">
        <f t="shared" si="329"/>
        <v>0</v>
      </c>
      <c r="BL160" s="1037">
        <f t="shared" si="330"/>
        <v>0</v>
      </c>
      <c r="BM160" s="1038">
        <f t="shared" si="331"/>
        <v>4.5644</v>
      </c>
      <c r="BN160" s="1037">
        <f>IFERROR((J160*VLOOKUP(H160, 'Baumaterialien Matériaux'!$A$11:$AH$318, 33,FALSE)),0)/$G$1</f>
        <v>0.77297700458572627</v>
      </c>
      <c r="BO160" s="1037">
        <f>(BN160+BP160)*($L$2/L160-1)</f>
        <v>0.78718423556386619</v>
      </c>
      <c r="BP160" s="1037">
        <f>IFERROR((J160*VLOOKUP(H160, 'Baumaterialien Matériaux'!$A$11:$AH$318, 34,FALSE)),0)/$G$1</f>
        <v>1.4207230978139885E-2</v>
      </c>
      <c r="BQ160" s="1037">
        <f t="shared" si="319"/>
        <v>0.17407407407407405</v>
      </c>
      <c r="BR160" s="1037">
        <f t="shared" si="392"/>
        <v>1.3036969703040824</v>
      </c>
    </row>
    <row r="161" spans="2:70">
      <c r="B161" s="1103"/>
      <c r="C161" s="1099"/>
      <c r="D161" s="478"/>
      <c r="E161" s="478"/>
      <c r="F161" s="483"/>
      <c r="G161" s="478"/>
      <c r="H161" s="478"/>
      <c r="I161" s="641"/>
      <c r="J161" s="649"/>
      <c r="K161" s="647"/>
      <c r="L161" s="647"/>
      <c r="M161" s="648"/>
      <c r="N161" s="720"/>
      <c r="O161" s="720"/>
      <c r="P161" s="720"/>
      <c r="Q161" s="720"/>
      <c r="R161" s="720"/>
      <c r="S161" s="720"/>
      <c r="T161" s="720"/>
      <c r="V161" s="638">
        <f t="shared" si="291"/>
        <v>0</v>
      </c>
      <c r="W161" s="638">
        <f t="shared" si="370"/>
        <v>0</v>
      </c>
      <c r="X161" s="638">
        <f t="shared" si="224"/>
        <v>0</v>
      </c>
      <c r="Z161" s="638">
        <f t="shared" si="314"/>
        <v>0</v>
      </c>
      <c r="AA161" s="648" t="s">
        <v>3458</v>
      </c>
      <c r="AB161">
        <f>_xlfn.XLOOKUP($H161,'[1]Baumaterialien Matériaux'!$A:$A,'[1]Baumaterialien Matériaux'!AK:AK,0,0)</f>
        <v>0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 s="622" cm="1">
        <f t="array" ref="AD161">IFERROR(_xlfn.SWITCH(I161,"kg",1,"m3",AC161,AC161)*J161/(_xlfn.XLOOKUP(AA161,Métrés!A:A,Métrés!C:C,0)),0)</f>
        <v>0</v>
      </c>
      <c r="AE161" s="1092">
        <f>IFERROR(N161*$G$1/(_xlfn.XLOOKUP($AA161,Métrés!$A:$A,Métrés!$C:$C,0)),0)</f>
        <v>0</v>
      </c>
      <c r="AF161" s="1092">
        <f>IFERROR(O161*$G$1/(_xlfn.XLOOKUP($AA161,Métrés!$A:$A,Métrés!$C:$C,0)),0)</f>
        <v>0</v>
      </c>
      <c r="AG161" s="1092">
        <f>IFERROR(Q161*$G$1/(_xlfn.XLOOKUP($AA161,Métrés!$A:$A,Métrés!$C:$C,0)),0)</f>
        <v>0</v>
      </c>
      <c r="AH161" s="1092">
        <f>IFERROR(R161*$G$1/(_xlfn.XLOOKUP($AA161,Métrés!$A:$A,Métrés!$C:$C,0)),0)</f>
        <v>0</v>
      </c>
      <c r="AI161" s="1092">
        <f>IFERROR(S161*$G$1/(_xlfn.XLOOKUP($AA161,Métrés!$A:$A,Métrés!$C:$C,0)),0)</f>
        <v>0</v>
      </c>
      <c r="AJ161" s="1022"/>
      <c r="AK161" s="638">
        <f t="shared" si="371"/>
        <v>0</v>
      </c>
      <c r="AL161" s="638">
        <f t="shared" si="372"/>
        <v>0</v>
      </c>
      <c r="AM161" s="638">
        <f t="shared" si="373"/>
        <v>0</v>
      </c>
      <c r="AN161" s="1036">
        <f t="shared" si="374"/>
        <v>0</v>
      </c>
      <c r="AO161" s="1037">
        <f t="shared" si="375"/>
        <v>0</v>
      </c>
      <c r="AP161" s="1037">
        <f t="shared" si="376"/>
        <v>0</v>
      </c>
      <c r="AQ161" s="1038">
        <f t="shared" si="377"/>
        <v>0</v>
      </c>
      <c r="AR161" s="1038">
        <f t="shared" si="378"/>
        <v>0</v>
      </c>
      <c r="AS161" s="1036">
        <f t="shared" si="379"/>
        <v>0</v>
      </c>
      <c r="AT161" s="1037">
        <f t="shared" si="380"/>
        <v>0</v>
      </c>
      <c r="AU161" s="1037">
        <f t="shared" si="381"/>
        <v>0</v>
      </c>
      <c r="AV161" s="1038">
        <f t="shared" si="382"/>
        <v>0</v>
      </c>
      <c r="AW161" s="1038">
        <f t="shared" si="383"/>
        <v>0</v>
      </c>
      <c r="AX161" s="1036">
        <f t="shared" si="384"/>
        <v>0</v>
      </c>
      <c r="AY161" s="1037">
        <f t="shared" si="385"/>
        <v>0</v>
      </c>
      <c r="AZ161" s="1037">
        <f t="shared" si="386"/>
        <v>0</v>
      </c>
      <c r="BA161" s="1037">
        <f t="shared" si="387"/>
        <v>0</v>
      </c>
      <c r="BB161" s="1038">
        <f t="shared" si="388"/>
        <v>0</v>
      </c>
      <c r="BC161" s="1036"/>
      <c r="BD161" s="1037"/>
      <c r="BE161" s="1037"/>
      <c r="BF161" s="1038"/>
      <c r="BG161" s="1036">
        <f t="shared" si="389"/>
        <v>0</v>
      </c>
      <c r="BH161" s="1037">
        <f t="shared" si="390"/>
        <v>0</v>
      </c>
      <c r="BI161" s="1038">
        <f t="shared" si="391"/>
        <v>0</v>
      </c>
      <c r="BJ161" s="1037">
        <f>_xlfn.XLOOKUP(H161, 'Baumaterialien Matériaux'!A:A, 'Baumaterialien Matériaux'!E:E, "-", 0, 1)</f>
        <v>0</v>
      </c>
      <c r="BK161" s="1036">
        <f t="shared" si="329"/>
        <v>0</v>
      </c>
      <c r="BL161" s="1037">
        <f t="shared" si="330"/>
        <v>0</v>
      </c>
      <c r="BM161" s="1038">
        <f t="shared" si="331"/>
        <v>0</v>
      </c>
      <c r="BN161" s="1037">
        <f>IFERROR((J161*VLOOKUP(H161, 'Baumaterialien Matériaux'!$A$11:$AH$318, 33,FALSE)),0)/$G$1</f>
        <v>0</v>
      </c>
      <c r="BO161" s="1037"/>
      <c r="BP161" s="1037">
        <f>IFERROR((J161*VLOOKUP(H161, 'Baumaterialien Matériaux'!$A$11:$AH$318, 34,FALSE)),0)/$G$1</f>
        <v>0</v>
      </c>
      <c r="BQ161" s="1037" t="e">
        <f t="shared" si="319"/>
        <v>#DIV/0!</v>
      </c>
      <c r="BR161" s="1037">
        <f t="shared" si="392"/>
        <v>0</v>
      </c>
    </row>
    <row r="162" spans="2:70">
      <c r="B162" s="1103"/>
      <c r="C162" s="1099"/>
      <c r="D162" s="478"/>
      <c r="E162" s="478"/>
      <c r="F162" s="483"/>
      <c r="G162" s="478"/>
      <c r="H162" s="478"/>
      <c r="I162" s="641"/>
      <c r="J162" s="649"/>
      <c r="K162" s="647"/>
      <c r="L162" s="647"/>
      <c r="M162" s="648"/>
      <c r="N162" s="720"/>
      <c r="O162" s="720"/>
      <c r="P162" s="720"/>
      <c r="Q162" s="720"/>
      <c r="R162" s="720"/>
      <c r="S162" s="720"/>
      <c r="T162" s="720"/>
      <c r="V162" s="638">
        <f t="shared" si="291"/>
        <v>0</v>
      </c>
      <c r="W162" s="638">
        <f t="shared" si="370"/>
        <v>0</v>
      </c>
      <c r="X162" s="638">
        <f t="shared" si="224"/>
        <v>0</v>
      </c>
      <c r="Z162" s="638">
        <f t="shared" si="314"/>
        <v>0</v>
      </c>
      <c r="AA162" s="648" t="s">
        <v>3458</v>
      </c>
      <c r="AB162">
        <f>_xlfn.XLOOKUP($H162,'[1]Baumaterialien Matériaux'!$A:$A,'[1]Baumaterialien Matériaux'!AK:AK,0,0)</f>
        <v>0</v>
      </c>
      <c r="AC162" t="str" cm="1">
        <f t="array" ref="AC162">_xlfn.SWITCH(I162,"kg"," ",0," ",_xlfn.XLOOKUP(H162, '[1]Baumaterialien Matériaux'!$A:$A, '[1]Baumaterialien Matériaux'!$AL:$AL, "-", 0, 1))</f>
        <v xml:space="preserve"> </v>
      </c>
      <c r="AD162" s="622" cm="1">
        <f t="array" ref="AD162">IFERROR(_xlfn.SWITCH(I162,"kg",1,"m3",AC162,AC162)*J162/(_xlfn.XLOOKUP(AA162,Métrés!A:A,Métrés!C:C,0)),0)</f>
        <v>0</v>
      </c>
      <c r="AE162" s="1092">
        <f>IFERROR(N162*$G$1/(_xlfn.XLOOKUP($AA162,Métrés!$A:$A,Métrés!$C:$C,0)),0)</f>
        <v>0</v>
      </c>
      <c r="AF162" s="1092">
        <f>IFERROR(O162*$G$1/(_xlfn.XLOOKUP($AA162,Métrés!$A:$A,Métrés!$C:$C,0)),0)</f>
        <v>0</v>
      </c>
      <c r="AG162" s="1092">
        <f>IFERROR(Q162*$G$1/(_xlfn.XLOOKUP($AA162,Métrés!$A:$A,Métrés!$C:$C,0)),0)</f>
        <v>0</v>
      </c>
      <c r="AH162" s="1092">
        <f>IFERROR(R162*$G$1/(_xlfn.XLOOKUP($AA162,Métrés!$A:$A,Métrés!$C:$C,0)),0)</f>
        <v>0</v>
      </c>
      <c r="AI162" s="1092">
        <f>IFERROR(S162*$G$1/(_xlfn.XLOOKUP($AA162,Métrés!$A:$A,Métrés!$C:$C,0)),0)</f>
        <v>0</v>
      </c>
      <c r="AJ162" s="1022"/>
      <c r="AK162" s="638">
        <f t="shared" si="371"/>
        <v>0</v>
      </c>
      <c r="AL162" s="638">
        <f t="shared" si="372"/>
        <v>0</v>
      </c>
      <c r="AM162" s="638">
        <f t="shared" si="373"/>
        <v>0</v>
      </c>
      <c r="AN162" s="1036">
        <f t="shared" si="374"/>
        <v>0</v>
      </c>
      <c r="AO162" s="1037">
        <f t="shared" si="375"/>
        <v>0</v>
      </c>
      <c r="AP162" s="1037">
        <f t="shared" si="376"/>
        <v>0</v>
      </c>
      <c r="AQ162" s="1038">
        <f t="shared" si="377"/>
        <v>0</v>
      </c>
      <c r="AR162" s="1038">
        <f t="shared" si="378"/>
        <v>0</v>
      </c>
      <c r="AS162" s="1036">
        <f t="shared" si="379"/>
        <v>0</v>
      </c>
      <c r="AT162" s="1037">
        <f t="shared" si="380"/>
        <v>0</v>
      </c>
      <c r="AU162" s="1037">
        <f t="shared" si="381"/>
        <v>0</v>
      </c>
      <c r="AV162" s="1038">
        <f t="shared" si="382"/>
        <v>0</v>
      </c>
      <c r="AW162" s="1038">
        <f t="shared" si="383"/>
        <v>0</v>
      </c>
      <c r="AX162" s="1036">
        <f t="shared" si="384"/>
        <v>0</v>
      </c>
      <c r="AY162" s="1037">
        <f t="shared" si="385"/>
        <v>0</v>
      </c>
      <c r="AZ162" s="1037">
        <f t="shared" si="386"/>
        <v>0</v>
      </c>
      <c r="BA162" s="1037">
        <f t="shared" si="387"/>
        <v>0</v>
      </c>
      <c r="BB162" s="1038">
        <f t="shared" si="388"/>
        <v>0</v>
      </c>
      <c r="BC162" s="1036"/>
      <c r="BD162" s="1037"/>
      <c r="BE162" s="1037"/>
      <c r="BF162" s="1038"/>
      <c r="BG162" s="1036">
        <f t="shared" si="389"/>
        <v>0</v>
      </c>
      <c r="BH162" s="1037">
        <f t="shared" si="390"/>
        <v>0</v>
      </c>
      <c r="BI162" s="1038">
        <f t="shared" si="391"/>
        <v>0</v>
      </c>
      <c r="BJ162" s="1037">
        <f>_xlfn.XLOOKUP(H162, 'Baumaterialien Matériaux'!A:A, 'Baumaterialien Matériaux'!E:E, "-", 0, 1)</f>
        <v>0</v>
      </c>
      <c r="BK162" s="1036">
        <f t="shared" si="329"/>
        <v>0</v>
      </c>
      <c r="BL162" s="1037">
        <f t="shared" si="330"/>
        <v>0</v>
      </c>
      <c r="BM162" s="1038">
        <f t="shared" si="331"/>
        <v>0</v>
      </c>
      <c r="BN162" s="1037">
        <f>IFERROR((J162*VLOOKUP(H162, 'Baumaterialien Matériaux'!$A$11:$AH$318, 33,FALSE)),0)/$G$1</f>
        <v>0</v>
      </c>
      <c r="BO162" s="1037"/>
      <c r="BP162" s="1037">
        <f>IFERROR((J162*VLOOKUP(H162, 'Baumaterialien Matériaux'!$A$11:$AH$318, 34,FALSE)),0)/$G$1</f>
        <v>0</v>
      </c>
      <c r="BQ162" s="1037" t="e">
        <f t="shared" si="319"/>
        <v>#DIV/0!</v>
      </c>
      <c r="BR162" s="1037">
        <f t="shared" si="392"/>
        <v>0</v>
      </c>
    </row>
    <row r="163" spans="2:70">
      <c r="B163" s="1103"/>
      <c r="C163" s="1099"/>
      <c r="D163" s="478"/>
      <c r="E163" s="478"/>
      <c r="F163" s="483"/>
      <c r="G163" s="478"/>
      <c r="H163" s="478"/>
      <c r="I163" s="641"/>
      <c r="J163" s="649"/>
      <c r="K163" s="647"/>
      <c r="L163" s="647"/>
      <c r="M163" s="648"/>
      <c r="N163" s="720"/>
      <c r="O163" s="720"/>
      <c r="P163" s="720"/>
      <c r="Q163" s="720"/>
      <c r="R163" s="720"/>
      <c r="S163" s="720"/>
      <c r="T163" s="720"/>
      <c r="V163" s="638">
        <f t="shared" si="291"/>
        <v>0</v>
      </c>
      <c r="W163" s="638">
        <f t="shared" si="370"/>
        <v>0</v>
      </c>
      <c r="X163" s="638">
        <f t="shared" si="224"/>
        <v>0</v>
      </c>
      <c r="Z163" s="638">
        <f t="shared" si="314"/>
        <v>0</v>
      </c>
      <c r="AA163" s="648" t="s">
        <v>3458</v>
      </c>
      <c r="AB163">
        <f>_xlfn.XLOOKUP($H163,'[1]Baumaterialien Matériaux'!$A:$A,'[1]Baumaterialien Matériaux'!AK:AK,0,0)</f>
        <v>0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 s="622" cm="1">
        <f t="array" ref="AD163">IFERROR(_xlfn.SWITCH(I163,"kg",1,"m3",AC163,AC163)*J163/(_xlfn.XLOOKUP(AA163,Métrés!A:A,Métrés!C:C,0)),0)</f>
        <v>0</v>
      </c>
      <c r="AE163" s="1092">
        <f>IFERROR(N163*$G$1/(_xlfn.XLOOKUP($AA163,Métrés!$A:$A,Métrés!$C:$C,0)),0)</f>
        <v>0</v>
      </c>
      <c r="AF163" s="1092">
        <f>IFERROR(O163*$G$1/(_xlfn.XLOOKUP($AA163,Métrés!$A:$A,Métrés!$C:$C,0)),0)</f>
        <v>0</v>
      </c>
      <c r="AG163" s="1092">
        <f>IFERROR(Q163*$G$1/(_xlfn.XLOOKUP($AA163,Métrés!$A:$A,Métrés!$C:$C,0)),0)</f>
        <v>0</v>
      </c>
      <c r="AH163" s="1092">
        <f>IFERROR(R163*$G$1/(_xlfn.XLOOKUP($AA163,Métrés!$A:$A,Métrés!$C:$C,0)),0)</f>
        <v>0</v>
      </c>
      <c r="AI163" s="1092">
        <f>IFERROR(S163*$G$1/(_xlfn.XLOOKUP($AA163,Métrés!$A:$A,Métrés!$C:$C,0)),0)</f>
        <v>0</v>
      </c>
      <c r="AJ163" s="1022"/>
      <c r="AK163" s="638">
        <f t="shared" si="371"/>
        <v>0</v>
      </c>
      <c r="AL163" s="638">
        <f t="shared" si="372"/>
        <v>0</v>
      </c>
      <c r="AM163" s="638">
        <f t="shared" si="373"/>
        <v>0</v>
      </c>
      <c r="AN163" s="1036">
        <f t="shared" si="374"/>
        <v>0</v>
      </c>
      <c r="AO163" s="1037">
        <f t="shared" si="375"/>
        <v>0</v>
      </c>
      <c r="AP163" s="1037">
        <f t="shared" si="376"/>
        <v>0</v>
      </c>
      <c r="AQ163" s="1038">
        <f t="shared" si="377"/>
        <v>0</v>
      </c>
      <c r="AR163" s="1038">
        <f t="shared" si="378"/>
        <v>0</v>
      </c>
      <c r="AS163" s="1036">
        <f t="shared" si="379"/>
        <v>0</v>
      </c>
      <c r="AT163" s="1037">
        <f t="shared" si="380"/>
        <v>0</v>
      </c>
      <c r="AU163" s="1037">
        <f t="shared" si="381"/>
        <v>0</v>
      </c>
      <c r="AV163" s="1038">
        <f t="shared" si="382"/>
        <v>0</v>
      </c>
      <c r="AW163" s="1038">
        <f t="shared" si="383"/>
        <v>0</v>
      </c>
      <c r="AX163" s="1036">
        <f t="shared" si="384"/>
        <v>0</v>
      </c>
      <c r="AY163" s="1037">
        <f t="shared" si="385"/>
        <v>0</v>
      </c>
      <c r="AZ163" s="1037">
        <f t="shared" si="386"/>
        <v>0</v>
      </c>
      <c r="BA163" s="1037">
        <f t="shared" si="387"/>
        <v>0</v>
      </c>
      <c r="BB163" s="1038">
        <f t="shared" si="388"/>
        <v>0</v>
      </c>
      <c r="BC163" s="1036"/>
      <c r="BD163" s="1037"/>
      <c r="BE163" s="1037"/>
      <c r="BF163" s="1038"/>
      <c r="BG163" s="1036">
        <f t="shared" si="389"/>
        <v>0</v>
      </c>
      <c r="BH163" s="1037">
        <f t="shared" si="390"/>
        <v>0</v>
      </c>
      <c r="BI163" s="1038">
        <f t="shared" si="391"/>
        <v>0</v>
      </c>
      <c r="BJ163" s="1037">
        <f>_xlfn.XLOOKUP(H163, 'Baumaterialien Matériaux'!A:A, 'Baumaterialien Matériaux'!E:E, "-", 0, 1)</f>
        <v>0</v>
      </c>
      <c r="BK163" s="1036">
        <f t="shared" si="329"/>
        <v>0</v>
      </c>
      <c r="BL163" s="1037">
        <f t="shared" si="330"/>
        <v>0</v>
      </c>
      <c r="BM163" s="1038">
        <f t="shared" si="331"/>
        <v>0</v>
      </c>
      <c r="BN163" s="1037">
        <f>IFERROR((J163*VLOOKUP(H163, 'Baumaterialien Matériaux'!$A$11:$AH$318, 33,FALSE)),0)/$G$1</f>
        <v>0</v>
      </c>
      <c r="BO163" s="1037"/>
      <c r="BP163" s="1037">
        <f>IFERROR((J163*VLOOKUP(H163, 'Baumaterialien Matériaux'!$A$11:$AH$318, 34,FALSE)),0)/$G$1</f>
        <v>0</v>
      </c>
      <c r="BQ163" s="1037" t="e">
        <f t="shared" si="319"/>
        <v>#DIV/0!</v>
      </c>
      <c r="BR163" s="1037">
        <f t="shared" si="392"/>
        <v>0</v>
      </c>
    </row>
    <row r="164" spans="2:70">
      <c r="B164" s="1103"/>
      <c r="C164" s="1099"/>
      <c r="D164" s="478"/>
      <c r="E164" s="478"/>
      <c r="F164" s="483"/>
      <c r="G164" s="478"/>
      <c r="H164" s="478"/>
      <c r="I164" s="641"/>
      <c r="J164" s="649"/>
      <c r="K164" s="647"/>
      <c r="L164" s="647"/>
      <c r="M164" s="648"/>
      <c r="N164" s="720"/>
      <c r="O164" s="720"/>
      <c r="P164" s="720"/>
      <c r="Q164" s="720"/>
      <c r="R164" s="720"/>
      <c r="S164" s="720"/>
      <c r="T164" s="720"/>
      <c r="V164" s="638">
        <f t="shared" si="291"/>
        <v>0</v>
      </c>
      <c r="W164" s="638">
        <f t="shared" si="370"/>
        <v>0</v>
      </c>
      <c r="X164" s="638">
        <f t="shared" si="224"/>
        <v>0</v>
      </c>
      <c r="Z164" s="638">
        <f t="shared" si="314"/>
        <v>0</v>
      </c>
      <c r="AA164" s="648" t="s">
        <v>3458</v>
      </c>
      <c r="AB164">
        <f>_xlfn.XLOOKUP($H164,'[1]Baumaterialien Matériaux'!$A:$A,'[1]Baumaterialien Matériaux'!AK:AK,0,0)</f>
        <v>0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 s="622" cm="1">
        <f t="array" ref="AD164">IFERROR(_xlfn.SWITCH(I164,"kg",1,"m3",AC164,AC164)*J164/(_xlfn.XLOOKUP(AA164,Métrés!A:A,Métrés!C:C,0)),0)</f>
        <v>0</v>
      </c>
      <c r="AE164" s="1092">
        <f>IFERROR(N164*$G$1/(_xlfn.XLOOKUP($AA164,Métrés!$A:$A,Métrés!$C:$C,0)),0)</f>
        <v>0</v>
      </c>
      <c r="AF164" s="1092">
        <f>IFERROR(O164*$G$1/(_xlfn.XLOOKUP($AA164,Métrés!$A:$A,Métrés!$C:$C,0)),0)</f>
        <v>0</v>
      </c>
      <c r="AG164" s="1092">
        <f>IFERROR(Q164*$G$1/(_xlfn.XLOOKUP($AA164,Métrés!$A:$A,Métrés!$C:$C,0)),0)</f>
        <v>0</v>
      </c>
      <c r="AH164" s="1092">
        <f>IFERROR(R164*$G$1/(_xlfn.XLOOKUP($AA164,Métrés!$A:$A,Métrés!$C:$C,0)),0)</f>
        <v>0</v>
      </c>
      <c r="AI164" s="1092">
        <f>IFERROR(S164*$G$1/(_xlfn.XLOOKUP($AA164,Métrés!$A:$A,Métrés!$C:$C,0)),0)</f>
        <v>0</v>
      </c>
      <c r="AJ164" s="1022"/>
      <c r="AK164" s="638">
        <f t="shared" si="371"/>
        <v>0</v>
      </c>
      <c r="AL164" s="638">
        <f t="shared" si="372"/>
        <v>0</v>
      </c>
      <c r="AM164" s="638">
        <f t="shared" si="373"/>
        <v>0</v>
      </c>
      <c r="AN164" s="1036">
        <f t="shared" si="374"/>
        <v>0</v>
      </c>
      <c r="AO164" s="1037">
        <f t="shared" si="375"/>
        <v>0</v>
      </c>
      <c r="AP164" s="1037">
        <f t="shared" si="376"/>
        <v>0</v>
      </c>
      <c r="AQ164" s="1038">
        <f t="shared" si="377"/>
        <v>0</v>
      </c>
      <c r="AR164" s="1038">
        <f t="shared" si="378"/>
        <v>0</v>
      </c>
      <c r="AS164" s="1036">
        <f t="shared" si="379"/>
        <v>0</v>
      </c>
      <c r="AT164" s="1037">
        <f t="shared" si="380"/>
        <v>0</v>
      </c>
      <c r="AU164" s="1037">
        <f t="shared" si="381"/>
        <v>0</v>
      </c>
      <c r="AV164" s="1038">
        <f t="shared" si="382"/>
        <v>0</v>
      </c>
      <c r="AW164" s="1038">
        <f t="shared" si="383"/>
        <v>0</v>
      </c>
      <c r="AX164" s="1036">
        <f t="shared" si="384"/>
        <v>0</v>
      </c>
      <c r="AY164" s="1037">
        <f t="shared" si="385"/>
        <v>0</v>
      </c>
      <c r="AZ164" s="1037">
        <f t="shared" si="386"/>
        <v>0</v>
      </c>
      <c r="BA164" s="1037">
        <f t="shared" si="387"/>
        <v>0</v>
      </c>
      <c r="BB164" s="1038">
        <f t="shared" si="388"/>
        <v>0</v>
      </c>
      <c r="BC164" s="1036"/>
      <c r="BD164" s="1037"/>
      <c r="BE164" s="1037"/>
      <c r="BF164" s="1038"/>
      <c r="BG164" s="1036">
        <f t="shared" si="389"/>
        <v>0</v>
      </c>
      <c r="BH164" s="1037">
        <f t="shared" si="390"/>
        <v>0</v>
      </c>
      <c r="BI164" s="1038">
        <f t="shared" si="391"/>
        <v>0</v>
      </c>
      <c r="BJ164" s="1037">
        <f>_xlfn.XLOOKUP(H164, 'Baumaterialien Matériaux'!A:A, 'Baumaterialien Matériaux'!E:E, "-", 0, 1)</f>
        <v>0</v>
      </c>
      <c r="BK164" s="1036">
        <f t="shared" si="329"/>
        <v>0</v>
      </c>
      <c r="BL164" s="1037">
        <f t="shared" si="330"/>
        <v>0</v>
      </c>
      <c r="BM164" s="1038">
        <f t="shared" si="331"/>
        <v>0</v>
      </c>
      <c r="BN164" s="1037">
        <f>IFERROR((J164*VLOOKUP(H164, 'Baumaterialien Matériaux'!$A$11:$AH$318, 33,FALSE)),0)/$G$1</f>
        <v>0</v>
      </c>
      <c r="BO164" s="1037"/>
      <c r="BP164" s="1037">
        <f>IFERROR((J164*VLOOKUP(H164, 'Baumaterialien Matériaux'!$A$11:$AH$318, 34,FALSE)),0)/$G$1</f>
        <v>0</v>
      </c>
      <c r="BQ164" s="1037" t="e">
        <f t="shared" si="319"/>
        <v>#DIV/0!</v>
      </c>
      <c r="BR164" s="1037">
        <f t="shared" si="392"/>
        <v>0</v>
      </c>
    </row>
    <row r="165" spans="2:70">
      <c r="B165" s="1103"/>
      <c r="C165" s="1099"/>
      <c r="D165" s="478"/>
      <c r="E165" s="478"/>
      <c r="F165" s="478"/>
      <c r="G165" s="478"/>
      <c r="H165" s="478"/>
      <c r="I165" s="641"/>
      <c r="J165" s="649"/>
      <c r="K165" s="647"/>
      <c r="L165" s="647"/>
      <c r="M165" s="648"/>
      <c r="V165" s="638">
        <f t="shared" si="291"/>
        <v>0</v>
      </c>
      <c r="W165" s="638">
        <f t="shared" si="370"/>
        <v>0</v>
      </c>
      <c r="X165" s="638">
        <f t="shared" si="224"/>
        <v>0</v>
      </c>
      <c r="Z165" s="638">
        <f t="shared" si="314"/>
        <v>0</v>
      </c>
      <c r="AA165" s="648" t="s">
        <v>3458</v>
      </c>
      <c r="AB165">
        <f>_xlfn.XLOOKUP($H165,'[1]Baumaterialien Matériaux'!$A:$A,'[1]Baumaterialien Matériaux'!AK:AK,0,0)</f>
        <v>0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 s="622" cm="1">
        <f t="array" ref="AD165">IFERROR(_xlfn.SWITCH(I165,"kg",1,"m3",AC165,AC165)*J165/(_xlfn.XLOOKUP(AA165,Métrés!A:A,Métrés!C:C,0)),0)</f>
        <v>0</v>
      </c>
      <c r="AE165" s="1092">
        <f>IFERROR(N165*$G$1/(_xlfn.XLOOKUP($AA165,Métrés!$A:$A,Métrés!$C:$C,0)),0)</f>
        <v>0</v>
      </c>
      <c r="AF165" s="1092">
        <f>IFERROR(O165*$G$1/(_xlfn.XLOOKUP($AA165,Métrés!$A:$A,Métrés!$C:$C,0)),0)</f>
        <v>0</v>
      </c>
      <c r="AG165" s="1092">
        <f>IFERROR(Q165*$G$1/(_xlfn.XLOOKUP($AA165,Métrés!$A:$A,Métrés!$C:$C,0)),0)</f>
        <v>0</v>
      </c>
      <c r="AH165" s="1092">
        <f>IFERROR(R165*$G$1/(_xlfn.XLOOKUP($AA165,Métrés!$A:$A,Métrés!$C:$C,0)),0)</f>
        <v>0</v>
      </c>
      <c r="AI165" s="1092">
        <f>IFERROR(S165*$G$1/(_xlfn.XLOOKUP($AA165,Métrés!$A:$A,Métrés!$C:$C,0)),0)</f>
        <v>0</v>
      </c>
      <c r="AJ165" s="1022"/>
      <c r="AK165" s="638">
        <f t="shared" si="371"/>
        <v>0</v>
      </c>
      <c r="AL165" s="638">
        <f t="shared" si="372"/>
        <v>0</v>
      </c>
      <c r="AM165" s="638">
        <f t="shared" si="373"/>
        <v>0</v>
      </c>
      <c r="AN165" s="1036">
        <f t="shared" si="374"/>
        <v>0</v>
      </c>
      <c r="AO165" s="1037">
        <f t="shared" si="375"/>
        <v>0</v>
      </c>
      <c r="AP165" s="1037">
        <f t="shared" si="376"/>
        <v>0</v>
      </c>
      <c r="AQ165" s="1038">
        <f t="shared" si="377"/>
        <v>0</v>
      </c>
      <c r="AR165" s="1038">
        <f t="shared" si="378"/>
        <v>0</v>
      </c>
      <c r="AS165" s="1036">
        <f t="shared" si="379"/>
        <v>0</v>
      </c>
      <c r="AT165" s="1037">
        <f t="shared" si="380"/>
        <v>0</v>
      </c>
      <c r="AU165" s="1037">
        <f t="shared" si="381"/>
        <v>0</v>
      </c>
      <c r="AV165" s="1038">
        <f t="shared" si="382"/>
        <v>0</v>
      </c>
      <c r="AW165" s="1038">
        <f t="shared" si="383"/>
        <v>0</v>
      </c>
      <c r="AX165" s="1036">
        <f t="shared" si="384"/>
        <v>0</v>
      </c>
      <c r="AY165" s="1037">
        <f t="shared" si="385"/>
        <v>0</v>
      </c>
      <c r="AZ165" s="1037">
        <f t="shared" si="386"/>
        <v>0</v>
      </c>
      <c r="BA165" s="1037">
        <f t="shared" si="387"/>
        <v>0</v>
      </c>
      <c r="BB165" s="1038">
        <f t="shared" si="388"/>
        <v>0</v>
      </c>
      <c r="BC165" s="1036"/>
      <c r="BD165" s="1037"/>
      <c r="BE165" s="1037"/>
      <c r="BF165" s="1038"/>
      <c r="BG165" s="1036">
        <f t="shared" si="389"/>
        <v>0</v>
      </c>
      <c r="BH165" s="1037">
        <f t="shared" si="390"/>
        <v>0</v>
      </c>
      <c r="BI165" s="1038">
        <f t="shared" si="391"/>
        <v>0</v>
      </c>
      <c r="BJ165" s="1037">
        <f>_xlfn.XLOOKUP(H165, 'Baumaterialien Matériaux'!A:A, 'Baumaterialien Matériaux'!E:E, "-", 0, 1)</f>
        <v>0</v>
      </c>
      <c r="BK165" s="1036">
        <f t="shared" si="329"/>
        <v>0</v>
      </c>
      <c r="BL165" s="1037">
        <f t="shared" si="330"/>
        <v>0</v>
      </c>
      <c r="BM165" s="1038">
        <f t="shared" si="331"/>
        <v>0</v>
      </c>
      <c r="BN165" s="1037">
        <f>IFERROR((J165*VLOOKUP(H165, 'Baumaterialien Matériaux'!$A$11:$AH$318, 33,FALSE)),0)/$G$1</f>
        <v>0</v>
      </c>
      <c r="BO165" s="1037"/>
      <c r="BP165" s="1037">
        <f>IFERROR((J165*VLOOKUP(H165, 'Baumaterialien Matériaux'!$A$11:$AH$318, 34,FALSE)),0)/$G$1</f>
        <v>0</v>
      </c>
      <c r="BQ165" s="1037" t="e">
        <f t="shared" si="319"/>
        <v>#DIV/0!</v>
      </c>
      <c r="BR165" s="1037"/>
    </row>
    <row r="166" spans="2:70">
      <c r="B166" s="1103"/>
      <c r="C166" s="1098"/>
      <c r="D166" s="733" t="s">
        <v>28</v>
      </c>
      <c r="E166" s="479" t="str">
        <f>BillQuantities!E29</f>
        <v>Dalle en béton 25cm (avec enduit intérieur)</v>
      </c>
      <c r="F166" s="479"/>
      <c r="G166" s="479"/>
      <c r="H166" s="479"/>
      <c r="I166" s="459" t="s">
        <v>39</v>
      </c>
      <c r="J166" s="662"/>
      <c r="K166" s="663"/>
      <c r="L166" s="663"/>
      <c r="M166" s="664">
        <f>SUM(M167:M173)</f>
        <v>0</v>
      </c>
      <c r="N166" s="664">
        <f t="shared" ref="N166:S166" si="395">SUM(N167:N173)</f>
        <v>0</v>
      </c>
      <c r="O166" s="664">
        <f t="shared" ref="O166" si="396">SUM(O167:O173)</f>
        <v>0</v>
      </c>
      <c r="P166" s="664">
        <f t="shared" si="395"/>
        <v>0</v>
      </c>
      <c r="Q166" s="664">
        <f t="shared" si="395"/>
        <v>0</v>
      </c>
      <c r="R166" s="664">
        <f t="shared" ref="R166" si="397">SUM(R167:R173)</f>
        <v>0</v>
      </c>
      <c r="S166" s="664">
        <f t="shared" si="395"/>
        <v>0</v>
      </c>
      <c r="T166" s="664">
        <f t="shared" ref="T166" si="398">SUM(T167:T173)</f>
        <v>0</v>
      </c>
      <c r="V166" s="638">
        <f t="shared" si="291"/>
        <v>0</v>
      </c>
      <c r="W166" s="638">
        <f t="shared" si="370"/>
        <v>0</v>
      </c>
      <c r="X166" s="638">
        <f t="shared" si="224"/>
        <v>0</v>
      </c>
      <c r="Z166" s="638">
        <f t="shared" si="314"/>
        <v>0</v>
      </c>
      <c r="AB166">
        <f>_xlfn.XLOOKUP($H166,'[1]Baumaterialien Matériaux'!$A:$A,'[1]Baumaterialien Matériaux'!AK:AK,0,0)</f>
        <v>0</v>
      </c>
      <c r="AC166" cm="1">
        <f t="array" ref="AC166">_xlfn.SWITCH(I166,"kg"," ",0," ",_xlfn.XLOOKUP(H166, '[1]Baumaterialien Matériaux'!$A:$A, '[1]Baumaterialien Matériaux'!$AL:$AL, "-", 0, 1))</f>
        <v>0</v>
      </c>
      <c r="AD166" s="622" cm="1">
        <f t="array" ref="AD166">IFERROR(_xlfn.SWITCH(I166,"kg",1,"m3",AC166,AC166)*J166/(_xlfn.XLOOKUP(AA166,Métrés!A:A,Métrés!C:C,0)),0)</f>
        <v>0</v>
      </c>
      <c r="AE166" s="1092">
        <f>IFERROR(N166*$G$1/(_xlfn.XLOOKUP($AA166,Métrés!$A:$A,Métrés!$C:$C,0)),0)</f>
        <v>0</v>
      </c>
      <c r="AF166" s="1092">
        <f>IFERROR(O166*$G$1/(_xlfn.XLOOKUP($AA166,Métrés!$A:$A,Métrés!$C:$C,0)),0)</f>
        <v>0</v>
      </c>
      <c r="AG166" s="1092">
        <f>IFERROR(Q166*$G$1/(_xlfn.XLOOKUP($AA166,Métrés!$A:$A,Métrés!$C:$C,0)),0)</f>
        <v>0</v>
      </c>
      <c r="AH166" s="1092">
        <f>IFERROR(R166*$G$1/(_xlfn.XLOOKUP($AA166,Métrés!$A:$A,Métrés!$C:$C,0)),0)</f>
        <v>0</v>
      </c>
      <c r="AI166" s="1092">
        <f>IFERROR(S166*$G$1/(_xlfn.XLOOKUP($AA166,Métrés!$A:$A,Métrés!$C:$C,0)),0)</f>
        <v>0</v>
      </c>
      <c r="AJ166" s="1021"/>
      <c r="AK166" s="1021"/>
      <c r="AL166" s="1021"/>
      <c r="AM166" s="1021"/>
      <c r="AN166" s="1057"/>
      <c r="AO166" s="1021"/>
      <c r="AP166" s="1021"/>
      <c r="AQ166" s="1021"/>
      <c r="AR166" s="1058"/>
      <c r="AS166" s="1057"/>
      <c r="AT166" s="1021"/>
      <c r="AU166" s="1021"/>
      <c r="AV166" s="1021"/>
      <c r="AW166" s="1058"/>
      <c r="AX166" s="1057"/>
      <c r="AY166" s="1021"/>
      <c r="AZ166" s="1021"/>
      <c r="BA166" s="1021"/>
      <c r="BB166" s="1058"/>
      <c r="BC166" s="1057"/>
      <c r="BD166" s="1021"/>
      <c r="BE166" s="1021"/>
      <c r="BF166" s="1058"/>
      <c r="BG166" s="1057"/>
      <c r="BH166" s="1021"/>
      <c r="BI166" s="1058"/>
      <c r="BJ166" s="1045"/>
      <c r="BK166" s="1057"/>
      <c r="BL166" s="1021"/>
      <c r="BM166" s="1058"/>
      <c r="BN166" s="1037">
        <f>IFERROR((J166*VLOOKUP(H166, 'Baumaterialien Matériaux'!$A$11:$AH$318, 33,FALSE)),0)/$G$1</f>
        <v>0</v>
      </c>
      <c r="BO166" s="1037"/>
      <c r="BP166" s="1037">
        <f>IFERROR((J166*VLOOKUP(H166, 'Baumaterialien Matériaux'!$A$11:$AH$318, 34,FALSE)),0)/$G$1</f>
        <v>0</v>
      </c>
      <c r="BQ166" s="1037" t="e">
        <f t="shared" si="319"/>
        <v>#DIV/0!</v>
      </c>
      <c r="BR166" s="1037"/>
    </row>
    <row r="167" spans="2:70">
      <c r="B167" s="1103"/>
      <c r="C167" s="1099"/>
      <c r="D167" s="478"/>
      <c r="E167" s="478"/>
      <c r="F167" s="478"/>
      <c r="G167" s="478"/>
      <c r="H167" s="857"/>
      <c r="I167" s="457"/>
      <c r="J167" s="841"/>
      <c r="K167" s="527"/>
      <c r="L167" s="478"/>
      <c r="M167" s="648"/>
      <c r="N167" s="720"/>
      <c r="O167" s="720"/>
      <c r="P167" s="720"/>
      <c r="Q167" s="720"/>
      <c r="R167" s="720"/>
      <c r="S167" s="720"/>
      <c r="T167" s="720"/>
      <c r="V167" s="638">
        <f t="shared" si="291"/>
        <v>0</v>
      </c>
      <c r="W167" s="638">
        <f t="shared" si="370"/>
        <v>0</v>
      </c>
      <c r="X167" s="638">
        <f t="shared" si="224"/>
        <v>0</v>
      </c>
      <c r="Z167" s="638">
        <f t="shared" si="314"/>
        <v>0</v>
      </c>
      <c r="AA167" s="664" t="s">
        <v>3477</v>
      </c>
      <c r="AB167">
        <f>_xlfn.XLOOKUP($H167,'[1]Baumaterialien Matériaux'!$A:$A,'[1]Baumaterialien Matériaux'!AK:AK,0,0)</f>
        <v>0</v>
      </c>
      <c r="AC167" t="str" cm="1">
        <f t="array" ref="AC167">_xlfn.SWITCH(I167,"kg"," ",0," ",_xlfn.XLOOKUP(H167, '[1]Baumaterialien Matériaux'!$A:$A, '[1]Baumaterialien Matériaux'!$AL:$AL, "-", 0, 1))</f>
        <v xml:space="preserve"> </v>
      </c>
      <c r="AD167" s="622" cm="1">
        <f t="array" ref="AD167">IFERROR(_xlfn.SWITCH(I167,"kg",1,"m3",AC167,AC167)*J167/(_xlfn.XLOOKUP(AA167,Métrés!A:A,Métrés!C:C,0)),0)</f>
        <v>0</v>
      </c>
      <c r="AE167" s="1092">
        <f>IFERROR(N167*$G$1/(_xlfn.XLOOKUP($AA167,Métrés!$A:$A,Métrés!$C:$C,0)),0)</f>
        <v>0</v>
      </c>
      <c r="AF167" s="1092">
        <f>IFERROR(O167*$G$1/(_xlfn.XLOOKUP($AA167,Métrés!$A:$A,Métrés!$C:$C,0)),0)</f>
        <v>0</v>
      </c>
      <c r="AG167" s="1092">
        <f>IFERROR(Q167*$G$1/(_xlfn.XLOOKUP($AA167,Métrés!$A:$A,Métrés!$C:$C,0)),0)</f>
        <v>0</v>
      </c>
      <c r="AH167" s="1092">
        <f>IFERROR(R167*$G$1/(_xlfn.XLOOKUP($AA167,Métrés!$A:$A,Métrés!$C:$C,0)),0)</f>
        <v>0</v>
      </c>
      <c r="AI167" s="1092">
        <f>IFERROR(S167*$G$1/(_xlfn.XLOOKUP($AA167,Métrés!$A:$A,Métrés!$C:$C,0)),0)</f>
        <v>0</v>
      </c>
      <c r="AJ167" s="1022"/>
      <c r="AK167" s="638">
        <f t="shared" ref="AK167:AK174" si="399">IF(L167=60, 0, T167)</f>
        <v>0</v>
      </c>
      <c r="AL167" s="638">
        <f t="shared" ref="AL167:AL174" si="400">IF(L167=60, 0, S167)</f>
        <v>0</v>
      </c>
      <c r="AM167" s="638">
        <f t="shared" ref="AM167:AO174" si="401">IF(L167=$L$2, "Structure", IF(L167&gt;0,"Revêtement",0))</f>
        <v>0</v>
      </c>
      <c r="AN167" s="1017">
        <f t="shared" si="401"/>
        <v>0</v>
      </c>
      <c r="AO167" s="638">
        <f t="shared" si="401"/>
        <v>0</v>
      </c>
      <c r="AP167" s="638">
        <f t="shared" ref="AP167:AQ174" si="402">IF(P167=$L$2, "Structure", IF(P167&gt;0,"Revêtement",0))</f>
        <v>0</v>
      </c>
      <c r="AQ167" s="638">
        <f t="shared" si="402"/>
        <v>0</v>
      </c>
      <c r="AR167" s="1018">
        <f t="shared" ref="AR167:AS174" si="403">IF(S167=$L$2, "Structure", IF(S167&gt;0,"Revêtement",0))</f>
        <v>0</v>
      </c>
      <c r="AS167" s="1017">
        <f t="shared" si="403"/>
        <v>0</v>
      </c>
      <c r="AT167" s="638">
        <f t="shared" ref="AT167:AT174" si="404">IF(AJ167=$L$2, "Structure", IF(AJ167&gt;0,"Revêtement",0))</f>
        <v>0</v>
      </c>
      <c r="AU167" s="638">
        <f t="shared" ref="AU167:AU174" si="405">IF(AK167=$L$2, "Structure", IF(AK167&gt;0,"Revêtement",0))</f>
        <v>0</v>
      </c>
      <c r="AV167" s="638">
        <f t="shared" ref="AV167:AV174" si="406">IF(AL167=$L$2, "Structure", IF(AL167&gt;0,"Revêtement",0))</f>
        <v>0</v>
      </c>
      <c r="AW167" s="1018">
        <f t="shared" ref="AW167:AW174" si="407">IF(AM167=$L$2, "Structure", IF(AM167&gt;0,"Revêtement",0))</f>
        <v>0</v>
      </c>
      <c r="AX167" s="1017">
        <f t="shared" ref="AX167:AX174" si="408">IF(AN167=$L$2, "Structure", IF(AN167&gt;0,"Revêtement",0))</f>
        <v>0</v>
      </c>
      <c r="AY167" s="638">
        <f t="shared" ref="AY167:AY174" si="409">IF(AO167=$L$2, "Structure", IF(AO167&gt;0,"Revêtement",0))</f>
        <v>0</v>
      </c>
      <c r="AZ167" s="638">
        <f t="shared" ref="AZ167:AZ174" si="410">IF(AP167=$L$2, "Structure", IF(AP167&gt;0,"Revêtement",0))</f>
        <v>0</v>
      </c>
      <c r="BA167" s="638">
        <f t="shared" ref="BA167:BA174" si="411">IF(AQ167=$L$2, "Structure", IF(AQ167&gt;0,"Revêtement",0))</f>
        <v>0</v>
      </c>
      <c r="BB167" s="1018">
        <f t="shared" ref="BB167:BB174" si="412">IF(AR167=$L$2, "Structure", IF(AR167&gt;0,"Revêtement",0))</f>
        <v>0</v>
      </c>
      <c r="BC167" s="1017">
        <f t="shared" ref="BC167:BC174" si="413">IF(AS167=$L$2, "Structure", IF(AS167&gt;0,"Revêtement",0))</f>
        <v>0</v>
      </c>
      <c r="BD167" s="638">
        <f t="shared" ref="BD167:BD174" si="414">IF(AT167=$L$2, "Structure", IF(AT167&gt;0,"Revêtement",0))</f>
        <v>0</v>
      </c>
      <c r="BE167" s="638">
        <f t="shared" ref="BE167:BE174" si="415">IF(AU167=$L$2, "Structure", IF(AU167&gt;0,"Revêtement",0))</f>
        <v>0</v>
      </c>
      <c r="BF167" s="1018">
        <f t="shared" ref="BF167:BF174" si="416">IF(AV167=$L$2, "Structure", IF(AV167&gt;0,"Revêtement",0))</f>
        <v>0</v>
      </c>
      <c r="BG167" s="1017">
        <f t="shared" ref="BG167:BG174" si="417">IF(AW167=$L$2, "Structure", IF(AW167&gt;0,"Revêtement",0))</f>
        <v>0</v>
      </c>
      <c r="BH167" s="638">
        <f t="shared" ref="BH167:BH174" si="418">IF(AX167=$L$2, "Structure", IF(AX167&gt;0,"Revêtement",0))</f>
        <v>0</v>
      </c>
      <c r="BI167" s="1018">
        <f t="shared" ref="BI167:BI174" si="419">IF(AY167=$L$2, "Structure", IF(AY167&gt;0,"Revêtement",0))</f>
        <v>0</v>
      </c>
      <c r="BJ167" s="638">
        <f t="shared" ref="BJ167:BJ174" si="420">IF(AZ167=$L$2, "Structure", IF(AZ167&gt;0,"Revêtement",0))</f>
        <v>0</v>
      </c>
      <c r="BK167" s="1017">
        <f t="shared" ref="BK167:BK174" si="421">IF(BA167=$L$2, "Structure", IF(BA167&gt;0,"Revêtement",0))</f>
        <v>0</v>
      </c>
      <c r="BL167" s="638">
        <f t="shared" ref="BL167:BL174" si="422">IF(BB167=$L$2, "Structure", IF(BB167&gt;0,"Revêtement",0))</f>
        <v>0</v>
      </c>
      <c r="BM167" s="1018">
        <f t="shared" ref="BM167:BM174" si="423">IF(BC167=$L$2, "Structure", IF(BC167&gt;0,"Revêtement",0))</f>
        <v>0</v>
      </c>
      <c r="BN167" s="1037">
        <f>IFERROR((J167*VLOOKUP(H167, 'Baumaterialien Matériaux'!$A$11:$AH$318, 33,FALSE)),0)/$G$1</f>
        <v>0</v>
      </c>
      <c r="BO167" s="1037" t="e">
        <f>(BN167+BP167)*($L$2/L167-1)</f>
        <v>#DIV/0!</v>
      </c>
      <c r="BP167" s="1037">
        <f>IFERROR((J167*VLOOKUP(H167, 'Baumaterialien Matériaux'!$A$11:$AH$318, 34,FALSE)),0)/$G$1</f>
        <v>0</v>
      </c>
      <c r="BQ167" s="1037" t="e">
        <f t="shared" si="319"/>
        <v>#DIV/0!</v>
      </c>
      <c r="BR167" s="1037">
        <f t="shared" ref="BR167:BR172" si="424">IFERROR((N167+Q167)*($L$2/L167-1),0)</f>
        <v>0</v>
      </c>
    </row>
    <row r="168" spans="2:70">
      <c r="B168" s="1103"/>
      <c r="C168" s="1099"/>
      <c r="D168" s="478"/>
      <c r="E168" s="478"/>
      <c r="F168" s="478"/>
      <c r="G168" s="478"/>
      <c r="H168" s="1012"/>
      <c r="I168" s="457"/>
      <c r="J168" s="841"/>
      <c r="K168" s="483"/>
      <c r="L168" s="478"/>
      <c r="M168" s="648"/>
      <c r="N168" s="720"/>
      <c r="O168" s="720"/>
      <c r="P168" s="720"/>
      <c r="Q168" s="720"/>
      <c r="R168" s="720"/>
      <c r="S168" s="720"/>
      <c r="T168" s="720"/>
      <c r="V168" s="638">
        <f t="shared" si="291"/>
        <v>0</v>
      </c>
      <c r="W168" s="638">
        <f t="shared" si="370"/>
        <v>0</v>
      </c>
      <c r="X168" s="638">
        <f t="shared" si="224"/>
        <v>0</v>
      </c>
      <c r="Z168" s="638">
        <f t="shared" si="314"/>
        <v>0</v>
      </c>
      <c r="AA168" s="664" t="s">
        <v>3477</v>
      </c>
      <c r="AB168">
        <f>_xlfn.XLOOKUP($H168,'[1]Baumaterialien Matériaux'!$A:$A,'[1]Baumaterialien Matériaux'!AK:AK,0,0)</f>
        <v>0</v>
      </c>
      <c r="AC168" t="str" cm="1">
        <f t="array" ref="AC168">_xlfn.SWITCH(I168,"kg"," ",0," ",_xlfn.XLOOKUP(H168, '[1]Baumaterialien Matériaux'!$A:$A, '[1]Baumaterialien Matériaux'!$AL:$AL, "-", 0, 1))</f>
        <v xml:space="preserve"> </v>
      </c>
      <c r="AD168" s="622" cm="1">
        <f t="array" ref="AD168">IFERROR(_xlfn.SWITCH(I168,"kg",1,"m3",AC168,AC168)*J168/(_xlfn.XLOOKUP(AA168,Métrés!A:A,Métrés!C:C,0)),0)</f>
        <v>0</v>
      </c>
      <c r="AE168" s="1092">
        <f>IFERROR(N168*$G$1/(_xlfn.XLOOKUP($AA168,Métrés!$A:$A,Métrés!$C:$C,0)),0)</f>
        <v>0</v>
      </c>
      <c r="AF168" s="1092">
        <f>IFERROR(O168*$G$1/(_xlfn.XLOOKUP($AA168,Métrés!$A:$A,Métrés!$C:$C,0)),0)</f>
        <v>0</v>
      </c>
      <c r="AG168" s="1092">
        <f>IFERROR(Q168*$G$1/(_xlfn.XLOOKUP($AA168,Métrés!$A:$A,Métrés!$C:$C,0)),0)</f>
        <v>0</v>
      </c>
      <c r="AH168" s="1092">
        <f>IFERROR(R168*$G$1/(_xlfn.XLOOKUP($AA168,Métrés!$A:$A,Métrés!$C:$C,0)),0)</f>
        <v>0</v>
      </c>
      <c r="AI168" s="1092">
        <f>IFERROR(S168*$G$1/(_xlfn.XLOOKUP($AA168,Métrés!$A:$A,Métrés!$C:$C,0)),0)</f>
        <v>0</v>
      </c>
      <c r="AJ168" s="1022"/>
      <c r="AK168" s="638">
        <f t="shared" si="399"/>
        <v>0</v>
      </c>
      <c r="AL168" s="638">
        <f t="shared" si="400"/>
        <v>0</v>
      </c>
      <c r="AM168" s="638">
        <f t="shared" si="401"/>
        <v>0</v>
      </c>
      <c r="AN168" s="1017">
        <f t="shared" si="401"/>
        <v>0</v>
      </c>
      <c r="AO168" s="638">
        <f t="shared" si="401"/>
        <v>0</v>
      </c>
      <c r="AP168" s="638">
        <f t="shared" si="402"/>
        <v>0</v>
      </c>
      <c r="AQ168" s="638">
        <f t="shared" si="402"/>
        <v>0</v>
      </c>
      <c r="AR168" s="1018">
        <f t="shared" si="403"/>
        <v>0</v>
      </c>
      <c r="AS168" s="1017">
        <f t="shared" si="403"/>
        <v>0</v>
      </c>
      <c r="AT168" s="638">
        <f t="shared" si="404"/>
        <v>0</v>
      </c>
      <c r="AU168" s="638">
        <f t="shared" si="405"/>
        <v>0</v>
      </c>
      <c r="AV168" s="638">
        <f t="shared" si="406"/>
        <v>0</v>
      </c>
      <c r="AW168" s="1018">
        <f t="shared" si="407"/>
        <v>0</v>
      </c>
      <c r="AX168" s="1017">
        <f t="shared" si="408"/>
        <v>0</v>
      </c>
      <c r="AY168" s="638">
        <f t="shared" si="409"/>
        <v>0</v>
      </c>
      <c r="AZ168" s="638">
        <f t="shared" si="410"/>
        <v>0</v>
      </c>
      <c r="BA168" s="638">
        <f t="shared" si="411"/>
        <v>0</v>
      </c>
      <c r="BB168" s="1018">
        <f t="shared" si="412"/>
        <v>0</v>
      </c>
      <c r="BC168" s="1017">
        <f t="shared" si="413"/>
        <v>0</v>
      </c>
      <c r="BD168" s="638">
        <f t="shared" si="414"/>
        <v>0</v>
      </c>
      <c r="BE168" s="638">
        <f t="shared" si="415"/>
        <v>0</v>
      </c>
      <c r="BF168" s="1018">
        <f t="shared" si="416"/>
        <v>0</v>
      </c>
      <c r="BG168" s="1017">
        <f t="shared" si="417"/>
        <v>0</v>
      </c>
      <c r="BH168" s="638">
        <f t="shared" si="418"/>
        <v>0</v>
      </c>
      <c r="BI168" s="1018">
        <f t="shared" si="419"/>
        <v>0</v>
      </c>
      <c r="BJ168" s="638">
        <f t="shared" si="420"/>
        <v>0</v>
      </c>
      <c r="BK168" s="1017">
        <f t="shared" si="421"/>
        <v>0</v>
      </c>
      <c r="BL168" s="638">
        <f t="shared" si="422"/>
        <v>0</v>
      </c>
      <c r="BM168" s="1018">
        <f t="shared" si="423"/>
        <v>0</v>
      </c>
      <c r="BN168" s="1037">
        <f>IFERROR((J168*VLOOKUP(H168, 'Baumaterialien Matériaux'!$A$11:$AH$318, 33,FALSE)),0)/$G$1</f>
        <v>0</v>
      </c>
      <c r="BO168" s="1037" t="e">
        <f>(BN168+BP168)*($L$2/L168-1)</f>
        <v>#DIV/0!</v>
      </c>
      <c r="BP168" s="1037">
        <f>IFERROR((J168*VLOOKUP(H168, 'Baumaterialien Matériaux'!$A$11:$AH$318, 34,FALSE)),0)/$G$1</f>
        <v>0</v>
      </c>
      <c r="BQ168" s="1037" t="e">
        <f t="shared" si="319"/>
        <v>#DIV/0!</v>
      </c>
      <c r="BR168" s="1037">
        <f t="shared" si="424"/>
        <v>0</v>
      </c>
    </row>
    <row r="169" spans="2:70">
      <c r="B169" s="1103"/>
      <c r="C169" s="1099"/>
      <c r="D169" s="478"/>
      <c r="E169" s="478"/>
      <c r="F169" s="478"/>
      <c r="G169" s="478"/>
      <c r="H169" s="857"/>
      <c r="I169" s="457"/>
      <c r="J169" s="841"/>
      <c r="K169" s="483"/>
      <c r="L169" s="478"/>
      <c r="M169" s="648"/>
      <c r="N169" s="720"/>
      <c r="O169" s="720"/>
      <c r="P169" s="720"/>
      <c r="Q169" s="720"/>
      <c r="R169" s="720"/>
      <c r="S169" s="720"/>
      <c r="T169" s="720"/>
      <c r="V169" s="638">
        <f t="shared" si="291"/>
        <v>0</v>
      </c>
      <c r="W169" s="638">
        <f t="shared" si="370"/>
        <v>0</v>
      </c>
      <c r="X169" s="638">
        <f t="shared" si="224"/>
        <v>0</v>
      </c>
      <c r="Z169" s="638">
        <f t="shared" si="314"/>
        <v>0</v>
      </c>
      <c r="AA169" s="664" t="s">
        <v>3477</v>
      </c>
      <c r="AB169">
        <f>_xlfn.XLOOKUP($H169,'[1]Baumaterialien Matériaux'!$A:$A,'[1]Baumaterialien Matériaux'!AK:AK,0,0)</f>
        <v>0</v>
      </c>
      <c r="AC169" t="str" cm="1">
        <f t="array" ref="AC169">_xlfn.SWITCH(I169,"kg"," ",0," ",_xlfn.XLOOKUP(H169, '[1]Baumaterialien Matériaux'!$A:$A, '[1]Baumaterialien Matériaux'!$AL:$AL, "-", 0, 1))</f>
        <v xml:space="preserve"> </v>
      </c>
      <c r="AD169" s="622" cm="1">
        <f t="array" ref="AD169">IFERROR(_xlfn.SWITCH(I169,"kg",1,"m3",AC169,AC169)*J169/(_xlfn.XLOOKUP(AA169,Métrés!A:A,Métrés!C:C,0)),0)</f>
        <v>0</v>
      </c>
      <c r="AE169" s="1092">
        <f>IFERROR(N169*$G$1/(_xlfn.XLOOKUP($AA169,Métrés!$A:$A,Métrés!$C:$C,0)),0)</f>
        <v>0</v>
      </c>
      <c r="AF169" s="1092">
        <f>IFERROR(O169*$G$1/(_xlfn.XLOOKUP($AA169,Métrés!$A:$A,Métrés!$C:$C,0)),0)</f>
        <v>0</v>
      </c>
      <c r="AG169" s="1092">
        <f>IFERROR(Q169*$G$1/(_xlfn.XLOOKUP($AA169,Métrés!$A:$A,Métrés!$C:$C,0)),0)</f>
        <v>0</v>
      </c>
      <c r="AH169" s="1092">
        <f>IFERROR(R169*$G$1/(_xlfn.XLOOKUP($AA169,Métrés!$A:$A,Métrés!$C:$C,0)),0)</f>
        <v>0</v>
      </c>
      <c r="AI169" s="1092">
        <f>IFERROR(S169*$G$1/(_xlfn.XLOOKUP($AA169,Métrés!$A:$A,Métrés!$C:$C,0)),0)</f>
        <v>0</v>
      </c>
      <c r="AJ169" s="1022"/>
      <c r="AK169" s="638">
        <f t="shared" si="399"/>
        <v>0</v>
      </c>
      <c r="AL169" s="638">
        <f t="shared" si="400"/>
        <v>0</v>
      </c>
      <c r="AM169" s="638">
        <f t="shared" si="401"/>
        <v>0</v>
      </c>
      <c r="AN169" s="1017">
        <f t="shared" si="401"/>
        <v>0</v>
      </c>
      <c r="AO169" s="638">
        <f t="shared" si="401"/>
        <v>0</v>
      </c>
      <c r="AP169" s="638">
        <f t="shared" si="402"/>
        <v>0</v>
      </c>
      <c r="AQ169" s="638">
        <f t="shared" si="402"/>
        <v>0</v>
      </c>
      <c r="AR169" s="1018">
        <f t="shared" si="403"/>
        <v>0</v>
      </c>
      <c r="AS169" s="1017">
        <f t="shared" si="403"/>
        <v>0</v>
      </c>
      <c r="AT169" s="638">
        <f t="shared" si="404"/>
        <v>0</v>
      </c>
      <c r="AU169" s="638">
        <f t="shared" si="405"/>
        <v>0</v>
      </c>
      <c r="AV169" s="638">
        <f t="shared" si="406"/>
        <v>0</v>
      </c>
      <c r="AW169" s="1018">
        <f t="shared" si="407"/>
        <v>0</v>
      </c>
      <c r="AX169" s="1017">
        <f t="shared" si="408"/>
        <v>0</v>
      </c>
      <c r="AY169" s="638">
        <f t="shared" si="409"/>
        <v>0</v>
      </c>
      <c r="AZ169" s="638">
        <f t="shared" si="410"/>
        <v>0</v>
      </c>
      <c r="BA169" s="638">
        <f t="shared" si="411"/>
        <v>0</v>
      </c>
      <c r="BB169" s="1018">
        <f t="shared" si="412"/>
        <v>0</v>
      </c>
      <c r="BC169" s="1017">
        <f t="shared" si="413"/>
        <v>0</v>
      </c>
      <c r="BD169" s="638">
        <f t="shared" si="414"/>
        <v>0</v>
      </c>
      <c r="BE169" s="638">
        <f t="shared" si="415"/>
        <v>0</v>
      </c>
      <c r="BF169" s="1018">
        <f t="shared" si="416"/>
        <v>0</v>
      </c>
      <c r="BG169" s="1017">
        <f t="shared" si="417"/>
        <v>0</v>
      </c>
      <c r="BH169" s="638">
        <f t="shared" si="418"/>
        <v>0</v>
      </c>
      <c r="BI169" s="1018">
        <f t="shared" si="419"/>
        <v>0</v>
      </c>
      <c r="BJ169" s="638">
        <f t="shared" si="420"/>
        <v>0</v>
      </c>
      <c r="BK169" s="1017">
        <f t="shared" si="421"/>
        <v>0</v>
      </c>
      <c r="BL169" s="638">
        <f t="shared" si="422"/>
        <v>0</v>
      </c>
      <c r="BM169" s="1018">
        <f t="shared" si="423"/>
        <v>0</v>
      </c>
      <c r="BN169" s="1037">
        <f>IFERROR((J169*VLOOKUP(H169, 'Baumaterialien Matériaux'!$A$11:$AH$318, 33,FALSE)),0)/$G$1</f>
        <v>0</v>
      </c>
      <c r="BO169" s="1037" t="e">
        <f>(BN169+BP169)*($L$2/L169-1)</f>
        <v>#DIV/0!</v>
      </c>
      <c r="BP169" s="1037">
        <f>IFERROR((J169*VLOOKUP(H169, 'Baumaterialien Matériaux'!$A$11:$AH$318, 34,FALSE)),0)/$G$1</f>
        <v>0</v>
      </c>
      <c r="BQ169" s="1037" t="e">
        <f t="shared" si="319"/>
        <v>#DIV/0!</v>
      </c>
      <c r="BR169" s="1037">
        <f t="shared" si="424"/>
        <v>0</v>
      </c>
    </row>
    <row r="170" spans="2:70">
      <c r="B170" s="1103"/>
      <c r="C170" s="1099"/>
      <c r="D170" s="478"/>
      <c r="E170" s="478"/>
      <c r="F170" s="478"/>
      <c r="G170" s="478"/>
      <c r="H170" s="478"/>
      <c r="I170" s="641"/>
      <c r="J170" s="649"/>
      <c r="K170" s="478"/>
      <c r="L170" s="478"/>
      <c r="M170" s="648"/>
      <c r="N170" s="720"/>
      <c r="O170" s="720"/>
      <c r="P170" s="720"/>
      <c r="Q170" s="720"/>
      <c r="R170" s="720"/>
      <c r="S170" s="720"/>
      <c r="T170" s="720"/>
      <c r="V170" s="638">
        <f t="shared" si="291"/>
        <v>0</v>
      </c>
      <c r="W170" s="638">
        <f t="shared" si="370"/>
        <v>0</v>
      </c>
      <c r="X170" s="638">
        <f t="shared" si="224"/>
        <v>0</v>
      </c>
      <c r="Z170" s="638">
        <f t="shared" si="314"/>
        <v>0</v>
      </c>
      <c r="AA170" s="664" t="s">
        <v>3477</v>
      </c>
      <c r="AB170">
        <f>_xlfn.XLOOKUP($H170,'[1]Baumaterialien Matériaux'!$A:$A,'[1]Baumaterialien Matériaux'!AK:AK,0,0)</f>
        <v>0</v>
      </c>
      <c r="AC170" t="str" cm="1">
        <f t="array" ref="AC170">_xlfn.SWITCH(I170,"kg"," ",0," ",_xlfn.XLOOKUP(H170, '[1]Baumaterialien Matériaux'!$A:$A, '[1]Baumaterialien Matériaux'!$AL:$AL, "-", 0, 1))</f>
        <v xml:space="preserve"> </v>
      </c>
      <c r="AD170" s="622" cm="1">
        <f t="array" ref="AD170">IFERROR(_xlfn.SWITCH(I170,"kg",1,"m3",AC170,AC170)*J170/(_xlfn.XLOOKUP(AA170,Métrés!A:A,Métrés!C:C,0)),0)</f>
        <v>0</v>
      </c>
      <c r="AE170" s="1092">
        <f>IFERROR(N170*$G$1/(_xlfn.XLOOKUP($AA170,Métrés!$A:$A,Métrés!$C:$C,0)),0)</f>
        <v>0</v>
      </c>
      <c r="AF170" s="1092">
        <f>IFERROR(O170*$G$1/(_xlfn.XLOOKUP($AA170,Métrés!$A:$A,Métrés!$C:$C,0)),0)</f>
        <v>0</v>
      </c>
      <c r="AG170" s="1092">
        <f>IFERROR(Q170*$G$1/(_xlfn.XLOOKUP($AA170,Métrés!$A:$A,Métrés!$C:$C,0)),0)</f>
        <v>0</v>
      </c>
      <c r="AH170" s="1092">
        <f>IFERROR(R170*$G$1/(_xlfn.XLOOKUP($AA170,Métrés!$A:$A,Métrés!$C:$C,0)),0)</f>
        <v>0</v>
      </c>
      <c r="AI170" s="1092">
        <f>IFERROR(S170*$G$1/(_xlfn.XLOOKUP($AA170,Métrés!$A:$A,Métrés!$C:$C,0)),0)</f>
        <v>0</v>
      </c>
      <c r="AJ170" s="1022"/>
      <c r="AK170" s="638">
        <f t="shared" si="399"/>
        <v>0</v>
      </c>
      <c r="AL170" s="638">
        <f t="shared" si="400"/>
        <v>0</v>
      </c>
      <c r="AM170" s="638">
        <f t="shared" si="401"/>
        <v>0</v>
      </c>
      <c r="AN170" s="1017">
        <f t="shared" si="401"/>
        <v>0</v>
      </c>
      <c r="AO170" s="638">
        <f t="shared" si="401"/>
        <v>0</v>
      </c>
      <c r="AP170" s="638">
        <f t="shared" si="402"/>
        <v>0</v>
      </c>
      <c r="AQ170" s="638">
        <f t="shared" si="402"/>
        <v>0</v>
      </c>
      <c r="AR170" s="1018">
        <f t="shared" si="403"/>
        <v>0</v>
      </c>
      <c r="AS170" s="1017">
        <f t="shared" si="403"/>
        <v>0</v>
      </c>
      <c r="AT170" s="638">
        <f t="shared" si="404"/>
        <v>0</v>
      </c>
      <c r="AU170" s="638">
        <f t="shared" si="405"/>
        <v>0</v>
      </c>
      <c r="AV170" s="638">
        <f t="shared" si="406"/>
        <v>0</v>
      </c>
      <c r="AW170" s="1018">
        <f t="shared" si="407"/>
        <v>0</v>
      </c>
      <c r="AX170" s="1017">
        <f t="shared" si="408"/>
        <v>0</v>
      </c>
      <c r="AY170" s="638">
        <f t="shared" si="409"/>
        <v>0</v>
      </c>
      <c r="AZ170" s="638">
        <f t="shared" si="410"/>
        <v>0</v>
      </c>
      <c r="BA170" s="638">
        <f t="shared" si="411"/>
        <v>0</v>
      </c>
      <c r="BB170" s="1018">
        <f t="shared" si="412"/>
        <v>0</v>
      </c>
      <c r="BC170" s="1017">
        <f t="shared" si="413"/>
        <v>0</v>
      </c>
      <c r="BD170" s="638">
        <f t="shared" si="414"/>
        <v>0</v>
      </c>
      <c r="BE170" s="638">
        <f t="shared" si="415"/>
        <v>0</v>
      </c>
      <c r="BF170" s="1018">
        <f t="shared" si="416"/>
        <v>0</v>
      </c>
      <c r="BG170" s="1017">
        <f t="shared" si="417"/>
        <v>0</v>
      </c>
      <c r="BH170" s="638">
        <f t="shared" si="418"/>
        <v>0</v>
      </c>
      <c r="BI170" s="1018">
        <f t="shared" si="419"/>
        <v>0</v>
      </c>
      <c r="BJ170" s="638">
        <f t="shared" si="420"/>
        <v>0</v>
      </c>
      <c r="BK170" s="1017">
        <f t="shared" si="421"/>
        <v>0</v>
      </c>
      <c r="BL170" s="638">
        <f t="shared" si="422"/>
        <v>0</v>
      </c>
      <c r="BM170" s="1018">
        <f t="shared" si="423"/>
        <v>0</v>
      </c>
      <c r="BN170" s="1037">
        <f>IFERROR((J170*VLOOKUP(H170, 'Baumaterialien Matériaux'!$A$11:$AH$318, 33,FALSE)),0)/$G$1</f>
        <v>0</v>
      </c>
      <c r="BO170" s="1037"/>
      <c r="BP170" s="1037">
        <f>IFERROR((J170*VLOOKUP(H170, 'Baumaterialien Matériaux'!$A$11:$AH$318, 34,FALSE)),0)/$G$1</f>
        <v>0</v>
      </c>
      <c r="BQ170" s="1037" t="e">
        <f t="shared" si="319"/>
        <v>#DIV/0!</v>
      </c>
      <c r="BR170" s="1037">
        <f t="shared" si="424"/>
        <v>0</v>
      </c>
    </row>
    <row r="171" spans="2:70">
      <c r="B171" s="1103"/>
      <c r="C171" s="1099"/>
      <c r="D171" s="478"/>
      <c r="E171" s="478"/>
      <c r="F171" s="478"/>
      <c r="G171" s="478"/>
      <c r="H171" s="478"/>
      <c r="I171" s="641"/>
      <c r="J171" s="649"/>
      <c r="K171" s="478"/>
      <c r="L171" s="478"/>
      <c r="M171" s="648"/>
      <c r="N171" s="720"/>
      <c r="O171" s="720"/>
      <c r="P171" s="720"/>
      <c r="Q171" s="720"/>
      <c r="R171" s="720"/>
      <c r="S171" s="720"/>
      <c r="T171" s="720"/>
      <c r="V171" s="638">
        <f t="shared" si="291"/>
        <v>0</v>
      </c>
      <c r="W171" s="638">
        <f t="shared" si="370"/>
        <v>0</v>
      </c>
      <c r="X171" s="638">
        <f t="shared" si="224"/>
        <v>0</v>
      </c>
      <c r="Z171" s="638">
        <f t="shared" si="314"/>
        <v>0</v>
      </c>
      <c r="AA171" s="664" t="s">
        <v>3477</v>
      </c>
      <c r="AB171">
        <f>_xlfn.XLOOKUP($H171,'[1]Baumaterialien Matériaux'!$A:$A,'[1]Baumaterialien Matériaux'!AK:AK,0,0)</f>
        <v>0</v>
      </c>
      <c r="AC171" t="str" cm="1">
        <f t="array" ref="AC171">_xlfn.SWITCH(I171,"kg"," ",0," ",_xlfn.XLOOKUP(H171, '[1]Baumaterialien Matériaux'!$A:$A, '[1]Baumaterialien Matériaux'!$AL:$AL, "-", 0, 1))</f>
        <v xml:space="preserve"> </v>
      </c>
      <c r="AD171" s="622" cm="1">
        <f t="array" ref="AD171">IFERROR(_xlfn.SWITCH(I171,"kg",1,"m3",AC171,AC171)*J171/(_xlfn.XLOOKUP(AA171,Métrés!A:A,Métrés!C:C,0)),0)</f>
        <v>0</v>
      </c>
      <c r="AE171" s="1092">
        <f>IFERROR(N171*$G$1/(_xlfn.XLOOKUP($AA171,Métrés!$A:$A,Métrés!$C:$C,0)),0)</f>
        <v>0</v>
      </c>
      <c r="AF171" s="1092">
        <f>IFERROR(O171*$G$1/(_xlfn.XLOOKUP($AA171,Métrés!$A:$A,Métrés!$C:$C,0)),0)</f>
        <v>0</v>
      </c>
      <c r="AG171" s="1092">
        <f>IFERROR(Q171*$G$1/(_xlfn.XLOOKUP($AA171,Métrés!$A:$A,Métrés!$C:$C,0)),0)</f>
        <v>0</v>
      </c>
      <c r="AH171" s="1092">
        <f>IFERROR(R171*$G$1/(_xlfn.XLOOKUP($AA171,Métrés!$A:$A,Métrés!$C:$C,0)),0)</f>
        <v>0</v>
      </c>
      <c r="AI171" s="1092">
        <f>IFERROR(S171*$G$1/(_xlfn.XLOOKUP($AA171,Métrés!$A:$A,Métrés!$C:$C,0)),0)</f>
        <v>0</v>
      </c>
      <c r="AJ171" s="1022"/>
      <c r="AK171" s="638">
        <f t="shared" si="399"/>
        <v>0</v>
      </c>
      <c r="AL171" s="638">
        <f t="shared" si="400"/>
        <v>0</v>
      </c>
      <c r="AM171" s="638">
        <f t="shared" si="401"/>
        <v>0</v>
      </c>
      <c r="AN171" s="1017">
        <f t="shared" si="401"/>
        <v>0</v>
      </c>
      <c r="AO171" s="638">
        <f t="shared" si="401"/>
        <v>0</v>
      </c>
      <c r="AP171" s="638">
        <f t="shared" si="402"/>
        <v>0</v>
      </c>
      <c r="AQ171" s="638">
        <f t="shared" si="402"/>
        <v>0</v>
      </c>
      <c r="AR171" s="1018">
        <f t="shared" si="403"/>
        <v>0</v>
      </c>
      <c r="AS171" s="1017">
        <f t="shared" si="403"/>
        <v>0</v>
      </c>
      <c r="AT171" s="638">
        <f t="shared" si="404"/>
        <v>0</v>
      </c>
      <c r="AU171" s="638">
        <f t="shared" si="405"/>
        <v>0</v>
      </c>
      <c r="AV171" s="638">
        <f t="shared" si="406"/>
        <v>0</v>
      </c>
      <c r="AW171" s="1018">
        <f t="shared" si="407"/>
        <v>0</v>
      </c>
      <c r="AX171" s="1017">
        <f t="shared" si="408"/>
        <v>0</v>
      </c>
      <c r="AY171" s="638">
        <f t="shared" si="409"/>
        <v>0</v>
      </c>
      <c r="AZ171" s="638">
        <f t="shared" si="410"/>
        <v>0</v>
      </c>
      <c r="BA171" s="638">
        <f t="shared" si="411"/>
        <v>0</v>
      </c>
      <c r="BB171" s="1018">
        <f t="shared" si="412"/>
        <v>0</v>
      </c>
      <c r="BC171" s="1017">
        <f t="shared" si="413"/>
        <v>0</v>
      </c>
      <c r="BD171" s="638">
        <f t="shared" si="414"/>
        <v>0</v>
      </c>
      <c r="BE171" s="638">
        <f t="shared" si="415"/>
        <v>0</v>
      </c>
      <c r="BF171" s="1018">
        <f t="shared" si="416"/>
        <v>0</v>
      </c>
      <c r="BG171" s="1017">
        <f t="shared" si="417"/>
        <v>0</v>
      </c>
      <c r="BH171" s="638">
        <f t="shared" si="418"/>
        <v>0</v>
      </c>
      <c r="BI171" s="1018">
        <f t="shared" si="419"/>
        <v>0</v>
      </c>
      <c r="BJ171" s="638">
        <f t="shared" si="420"/>
        <v>0</v>
      </c>
      <c r="BK171" s="1017">
        <f t="shared" si="421"/>
        <v>0</v>
      </c>
      <c r="BL171" s="638">
        <f t="shared" si="422"/>
        <v>0</v>
      </c>
      <c r="BM171" s="1018">
        <f t="shared" si="423"/>
        <v>0</v>
      </c>
      <c r="BN171" s="1037">
        <f>IFERROR((J171*VLOOKUP(H171, 'Baumaterialien Matériaux'!$A$11:$AH$318, 33,FALSE)),0)/$G$1</f>
        <v>0</v>
      </c>
      <c r="BO171" s="1037"/>
      <c r="BP171" s="1037">
        <f>IFERROR((J171*VLOOKUP(H171, 'Baumaterialien Matériaux'!$A$11:$AH$318, 34,FALSE)),0)/$G$1</f>
        <v>0</v>
      </c>
      <c r="BQ171" s="1037" t="e">
        <f t="shared" si="319"/>
        <v>#DIV/0!</v>
      </c>
      <c r="BR171" s="1037">
        <f t="shared" si="424"/>
        <v>0</v>
      </c>
    </row>
    <row r="172" spans="2:70">
      <c r="B172" s="1103"/>
      <c r="C172" s="1099"/>
      <c r="D172" s="478"/>
      <c r="E172" s="478"/>
      <c r="F172" s="478"/>
      <c r="G172" s="478"/>
      <c r="H172" s="478"/>
      <c r="I172" s="641"/>
      <c r="J172" s="649"/>
      <c r="K172" s="478"/>
      <c r="L172" s="478"/>
      <c r="M172" s="648"/>
      <c r="N172" s="720"/>
      <c r="O172" s="720"/>
      <c r="P172" s="720"/>
      <c r="Q172" s="720"/>
      <c r="R172" s="720"/>
      <c r="S172" s="720"/>
      <c r="T172" s="720"/>
      <c r="V172" s="638">
        <f t="shared" si="291"/>
        <v>0</v>
      </c>
      <c r="W172" s="638">
        <f t="shared" si="370"/>
        <v>0</v>
      </c>
      <c r="X172" s="638">
        <f t="shared" si="224"/>
        <v>0</v>
      </c>
      <c r="Z172" s="638">
        <f t="shared" si="314"/>
        <v>0</v>
      </c>
      <c r="AA172" s="664" t="s">
        <v>3477</v>
      </c>
      <c r="AB172">
        <f>_xlfn.XLOOKUP($H172,'[1]Baumaterialien Matériaux'!$A:$A,'[1]Baumaterialien Matériaux'!AK:AK,0,0)</f>
        <v>0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 s="622" cm="1">
        <f t="array" ref="AD172">IFERROR(_xlfn.SWITCH(I172,"kg",1,"m3",AC172,AC172)*J172/(_xlfn.XLOOKUP(AA172,Métrés!A:A,Métrés!C:C,0)),0)</f>
        <v>0</v>
      </c>
      <c r="AE172" s="1092">
        <f>IFERROR(N172*$G$1/(_xlfn.XLOOKUP($AA172,Métrés!$A:$A,Métrés!$C:$C,0)),0)</f>
        <v>0</v>
      </c>
      <c r="AF172" s="1092">
        <f>IFERROR(O172*$G$1/(_xlfn.XLOOKUP($AA172,Métrés!$A:$A,Métrés!$C:$C,0)),0)</f>
        <v>0</v>
      </c>
      <c r="AG172" s="1092">
        <f>IFERROR(Q172*$G$1/(_xlfn.XLOOKUP($AA172,Métrés!$A:$A,Métrés!$C:$C,0)),0)</f>
        <v>0</v>
      </c>
      <c r="AH172" s="1092">
        <f>IFERROR(R172*$G$1/(_xlfn.XLOOKUP($AA172,Métrés!$A:$A,Métrés!$C:$C,0)),0)</f>
        <v>0</v>
      </c>
      <c r="AI172" s="1092">
        <f>IFERROR(S172*$G$1/(_xlfn.XLOOKUP($AA172,Métrés!$A:$A,Métrés!$C:$C,0)),0)</f>
        <v>0</v>
      </c>
      <c r="AJ172" s="1022"/>
      <c r="AK172" s="638">
        <f t="shared" si="399"/>
        <v>0</v>
      </c>
      <c r="AL172" s="638">
        <f t="shared" si="400"/>
        <v>0</v>
      </c>
      <c r="AM172" s="638">
        <f t="shared" si="401"/>
        <v>0</v>
      </c>
      <c r="AN172" s="1017">
        <f t="shared" si="401"/>
        <v>0</v>
      </c>
      <c r="AO172" s="638">
        <f t="shared" si="401"/>
        <v>0</v>
      </c>
      <c r="AP172" s="638">
        <f t="shared" si="402"/>
        <v>0</v>
      </c>
      <c r="AQ172" s="638">
        <f t="shared" si="402"/>
        <v>0</v>
      </c>
      <c r="AR172" s="1018">
        <f t="shared" si="403"/>
        <v>0</v>
      </c>
      <c r="AS172" s="1017">
        <f t="shared" si="403"/>
        <v>0</v>
      </c>
      <c r="AT172" s="638">
        <f t="shared" si="404"/>
        <v>0</v>
      </c>
      <c r="AU172" s="638">
        <f t="shared" si="405"/>
        <v>0</v>
      </c>
      <c r="AV172" s="638">
        <f t="shared" si="406"/>
        <v>0</v>
      </c>
      <c r="AW172" s="1018">
        <f t="shared" si="407"/>
        <v>0</v>
      </c>
      <c r="AX172" s="1017">
        <f t="shared" si="408"/>
        <v>0</v>
      </c>
      <c r="AY172" s="638">
        <f t="shared" si="409"/>
        <v>0</v>
      </c>
      <c r="AZ172" s="638">
        <f t="shared" si="410"/>
        <v>0</v>
      </c>
      <c r="BA172" s="638">
        <f t="shared" si="411"/>
        <v>0</v>
      </c>
      <c r="BB172" s="1018">
        <f t="shared" si="412"/>
        <v>0</v>
      </c>
      <c r="BC172" s="1017">
        <f t="shared" si="413"/>
        <v>0</v>
      </c>
      <c r="BD172" s="638">
        <f t="shared" si="414"/>
        <v>0</v>
      </c>
      <c r="BE172" s="638">
        <f t="shared" si="415"/>
        <v>0</v>
      </c>
      <c r="BF172" s="1018">
        <f t="shared" si="416"/>
        <v>0</v>
      </c>
      <c r="BG172" s="1017">
        <f t="shared" si="417"/>
        <v>0</v>
      </c>
      <c r="BH172" s="638">
        <f t="shared" si="418"/>
        <v>0</v>
      </c>
      <c r="BI172" s="1018">
        <f t="shared" si="419"/>
        <v>0</v>
      </c>
      <c r="BJ172" s="638">
        <f t="shared" si="420"/>
        <v>0</v>
      </c>
      <c r="BK172" s="1017">
        <f t="shared" si="421"/>
        <v>0</v>
      </c>
      <c r="BL172" s="638">
        <f t="shared" si="422"/>
        <v>0</v>
      </c>
      <c r="BM172" s="1018">
        <f t="shared" si="423"/>
        <v>0</v>
      </c>
      <c r="BN172" s="1037">
        <f>IFERROR((J172*VLOOKUP(H172, 'Baumaterialien Matériaux'!$A$11:$AH$318, 33,FALSE)),0)/$G$1</f>
        <v>0</v>
      </c>
      <c r="BO172" s="1037"/>
      <c r="BP172" s="1037">
        <f>IFERROR((J172*VLOOKUP(H172, 'Baumaterialien Matériaux'!$A$11:$AH$318, 34,FALSE)),0)/$G$1</f>
        <v>0</v>
      </c>
      <c r="BQ172" s="1037" t="e">
        <f t="shared" ref="BQ172:BQ203" si="425">BP172/Q172</f>
        <v>#DIV/0!</v>
      </c>
      <c r="BR172" s="1037">
        <f t="shared" si="424"/>
        <v>0</v>
      </c>
    </row>
    <row r="173" spans="2:70">
      <c r="B173" s="1103"/>
      <c r="C173" s="1099"/>
      <c r="D173" s="478"/>
      <c r="E173" s="478"/>
      <c r="F173" s="478"/>
      <c r="G173" s="478"/>
      <c r="H173" s="478"/>
      <c r="I173" s="641"/>
      <c r="J173" s="649"/>
      <c r="K173" s="478"/>
      <c r="L173" s="478"/>
      <c r="M173" s="648"/>
      <c r="N173" s="720"/>
      <c r="O173" s="720"/>
      <c r="P173" s="720"/>
      <c r="Q173" s="720"/>
      <c r="R173" s="720"/>
      <c r="S173" s="720"/>
      <c r="T173" s="720"/>
      <c r="V173" s="638">
        <f t="shared" si="291"/>
        <v>0</v>
      </c>
      <c r="W173" s="638">
        <f t="shared" si="370"/>
        <v>0</v>
      </c>
      <c r="X173" s="638">
        <f t="shared" si="224"/>
        <v>0</v>
      </c>
      <c r="Z173" s="638">
        <f t="shared" si="314"/>
        <v>0</v>
      </c>
      <c r="AA173" s="664" t="s">
        <v>3477</v>
      </c>
      <c r="AB173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 s="622" cm="1">
        <f t="array" ref="AD173">IFERROR(_xlfn.SWITCH(I173,"kg",1,"m3",AC173,AC173)*J173/(_xlfn.XLOOKUP(AA173,Métrés!A:A,Métrés!C:C,0)),0)</f>
        <v>0</v>
      </c>
      <c r="AE173" s="1092">
        <f>IFERROR(N173*$G$1/(_xlfn.XLOOKUP($AA173,Métrés!$A:$A,Métrés!$C:$C,0)),0)</f>
        <v>0</v>
      </c>
      <c r="AF173" s="1092">
        <f>IFERROR(O173*$G$1/(_xlfn.XLOOKUP($AA173,Métrés!$A:$A,Métrés!$C:$C,0)),0)</f>
        <v>0</v>
      </c>
      <c r="AG173" s="1092">
        <f>IFERROR(Q173*$G$1/(_xlfn.XLOOKUP($AA173,Métrés!$A:$A,Métrés!$C:$C,0)),0)</f>
        <v>0</v>
      </c>
      <c r="AH173" s="1092">
        <f>IFERROR(R173*$G$1/(_xlfn.XLOOKUP($AA173,Métrés!$A:$A,Métrés!$C:$C,0)),0)</f>
        <v>0</v>
      </c>
      <c r="AI173" s="1092">
        <f>IFERROR(S173*$G$1/(_xlfn.XLOOKUP($AA173,Métrés!$A:$A,Métrés!$C:$C,0)),0)</f>
        <v>0</v>
      </c>
      <c r="AJ173" s="1022"/>
      <c r="AK173" s="638">
        <f t="shared" si="399"/>
        <v>0</v>
      </c>
      <c r="AL173" s="638">
        <f t="shared" si="400"/>
        <v>0</v>
      </c>
      <c r="AM173" s="638">
        <f t="shared" si="401"/>
        <v>0</v>
      </c>
      <c r="AN173" s="1017">
        <f t="shared" si="401"/>
        <v>0</v>
      </c>
      <c r="AO173" s="638">
        <f t="shared" si="401"/>
        <v>0</v>
      </c>
      <c r="AP173" s="638">
        <f t="shared" si="402"/>
        <v>0</v>
      </c>
      <c r="AQ173" s="638">
        <f t="shared" si="402"/>
        <v>0</v>
      </c>
      <c r="AR173" s="1018">
        <f t="shared" si="403"/>
        <v>0</v>
      </c>
      <c r="AS173" s="1017">
        <f t="shared" si="403"/>
        <v>0</v>
      </c>
      <c r="AT173" s="638">
        <f t="shared" si="404"/>
        <v>0</v>
      </c>
      <c r="AU173" s="638">
        <f t="shared" si="405"/>
        <v>0</v>
      </c>
      <c r="AV173" s="638">
        <f t="shared" si="406"/>
        <v>0</v>
      </c>
      <c r="AW173" s="1018">
        <f t="shared" si="407"/>
        <v>0</v>
      </c>
      <c r="AX173" s="1017">
        <f t="shared" si="408"/>
        <v>0</v>
      </c>
      <c r="AY173" s="638">
        <f t="shared" si="409"/>
        <v>0</v>
      </c>
      <c r="AZ173" s="638">
        <f t="shared" si="410"/>
        <v>0</v>
      </c>
      <c r="BA173" s="638">
        <f t="shared" si="411"/>
        <v>0</v>
      </c>
      <c r="BB173" s="1018">
        <f t="shared" si="412"/>
        <v>0</v>
      </c>
      <c r="BC173" s="1017">
        <f t="shared" si="413"/>
        <v>0</v>
      </c>
      <c r="BD173" s="638">
        <f t="shared" si="414"/>
        <v>0</v>
      </c>
      <c r="BE173" s="638">
        <f t="shared" si="415"/>
        <v>0</v>
      </c>
      <c r="BF173" s="1018">
        <f t="shared" si="416"/>
        <v>0</v>
      </c>
      <c r="BG173" s="1017">
        <f t="shared" si="417"/>
        <v>0</v>
      </c>
      <c r="BH173" s="638">
        <f t="shared" si="418"/>
        <v>0</v>
      </c>
      <c r="BI173" s="1018">
        <f t="shared" si="419"/>
        <v>0</v>
      </c>
      <c r="BJ173" s="638">
        <f t="shared" si="420"/>
        <v>0</v>
      </c>
      <c r="BK173" s="1017">
        <f t="shared" si="421"/>
        <v>0</v>
      </c>
      <c r="BL173" s="638">
        <f t="shared" si="422"/>
        <v>0</v>
      </c>
      <c r="BM173" s="1018">
        <f t="shared" si="423"/>
        <v>0</v>
      </c>
      <c r="BN173" s="1037">
        <f>IFERROR((J173*VLOOKUP(H173, 'Baumaterialien Matériaux'!$A$11:$AH$318, 33,FALSE)),0)/$G$1</f>
        <v>0</v>
      </c>
      <c r="BO173" s="1037"/>
      <c r="BP173" s="1037">
        <f>IFERROR((J173*VLOOKUP(H173, 'Baumaterialien Matériaux'!$A$11:$AH$318, 34,FALSE)),0)/$G$1</f>
        <v>0</v>
      </c>
      <c r="BQ173" s="1037" t="e">
        <f t="shared" si="425"/>
        <v>#DIV/0!</v>
      </c>
      <c r="BR173" s="1037"/>
    </row>
    <row r="174" spans="2:70">
      <c r="B174" s="1103"/>
      <c r="C174" s="1099"/>
      <c r="D174" s="478"/>
      <c r="E174" s="478"/>
      <c r="F174" s="478"/>
      <c r="G174" s="478"/>
      <c r="H174" s="478"/>
      <c r="I174" s="641"/>
      <c r="J174" s="649"/>
      <c r="K174" s="647"/>
      <c r="L174" s="647"/>
      <c r="M174" s="648"/>
      <c r="V174" s="638">
        <f t="shared" si="291"/>
        <v>0</v>
      </c>
      <c r="W174" s="638">
        <f t="shared" si="370"/>
        <v>0</v>
      </c>
      <c r="X174" s="638">
        <f t="shared" si="224"/>
        <v>0</v>
      </c>
      <c r="Z174" s="638">
        <f t="shared" si="314"/>
        <v>0</v>
      </c>
      <c r="AA174" s="664" t="s">
        <v>3477</v>
      </c>
      <c r="AB174">
        <f>_xlfn.XLOOKUP($H174,'[1]Baumaterialien Matériaux'!$A:$A,'[1]Baumaterialien Matériaux'!AK:AK,0,0)</f>
        <v>0</v>
      </c>
      <c r="AC174" t="str" cm="1">
        <f t="array" ref="AC174">_xlfn.SWITCH(I174,"kg"," ",0," ",_xlfn.XLOOKUP(H174, '[1]Baumaterialien Matériaux'!$A:$A, '[1]Baumaterialien Matériaux'!$AL:$AL, "-", 0, 1))</f>
        <v xml:space="preserve"> </v>
      </c>
      <c r="AD174" s="622" cm="1">
        <f t="array" ref="AD174">IFERROR(_xlfn.SWITCH(I174,"kg",1,"m3",AC174,AC174)*J174/(_xlfn.XLOOKUP(AA174,Métrés!A:A,Métrés!C:C,0)),0)</f>
        <v>0</v>
      </c>
      <c r="AE174" s="1092">
        <f>IFERROR(N174*$G$1/(_xlfn.XLOOKUP($AA174,Métrés!$A:$A,Métrés!$C:$C,0)),0)</f>
        <v>0</v>
      </c>
      <c r="AF174" s="1092">
        <f>IFERROR(O174*$G$1/(_xlfn.XLOOKUP($AA174,Métrés!$A:$A,Métrés!$C:$C,0)),0)</f>
        <v>0</v>
      </c>
      <c r="AG174" s="1092">
        <f>IFERROR(Q174*$G$1/(_xlfn.XLOOKUP($AA174,Métrés!$A:$A,Métrés!$C:$C,0)),0)</f>
        <v>0</v>
      </c>
      <c r="AH174" s="1092">
        <f>IFERROR(R174*$G$1/(_xlfn.XLOOKUP($AA174,Métrés!$A:$A,Métrés!$C:$C,0)),0)</f>
        <v>0</v>
      </c>
      <c r="AI174" s="1092">
        <f>IFERROR(S174*$G$1/(_xlfn.XLOOKUP($AA174,Métrés!$A:$A,Métrés!$C:$C,0)),0)</f>
        <v>0</v>
      </c>
      <c r="AJ174" s="1022"/>
      <c r="AK174" s="638">
        <f t="shared" si="399"/>
        <v>0</v>
      </c>
      <c r="AL174" s="638">
        <f t="shared" si="400"/>
        <v>0</v>
      </c>
      <c r="AM174" s="638">
        <f t="shared" si="401"/>
        <v>0</v>
      </c>
      <c r="AN174" s="1017">
        <f t="shared" si="401"/>
        <v>0</v>
      </c>
      <c r="AO174" s="638">
        <f t="shared" si="401"/>
        <v>0</v>
      </c>
      <c r="AP174" s="638">
        <f t="shared" si="402"/>
        <v>0</v>
      </c>
      <c r="AQ174" s="638">
        <f t="shared" si="402"/>
        <v>0</v>
      </c>
      <c r="AR174" s="1018">
        <f t="shared" si="403"/>
        <v>0</v>
      </c>
      <c r="AS174" s="1017">
        <f t="shared" si="403"/>
        <v>0</v>
      </c>
      <c r="AT174" s="638">
        <f t="shared" si="404"/>
        <v>0</v>
      </c>
      <c r="AU174" s="638">
        <f t="shared" si="405"/>
        <v>0</v>
      </c>
      <c r="AV174" s="638">
        <f t="shared" si="406"/>
        <v>0</v>
      </c>
      <c r="AW174" s="1018">
        <f t="shared" si="407"/>
        <v>0</v>
      </c>
      <c r="AX174" s="1017">
        <f t="shared" si="408"/>
        <v>0</v>
      </c>
      <c r="AY174" s="638">
        <f t="shared" si="409"/>
        <v>0</v>
      </c>
      <c r="AZ174" s="638">
        <f t="shared" si="410"/>
        <v>0</v>
      </c>
      <c r="BA174" s="638">
        <f t="shared" si="411"/>
        <v>0</v>
      </c>
      <c r="BB174" s="1018">
        <f t="shared" si="412"/>
        <v>0</v>
      </c>
      <c r="BC174" s="1017">
        <f t="shared" si="413"/>
        <v>0</v>
      </c>
      <c r="BD174" s="638">
        <f t="shared" si="414"/>
        <v>0</v>
      </c>
      <c r="BE174" s="638">
        <f t="shared" si="415"/>
        <v>0</v>
      </c>
      <c r="BF174" s="1018">
        <f t="shared" si="416"/>
        <v>0</v>
      </c>
      <c r="BG174" s="1017">
        <f t="shared" si="417"/>
        <v>0</v>
      </c>
      <c r="BH174" s="638">
        <f t="shared" si="418"/>
        <v>0</v>
      </c>
      <c r="BI174" s="1018">
        <f t="shared" si="419"/>
        <v>0</v>
      </c>
      <c r="BJ174" s="638">
        <f t="shared" si="420"/>
        <v>0</v>
      </c>
      <c r="BK174" s="1017">
        <f t="shared" si="421"/>
        <v>0</v>
      </c>
      <c r="BL174" s="638">
        <f t="shared" si="422"/>
        <v>0</v>
      </c>
      <c r="BM174" s="1018">
        <f t="shared" si="423"/>
        <v>0</v>
      </c>
      <c r="BN174" s="1037">
        <f>IFERROR((J174*VLOOKUP(H174, 'Baumaterialien Matériaux'!$A$11:$AH$318, 33,FALSE)),0)/$G$1</f>
        <v>0</v>
      </c>
      <c r="BO174" s="1037"/>
      <c r="BP174" s="1037">
        <f>IFERROR((J174*VLOOKUP(H174, 'Baumaterialien Matériaux'!$A$11:$AH$318, 34,FALSE)),0)/$G$1</f>
        <v>0</v>
      </c>
      <c r="BQ174" s="1037" t="e">
        <f t="shared" si="425"/>
        <v>#DIV/0!</v>
      </c>
      <c r="BR174" s="1037"/>
    </row>
    <row r="175" spans="2:70" ht="15.75" customHeight="1">
      <c r="B175" s="1103"/>
      <c r="C175" s="1097" t="s">
        <v>139</v>
      </c>
      <c r="D175" s="473" t="s">
        <v>140</v>
      </c>
      <c r="E175" s="473"/>
      <c r="F175" s="473"/>
      <c r="G175" s="473"/>
      <c r="H175" s="473"/>
      <c r="I175" s="463"/>
      <c r="J175" s="654"/>
      <c r="K175" s="652"/>
      <c r="L175" s="652"/>
      <c r="M175" s="653">
        <f>M176+M184+M187+M195</f>
        <v>94.589042166421791</v>
      </c>
      <c r="N175" s="653">
        <f>N176+N184+N187+N195</f>
        <v>31.321787364765591</v>
      </c>
      <c r="O175" s="653">
        <f>O176+O184+O187+O195</f>
        <v>13.120051284448596</v>
      </c>
      <c r="P175" s="653">
        <f t="shared" ref="P175:Q175" si="426">P176+P184+P187+P195</f>
        <v>40.734495440986592</v>
      </c>
      <c r="Q175" s="653">
        <f t="shared" si="426"/>
        <v>9.4127080762210031</v>
      </c>
      <c r="R175" s="653">
        <f t="shared" ref="R175" si="427">R176+R184+R187+R195</f>
        <v>2.1067896420462131</v>
      </c>
      <c r="S175" s="653">
        <f>S176+S184+S187+S195</f>
        <v>2.6087514655031678</v>
      </c>
      <c r="T175" s="653">
        <f>T176+T184+T187+T195</f>
        <v>2.579897748690322E-2</v>
      </c>
      <c r="U175" s="666"/>
      <c r="V175" s="666"/>
      <c r="W175" s="666"/>
      <c r="X175" s="666"/>
      <c r="Y175" s="666"/>
      <c r="Z175" s="638">
        <f t="shared" si="314"/>
        <v>0</v>
      </c>
      <c r="AB175">
        <f>_xlfn.XLOOKUP($H175,'[1]Baumaterialien Matériaux'!$A:$A,'[1]Baumaterialien Matériaux'!AK:AK,0,0)</f>
        <v>0</v>
      </c>
      <c r="AC175" t="str" cm="1">
        <f t="array" ref="AC175">_xlfn.SWITCH(I175,"kg"," ",0," ",_xlfn.XLOOKUP(H175, '[1]Baumaterialien Matériaux'!$A:$A, '[1]Baumaterialien Matériaux'!$AL:$AL, "-", 0, 1))</f>
        <v xml:space="preserve"> </v>
      </c>
      <c r="AD175" s="622" cm="1">
        <f t="array" ref="AD175">IFERROR(_xlfn.SWITCH(I175,"kg",1,"m3",AC175,AC175)*J175/(_xlfn.XLOOKUP(AA175,Métrés!A:A,Métrés!C:C,0)),0)</f>
        <v>0</v>
      </c>
      <c r="AE175" s="1092">
        <f>IFERROR(N175*$G$1/(_xlfn.XLOOKUP($AA175,Métrés!$A:$A,Métrés!$C:$C,0)),0)</f>
        <v>0</v>
      </c>
      <c r="AF175" s="1092">
        <f>IFERROR(O175*$G$1/(_xlfn.XLOOKUP($AA175,Métrés!$A:$A,Métrés!$C:$C,0)),0)</f>
        <v>0</v>
      </c>
      <c r="AG175" s="1092">
        <f>IFERROR(Q175*$G$1/(_xlfn.XLOOKUP($AA175,Métrés!$A:$A,Métrés!$C:$C,0)),0)</f>
        <v>0</v>
      </c>
      <c r="AH175" s="1092">
        <f>IFERROR(R175*$G$1/(_xlfn.XLOOKUP($AA175,Métrés!$A:$A,Métrés!$C:$C,0)),0)</f>
        <v>0</v>
      </c>
      <c r="AI175" s="1092">
        <f>IFERROR(S175*$G$1/(_xlfn.XLOOKUP($AA175,Métrés!$A:$A,Métrés!$C:$C,0)),0)</f>
        <v>0</v>
      </c>
      <c r="AJ175" s="1023"/>
      <c r="AK175" s="666"/>
      <c r="AL175" s="666"/>
      <c r="AM175" s="666"/>
      <c r="AN175" s="1051"/>
      <c r="AO175" s="666"/>
      <c r="AP175" s="666"/>
      <c r="AQ175" s="666"/>
      <c r="AR175" s="1052"/>
      <c r="AS175" s="1051"/>
      <c r="AT175" s="666"/>
      <c r="AU175" s="666"/>
      <c r="AV175" s="666"/>
      <c r="AW175" s="1052"/>
      <c r="AX175" s="1051"/>
      <c r="AY175" s="666"/>
      <c r="AZ175" s="666"/>
      <c r="BA175" s="666"/>
      <c r="BB175" s="1052"/>
      <c r="BC175" s="1051"/>
      <c r="BD175" s="666"/>
      <c r="BE175" s="666"/>
      <c r="BF175" s="1052"/>
      <c r="BG175" s="1051"/>
      <c r="BH175" s="666"/>
      <c r="BI175" s="1052"/>
      <c r="BJ175" s="666"/>
      <c r="BK175" s="1051"/>
      <c r="BL175" s="666"/>
      <c r="BM175" s="1052"/>
      <c r="BN175" s="1039"/>
      <c r="BO175" s="1039"/>
      <c r="BP175" s="1039"/>
      <c r="BQ175" s="1037">
        <f t="shared" si="425"/>
        <v>0</v>
      </c>
      <c r="BR175" s="1037"/>
    </row>
    <row r="176" spans="2:70">
      <c r="B176" s="1103"/>
      <c r="C176" s="1099"/>
      <c r="D176" s="478" t="s">
        <v>2982</v>
      </c>
      <c r="E176" s="479" t="str">
        <f>BillQuantities!E31</f>
        <v>Supports et revêtement de sol</v>
      </c>
      <c r="F176" s="479" t="s">
        <v>3017</v>
      </c>
      <c r="G176" s="479"/>
      <c r="H176" s="479"/>
      <c r="I176" s="459" t="s">
        <v>39</v>
      </c>
      <c r="J176" s="662">
        <v>238.73</v>
      </c>
      <c r="K176" s="663"/>
      <c r="L176" s="663"/>
      <c r="M176" s="664">
        <f>SUM(M177:M183)</f>
        <v>38.214124691687807</v>
      </c>
      <c r="N176" s="664">
        <f t="shared" ref="N176:S176" si="428">SUM(N177:N183)</f>
        <v>12.093272516806909</v>
      </c>
      <c r="O176" s="664">
        <f t="shared" ref="O176" si="429">SUM(O177:O183)</f>
        <v>4.1023381906415555</v>
      </c>
      <c r="P176" s="664">
        <f t="shared" si="428"/>
        <v>17.055893250523127</v>
      </c>
      <c r="Q176" s="664">
        <f t="shared" si="428"/>
        <v>4.9626207337162178</v>
      </c>
      <c r="R176" s="664">
        <f t="shared" ref="R176" si="430">SUM(R177:R183)</f>
        <v>1.5298765624860866</v>
      </c>
      <c r="S176" s="664">
        <f t="shared" si="428"/>
        <v>0</v>
      </c>
      <c r="T176" s="664">
        <f t="shared" ref="T176" si="431">SUM(T177:T183)</f>
        <v>0</v>
      </c>
      <c r="V176" s="638">
        <f t="shared" ref="V176:V202" si="432">IF(L176=60, 0, T176)</f>
        <v>0</v>
      </c>
      <c r="W176" s="638">
        <f t="shared" ref="W176:W194" si="433">IF(L176=60, 0, S176)</f>
        <v>0</v>
      </c>
      <c r="X176" s="638">
        <f t="shared" si="224"/>
        <v>0</v>
      </c>
      <c r="Z176" s="638">
        <f t="shared" si="314"/>
        <v>0</v>
      </c>
      <c r="AA176" s="648"/>
      <c r="AB176">
        <f>_xlfn.XLOOKUP($H176,'[1]Baumaterialien Matériaux'!$A:$A,'[1]Baumaterialien Matériaux'!AK:AK,0,0)</f>
        <v>0</v>
      </c>
      <c r="AC176" cm="1">
        <f t="array" ref="AC176">_xlfn.SWITCH(I176,"kg"," ",0," ",_xlfn.XLOOKUP(H176, '[1]Baumaterialien Matériaux'!$A:$A, '[1]Baumaterialien Matériaux'!$AL:$AL, "-", 0, 1))</f>
        <v>0</v>
      </c>
      <c r="AD176" s="622" cm="1">
        <f t="array" ref="AD176">IFERROR(_xlfn.SWITCH(I176,"kg",1,"m3",AC176,AC176)*J176/(_xlfn.XLOOKUP(AA176,Métrés!A:A,Métrés!C:C,0)),0)</f>
        <v>0</v>
      </c>
      <c r="AE176" s="1092">
        <f>IFERROR(N176*$G$1/(_xlfn.XLOOKUP($AA176,Métrés!$A:$A,Métrés!$C:$C,0)),0)</f>
        <v>0</v>
      </c>
      <c r="AF176" s="1092">
        <f>IFERROR(O176*$G$1/(_xlfn.XLOOKUP($AA176,Métrés!$A:$A,Métrés!$C:$C,0)),0)</f>
        <v>0</v>
      </c>
      <c r="AG176" s="1092">
        <f>IFERROR(Q176*$G$1/(_xlfn.XLOOKUP($AA176,Métrés!$A:$A,Métrés!$C:$C,0)),0)</f>
        <v>0</v>
      </c>
      <c r="AH176" s="1092">
        <f>IFERROR(R176*$G$1/(_xlfn.XLOOKUP($AA176,Métrés!$A:$A,Métrés!$C:$C,0)),0)</f>
        <v>0</v>
      </c>
      <c r="AI176" s="1092">
        <f>IFERROR(S176*$G$1/(_xlfn.XLOOKUP($AA176,Métrés!$A:$A,Métrés!$C:$C,0)),0)</f>
        <v>0</v>
      </c>
      <c r="AJ176" s="1021"/>
      <c r="AK176" s="1021"/>
      <c r="AL176" s="1021"/>
      <c r="AM176" s="1021"/>
      <c r="AN176" s="1057"/>
      <c r="AO176" s="1021"/>
      <c r="AP176" s="1021"/>
      <c r="AQ176" s="1021"/>
      <c r="AR176" s="1058"/>
      <c r="AS176" s="1057"/>
      <c r="AT176" s="1021"/>
      <c r="AU176" s="1021"/>
      <c r="AV176" s="1021"/>
      <c r="AW176" s="1058"/>
      <c r="AX176" s="1057"/>
      <c r="AY176" s="1021"/>
      <c r="AZ176" s="1021"/>
      <c r="BA176" s="1021"/>
      <c r="BB176" s="1058"/>
      <c r="BC176" s="1057"/>
      <c r="BD176" s="1021"/>
      <c r="BE176" s="1021"/>
      <c r="BF176" s="1058"/>
      <c r="BG176" s="1057"/>
      <c r="BH176" s="1021"/>
      <c r="BI176" s="1058"/>
      <c r="BJ176" s="1045"/>
      <c r="BK176" s="1057"/>
      <c r="BL176" s="1021"/>
      <c r="BM176" s="1058"/>
      <c r="BN176" s="1037">
        <f>IFERROR((J176*VLOOKUP(H176, 'Baumaterialien Matériaux'!$A$11:$AH$318, 33,FALSE)),0)/$G$1</f>
        <v>0</v>
      </c>
      <c r="BO176" s="1037"/>
      <c r="BP176" s="1037">
        <f>IFERROR((J176*VLOOKUP(H176, 'Baumaterialien Matériaux'!$A$11:$AH$318, 34,FALSE)),0)/$G$1</f>
        <v>0</v>
      </c>
      <c r="BQ176" s="1037">
        <f t="shared" si="425"/>
        <v>0</v>
      </c>
      <c r="BR176" s="1037"/>
    </row>
    <row r="177" spans="2:70">
      <c r="B177" s="1103"/>
      <c r="C177" s="1099"/>
      <c r="D177" s="478"/>
      <c r="E177" s="750">
        <v>0.7</v>
      </c>
      <c r="F177" s="478" t="s">
        <v>3018</v>
      </c>
      <c r="G177" s="478" t="str">
        <f>_xlfn.XLOOKUP(H177, 'Baumaterialien Matériaux'!A:A, 'Baumaterialien Matériaux'!AD:AD, "-", 0, 1)</f>
        <v>Chape de ciment, 85 mm</v>
      </c>
      <c r="H177" s="891" t="s">
        <v>780</v>
      </c>
      <c r="I177" s="641" t="str">
        <f>_xlfn.XLOOKUP(H177, 'Baumaterialien Matériaux'!A:A, 'Baumaterialien Matériaux'!F:F, "-", 0, 1)</f>
        <v>kg</v>
      </c>
      <c r="J177" s="649">
        <f>$J$176*K177</f>
        <v>35332.04</v>
      </c>
      <c r="K177" s="893">
        <f>0.08*1850</f>
        <v>148</v>
      </c>
      <c r="L177" s="641">
        <f>'Eléments de constr. inté. et ex'!N104</f>
        <v>30</v>
      </c>
      <c r="M177" s="648">
        <f t="shared" ref="M177:M185" si="434">SUM(N177:Q177)</f>
        <v>10.468577810426963</v>
      </c>
      <c r="N177" s="720">
        <f>IFERROR(($J177*VLOOKUP($H177, 'Baumaterialien Matériaux'!$A$11:$AD$318, 26,FALSE)),0)/$G$1</f>
        <v>4.2472066248163483</v>
      </c>
      <c r="O177" s="720">
        <f>IFERROR(($J177*VLOOKUP($H177, 'Baumaterialien Matériaux'!$A$11:$AH$318, 33,FALSE)),0)/$G$1</f>
        <v>0.96741928676372368</v>
      </c>
      <c r="P177" s="720">
        <f>IFERROR((N177+Q177)*($L$2/L177-1),0)</f>
        <v>4.7505792618316196</v>
      </c>
      <c r="Q177" s="720">
        <f>IFERROR(($J177*VLOOKUP($H177, 'Baumaterialien Matériaux'!$A$11:$AD$318, 27,FALSE)),0)/$G$1</f>
        <v>0.50337263701527091</v>
      </c>
      <c r="R177" s="720">
        <f>IFERROR(($J177*VLOOKUP($H177, 'Baumaterialien Matériaux'!$A$11:$AH$318, 34,FALSE)),0)/$G$1</f>
        <v>0.12859597836249498</v>
      </c>
      <c r="S177" s="720">
        <f>IFERROR((J177*VLOOKUP(H177, 'Baumaterialien Matériaux'!$A$11:$AD$318, 29,FALSE)),0)/$G$1</f>
        <v>0</v>
      </c>
      <c r="T177" s="720"/>
      <c r="V177" s="638">
        <f t="shared" si="432"/>
        <v>0</v>
      </c>
      <c r="W177" s="638">
        <f t="shared" si="433"/>
        <v>0</v>
      </c>
      <c r="X177" s="638" t="str">
        <f t="shared" si="224"/>
        <v>Revêtement</v>
      </c>
      <c r="Z177" s="638">
        <f t="shared" si="314"/>
        <v>30</v>
      </c>
      <c r="AA177" s="648" t="s">
        <v>3448</v>
      </c>
      <c r="AB177" t="str">
        <f>_xlfn.XLOOKUP($H177,'[1]Baumaterialien Matériaux'!$A:$A,'[1]Baumaterialien Matériaux'!AK:AK,0,0)</f>
        <v>concrete</v>
      </c>
      <c r="AC177" t="str" cm="1">
        <f t="array" ref="AC177">_xlfn.SWITCH(I177,"kg"," ",0," ",_xlfn.XLOOKUP(H177, '[1]Baumaterialien Matériaux'!$A:$A, '[1]Baumaterialien Matériaux'!$AL:$AL, "-", 0, 1))</f>
        <v xml:space="preserve"> </v>
      </c>
      <c r="AD177" s="622" cm="1">
        <f t="array" ref="AD177">IFERROR(_xlfn.SWITCH(I177,"kg",1,"m3",AC177,AC177)*J177/(_xlfn.XLOOKUP(AA177,Métrés!A:A,Métrés!C:C,0)),0)</f>
        <v>148</v>
      </c>
      <c r="AE177" s="1092">
        <f>IFERROR(N177*$G$1/(_xlfn.XLOOKUP($AA177,Métrés!$A:$A,Métrés!$C:$C,0)),0)</f>
        <v>15.984000000000002</v>
      </c>
      <c r="AF177" s="1092">
        <f>IFERROR(O177*$G$1/(_xlfn.XLOOKUP($AA177,Métrés!$A:$A,Métrés!$C:$C,0)),0)</f>
        <v>3.6408</v>
      </c>
      <c r="AG177" s="1092">
        <f>IFERROR(Q177*$G$1/(_xlfn.XLOOKUP($AA177,Métrés!$A:$A,Métrés!$C:$C,0)),0)</f>
        <v>1.8944000000000001</v>
      </c>
      <c r="AH177" s="1092">
        <f>IFERROR(R177*$G$1/(_xlfn.XLOOKUP($AA177,Métrés!$A:$A,Métrés!$C:$C,0)),0)</f>
        <v>0.48396</v>
      </c>
      <c r="AI177" s="1092">
        <f>IFERROR(S177*$G$1/(_xlfn.XLOOKUP($AA177,Métrés!$A:$A,Métrés!$C:$C,0)),0)</f>
        <v>0</v>
      </c>
      <c r="AJ177" s="1022"/>
      <c r="AK177" s="638">
        <f t="shared" ref="AK177:AK183" si="435">IF(L177=60, 0, T177)</f>
        <v>0</v>
      </c>
      <c r="AL177" s="638">
        <f t="shared" ref="AL177:AL183" si="436">IF(L177=60, 0, S177)</f>
        <v>0</v>
      </c>
      <c r="AM177" s="638" t="str">
        <f>IF(L177=$L$2, "Structure", IF(L177&gt;0,"Revêtement",0))</f>
        <v>Revêtement</v>
      </c>
      <c r="AN177" s="1036">
        <f t="shared" ref="AN177:AN183" si="437">IF(AM177="Structure",N177,0)</f>
        <v>0</v>
      </c>
      <c r="AO177" s="1037">
        <f t="shared" ref="AO177:AO183" si="438">IF(AM177="Structure",P177,0)</f>
        <v>0</v>
      </c>
      <c r="AP177" s="1037">
        <f t="shared" ref="AP177:AP183" si="439">IF(AM177="Structure",Q177,0)</f>
        <v>0</v>
      </c>
      <c r="AQ177" s="1038">
        <f t="shared" ref="AQ177:AQ183" si="440">IF(AM177="Structure",S177,0)</f>
        <v>0</v>
      </c>
      <c r="AR177" s="1038">
        <f t="shared" ref="AR177:AR183" si="441">IF(AM177="Structure",T177,0)</f>
        <v>0</v>
      </c>
      <c r="AS177" s="1036">
        <f t="shared" ref="AS177:AS183" si="442">IF(AM177="Insulation",N177,0)</f>
        <v>0</v>
      </c>
      <c r="AT177" s="1037">
        <f t="shared" ref="AT177:AT183" si="443">IF(AM177="Insulation",P177,0)</f>
        <v>0</v>
      </c>
      <c r="AU177" s="1037">
        <f t="shared" ref="AU177:AU183" si="444">IF(AM177="Insulation",Q177,0)</f>
        <v>0</v>
      </c>
      <c r="AV177" s="1038">
        <f t="shared" ref="AV177:AV183" si="445">IF(AM177="Insulation",S177,0)</f>
        <v>0</v>
      </c>
      <c r="AW177" s="1038">
        <f t="shared" ref="AW177:AW183" si="446">IF(AM177="Insulation",T177,0)</f>
        <v>0</v>
      </c>
      <c r="AX177" s="1036">
        <f t="shared" ref="AX177:AX183" si="447">IF(AM177="Revêtement",N177,0)</f>
        <v>4.2472066248163483</v>
      </c>
      <c r="AY177" s="1037">
        <f t="shared" ref="AY177:AY183" si="448">IF(AM177="Revêtement",P177,0)</f>
        <v>4.7505792618316196</v>
      </c>
      <c r="AZ177" s="1037">
        <f t="shared" ref="AZ177:AZ183" si="449">IF(AM177="Revêtement",Q177,0)</f>
        <v>0.50337263701527091</v>
      </c>
      <c r="BA177" s="1037">
        <f t="shared" ref="BA177:BA183" si="450">IF(AM177="Revêtement",S177,0)</f>
        <v>0</v>
      </c>
      <c r="BB177" s="1038">
        <f t="shared" ref="BB177:BB183" si="451">IF(AM177="Revêtement",T177,0)</f>
        <v>0</v>
      </c>
      <c r="BC177" s="1036"/>
      <c r="BD177" s="1037"/>
      <c r="BE177" s="1037"/>
      <c r="BF177" s="1038"/>
      <c r="BG177" s="1036">
        <f t="shared" ref="BG177:BG183" si="452">IF($AM177="Structure", IF($I177="kg",$J177,0), 0)</f>
        <v>0</v>
      </c>
      <c r="BH177" s="1037">
        <f t="shared" ref="BH177:BH183" si="453">IF($AM177="Insulation", IF($I177="kg",$J177,0), 0)</f>
        <v>0</v>
      </c>
      <c r="BI177" s="1038">
        <f t="shared" ref="BI177:BI183" si="454">IF($AM177="Revêtement", IF($I177="kg",$J177,0), 0)</f>
        <v>35332.04</v>
      </c>
      <c r="BJ177" s="1037">
        <f>_xlfn.XLOOKUP(H177, 'Baumaterialien Matériaux'!A:A, 'Baumaterialien Matériaux'!E:E, "-", 0, 1)</f>
        <v>1850</v>
      </c>
      <c r="BK177" s="1036">
        <f t="shared" si="329"/>
        <v>0</v>
      </c>
      <c r="BL177" s="1037">
        <f t="shared" si="330"/>
        <v>0</v>
      </c>
      <c r="BM177" s="1038">
        <f t="shared" si="331"/>
        <v>19.098400000000002</v>
      </c>
      <c r="BN177" s="1037">
        <f>IFERROR((J177*VLOOKUP(H177, 'Baumaterialien Matériaux'!$A$11:$AH$318, 33,FALSE)),0)/$G$1</f>
        <v>0.96741928676372368</v>
      </c>
      <c r="BO177" s="1037">
        <f t="shared" ref="BO177:BO183" si="455">(BN177+BP177)*($L$2/L177-1)</f>
        <v>1.0960152651262187</v>
      </c>
      <c r="BP177" s="1037">
        <f>IFERROR((J177*VLOOKUP(H177, 'Baumaterialien Matériaux'!$A$11:$AH$318, 34,FALSE)),0)/$G$1</f>
        <v>0.12859597836249498</v>
      </c>
      <c r="BQ177" s="1037">
        <f t="shared" si="425"/>
        <v>0.25546874999999997</v>
      </c>
      <c r="BR177" s="1037">
        <f t="shared" ref="BR177:BR183" si="456">IFERROR((N177+Q177)*($L$2/L177-1),0)</f>
        <v>4.7505792618316196</v>
      </c>
    </row>
    <row r="178" spans="2:70">
      <c r="B178" s="1103"/>
      <c r="C178" s="1099"/>
      <c r="D178" s="478"/>
      <c r="E178" s="750">
        <v>0.7</v>
      </c>
      <c r="F178" s="478" t="s">
        <v>3019</v>
      </c>
      <c r="G178" s="478" t="str">
        <f>_xlfn.XLOOKUP(H178, 'Baumaterialien Matériaux'!A:A, 'Baumaterialien Matériaux'!AD:AD, "-", 0, 1)</f>
        <v>Polystyrène expansé (EPS)</v>
      </c>
      <c r="H178" s="892" t="s">
        <v>118</v>
      </c>
      <c r="I178" s="641" t="str">
        <f>_xlfn.XLOOKUP(H178, 'Baumaterialien Matériaux'!A:A, 'Baumaterialien Matériaux'!F:F, "-", 0, 1)</f>
        <v>kg</v>
      </c>
      <c r="J178" s="649">
        <f t="shared" ref="J178:J180" si="457">$J$176*K178</f>
        <v>119.36499999999999</v>
      </c>
      <c r="K178" s="893">
        <f>0.02*25</f>
        <v>0.5</v>
      </c>
      <c r="L178" s="641">
        <f>'Eléments de constr. inté. et ex'!N105</f>
        <v>30</v>
      </c>
      <c r="M178" s="648">
        <f t="shared" si="434"/>
        <v>2.2838301389074394</v>
      </c>
      <c r="N178" s="720">
        <f>IFERROR(($J178*VLOOKUP($H178, 'Baumaterialien Matériaux'!$A$11:$AD$318, 26,FALSE)),0)/$G$1</f>
        <v>0.59918987355861264</v>
      </c>
      <c r="O178" s="720">
        <f>IFERROR(($J178*VLOOKUP($H178, 'Baumaterialien Matériaux'!$A$11:$AH$318, 33,FALSE)),0)/$G$1</f>
        <v>0.26438754953029692</v>
      </c>
      <c r="P178" s="720">
        <f t="shared" ref="P178:P180" si="458">IFERROR((N178+Q178)*($L$2/L178-1),0)</f>
        <v>1.0097212946885712</v>
      </c>
      <c r="Q178" s="720">
        <f>IFERROR(($J178*VLOOKUP($H178, 'Baumaterialien Matériaux'!$A$11:$AD$318, 27,FALSE)),0)/$G$1</f>
        <v>0.4105314211299585</v>
      </c>
      <c r="R178" s="720">
        <f>IFERROR(($J178*VLOOKUP($H178, 'Baumaterialien Matériaux'!$A$11:$AH$318, 34,FALSE)),0)/$G$1</f>
        <v>9.3797793953964634E-2</v>
      </c>
      <c r="S178" s="720">
        <f>IFERROR((J178*VLOOKUP(H178, 'Baumaterialien Matériaux'!$A$11:$AD$318, 29,FALSE)),0)/$G$1</f>
        <v>0</v>
      </c>
      <c r="T178" s="720"/>
      <c r="V178" s="638">
        <f t="shared" si="432"/>
        <v>0</v>
      </c>
      <c r="W178" s="638">
        <f t="shared" si="433"/>
        <v>0</v>
      </c>
      <c r="X178" s="638" t="str">
        <f t="shared" ref="X178:X246" si="459">IF(L178=$L$2, "Structure", IF(L178&gt;0,"Revêtement",0))</f>
        <v>Revêtement</v>
      </c>
      <c r="Z178" s="638">
        <f t="shared" si="314"/>
        <v>30</v>
      </c>
      <c r="AA178" s="648" t="s">
        <v>3448</v>
      </c>
      <c r="AB178" t="str">
        <f>_xlfn.XLOOKUP($H178,'[1]Baumaterialien Matériaux'!$A:$A,'[1]Baumaterialien Matériaux'!AK:AK,0,0)</f>
        <v>oil_product</v>
      </c>
      <c r="AC178" t="str" cm="1">
        <f t="array" ref="AC178">_xlfn.SWITCH(I178,"kg"," ",0," ",_xlfn.XLOOKUP(H178, '[1]Baumaterialien Matériaux'!$A:$A, '[1]Baumaterialien Matériaux'!$AL:$AL, "-", 0, 1))</f>
        <v xml:space="preserve"> </v>
      </c>
      <c r="AD178" s="622" cm="1">
        <f t="array" ref="AD178">IFERROR(_xlfn.SWITCH(I178,"kg",1,"m3",AC178,AC178)*J178/(_xlfn.XLOOKUP(AA178,Métrés!A:A,Métrés!C:C,0)),0)</f>
        <v>0.5</v>
      </c>
      <c r="AE178" s="1092">
        <f>IFERROR(N178*$G$1/(_xlfn.XLOOKUP($AA178,Métrés!$A:$A,Métrés!$C:$C,0)),0)</f>
        <v>2.2549999999999999</v>
      </c>
      <c r="AF178" s="1092">
        <f>IFERROR(O178*$G$1/(_xlfn.XLOOKUP($AA178,Métrés!$A:$A,Métrés!$C:$C,0)),0)</f>
        <v>0.99499999999999988</v>
      </c>
      <c r="AG178" s="1092">
        <f>IFERROR(Q178*$G$1/(_xlfn.XLOOKUP($AA178,Métrés!$A:$A,Métrés!$C:$C,0)),0)</f>
        <v>1.5449999999999999</v>
      </c>
      <c r="AH178" s="1092">
        <f>IFERROR(R178*$G$1/(_xlfn.XLOOKUP($AA178,Métrés!$A:$A,Métrés!$C:$C,0)),0)</f>
        <v>0.35299999999999998</v>
      </c>
      <c r="AI178" s="1092">
        <f>IFERROR(S178*$G$1/(_xlfn.XLOOKUP($AA178,Métrés!$A:$A,Métrés!$C:$C,0)),0)</f>
        <v>0</v>
      </c>
      <c r="AJ178" s="1022"/>
      <c r="AK178" s="638">
        <f t="shared" si="435"/>
        <v>0</v>
      </c>
      <c r="AL178" s="638">
        <f t="shared" si="436"/>
        <v>0</v>
      </c>
      <c r="AM178" s="638" t="s">
        <v>3388</v>
      </c>
      <c r="AN178" s="1036">
        <f t="shared" si="437"/>
        <v>0</v>
      </c>
      <c r="AO178" s="1037">
        <f t="shared" si="438"/>
        <v>0</v>
      </c>
      <c r="AP178" s="1037">
        <f t="shared" si="439"/>
        <v>0</v>
      </c>
      <c r="AQ178" s="1038">
        <f t="shared" si="440"/>
        <v>0</v>
      </c>
      <c r="AR178" s="1038">
        <f t="shared" si="441"/>
        <v>0</v>
      </c>
      <c r="AS178" s="1036">
        <f t="shared" si="442"/>
        <v>0.59918987355861264</v>
      </c>
      <c r="AT178" s="1037">
        <f t="shared" si="443"/>
        <v>1.0097212946885712</v>
      </c>
      <c r="AU178" s="1037">
        <f t="shared" si="444"/>
        <v>0.4105314211299585</v>
      </c>
      <c r="AV178" s="1038">
        <f t="shared" si="445"/>
        <v>0</v>
      </c>
      <c r="AW178" s="1038">
        <f t="shared" si="446"/>
        <v>0</v>
      </c>
      <c r="AX178" s="1036">
        <f t="shared" si="447"/>
        <v>0</v>
      </c>
      <c r="AY178" s="1037">
        <f t="shared" si="448"/>
        <v>0</v>
      </c>
      <c r="AZ178" s="1037">
        <f t="shared" si="449"/>
        <v>0</v>
      </c>
      <c r="BA178" s="1037">
        <f t="shared" si="450"/>
        <v>0</v>
      </c>
      <c r="BB178" s="1038">
        <f t="shared" si="451"/>
        <v>0</v>
      </c>
      <c r="BC178" s="1036"/>
      <c r="BD178" s="1037"/>
      <c r="BE178" s="1037"/>
      <c r="BF178" s="1038"/>
      <c r="BG178" s="1036">
        <f t="shared" si="452"/>
        <v>0</v>
      </c>
      <c r="BH178" s="1037">
        <f t="shared" si="453"/>
        <v>119.36499999999999</v>
      </c>
      <c r="BI178" s="1038">
        <f t="shared" si="454"/>
        <v>0</v>
      </c>
      <c r="BJ178" s="1037">
        <v>25</v>
      </c>
      <c r="BK178" s="1036">
        <f t="shared" si="329"/>
        <v>0</v>
      </c>
      <c r="BL178" s="1037">
        <f t="shared" si="330"/>
        <v>4.7745999999999995</v>
      </c>
      <c r="BM178" s="1038">
        <f t="shared" si="331"/>
        <v>0</v>
      </c>
      <c r="BN178" s="1037">
        <f>IFERROR((J178*VLOOKUP(H178, 'Baumaterialien Matériaux'!$A$11:$AH$318, 33,FALSE)),0)/$G$1</f>
        <v>0.26438754953029692</v>
      </c>
      <c r="BO178" s="1037">
        <f t="shared" si="455"/>
        <v>0.35818534348426156</v>
      </c>
      <c r="BP178" s="1037">
        <f>IFERROR((J178*VLOOKUP(H178, 'Baumaterialien Matériaux'!$A$11:$AH$318, 34,FALSE)),0)/$G$1</f>
        <v>9.3797793953964634E-2</v>
      </c>
      <c r="BQ178" s="1037">
        <f t="shared" si="425"/>
        <v>0.2284789644012945</v>
      </c>
      <c r="BR178" s="1037">
        <f t="shared" si="456"/>
        <v>1.0097212946885712</v>
      </c>
    </row>
    <row r="179" spans="2:70">
      <c r="B179" s="1103"/>
      <c r="C179" s="1099"/>
      <c r="D179" s="478"/>
      <c r="E179" s="750">
        <v>0.3</v>
      </c>
      <c r="F179" s="478" t="s">
        <v>3020</v>
      </c>
      <c r="G179" s="478" t="str">
        <f>_xlfn.XLOOKUP(H179, 'Baumaterialien Matériaux'!A:A, 'Baumaterialien Matériaux'!AD:AD, "-", 0, 1)</f>
        <v>Polystyrène expansé (EPS)</v>
      </c>
      <c r="H179" s="892" t="s">
        <v>118</v>
      </c>
      <c r="I179" s="641" t="str">
        <f>_xlfn.XLOOKUP(H179, 'Baumaterialien Matériaux'!A:A, 'Baumaterialien Matériaux'!F:F, "-", 0, 1)</f>
        <v>kg</v>
      </c>
      <c r="J179" s="649">
        <f t="shared" si="457"/>
        <v>71.619</v>
      </c>
      <c r="K179" s="893">
        <f>0.02*15</f>
        <v>0.3</v>
      </c>
      <c r="L179" s="641">
        <f>'Eléments de constr. inté. et ex'!N111</f>
        <v>30</v>
      </c>
      <c r="M179" s="648">
        <f t="shared" si="434"/>
        <v>1.3702980833444636</v>
      </c>
      <c r="N179" s="720">
        <f>IFERROR(($J179*VLOOKUP($H179, 'Baumaterialien Matériaux'!$A$11:$AD$318, 26,FALSE)),0)/$G$1</f>
        <v>0.35951392413516758</v>
      </c>
      <c r="O179" s="720">
        <f>IFERROR(($J179*VLOOKUP($H179, 'Baumaterialien Matériaux'!$A$11:$AH$318, 33,FALSE)),0)/$G$1</f>
        <v>0.15863252971817815</v>
      </c>
      <c r="P179" s="720">
        <f t="shared" si="458"/>
        <v>0.60583277681314274</v>
      </c>
      <c r="Q179" s="720">
        <f>IFERROR(($J179*VLOOKUP($H179, 'Baumaterialien Matériaux'!$A$11:$AD$318, 27,FALSE)),0)/$G$1</f>
        <v>0.24631885267797513</v>
      </c>
      <c r="R179" s="720">
        <f>IFERROR(($J179*VLOOKUP($H179, 'Baumaterialien Matériaux'!$A$11:$AH$318, 34,FALSE)),0)/$G$1</f>
        <v>5.627867637237878E-2</v>
      </c>
      <c r="S179" s="720">
        <f>IFERROR((J179*VLOOKUP(H179, 'Baumaterialien Matériaux'!$A$11:$AD$318, 29,FALSE)),0)/$G$1</f>
        <v>0</v>
      </c>
      <c r="T179" s="720"/>
      <c r="V179" s="638">
        <f t="shared" si="432"/>
        <v>0</v>
      </c>
      <c r="W179" s="638">
        <f t="shared" si="433"/>
        <v>0</v>
      </c>
      <c r="X179" s="638" t="str">
        <f t="shared" si="459"/>
        <v>Revêtement</v>
      </c>
      <c r="Z179" s="638">
        <f t="shared" si="314"/>
        <v>30</v>
      </c>
      <c r="AA179" s="648" t="s">
        <v>3448</v>
      </c>
      <c r="AB179" t="str">
        <f>_xlfn.XLOOKUP($H179,'[1]Baumaterialien Matériaux'!$A:$A,'[1]Baumaterialien Matériaux'!AK:AK,0,0)</f>
        <v>oil_product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 s="622" cm="1">
        <f t="array" ref="AD179">IFERROR(_xlfn.SWITCH(I179,"kg",1,"m3",AC179,AC179)*J179/(_xlfn.XLOOKUP(AA179,Métrés!A:A,Métrés!C:C,0)),0)</f>
        <v>0.3</v>
      </c>
      <c r="AE179" s="1092">
        <f>IFERROR(N179*$G$1/(_xlfn.XLOOKUP($AA179,Métrés!$A:$A,Métrés!$C:$C,0)),0)</f>
        <v>1.353</v>
      </c>
      <c r="AF179" s="1092">
        <f>IFERROR(O179*$G$1/(_xlfn.XLOOKUP($AA179,Métrés!$A:$A,Métrés!$C:$C,0)),0)</f>
        <v>0.59699999999999998</v>
      </c>
      <c r="AG179" s="1092">
        <f>IFERROR(Q179*$G$1/(_xlfn.XLOOKUP($AA179,Métrés!$A:$A,Métrés!$C:$C,0)),0)</f>
        <v>0.92700000000000005</v>
      </c>
      <c r="AH179" s="1092">
        <f>IFERROR(R179*$G$1/(_xlfn.XLOOKUP($AA179,Métrés!$A:$A,Métrés!$C:$C,0)),0)</f>
        <v>0.21179999999999999</v>
      </c>
      <c r="AI179" s="1092">
        <f>IFERROR(S179*$G$1/(_xlfn.XLOOKUP($AA179,Métrés!$A:$A,Métrés!$C:$C,0)),0)</f>
        <v>0</v>
      </c>
      <c r="AJ179" s="1022"/>
      <c r="AK179" s="638">
        <f t="shared" si="435"/>
        <v>0</v>
      </c>
      <c r="AL179" s="638">
        <f t="shared" si="436"/>
        <v>0</v>
      </c>
      <c r="AM179" s="638" t="s">
        <v>3388</v>
      </c>
      <c r="AN179" s="1036">
        <f t="shared" si="437"/>
        <v>0</v>
      </c>
      <c r="AO179" s="1037">
        <f t="shared" si="438"/>
        <v>0</v>
      </c>
      <c r="AP179" s="1037">
        <f t="shared" si="439"/>
        <v>0</v>
      </c>
      <c r="AQ179" s="1038">
        <f t="shared" si="440"/>
        <v>0</v>
      </c>
      <c r="AR179" s="1038">
        <f t="shared" si="441"/>
        <v>0</v>
      </c>
      <c r="AS179" s="1036">
        <f t="shared" si="442"/>
        <v>0.35951392413516758</v>
      </c>
      <c r="AT179" s="1037">
        <f t="shared" si="443"/>
        <v>0.60583277681314274</v>
      </c>
      <c r="AU179" s="1037">
        <f t="shared" si="444"/>
        <v>0.24631885267797513</v>
      </c>
      <c r="AV179" s="1038">
        <f t="shared" si="445"/>
        <v>0</v>
      </c>
      <c r="AW179" s="1038">
        <f t="shared" si="446"/>
        <v>0</v>
      </c>
      <c r="AX179" s="1036">
        <f t="shared" si="447"/>
        <v>0</v>
      </c>
      <c r="AY179" s="1037">
        <f t="shared" si="448"/>
        <v>0</v>
      </c>
      <c r="AZ179" s="1037">
        <f t="shared" si="449"/>
        <v>0</v>
      </c>
      <c r="BA179" s="1037">
        <f t="shared" si="450"/>
        <v>0</v>
      </c>
      <c r="BB179" s="1038">
        <f t="shared" si="451"/>
        <v>0</v>
      </c>
      <c r="BC179" s="1036"/>
      <c r="BD179" s="1037"/>
      <c r="BE179" s="1037"/>
      <c r="BF179" s="1038"/>
      <c r="BG179" s="1036">
        <f t="shared" si="452"/>
        <v>0</v>
      </c>
      <c r="BH179" s="1037">
        <f t="shared" si="453"/>
        <v>71.619</v>
      </c>
      <c r="BI179" s="1038">
        <f t="shared" si="454"/>
        <v>0</v>
      </c>
      <c r="BJ179" s="1037">
        <v>15</v>
      </c>
      <c r="BK179" s="1036">
        <f t="shared" si="329"/>
        <v>0</v>
      </c>
      <c r="BL179" s="1037">
        <f t="shared" si="330"/>
        <v>4.7746000000000004</v>
      </c>
      <c r="BM179" s="1038">
        <f t="shared" si="331"/>
        <v>0</v>
      </c>
      <c r="BN179" s="1037">
        <f>IFERROR((J179*VLOOKUP(H179, 'Baumaterialien Matériaux'!$A$11:$AH$318, 33,FALSE)),0)/$G$1</f>
        <v>0.15863252971817815</v>
      </c>
      <c r="BO179" s="1037">
        <f t="shared" si="455"/>
        <v>0.21491120609055692</v>
      </c>
      <c r="BP179" s="1037">
        <f>IFERROR((J179*VLOOKUP(H179, 'Baumaterialien Matériaux'!$A$11:$AH$318, 34,FALSE)),0)/$G$1</f>
        <v>5.627867637237878E-2</v>
      </c>
      <c r="BQ179" s="1037">
        <f t="shared" si="425"/>
        <v>0.22847896440129448</v>
      </c>
      <c r="BR179" s="1037">
        <f t="shared" si="456"/>
        <v>0.60583277681314274</v>
      </c>
    </row>
    <row r="180" spans="2:70">
      <c r="B180" s="1103"/>
      <c r="C180" s="1099"/>
      <c r="D180" s="478"/>
      <c r="E180" s="750">
        <v>0.3</v>
      </c>
      <c r="F180" s="478" t="s">
        <v>3021</v>
      </c>
      <c r="G180" s="478" t="str">
        <f>_xlfn.XLOOKUP(H180, 'Baumaterialien Matériaux'!A:A, 'Baumaterialien Matériaux'!AD:AD, "-", 0, 1)</f>
        <v>Polyuréthane (PUR/PIR)</v>
      </c>
      <c r="H180" s="892" t="s">
        <v>702</v>
      </c>
      <c r="I180" s="641" t="str">
        <f>_xlfn.XLOOKUP(H180, 'Baumaterialien Matériaux'!A:A, 'Baumaterialien Matériaux'!F:F, "-", 0, 1)</f>
        <v>kg</v>
      </c>
      <c r="J180" s="649">
        <f t="shared" si="457"/>
        <v>1289.1419999999998</v>
      </c>
      <c r="K180" s="888">
        <f>0.18*30</f>
        <v>5.3999999999999995</v>
      </c>
      <c r="L180" s="641">
        <f>'Eléments de constr. inté. et ex'!N112</f>
        <v>30</v>
      </c>
      <c r="M180" s="648">
        <f t="shared" si="434"/>
        <v>24.091418659008944</v>
      </c>
      <c r="N180" s="720">
        <f>IFERROR(($J180*VLOOKUP($H180, 'Baumaterialien Matériaux'!$A$11:$AD$318, 26,FALSE)),0)/$G$1</f>
        <v>6.8873620942967797</v>
      </c>
      <c r="O180" s="720">
        <f>IFERROR(($J180*VLOOKUP($H180, 'Baumaterialien Matériaux'!$A$11:$AH$318, 33,FALSE)),0)/$G$1</f>
        <v>2.7118988246293569</v>
      </c>
      <c r="P180" s="720">
        <f t="shared" si="458"/>
        <v>10.689759917189793</v>
      </c>
      <c r="Q180" s="720">
        <f>IFERROR(($J180*VLOOKUP($H180, 'Baumaterialien Matériaux'!$A$11:$AD$318, 27,FALSE)),0)/$G$1</f>
        <v>3.8023978228930138</v>
      </c>
      <c r="R180" s="720">
        <f>IFERROR(($J180*VLOOKUP($H180, 'Baumaterialien Matériaux'!$A$11:$AH$318, 34,FALSE)),0)/$G$1</f>
        <v>1.2512041137972483</v>
      </c>
      <c r="S180" s="720">
        <f>IFERROR((J180*VLOOKUP(H180, 'Baumaterialien Matériaux'!$A$11:$AD$318, 29,FALSE)),0)/$G$1</f>
        <v>0</v>
      </c>
      <c r="T180" s="720"/>
      <c r="V180" s="638">
        <f t="shared" si="432"/>
        <v>0</v>
      </c>
      <c r="W180" s="638">
        <f t="shared" si="433"/>
        <v>0</v>
      </c>
      <c r="X180" s="638" t="str">
        <f t="shared" si="459"/>
        <v>Revêtement</v>
      </c>
      <c r="Z180" s="638">
        <f t="shared" si="314"/>
        <v>30</v>
      </c>
      <c r="AA180" s="648" t="s">
        <v>3448</v>
      </c>
      <c r="AB180" t="str">
        <f>_xlfn.XLOOKUP($H180,'[1]Baumaterialien Matériaux'!$A:$A,'[1]Baumaterialien Matériaux'!AK:AK,0,0)</f>
        <v>oil_product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 s="622" cm="1">
        <f t="array" ref="AD180">IFERROR(_xlfn.SWITCH(I180,"kg",1,"m3",AC180,AC180)*J180/(_xlfn.XLOOKUP(AA180,Métrés!A:A,Métrés!C:C,0)),0)</f>
        <v>5.3999999999999995</v>
      </c>
      <c r="AE180" s="1092">
        <f>IFERROR(N180*$G$1/(_xlfn.XLOOKUP($AA180,Métrés!$A:$A,Métrés!$C:$C,0)),0)</f>
        <v>25.919999999999995</v>
      </c>
      <c r="AF180" s="1092">
        <f>IFERROR(O180*$G$1/(_xlfn.XLOOKUP($AA180,Métrés!$A:$A,Métrés!$C:$C,0)),0)</f>
        <v>10.205999999999998</v>
      </c>
      <c r="AG180" s="1092">
        <f>IFERROR(Q180*$G$1/(_xlfn.XLOOKUP($AA180,Métrés!$A:$A,Métrés!$C:$C,0)),0)</f>
        <v>14.309999999999999</v>
      </c>
      <c r="AH180" s="1092">
        <f>IFERROR(R180*$G$1/(_xlfn.XLOOKUP($AA180,Métrés!$A:$A,Métrés!$C:$C,0)),0)</f>
        <v>4.7087999999999992</v>
      </c>
      <c r="AI180" s="1092">
        <f>IFERROR(S180*$G$1/(_xlfn.XLOOKUP($AA180,Métrés!$A:$A,Métrés!$C:$C,0)),0)</f>
        <v>0</v>
      </c>
      <c r="AJ180" s="1022"/>
      <c r="AK180" s="638">
        <f t="shared" si="435"/>
        <v>0</v>
      </c>
      <c r="AL180" s="638">
        <f t="shared" si="436"/>
        <v>0</v>
      </c>
      <c r="AM180" s="638" t="s">
        <v>3388</v>
      </c>
      <c r="AN180" s="1036">
        <f t="shared" si="437"/>
        <v>0</v>
      </c>
      <c r="AO180" s="1037">
        <f t="shared" si="438"/>
        <v>0</v>
      </c>
      <c r="AP180" s="1037">
        <f t="shared" si="439"/>
        <v>0</v>
      </c>
      <c r="AQ180" s="1038">
        <f t="shared" si="440"/>
        <v>0</v>
      </c>
      <c r="AR180" s="1038">
        <f t="shared" si="441"/>
        <v>0</v>
      </c>
      <c r="AS180" s="1036">
        <f t="shared" si="442"/>
        <v>6.8873620942967797</v>
      </c>
      <c r="AT180" s="1037">
        <f t="shared" si="443"/>
        <v>10.689759917189793</v>
      </c>
      <c r="AU180" s="1037">
        <f t="shared" si="444"/>
        <v>3.8023978228930138</v>
      </c>
      <c r="AV180" s="1038">
        <f t="shared" si="445"/>
        <v>0</v>
      </c>
      <c r="AW180" s="1038">
        <f t="shared" si="446"/>
        <v>0</v>
      </c>
      <c r="AX180" s="1036">
        <f t="shared" si="447"/>
        <v>0</v>
      </c>
      <c r="AY180" s="1037">
        <f t="shared" si="448"/>
        <v>0</v>
      </c>
      <c r="AZ180" s="1037">
        <f t="shared" si="449"/>
        <v>0</v>
      </c>
      <c r="BA180" s="1037">
        <f t="shared" si="450"/>
        <v>0</v>
      </c>
      <c r="BB180" s="1038">
        <f t="shared" si="451"/>
        <v>0</v>
      </c>
      <c r="BC180" s="1036"/>
      <c r="BD180" s="1037"/>
      <c r="BE180" s="1037"/>
      <c r="BF180" s="1038"/>
      <c r="BG180" s="1036">
        <f t="shared" si="452"/>
        <v>0</v>
      </c>
      <c r="BH180" s="1037">
        <f t="shared" si="453"/>
        <v>1289.1419999999998</v>
      </c>
      <c r="BI180" s="1038">
        <f t="shared" si="454"/>
        <v>0</v>
      </c>
      <c r="BJ180" s="1037">
        <f>_xlfn.XLOOKUP(H180, 'Baumaterialien Matériaux'!A:A, 'Baumaterialien Matériaux'!E:E, "-", 0, 1)</f>
        <v>30</v>
      </c>
      <c r="BK180" s="1036">
        <f t="shared" si="329"/>
        <v>0</v>
      </c>
      <c r="BL180" s="1037">
        <f t="shared" si="330"/>
        <v>42.971399999999996</v>
      </c>
      <c r="BM180" s="1038">
        <f t="shared" si="331"/>
        <v>0</v>
      </c>
      <c r="BN180" s="1037">
        <f>IFERROR((J180*VLOOKUP(H180, 'Baumaterialien Matériaux'!$A$11:$AH$318, 33,FALSE)),0)/$G$1</f>
        <v>2.7118988246293569</v>
      </c>
      <c r="BO180" s="1037">
        <f t="shared" si="455"/>
        <v>3.963102938426605</v>
      </c>
      <c r="BP180" s="1037">
        <f>IFERROR((J180*VLOOKUP(H180, 'Baumaterialien Matériaux'!$A$11:$AH$318, 34,FALSE)),0)/$G$1</f>
        <v>1.2512041137972483</v>
      </c>
      <c r="BQ180" s="1037">
        <f t="shared" si="425"/>
        <v>0.32905660377358492</v>
      </c>
      <c r="BR180" s="1037">
        <f t="shared" si="456"/>
        <v>10.689759917189793</v>
      </c>
    </row>
    <row r="181" spans="2:70">
      <c r="B181" s="1103"/>
      <c r="C181" s="1099"/>
      <c r="D181" s="478"/>
      <c r="E181" s="478"/>
      <c r="F181" s="478"/>
      <c r="G181" s="478"/>
      <c r="H181" s="875"/>
      <c r="I181" s="641"/>
      <c r="J181" s="649"/>
      <c r="K181" s="641"/>
      <c r="L181" s="641"/>
      <c r="M181" s="648"/>
      <c r="N181" s="720"/>
      <c r="O181" s="720"/>
      <c r="P181" s="720"/>
      <c r="Q181" s="720"/>
      <c r="R181" s="720"/>
      <c r="S181" s="720"/>
      <c r="T181" s="720"/>
      <c r="V181" s="638">
        <f t="shared" si="432"/>
        <v>0</v>
      </c>
      <c r="W181" s="638">
        <f t="shared" si="433"/>
        <v>0</v>
      </c>
      <c r="X181" s="638">
        <f t="shared" si="459"/>
        <v>0</v>
      </c>
      <c r="Z181" s="638">
        <f t="shared" si="314"/>
        <v>0</v>
      </c>
      <c r="AA181" s="648" t="s">
        <v>3448</v>
      </c>
      <c r="AB181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 s="622" cm="1">
        <f t="array" ref="AD181">IFERROR(_xlfn.SWITCH(I181,"kg",1,"m3",AC181,AC181)*J181/(_xlfn.XLOOKUP(AA181,Métrés!A:A,Métrés!C:C,0)),0)</f>
        <v>0</v>
      </c>
      <c r="AE181" s="1092">
        <f>IFERROR(N181*$G$1/(_xlfn.XLOOKUP($AA181,Métrés!$A:$A,Métrés!$C:$C,0)),0)</f>
        <v>0</v>
      </c>
      <c r="AF181" s="1092">
        <f>IFERROR(O181*$G$1/(_xlfn.XLOOKUP($AA181,Métrés!$A:$A,Métrés!$C:$C,0)),0)</f>
        <v>0</v>
      </c>
      <c r="AG181" s="1092">
        <f>IFERROR(Q181*$G$1/(_xlfn.XLOOKUP($AA181,Métrés!$A:$A,Métrés!$C:$C,0)),0)</f>
        <v>0</v>
      </c>
      <c r="AH181" s="1092">
        <f>IFERROR(R181*$G$1/(_xlfn.XLOOKUP($AA181,Métrés!$A:$A,Métrés!$C:$C,0)),0)</f>
        <v>0</v>
      </c>
      <c r="AI181" s="1092">
        <f>IFERROR(S181*$G$1/(_xlfn.XLOOKUP($AA181,Métrés!$A:$A,Métrés!$C:$C,0)),0)</f>
        <v>0</v>
      </c>
      <c r="AJ181" s="1022"/>
      <c r="AK181" s="638">
        <f t="shared" si="435"/>
        <v>0</v>
      </c>
      <c r="AL181" s="638">
        <f t="shared" si="436"/>
        <v>0</v>
      </c>
      <c r="AM181" s="638">
        <f>IF(L181=$L$2, "Structure", IF(L181&gt;0,"Revêtement",0))</f>
        <v>0</v>
      </c>
      <c r="AN181" s="1036">
        <f t="shared" si="437"/>
        <v>0</v>
      </c>
      <c r="AO181" s="1037">
        <f t="shared" si="438"/>
        <v>0</v>
      </c>
      <c r="AP181" s="1037">
        <f t="shared" si="439"/>
        <v>0</v>
      </c>
      <c r="AQ181" s="1038">
        <f t="shared" si="440"/>
        <v>0</v>
      </c>
      <c r="AR181" s="1038">
        <f t="shared" si="441"/>
        <v>0</v>
      </c>
      <c r="AS181" s="1036">
        <f t="shared" si="442"/>
        <v>0</v>
      </c>
      <c r="AT181" s="1037">
        <f t="shared" si="443"/>
        <v>0</v>
      </c>
      <c r="AU181" s="1037">
        <f t="shared" si="444"/>
        <v>0</v>
      </c>
      <c r="AV181" s="1038">
        <f t="shared" si="445"/>
        <v>0</v>
      </c>
      <c r="AW181" s="1038">
        <f t="shared" si="446"/>
        <v>0</v>
      </c>
      <c r="AX181" s="1036">
        <f t="shared" si="447"/>
        <v>0</v>
      </c>
      <c r="AY181" s="1037">
        <f t="shared" si="448"/>
        <v>0</v>
      </c>
      <c r="AZ181" s="1037">
        <f t="shared" si="449"/>
        <v>0</v>
      </c>
      <c r="BA181" s="1037">
        <f t="shared" si="450"/>
        <v>0</v>
      </c>
      <c r="BB181" s="1038">
        <f t="shared" si="451"/>
        <v>0</v>
      </c>
      <c r="BC181" s="1036"/>
      <c r="BD181" s="1037"/>
      <c r="BE181" s="1037"/>
      <c r="BF181" s="1038"/>
      <c r="BG181" s="1036">
        <f t="shared" si="452"/>
        <v>0</v>
      </c>
      <c r="BH181" s="1037">
        <f t="shared" si="453"/>
        <v>0</v>
      </c>
      <c r="BI181" s="1038">
        <f t="shared" si="454"/>
        <v>0</v>
      </c>
      <c r="BJ181" s="1037">
        <f>_xlfn.XLOOKUP(H181, 'Baumaterialien Matériaux'!A:A, 'Baumaterialien Matériaux'!E:E, "-", 0, 1)</f>
        <v>0</v>
      </c>
      <c r="BK181" s="1036">
        <f t="shared" si="329"/>
        <v>0</v>
      </c>
      <c r="BL181" s="1037">
        <f t="shared" si="330"/>
        <v>0</v>
      </c>
      <c r="BM181" s="1038">
        <f t="shared" si="331"/>
        <v>0</v>
      </c>
      <c r="BN181" s="1037">
        <f>IFERROR((J181*VLOOKUP(H181, 'Baumaterialien Matériaux'!$A$11:$AH$318, 33,FALSE)),0)/$G$1</f>
        <v>0</v>
      </c>
      <c r="BO181" s="1037" t="e">
        <f t="shared" si="455"/>
        <v>#DIV/0!</v>
      </c>
      <c r="BP181" s="1037">
        <f>IFERROR((J181*VLOOKUP(H181, 'Baumaterialien Matériaux'!$A$11:$AH$318, 34,FALSE)),0)/$G$1</f>
        <v>0</v>
      </c>
      <c r="BQ181" s="1037" t="e">
        <f t="shared" si="425"/>
        <v>#DIV/0!</v>
      </c>
      <c r="BR181" s="1037">
        <f t="shared" si="456"/>
        <v>0</v>
      </c>
    </row>
    <row r="182" spans="2:70">
      <c r="B182" s="1103"/>
      <c r="C182" s="1099"/>
      <c r="D182" s="478"/>
      <c r="E182" s="478"/>
      <c r="F182" s="478"/>
      <c r="G182" s="478"/>
      <c r="H182" s="875"/>
      <c r="I182" s="641"/>
      <c r="J182" s="649"/>
      <c r="K182" s="647"/>
      <c r="L182" s="641"/>
      <c r="M182" s="648"/>
      <c r="N182" s="720"/>
      <c r="O182" s="720"/>
      <c r="P182" s="720"/>
      <c r="Q182" s="720"/>
      <c r="R182" s="720"/>
      <c r="S182" s="720"/>
      <c r="T182" s="720"/>
      <c r="V182" s="638">
        <f t="shared" si="432"/>
        <v>0</v>
      </c>
      <c r="W182" s="638">
        <f t="shared" si="433"/>
        <v>0</v>
      </c>
      <c r="X182" s="638">
        <f t="shared" si="459"/>
        <v>0</v>
      </c>
      <c r="Z182" s="638">
        <f t="shared" si="314"/>
        <v>0</v>
      </c>
      <c r="AA182" s="648" t="s">
        <v>3448</v>
      </c>
      <c r="AB182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 s="622" cm="1">
        <f t="array" ref="AD182">IFERROR(_xlfn.SWITCH(I182,"kg",1,"m3",AC182,AC182)*J182/(_xlfn.XLOOKUP(AA182,Métrés!A:A,Métrés!C:C,0)),0)</f>
        <v>0</v>
      </c>
      <c r="AE182" s="1092">
        <f>IFERROR(N182*$G$1/(_xlfn.XLOOKUP($AA182,Métrés!$A:$A,Métrés!$C:$C,0)),0)</f>
        <v>0</v>
      </c>
      <c r="AF182" s="1092">
        <f>IFERROR(O182*$G$1/(_xlfn.XLOOKUP($AA182,Métrés!$A:$A,Métrés!$C:$C,0)),0)</f>
        <v>0</v>
      </c>
      <c r="AG182" s="1092">
        <f>IFERROR(Q182*$G$1/(_xlfn.XLOOKUP($AA182,Métrés!$A:$A,Métrés!$C:$C,0)),0)</f>
        <v>0</v>
      </c>
      <c r="AH182" s="1092">
        <f>IFERROR(R182*$G$1/(_xlfn.XLOOKUP($AA182,Métrés!$A:$A,Métrés!$C:$C,0)),0)</f>
        <v>0</v>
      </c>
      <c r="AI182" s="1092">
        <f>IFERROR(S182*$G$1/(_xlfn.XLOOKUP($AA182,Métrés!$A:$A,Métrés!$C:$C,0)),0)</f>
        <v>0</v>
      </c>
      <c r="AJ182" s="1022"/>
      <c r="AK182" s="638">
        <f t="shared" si="435"/>
        <v>0</v>
      </c>
      <c r="AL182" s="638">
        <f t="shared" si="436"/>
        <v>0</v>
      </c>
      <c r="AM182" s="638">
        <f>IF(L182=$L$2, "Structure", IF(L182&gt;0,"Revêtement",0))</f>
        <v>0</v>
      </c>
      <c r="AN182" s="1036">
        <f t="shared" si="437"/>
        <v>0</v>
      </c>
      <c r="AO182" s="1037">
        <f t="shared" si="438"/>
        <v>0</v>
      </c>
      <c r="AP182" s="1037">
        <f t="shared" si="439"/>
        <v>0</v>
      </c>
      <c r="AQ182" s="1038">
        <f t="shared" si="440"/>
        <v>0</v>
      </c>
      <c r="AR182" s="1038">
        <f t="shared" si="441"/>
        <v>0</v>
      </c>
      <c r="AS182" s="1036">
        <f t="shared" si="442"/>
        <v>0</v>
      </c>
      <c r="AT182" s="1037">
        <f t="shared" si="443"/>
        <v>0</v>
      </c>
      <c r="AU182" s="1037">
        <f t="shared" si="444"/>
        <v>0</v>
      </c>
      <c r="AV182" s="1038">
        <f t="shared" si="445"/>
        <v>0</v>
      </c>
      <c r="AW182" s="1038">
        <f t="shared" si="446"/>
        <v>0</v>
      </c>
      <c r="AX182" s="1036">
        <f t="shared" si="447"/>
        <v>0</v>
      </c>
      <c r="AY182" s="1037">
        <f t="shared" si="448"/>
        <v>0</v>
      </c>
      <c r="AZ182" s="1037">
        <f t="shared" si="449"/>
        <v>0</v>
      </c>
      <c r="BA182" s="1037">
        <f t="shared" si="450"/>
        <v>0</v>
      </c>
      <c r="BB182" s="1038">
        <f t="shared" si="451"/>
        <v>0</v>
      </c>
      <c r="BC182" s="1036"/>
      <c r="BD182" s="1037"/>
      <c r="BE182" s="1037"/>
      <c r="BF182" s="1038"/>
      <c r="BG182" s="1036">
        <f t="shared" si="452"/>
        <v>0</v>
      </c>
      <c r="BH182" s="1037">
        <f t="shared" si="453"/>
        <v>0</v>
      </c>
      <c r="BI182" s="1038">
        <f t="shared" si="454"/>
        <v>0</v>
      </c>
      <c r="BJ182" s="1037">
        <f>_xlfn.XLOOKUP(H182, 'Baumaterialien Matériaux'!A:A, 'Baumaterialien Matériaux'!E:E, "-", 0, 1)</f>
        <v>0</v>
      </c>
      <c r="BK182" s="1036">
        <f t="shared" si="329"/>
        <v>0</v>
      </c>
      <c r="BL182" s="1037">
        <f t="shared" si="330"/>
        <v>0</v>
      </c>
      <c r="BM182" s="1038">
        <f t="shared" si="331"/>
        <v>0</v>
      </c>
      <c r="BN182" s="1037">
        <f>IFERROR((J182*VLOOKUP(H182, 'Baumaterialien Matériaux'!$A$11:$AH$318, 33,FALSE)),0)/$G$1</f>
        <v>0</v>
      </c>
      <c r="BO182" s="1037" t="e">
        <f t="shared" si="455"/>
        <v>#DIV/0!</v>
      </c>
      <c r="BP182" s="1037">
        <f>IFERROR((J182*VLOOKUP(H182, 'Baumaterialien Matériaux'!$A$11:$AH$318, 34,FALSE)),0)/$G$1</f>
        <v>0</v>
      </c>
      <c r="BQ182" s="1037" t="e">
        <f t="shared" si="425"/>
        <v>#DIV/0!</v>
      </c>
      <c r="BR182" s="1037">
        <f t="shared" si="456"/>
        <v>0</v>
      </c>
    </row>
    <row r="183" spans="2:70">
      <c r="B183" s="1103"/>
      <c r="C183" s="1099"/>
      <c r="D183" s="478"/>
      <c r="E183" s="478"/>
      <c r="F183" s="478"/>
      <c r="G183" s="478"/>
      <c r="H183" s="478"/>
      <c r="I183" s="641"/>
      <c r="J183" s="649"/>
      <c r="K183" s="641"/>
      <c r="L183" s="641"/>
      <c r="M183" s="648"/>
      <c r="N183" s="720"/>
      <c r="O183" s="720"/>
      <c r="P183" s="720"/>
      <c r="Q183" s="720"/>
      <c r="R183" s="720"/>
      <c r="S183" s="720"/>
      <c r="T183" s="720"/>
      <c r="V183" s="638">
        <f t="shared" si="432"/>
        <v>0</v>
      </c>
      <c r="W183" s="638">
        <f t="shared" si="433"/>
        <v>0</v>
      </c>
      <c r="X183" s="638">
        <f t="shared" si="459"/>
        <v>0</v>
      </c>
      <c r="Z183" s="638">
        <f t="shared" si="314"/>
        <v>0</v>
      </c>
      <c r="AA183" s="648" t="s">
        <v>3448</v>
      </c>
      <c r="AB183">
        <f>_xlfn.XLOOKUP($H183,'[1]Baumaterialien Matériaux'!$A:$A,'[1]Baumaterialien Matériaux'!AK:AK,0,0)</f>
        <v>0</v>
      </c>
      <c r="AC183" t="str" cm="1">
        <f t="array" ref="AC183">_xlfn.SWITCH(I183,"kg"," ",0," ",_xlfn.XLOOKUP(H183, '[1]Baumaterialien Matériaux'!$A:$A, '[1]Baumaterialien Matériaux'!$AL:$AL, "-", 0, 1))</f>
        <v xml:space="preserve"> </v>
      </c>
      <c r="AD183" s="622" cm="1">
        <f t="array" ref="AD183">IFERROR(_xlfn.SWITCH(I183,"kg",1,"m3",AC183,AC183)*J183/(_xlfn.XLOOKUP(AA183,Métrés!A:A,Métrés!C:C,0)),0)</f>
        <v>0</v>
      </c>
      <c r="AE183" s="1092">
        <f>IFERROR(N183*$G$1/(_xlfn.XLOOKUP($AA183,Métrés!$A:$A,Métrés!$C:$C,0)),0)</f>
        <v>0</v>
      </c>
      <c r="AF183" s="1092">
        <f>IFERROR(O183*$G$1/(_xlfn.XLOOKUP($AA183,Métrés!$A:$A,Métrés!$C:$C,0)),0)</f>
        <v>0</v>
      </c>
      <c r="AG183" s="1092">
        <f>IFERROR(Q183*$G$1/(_xlfn.XLOOKUP($AA183,Métrés!$A:$A,Métrés!$C:$C,0)),0)</f>
        <v>0</v>
      </c>
      <c r="AH183" s="1092">
        <f>IFERROR(R183*$G$1/(_xlfn.XLOOKUP($AA183,Métrés!$A:$A,Métrés!$C:$C,0)),0)</f>
        <v>0</v>
      </c>
      <c r="AI183" s="1092">
        <f>IFERROR(S183*$G$1/(_xlfn.XLOOKUP($AA183,Métrés!$A:$A,Métrés!$C:$C,0)),0)</f>
        <v>0</v>
      </c>
      <c r="AJ183" s="1022"/>
      <c r="AK183" s="638">
        <f t="shared" si="435"/>
        <v>0</v>
      </c>
      <c r="AL183" s="638">
        <f t="shared" si="436"/>
        <v>0</v>
      </c>
      <c r="AM183" s="638">
        <f>IF(L183=$L$2, "Structure", IF(L183&gt;0,"Revêtement",0))</f>
        <v>0</v>
      </c>
      <c r="AN183" s="1036">
        <f t="shared" si="437"/>
        <v>0</v>
      </c>
      <c r="AO183" s="1037">
        <f t="shared" si="438"/>
        <v>0</v>
      </c>
      <c r="AP183" s="1037">
        <f t="shared" si="439"/>
        <v>0</v>
      </c>
      <c r="AQ183" s="1038">
        <f t="shared" si="440"/>
        <v>0</v>
      </c>
      <c r="AR183" s="1038">
        <f t="shared" si="441"/>
        <v>0</v>
      </c>
      <c r="AS183" s="1036">
        <f t="shared" si="442"/>
        <v>0</v>
      </c>
      <c r="AT183" s="1037">
        <f t="shared" si="443"/>
        <v>0</v>
      </c>
      <c r="AU183" s="1037">
        <f t="shared" si="444"/>
        <v>0</v>
      </c>
      <c r="AV183" s="1038">
        <f t="shared" si="445"/>
        <v>0</v>
      </c>
      <c r="AW183" s="1038">
        <f t="shared" si="446"/>
        <v>0</v>
      </c>
      <c r="AX183" s="1036">
        <f t="shared" si="447"/>
        <v>0</v>
      </c>
      <c r="AY183" s="1037">
        <f t="shared" si="448"/>
        <v>0</v>
      </c>
      <c r="AZ183" s="1037">
        <f t="shared" si="449"/>
        <v>0</v>
      </c>
      <c r="BA183" s="1037">
        <f t="shared" si="450"/>
        <v>0</v>
      </c>
      <c r="BB183" s="1038">
        <f t="shared" si="451"/>
        <v>0</v>
      </c>
      <c r="BC183" s="1036"/>
      <c r="BD183" s="1037"/>
      <c r="BE183" s="1037"/>
      <c r="BF183" s="1038"/>
      <c r="BG183" s="1036">
        <f t="shared" si="452"/>
        <v>0</v>
      </c>
      <c r="BH183" s="1037">
        <f t="shared" si="453"/>
        <v>0</v>
      </c>
      <c r="BI183" s="1038">
        <f t="shared" si="454"/>
        <v>0</v>
      </c>
      <c r="BJ183" s="1037">
        <f>_xlfn.XLOOKUP(H183, 'Baumaterialien Matériaux'!A:A, 'Baumaterialien Matériaux'!E:E, "-", 0, 1)</f>
        <v>0</v>
      </c>
      <c r="BK183" s="1036">
        <f t="shared" si="329"/>
        <v>0</v>
      </c>
      <c r="BL183" s="1037">
        <f t="shared" si="330"/>
        <v>0</v>
      </c>
      <c r="BM183" s="1038">
        <f t="shared" si="331"/>
        <v>0</v>
      </c>
      <c r="BN183" s="1037">
        <f>IFERROR((J183*VLOOKUP(H183, 'Baumaterialien Matériaux'!$A$11:$AH$318, 33,FALSE)),0)/$G$1</f>
        <v>0</v>
      </c>
      <c r="BO183" s="1037" t="e">
        <f t="shared" si="455"/>
        <v>#DIV/0!</v>
      </c>
      <c r="BP183" s="1037">
        <f>IFERROR((J183*VLOOKUP(H183, 'Baumaterialien Matériaux'!$A$11:$AH$318, 34,FALSE)),0)/$G$1</f>
        <v>0</v>
      </c>
      <c r="BQ183" s="1037" t="e">
        <f t="shared" si="425"/>
        <v>#DIV/0!</v>
      </c>
      <c r="BR183" s="1037">
        <f t="shared" si="456"/>
        <v>0</v>
      </c>
    </row>
    <row r="184" spans="2:70">
      <c r="B184" s="1103"/>
      <c r="C184" s="1099"/>
      <c r="D184" s="478" t="s">
        <v>2992</v>
      </c>
      <c r="E184" s="812" t="str">
        <f>BillQuantities!E32</f>
        <v>Isolation contre non chauffé</v>
      </c>
      <c r="F184" s="479" t="s">
        <v>3065</v>
      </c>
      <c r="G184" s="479"/>
      <c r="H184" s="479"/>
      <c r="I184" s="459" t="s">
        <v>39</v>
      </c>
      <c r="J184" s="662">
        <v>51.55</v>
      </c>
      <c r="K184" s="663"/>
      <c r="L184" s="663"/>
      <c r="M184" s="664">
        <f>SUM(M185:M186)</f>
        <v>0.18047663950848133</v>
      </c>
      <c r="N184" s="664">
        <f t="shared" ref="N184:T184" si="460">SUM(N185:N186)</f>
        <v>7.1606785094163197E-2</v>
      </c>
      <c r="O184" s="664">
        <f t="shared" ref="O184" si="461">SUM(O185:O186)</f>
        <v>2.9055830105516222E-2</v>
      </c>
      <c r="P184" s="664">
        <f t="shared" si="460"/>
        <v>7.5710404701482548E-2</v>
      </c>
      <c r="Q184" s="664">
        <f t="shared" si="460"/>
        <v>4.103619607319353E-3</v>
      </c>
      <c r="R184" s="664">
        <f t="shared" ref="R184" si="462">SUM(R185:R186)</f>
        <v>2.3960731935354613E-4</v>
      </c>
      <c r="S184" s="664">
        <f t="shared" si="460"/>
        <v>0</v>
      </c>
      <c r="T184" s="664">
        <f t="shared" si="460"/>
        <v>0</v>
      </c>
      <c r="V184" s="638">
        <f t="shared" si="432"/>
        <v>0</v>
      </c>
      <c r="W184" s="638">
        <f t="shared" si="433"/>
        <v>0</v>
      </c>
      <c r="X184" s="638">
        <f t="shared" si="459"/>
        <v>0</v>
      </c>
      <c r="Z184" s="638">
        <f t="shared" si="314"/>
        <v>0</v>
      </c>
      <c r="AB184">
        <f>_xlfn.XLOOKUP($H184,'[1]Baumaterialien Matériaux'!$A:$A,'[1]Baumaterialien Matériaux'!AK:AK,0,0)</f>
        <v>0</v>
      </c>
      <c r="AC184" cm="1">
        <f t="array" ref="AC184">_xlfn.SWITCH(I184,"kg"," ",0," ",_xlfn.XLOOKUP(H184, '[1]Baumaterialien Matériaux'!$A:$A, '[1]Baumaterialien Matériaux'!$AL:$AL, "-", 0, 1))</f>
        <v>0</v>
      </c>
      <c r="AD184" s="622" cm="1">
        <f t="array" ref="AD184">IFERROR(_xlfn.SWITCH(I184,"kg",1,"m3",AC184,AC184)*J184/(_xlfn.XLOOKUP(AA184,Métrés!A:A,Métrés!C:C,0)),0)</f>
        <v>0</v>
      </c>
      <c r="AE184" s="1092">
        <f>IFERROR(N184*$G$1/(_xlfn.XLOOKUP($AA184,Métrés!$A:$A,Métrés!$C:$C,0)),0)</f>
        <v>0</v>
      </c>
      <c r="AF184" s="1092">
        <f>IFERROR(O184*$G$1/(_xlfn.XLOOKUP($AA184,Métrés!$A:$A,Métrés!$C:$C,0)),0)</f>
        <v>0</v>
      </c>
      <c r="AG184" s="1092">
        <f>IFERROR(Q184*$G$1/(_xlfn.XLOOKUP($AA184,Métrés!$A:$A,Métrés!$C:$C,0)),0)</f>
        <v>0</v>
      </c>
      <c r="AH184" s="1092">
        <f>IFERROR(R184*$G$1/(_xlfn.XLOOKUP($AA184,Métrés!$A:$A,Métrés!$C:$C,0)),0)</f>
        <v>0</v>
      </c>
      <c r="AI184" s="1092">
        <f>IFERROR(S184*$G$1/(_xlfn.XLOOKUP($AA184,Métrés!$A:$A,Métrés!$C:$C,0)),0)</f>
        <v>0</v>
      </c>
      <c r="AJ184" s="1021"/>
      <c r="AK184" s="1021"/>
      <c r="AL184" s="1021"/>
      <c r="AM184" s="1021"/>
      <c r="AN184" s="1057"/>
      <c r="AO184" s="1021"/>
      <c r="AP184" s="1021"/>
      <c r="AQ184" s="1021"/>
      <c r="AR184" s="1058"/>
      <c r="AS184" s="1057"/>
      <c r="AT184" s="1021"/>
      <c r="AU184" s="1021"/>
      <c r="AV184" s="1021"/>
      <c r="AW184" s="1058"/>
      <c r="AX184" s="1057"/>
      <c r="AY184" s="1021"/>
      <c r="AZ184" s="1021"/>
      <c r="BA184" s="1021"/>
      <c r="BB184" s="1058"/>
      <c r="BC184" s="1057"/>
      <c r="BD184" s="1021"/>
      <c r="BE184" s="1021"/>
      <c r="BF184" s="1058"/>
      <c r="BG184" s="1057"/>
      <c r="BH184" s="1021"/>
      <c r="BI184" s="1058"/>
      <c r="BJ184" s="1045"/>
      <c r="BK184" s="1057"/>
      <c r="BL184" s="1021"/>
      <c r="BM184" s="1058"/>
      <c r="BN184" s="1037">
        <f>IFERROR((J184*VLOOKUP(H184, 'Baumaterialien Matériaux'!$A$11:$AH$318, 33,FALSE)),0)/$G$1</f>
        <v>0</v>
      </c>
      <c r="BO184" s="1037"/>
      <c r="BP184" s="1037">
        <f>IFERROR((J184*VLOOKUP(H184, 'Baumaterialien Matériaux'!$A$11:$AH$318, 34,FALSE)),0)/$G$1</f>
        <v>0</v>
      </c>
      <c r="BQ184" s="1037">
        <f t="shared" si="425"/>
        <v>0</v>
      </c>
      <c r="BR184" s="1037"/>
    </row>
    <row r="185" spans="2:70">
      <c r="B185" s="1103"/>
      <c r="C185" s="1099"/>
      <c r="D185" s="478"/>
      <c r="E185" s="478"/>
      <c r="F185" s="478" t="s">
        <v>3066</v>
      </c>
      <c r="G185" s="478" t="str">
        <f>_xlfn.XLOOKUP(H185, 'Baumaterialien Matériaux'!A:A, 'Baumaterialien Matériaux'!AD:AD, "-", 0, 1)</f>
        <v>Laine de verre</v>
      </c>
      <c r="H185" s="892" t="s">
        <v>130</v>
      </c>
      <c r="I185" s="641" t="str">
        <f>_xlfn.XLOOKUP(H185, 'Baumaterialien Matériaux'!A:A, 'Baumaterialien Matériaux'!F:F, "-", 0, 1)</f>
        <v>kg</v>
      </c>
      <c r="J185" s="649">
        <f>J184*K185</f>
        <v>61.859999999999992</v>
      </c>
      <c r="K185" s="886">
        <f>0.06*20</f>
        <v>1.2</v>
      </c>
      <c r="L185" s="641">
        <f>'Eléments de constr. inté. et ex'!N73</f>
        <v>30</v>
      </c>
      <c r="M185" s="648">
        <f t="shared" si="434"/>
        <v>0.18047663950848133</v>
      </c>
      <c r="N185" s="720">
        <f>IFERROR(($J185*VLOOKUP($H185, 'Baumaterialien Matériaux'!$A$11:$AD$318, 26,FALSE)),0)/$G$1</f>
        <v>7.1606785094163197E-2</v>
      </c>
      <c r="O185" s="720">
        <f>IFERROR(($J185*VLOOKUP($H185, 'Baumaterialien Matériaux'!$A$11:$AH$318, 33,FALSE)),0)/$G$1</f>
        <v>2.9055830105516222E-2</v>
      </c>
      <c r="P185" s="720">
        <f t="shared" ref="P185" si="463">IFERROR((N185+Q185)*($L$2/L185-1),0)</f>
        <v>7.5710404701482548E-2</v>
      </c>
      <c r="Q185" s="720">
        <f>IFERROR(($J185*VLOOKUP($H185, 'Baumaterialien Matériaux'!$A$11:$AD$318, 27,FALSE)),0)/$G$1</f>
        <v>4.103619607319353E-3</v>
      </c>
      <c r="R185" s="720">
        <f>IFERROR(($J185*VLOOKUP($H185, 'Baumaterialien Matériaux'!$A$11:$AH$318, 34,FALSE)),0)/$G$1</f>
        <v>2.3960731935354613E-4</v>
      </c>
      <c r="S185" s="720">
        <f>IFERROR((J185*VLOOKUP(H185, 'Baumaterialien Matériaux'!$A$11:$AD$318, 29,FALSE)),0)/$G$1</f>
        <v>0</v>
      </c>
      <c r="T185" s="720"/>
      <c r="V185" s="638">
        <f t="shared" si="432"/>
        <v>0</v>
      </c>
      <c r="W185" s="638">
        <f t="shared" si="433"/>
        <v>0</v>
      </c>
      <c r="X185" s="638" t="str">
        <f t="shared" si="459"/>
        <v>Revêtement</v>
      </c>
      <c r="Z185" s="638">
        <f t="shared" si="314"/>
        <v>30</v>
      </c>
      <c r="AA185" s="530" t="s">
        <v>3448</v>
      </c>
      <c r="AB185" t="str">
        <f>_xlfn.XLOOKUP($H185,'[1]Baumaterialien Matériaux'!$A:$A,'[1]Baumaterialien Matériaux'!AK:AK,0,0)</f>
        <v>mineral_fiber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 s="622" cm="1">
        <f t="array" ref="AD185">IFERROR(_xlfn.SWITCH(I185,"kg",1,"m3",AC185,AC185)*J185/(_xlfn.XLOOKUP(AA185,Métrés!A:A,Métrés!C:C,0)),0)</f>
        <v>0.25912118292631842</v>
      </c>
      <c r="AE185" s="1092">
        <f>IFERROR(N185*$G$1/(_xlfn.XLOOKUP($AA185,Métrés!$A:$A,Métrés!$C:$C,0)),0)</f>
        <v>0.26948603024337114</v>
      </c>
      <c r="AF185" s="1092">
        <f>IFERROR(O185*$G$1/(_xlfn.XLOOKUP($AA185,Métrés!$A:$A,Métrés!$C:$C,0)),0)</f>
        <v>0.10934913919490637</v>
      </c>
      <c r="AG185" s="1092">
        <f>IFERROR(Q185*$G$1/(_xlfn.XLOOKUP($AA185,Métrés!$A:$A,Métrés!$C:$C,0)),0)</f>
        <v>1.5443622502408579E-2</v>
      </c>
      <c r="AH185" s="1092">
        <f>IFERROR(R185*$G$1/(_xlfn.XLOOKUP($AA185,Métrés!$A:$A,Métrés!$C:$C,0)),0)</f>
        <v>9.0174171658358811E-4</v>
      </c>
      <c r="AI185" s="1092">
        <f>IFERROR(S185*$G$1/(_xlfn.XLOOKUP($AA185,Métrés!$A:$A,Métrés!$C:$C,0)),0)</f>
        <v>0</v>
      </c>
      <c r="AJ185" s="1022"/>
      <c r="AK185" s="638">
        <f>IF(L185=60, 0, T185)</f>
        <v>0</v>
      </c>
      <c r="AL185" s="638">
        <f>IF(L185=60, 0, S185)</f>
        <v>0</v>
      </c>
      <c r="AM185" s="638" t="s">
        <v>3388</v>
      </c>
      <c r="AN185" s="1036">
        <f>IF(AM185="Structure",N185,0)</f>
        <v>0</v>
      </c>
      <c r="AO185" s="1037">
        <f>IF(AM185="Structure",P185,0)</f>
        <v>0</v>
      </c>
      <c r="AP185" s="1037">
        <f>IF(AM185="Structure",Q185,0)</f>
        <v>0</v>
      </c>
      <c r="AQ185" s="1038">
        <f>IF(AM185="Structure",S185,0)</f>
        <v>0</v>
      </c>
      <c r="AR185" s="1038">
        <f>IF(AM185="Structure",T185,0)</f>
        <v>0</v>
      </c>
      <c r="AS185" s="1036">
        <f>IF(AM185="Insulation",N185,0)</f>
        <v>7.1606785094163197E-2</v>
      </c>
      <c r="AT185" s="1037">
        <f>IF(AM185="Insulation",P185,0)</f>
        <v>7.5710404701482548E-2</v>
      </c>
      <c r="AU185" s="1037">
        <f>IF(AM185="Insulation",Q185,0)</f>
        <v>4.103619607319353E-3</v>
      </c>
      <c r="AV185" s="1038">
        <f>IF(AM185="Insulation",S185,0)</f>
        <v>0</v>
      </c>
      <c r="AW185" s="1038">
        <f>IF(AM185="Insulation",T185,0)</f>
        <v>0</v>
      </c>
      <c r="AX185" s="1036">
        <f>IF(AM185="Revêtement",N185,0)</f>
        <v>0</v>
      </c>
      <c r="AY185" s="1037">
        <f>IF(AM185="Revêtement",P185,0)</f>
        <v>0</v>
      </c>
      <c r="AZ185" s="1037">
        <f>IF(AM185="Revêtement",Q185,0)</f>
        <v>0</v>
      </c>
      <c r="BA185" s="1037">
        <f>IF(AM185="Revêtement",S185,0)</f>
        <v>0</v>
      </c>
      <c r="BB185" s="1038">
        <f>IF(AM185="Revêtement",T185,0)</f>
        <v>0</v>
      </c>
      <c r="BC185" s="1036"/>
      <c r="BD185" s="1037"/>
      <c r="BE185" s="1037"/>
      <c r="BF185" s="1038"/>
      <c r="BG185" s="1036">
        <f>IF($AM185="Structure", IF($I185="kg",$J185,0), 0)</f>
        <v>0</v>
      </c>
      <c r="BH185" s="1037">
        <f>IF($AM185="Insulation", IF($I185="kg",$J185,0), 0)</f>
        <v>61.859999999999992</v>
      </c>
      <c r="BI185" s="1038">
        <f>IF($AM185="Revêtement", IF($I185="kg",$J185,0), 0)</f>
        <v>0</v>
      </c>
      <c r="BJ185" s="1037">
        <v>20</v>
      </c>
      <c r="BK185" s="1036">
        <f t="shared" si="329"/>
        <v>0</v>
      </c>
      <c r="BL185" s="1037">
        <f t="shared" si="330"/>
        <v>3.0929999999999995</v>
      </c>
      <c r="BM185" s="1038">
        <f t="shared" si="331"/>
        <v>0</v>
      </c>
      <c r="BN185" s="1037">
        <f>IFERROR((J185*VLOOKUP(H185, 'Baumaterialien Matériaux'!$A$11:$AH$318, 33,FALSE)),0)/$G$1</f>
        <v>2.9055830105516222E-2</v>
      </c>
      <c r="BO185" s="1037">
        <f>(BN185+BP185)*($L$2/L185-1)</f>
        <v>2.9295437424869768E-2</v>
      </c>
      <c r="BP185" s="1037">
        <f>IFERROR((J185*VLOOKUP(H185, 'Baumaterialien Matériaux'!$A$11:$AH$318, 34,FALSE)),0)/$G$1</f>
        <v>2.3960731935354613E-4</v>
      </c>
      <c r="BQ185" s="1037">
        <f t="shared" si="425"/>
        <v>5.8389261744966447E-2</v>
      </c>
      <c r="BR185" s="1037">
        <f>IFERROR((N185+Q185)*($L$2/L185-1),0)</f>
        <v>7.5710404701482548E-2</v>
      </c>
    </row>
    <row r="186" spans="2:70">
      <c r="B186" s="1103"/>
      <c r="C186" s="1099"/>
      <c r="D186" s="478"/>
      <c r="E186" s="478"/>
      <c r="F186" s="478"/>
      <c r="G186" s="478"/>
      <c r="H186" s="875"/>
      <c r="I186" s="641"/>
      <c r="J186" s="649"/>
      <c r="K186" s="647"/>
      <c r="L186" s="641"/>
      <c r="M186" s="648"/>
      <c r="N186" s="720"/>
      <c r="O186" s="720"/>
      <c r="P186" s="720"/>
      <c r="Q186" s="720"/>
      <c r="R186" s="720"/>
      <c r="S186" s="720"/>
      <c r="T186" s="720"/>
      <c r="V186" s="638">
        <f t="shared" si="432"/>
        <v>0</v>
      </c>
      <c r="W186" s="638">
        <f t="shared" si="433"/>
        <v>0</v>
      </c>
      <c r="X186" s="638">
        <f t="shared" si="459"/>
        <v>0</v>
      </c>
      <c r="Z186" s="638">
        <f t="shared" si="314"/>
        <v>0</v>
      </c>
      <c r="AA186" s="527" t="s">
        <v>3448</v>
      </c>
      <c r="AB186">
        <f>_xlfn.XLOOKUP($H186,'[1]Baumaterialien Matériaux'!$A:$A,'[1]Baumaterialien Matériaux'!AK:AK,0,0)</f>
        <v>0</v>
      </c>
      <c r="AC186" t="str" cm="1">
        <f t="array" ref="AC186">_xlfn.SWITCH(I186,"kg"," ",0," ",_xlfn.XLOOKUP(H186, '[1]Baumaterialien Matériaux'!$A:$A, '[1]Baumaterialien Matériaux'!$AL:$AL, "-", 0, 1))</f>
        <v xml:space="preserve"> </v>
      </c>
      <c r="AD186" s="622" cm="1">
        <f t="array" ref="AD186">IFERROR(_xlfn.SWITCH(I186,"kg",1,"m3",AC186,AC186)*J186/(_xlfn.XLOOKUP(AA186,Métrés!A:A,Métrés!C:C,0)),0)</f>
        <v>0</v>
      </c>
      <c r="AE186" s="1092">
        <f>IFERROR(N186*$G$1/(_xlfn.XLOOKUP($AA186,Métrés!$A:$A,Métrés!$C:$C,0)),0)</f>
        <v>0</v>
      </c>
      <c r="AF186" s="1092">
        <f>IFERROR(O186*$G$1/(_xlfn.XLOOKUP($AA186,Métrés!$A:$A,Métrés!$C:$C,0)),0)</f>
        <v>0</v>
      </c>
      <c r="AG186" s="1092">
        <f>IFERROR(Q186*$G$1/(_xlfn.XLOOKUP($AA186,Métrés!$A:$A,Métrés!$C:$C,0)),0)</f>
        <v>0</v>
      </c>
      <c r="AH186" s="1092">
        <f>IFERROR(R186*$G$1/(_xlfn.XLOOKUP($AA186,Métrés!$A:$A,Métrés!$C:$C,0)),0)</f>
        <v>0</v>
      </c>
      <c r="AI186" s="1092">
        <f>IFERROR(S186*$G$1/(_xlfn.XLOOKUP($AA186,Métrés!$A:$A,Métrés!$C:$C,0)),0)</f>
        <v>0</v>
      </c>
      <c r="AJ186" s="1022"/>
      <c r="AK186" s="638">
        <f>IF(L186=60, 0, T186)</f>
        <v>0</v>
      </c>
      <c r="AL186" s="638">
        <f>IF(L186=60, 0, S186)</f>
        <v>0</v>
      </c>
      <c r="AM186" s="638">
        <f>IF(L186=$L$2, "Structure", IF(L186&gt;0,"Revêtement",0))</f>
        <v>0</v>
      </c>
      <c r="AN186" s="1036">
        <f>IF(AM186="Structure",N186,0)</f>
        <v>0</v>
      </c>
      <c r="AO186" s="1037">
        <f>IF(AM186="Structure",P186,0)</f>
        <v>0</v>
      </c>
      <c r="AP186" s="1037">
        <f>IF(AM186="Structure",Q186,0)</f>
        <v>0</v>
      </c>
      <c r="AQ186" s="1038">
        <f>IF(AM186="Structure",S186,0)</f>
        <v>0</v>
      </c>
      <c r="AR186" s="1038">
        <f>IF(AM186="Structure",T186,0)</f>
        <v>0</v>
      </c>
      <c r="AS186" s="1036">
        <f>IF(AM186="Insulation",N186,0)</f>
        <v>0</v>
      </c>
      <c r="AT186" s="1037">
        <f>IF(AM186="Insulation",P186,0)</f>
        <v>0</v>
      </c>
      <c r="AU186" s="1037">
        <f>IF(AM186="Insulation",Q186,0)</f>
        <v>0</v>
      </c>
      <c r="AV186" s="1038">
        <f>IF(AM186="Insulation",S186,0)</f>
        <v>0</v>
      </c>
      <c r="AW186" s="1038">
        <f>IF(AM186="Insulation",T186,0)</f>
        <v>0</v>
      </c>
      <c r="AX186" s="1036">
        <f>IF(AM186="Revêtement",N186,0)</f>
        <v>0</v>
      </c>
      <c r="AY186" s="1037">
        <f>IF(AM186="Revêtement",P186,0)</f>
        <v>0</v>
      </c>
      <c r="AZ186" s="1037">
        <f>IF(AM186="Revêtement",Q186,0)</f>
        <v>0</v>
      </c>
      <c r="BA186" s="1037">
        <f>IF(AM186="Revêtement",S186,0)</f>
        <v>0</v>
      </c>
      <c r="BB186" s="1038">
        <f>IF(AM186="Revêtement",T186,0)</f>
        <v>0</v>
      </c>
      <c r="BC186" s="1036"/>
      <c r="BD186" s="1037"/>
      <c r="BE186" s="1037"/>
      <c r="BF186" s="1038"/>
      <c r="BG186" s="1036">
        <f>IF($AM186="Structure", IF($I186="kg",$J186,0), 0)</f>
        <v>0</v>
      </c>
      <c r="BH186" s="1037">
        <f>IF($AM186="Insulation", IF($I186="kg",$J186,0), 0)</f>
        <v>0</v>
      </c>
      <c r="BI186" s="1038">
        <f>IF($AM186="Revêtement", IF($I186="kg",$J186,0), 0)</f>
        <v>0</v>
      </c>
      <c r="BJ186" s="1037">
        <f>_xlfn.XLOOKUP(H186, 'Baumaterialien Matériaux'!A:A, 'Baumaterialien Matériaux'!E:E, "-", 0, 1)</f>
        <v>0</v>
      </c>
      <c r="BK186" s="1036">
        <f t="shared" si="329"/>
        <v>0</v>
      </c>
      <c r="BL186" s="1037">
        <f t="shared" si="330"/>
        <v>0</v>
      </c>
      <c r="BM186" s="1038">
        <f t="shared" si="331"/>
        <v>0</v>
      </c>
      <c r="BN186" s="1037">
        <f>IFERROR((J186*VLOOKUP(H186, 'Baumaterialien Matériaux'!$A$11:$AH$318, 33,FALSE)),0)/$G$1</f>
        <v>0</v>
      </c>
      <c r="BO186" s="1037" t="e">
        <f>(BN186+BP186)*($L$2/L186-1)</f>
        <v>#DIV/0!</v>
      </c>
      <c r="BP186" s="1037">
        <f>IFERROR((J186*VLOOKUP(H186, 'Baumaterialien Matériaux'!$A$11:$AH$318, 34,FALSE)),0)/$G$1</f>
        <v>0</v>
      </c>
      <c r="BQ186" s="1037" t="e">
        <f t="shared" si="425"/>
        <v>#DIV/0!</v>
      </c>
      <c r="BR186" s="1037">
        <f>IFERROR((N186+Q186)*($L$2/L186-1),0)</f>
        <v>0</v>
      </c>
    </row>
    <row r="187" spans="2:70">
      <c r="B187" s="1103"/>
      <c r="C187" s="1099"/>
      <c r="D187" s="478" t="s">
        <v>2983</v>
      </c>
      <c r="E187" s="479" t="str">
        <f>BillQuantities!E33</f>
        <v>Supports et revêtement de sol</v>
      </c>
      <c r="F187" s="479"/>
      <c r="G187" s="479"/>
      <c r="H187" s="479"/>
      <c r="I187" s="459" t="s">
        <v>39</v>
      </c>
      <c r="J187" s="662">
        <v>456.44</v>
      </c>
      <c r="K187" s="663"/>
      <c r="L187" s="663"/>
      <c r="M187" s="664">
        <f>SUM(M188:M194)</f>
        <v>27.001918240505763</v>
      </c>
      <c r="N187" s="664">
        <f t="shared" ref="N187:T187" si="464">SUM(N188:N194)</f>
        <v>9.9534442811985198</v>
      </c>
      <c r="O187" s="664">
        <f t="shared" ref="O187" si="465">SUM(O188:O194)</f>
        <v>2.6584515738390988</v>
      </c>
      <c r="P187" s="664">
        <f t="shared" si="464"/>
        <v>12.171733333333332</v>
      </c>
      <c r="Q187" s="664">
        <f t="shared" si="464"/>
        <v>2.2182890521348115</v>
      </c>
      <c r="R187" s="664">
        <f t="shared" ref="R187" si="466">SUM(R188:R194)</f>
        <v>0.53280799430123316</v>
      </c>
      <c r="S187" s="664">
        <f t="shared" si="464"/>
        <v>0</v>
      </c>
      <c r="T187" s="664">
        <f t="shared" si="464"/>
        <v>0</v>
      </c>
      <c r="V187" s="638">
        <f t="shared" si="432"/>
        <v>0</v>
      </c>
      <c r="W187" s="638">
        <f t="shared" si="433"/>
        <v>0</v>
      </c>
      <c r="X187" s="638">
        <f t="shared" si="459"/>
        <v>0</v>
      </c>
      <c r="Z187" s="638">
        <f t="shared" si="314"/>
        <v>0</v>
      </c>
      <c r="AA187" s="527"/>
      <c r="AB187">
        <f>_xlfn.XLOOKUP($H187,'[1]Baumaterialien Matériaux'!$A:$A,'[1]Baumaterialien Matériaux'!AK:AK,0,0)</f>
        <v>0</v>
      </c>
      <c r="AC187" cm="1">
        <f t="array" ref="AC187">_xlfn.SWITCH(I187,"kg"," ",0," ",_xlfn.XLOOKUP(H187, '[1]Baumaterialien Matériaux'!$A:$A, '[1]Baumaterialien Matériaux'!$AL:$AL, "-", 0, 1))</f>
        <v>0</v>
      </c>
      <c r="AD187" s="622" cm="1">
        <f t="array" ref="AD187">IFERROR(_xlfn.SWITCH(I187,"kg",1,"m3",AC187,AC187)*J187/(_xlfn.XLOOKUP(AA187,Métrés!A:A,Métrés!C:C,0)),0)</f>
        <v>0</v>
      </c>
      <c r="AE187" s="1092">
        <f>IFERROR(N187*$G$1/(_xlfn.XLOOKUP($AA187,Métrés!$A:$A,Métrés!$C:$C,0)),0)</f>
        <v>0</v>
      </c>
      <c r="AF187" s="1092">
        <f>IFERROR(O187*$G$1/(_xlfn.XLOOKUP($AA187,Métrés!$A:$A,Métrés!$C:$C,0)),0)</f>
        <v>0</v>
      </c>
      <c r="AG187" s="1092">
        <f>IFERROR(Q187*$G$1/(_xlfn.XLOOKUP($AA187,Métrés!$A:$A,Métrés!$C:$C,0)),0)</f>
        <v>0</v>
      </c>
      <c r="AH187" s="1092">
        <f>IFERROR(R187*$G$1/(_xlfn.XLOOKUP($AA187,Métrés!$A:$A,Métrés!$C:$C,0)),0)</f>
        <v>0</v>
      </c>
      <c r="AI187" s="1092">
        <f>IFERROR(S187*$G$1/(_xlfn.XLOOKUP($AA187,Métrés!$A:$A,Métrés!$C:$C,0)),0)</f>
        <v>0</v>
      </c>
      <c r="AJ187" s="1021"/>
      <c r="AK187" s="1021"/>
      <c r="AL187" s="1021"/>
      <c r="AM187" s="1021"/>
      <c r="AN187" s="1057"/>
      <c r="AO187" s="1021"/>
      <c r="AP187" s="1021"/>
      <c r="AQ187" s="1021"/>
      <c r="AR187" s="1058"/>
      <c r="AS187" s="1057"/>
      <c r="AT187" s="1021"/>
      <c r="AU187" s="1021"/>
      <c r="AV187" s="1021"/>
      <c r="AW187" s="1058"/>
      <c r="AX187" s="1057"/>
      <c r="AY187" s="1021"/>
      <c r="AZ187" s="1021"/>
      <c r="BA187" s="1021"/>
      <c r="BB187" s="1058"/>
      <c r="BC187" s="1057"/>
      <c r="BD187" s="1021"/>
      <c r="BE187" s="1021"/>
      <c r="BF187" s="1058"/>
      <c r="BG187" s="1057"/>
      <c r="BH187" s="1021"/>
      <c r="BI187" s="1058"/>
      <c r="BJ187" s="1045"/>
      <c r="BK187" s="1057"/>
      <c r="BL187" s="1021"/>
      <c r="BM187" s="1058"/>
      <c r="BN187" s="1037">
        <f>IFERROR((J187*VLOOKUP(H187, 'Baumaterialien Matériaux'!$A$11:$AH$318, 33,FALSE)),0)/$G$1</f>
        <v>0</v>
      </c>
      <c r="BO187" s="1037"/>
      <c r="BP187" s="1037">
        <f>IFERROR((J187*VLOOKUP(H187, 'Baumaterialien Matériaux'!$A$11:$AH$318, 34,FALSE)),0)/$G$1</f>
        <v>0</v>
      </c>
      <c r="BQ187" s="1037">
        <f t="shared" si="425"/>
        <v>0</v>
      </c>
      <c r="BR187" s="1037"/>
    </row>
    <row r="188" spans="2:70">
      <c r="B188" s="1103"/>
      <c r="C188" s="1099"/>
      <c r="D188" s="478"/>
      <c r="E188" s="478"/>
      <c r="F188" s="478" t="s">
        <v>3022</v>
      </c>
      <c r="G188" s="478" t="str">
        <f>_xlfn.XLOOKUP(H188, 'Baumaterialien Matériaux'!A:A, 'Baumaterialien Matériaux'!AD:AD, "-", 0, 1)</f>
        <v>Chape de ciment, 85 mm</v>
      </c>
      <c r="H188" s="891" t="s">
        <v>780</v>
      </c>
      <c r="I188" s="641" t="str">
        <f>_xlfn.XLOOKUP(H188, 'Baumaterialien Matériaux'!A:A, 'Baumaterialien Matériaux'!F:F, "-", 0, 1)</f>
        <v>kg</v>
      </c>
      <c r="J188" s="649">
        <f>$J$187*K188</f>
        <v>67553.119999999995</v>
      </c>
      <c r="K188" s="893">
        <f>0.08*1850</f>
        <v>148</v>
      </c>
      <c r="L188" s="478">
        <f t="shared" ref="L188" si="467">L177</f>
        <v>30</v>
      </c>
      <c r="M188" s="648">
        <f t="shared" ref="M188:M199" si="468">SUM(N188:Q188)</f>
        <v>20.01540508436846</v>
      </c>
      <c r="N188" s="720">
        <f>IFERROR(($J188*VLOOKUP($H188, 'Baumaterialien Matériaux'!$A$11:$AD$318, 26,FALSE)),0)/$G$1</f>
        <v>8.120449846400426</v>
      </c>
      <c r="O188" s="720">
        <f>IFERROR(($J188*VLOOKUP($H188, 'Baumaterialien Matériaux'!$A$11:$AH$318, 33,FALSE)),0)/$G$1</f>
        <v>1.8496580205689861</v>
      </c>
      <c r="P188" s="720">
        <f>IFERROR((N188+Q188)*($L$2/L188-1),0)</f>
        <v>9.082873531899736</v>
      </c>
      <c r="Q188" s="720">
        <f>IFERROR(($J188*VLOOKUP($H188, 'Baumaterialien Matériaux'!$A$11:$AD$318, 27,FALSE)),0)/$G$1</f>
        <v>0.9624236854993099</v>
      </c>
      <c r="R188" s="720">
        <f>IFERROR(($J188*VLOOKUP($H188, 'Baumaterialien Matériaux'!$A$11:$AH$318, 34,FALSE)),0)/$G$1</f>
        <v>0.24586917590490182</v>
      </c>
      <c r="S188" s="720">
        <f>IFERROR((J188*VLOOKUP(H188, 'Baumaterialien Matériaux'!$A$11:$AD$318, 29,FALSE)),0)/$G$1</f>
        <v>0</v>
      </c>
      <c r="T188" s="720"/>
      <c r="V188" s="638">
        <f t="shared" si="432"/>
        <v>0</v>
      </c>
      <c r="W188" s="638">
        <f t="shared" si="433"/>
        <v>0</v>
      </c>
      <c r="X188" s="638" t="str">
        <f t="shared" si="459"/>
        <v>Revêtement</v>
      </c>
      <c r="Z188" s="638">
        <f t="shared" si="314"/>
        <v>30</v>
      </c>
      <c r="AA188" s="648" t="s">
        <v>3458</v>
      </c>
      <c r="AB188" t="str">
        <f>_xlfn.XLOOKUP($H188,'[1]Baumaterialien Matériaux'!$A:$A,'[1]Baumaterialien Matériaux'!AK:AK,0,0)</f>
        <v>concrete</v>
      </c>
      <c r="AC188" t="str" cm="1">
        <f t="array" ref="AC188">_xlfn.SWITCH(I188,"kg"," ",0," ",_xlfn.XLOOKUP(H188, '[1]Baumaterialien Matériaux'!$A:$A, '[1]Baumaterialien Matériaux'!$AL:$AL, "-", 0, 1))</f>
        <v xml:space="preserve"> </v>
      </c>
      <c r="AD188" s="622" cm="1">
        <f t="array" ref="AD188">IFERROR(_xlfn.SWITCH(I188,"kg",1,"m3",AC188,AC188)*J188/(_xlfn.XLOOKUP(AA188,Métrés!A:A,Métrés!C:C,0)),0)</f>
        <v>148</v>
      </c>
      <c r="AE188" s="1092">
        <f>IFERROR(N188*$G$1/(_xlfn.XLOOKUP($AA188,Métrés!$A:$A,Métrés!$C:$C,0)),0)</f>
        <v>15.983999999999998</v>
      </c>
      <c r="AF188" s="1092">
        <f>IFERROR(O188*$G$1/(_xlfn.XLOOKUP($AA188,Métrés!$A:$A,Métrés!$C:$C,0)),0)</f>
        <v>3.6408</v>
      </c>
      <c r="AG188" s="1092">
        <f>IFERROR(Q188*$G$1/(_xlfn.XLOOKUP($AA188,Métrés!$A:$A,Métrés!$C:$C,0)),0)</f>
        <v>1.8944000000000001</v>
      </c>
      <c r="AH188" s="1092">
        <f>IFERROR(R188*$G$1/(_xlfn.XLOOKUP($AA188,Métrés!$A:$A,Métrés!$C:$C,0)),0)</f>
        <v>0.48396</v>
      </c>
      <c r="AI188" s="1092">
        <f>IFERROR(S188*$G$1/(_xlfn.XLOOKUP($AA188,Métrés!$A:$A,Métrés!$C:$C,0)),0)</f>
        <v>0</v>
      </c>
      <c r="AJ188" s="1022"/>
      <c r="AK188" s="638">
        <f t="shared" ref="AK188:AK194" si="469">IF(L188=60, 0, T188)</f>
        <v>0</v>
      </c>
      <c r="AL188" s="638">
        <f t="shared" ref="AL188:AL194" si="470">IF(L188=60, 0, S188)</f>
        <v>0</v>
      </c>
      <c r="AM188" s="638" t="str">
        <f>IF(L188=$L$2, "Structure", IF(L188&gt;0,"Revêtement",0))</f>
        <v>Revêtement</v>
      </c>
      <c r="AN188" s="1036">
        <f t="shared" ref="AN188:AN194" si="471">IF(AM188="Structure",N188,0)</f>
        <v>0</v>
      </c>
      <c r="AO188" s="1037">
        <f t="shared" ref="AO188:AO194" si="472">IF(AM188="Structure",P188,0)</f>
        <v>0</v>
      </c>
      <c r="AP188" s="1037">
        <f t="shared" ref="AP188:AP194" si="473">IF(AM188="Structure",Q188,0)</f>
        <v>0</v>
      </c>
      <c r="AQ188" s="1038">
        <f t="shared" ref="AQ188:AQ194" si="474">IF(AM188="Structure",S188,0)</f>
        <v>0</v>
      </c>
      <c r="AR188" s="1038">
        <f t="shared" ref="AR188:AR194" si="475">IF(AM188="Structure",T188,0)</f>
        <v>0</v>
      </c>
      <c r="AS188" s="1036">
        <f t="shared" ref="AS188:AS194" si="476">IF(AM188="Insulation",N188,0)</f>
        <v>0</v>
      </c>
      <c r="AT188" s="1037">
        <f t="shared" ref="AT188:AT194" si="477">IF(AM188="Insulation",P188,0)</f>
        <v>0</v>
      </c>
      <c r="AU188" s="1037">
        <f t="shared" ref="AU188:AU194" si="478">IF(AM188="Insulation",Q188,0)</f>
        <v>0</v>
      </c>
      <c r="AV188" s="1038">
        <f t="shared" ref="AV188:AV194" si="479">IF(AM188="Insulation",S188,0)</f>
        <v>0</v>
      </c>
      <c r="AW188" s="1038">
        <f t="shared" ref="AW188:AW194" si="480">IF(AM188="Insulation",T188,0)</f>
        <v>0</v>
      </c>
      <c r="AX188" s="1036">
        <f t="shared" ref="AX188:AX194" si="481">IF(AM188="Revêtement",N188,0)</f>
        <v>8.120449846400426</v>
      </c>
      <c r="AY188" s="1037">
        <f t="shared" ref="AY188:AY194" si="482">IF(AM188="Revêtement",P188,0)</f>
        <v>9.082873531899736</v>
      </c>
      <c r="AZ188" s="1037">
        <f t="shared" ref="AZ188:AZ194" si="483">IF(AM188="Revêtement",Q188,0)</f>
        <v>0.9624236854993099</v>
      </c>
      <c r="BA188" s="1037">
        <f t="shared" ref="BA188:BA194" si="484">IF(AM188="Revêtement",S188,0)</f>
        <v>0</v>
      </c>
      <c r="BB188" s="1038">
        <f t="shared" ref="BB188:BB194" si="485">IF(AM188="Revêtement",T188,0)</f>
        <v>0</v>
      </c>
      <c r="BC188" s="1036"/>
      <c r="BD188" s="1037"/>
      <c r="BE188" s="1037"/>
      <c r="BF188" s="1038"/>
      <c r="BG188" s="1036">
        <f t="shared" ref="BG188:BG194" si="486">IF($AM188="Structure", IF($I188="kg",$J188,0), 0)</f>
        <v>0</v>
      </c>
      <c r="BH188" s="1037">
        <f t="shared" ref="BH188:BH194" si="487">IF($AM188="Insulation", IF($I188="kg",$J188,0), 0)</f>
        <v>0</v>
      </c>
      <c r="BI188" s="1038">
        <f t="shared" ref="BI188:BI194" si="488">IF($AM188="Revêtement", IF($I188="kg",$J188,0), 0)</f>
        <v>67553.119999999995</v>
      </c>
      <c r="BJ188" s="1037">
        <f>_xlfn.XLOOKUP(H188, 'Baumaterialien Matériaux'!A:A, 'Baumaterialien Matériaux'!E:E, "-", 0, 1)</f>
        <v>1850</v>
      </c>
      <c r="BK188" s="1036">
        <f t="shared" si="329"/>
        <v>0</v>
      </c>
      <c r="BL188" s="1037">
        <f t="shared" si="330"/>
        <v>0</v>
      </c>
      <c r="BM188" s="1038">
        <f t="shared" si="331"/>
        <v>36.5152</v>
      </c>
      <c r="BN188" s="1037">
        <f>IFERROR((J188*VLOOKUP(H188, 'Baumaterialien Matériaux'!$A$11:$AH$318, 33,FALSE)),0)/$G$1</f>
        <v>1.8496580205689861</v>
      </c>
      <c r="BO188" s="1037">
        <f t="shared" ref="BO188:BO194" si="489">(BN188+BP188)*($L$2/L188-1)</f>
        <v>2.095527196473888</v>
      </c>
      <c r="BP188" s="1037">
        <f>IFERROR((J188*VLOOKUP(H188, 'Baumaterialien Matériaux'!$A$11:$AH$318, 34,FALSE)),0)/$G$1</f>
        <v>0.24586917590490182</v>
      </c>
      <c r="BQ188" s="1037">
        <f t="shared" si="425"/>
        <v>0.25546874999999997</v>
      </c>
      <c r="BR188" s="1037">
        <f t="shared" ref="BR188:BR194" si="490">IFERROR((N188+Q188)*($L$2/L188-1),0)</f>
        <v>9.082873531899736</v>
      </c>
    </row>
    <row r="189" spans="2:70">
      <c r="B189" s="1103"/>
      <c r="C189" s="1099"/>
      <c r="D189" s="478"/>
      <c r="E189" s="478"/>
      <c r="F189" s="478" t="s">
        <v>3019</v>
      </c>
      <c r="G189" s="478" t="str">
        <f>_xlfn.XLOOKUP(H189, 'Baumaterialien Matériaux'!A:A, 'Baumaterialien Matériaux'!AD:AD, "-", 0, 1)</f>
        <v>Polystyrène expansé (EPS)</v>
      </c>
      <c r="H189" s="892" t="s">
        <v>118</v>
      </c>
      <c r="I189" s="641" t="str">
        <f>_xlfn.XLOOKUP(H189, 'Baumaterialien Matériaux'!A:A, 'Baumaterialien Matériaux'!F:F, "-", 0, 1)</f>
        <v>kg</v>
      </c>
      <c r="J189" s="649">
        <f t="shared" ref="J189:J190" si="491">$J$187*K189</f>
        <v>228.22</v>
      </c>
      <c r="K189" s="893">
        <f>0.02*25</f>
        <v>0.5</v>
      </c>
      <c r="L189" s="478">
        <f t="shared" ref="L189" si="492">L178</f>
        <v>30</v>
      </c>
      <c r="M189" s="648">
        <f t="shared" si="468"/>
        <v>4.3665707225858146</v>
      </c>
      <c r="N189" s="720">
        <f>IFERROR(($J189*VLOOKUP($H189, 'Baumaterialien Matériaux'!$A$11:$AD$318, 26,FALSE)),0)/$G$1</f>
        <v>1.1456215217488088</v>
      </c>
      <c r="O189" s="720">
        <f>IFERROR(($J189*VLOOKUP($H189, 'Baumaterialien Matériaux'!$A$11:$AH$318, 33,FALSE)),0)/$G$1</f>
        <v>0.50549597079382036</v>
      </c>
      <c r="P189" s="720">
        <f t="shared" ref="P189:P190" si="493">IFERROR((N189+Q189)*($L$2/L189-1),0)</f>
        <v>1.9305373758959972</v>
      </c>
      <c r="Q189" s="720">
        <f>IFERROR(($J189*VLOOKUP($H189, 'Baumaterialien Matériaux'!$A$11:$AD$318, 27,FALSE)),0)/$G$1</f>
        <v>0.78491585414718834</v>
      </c>
      <c r="R189" s="720">
        <f>IFERROR(($J189*VLOOKUP($H189, 'Baumaterialien Matériaux'!$A$11:$AH$318, 34,FALSE)),0)/$G$1</f>
        <v>0.17933676149770711</v>
      </c>
      <c r="S189" s="720">
        <f>IFERROR((J189*VLOOKUP(H189, 'Baumaterialien Matériaux'!$A$11:$AD$318, 29,FALSE)),0)/$G$1</f>
        <v>0</v>
      </c>
      <c r="T189" s="720"/>
      <c r="V189" s="638">
        <f t="shared" si="432"/>
        <v>0</v>
      </c>
      <c r="W189" s="638">
        <f t="shared" si="433"/>
        <v>0</v>
      </c>
      <c r="X189" s="638" t="str">
        <f t="shared" si="459"/>
        <v>Revêtement</v>
      </c>
      <c r="Z189" s="638">
        <f t="shared" si="314"/>
        <v>30</v>
      </c>
      <c r="AA189" s="648" t="s">
        <v>3458</v>
      </c>
      <c r="AB189" t="str">
        <f>_xlfn.XLOOKUP($H189,'[1]Baumaterialien Matériaux'!$A:$A,'[1]Baumaterialien Matériaux'!AK:AK,0,0)</f>
        <v>oil_product</v>
      </c>
      <c r="AC189" t="str" cm="1">
        <f t="array" ref="AC189">_xlfn.SWITCH(I189,"kg"," ",0," ",_xlfn.XLOOKUP(H189, '[1]Baumaterialien Matériaux'!$A:$A, '[1]Baumaterialien Matériaux'!$AL:$AL, "-", 0, 1))</f>
        <v xml:space="preserve"> </v>
      </c>
      <c r="AD189" s="622" cm="1">
        <f t="array" ref="AD189">IFERROR(_xlfn.SWITCH(I189,"kg",1,"m3",AC189,AC189)*J189/(_xlfn.XLOOKUP(AA189,Métrés!A:A,Métrés!C:C,0)),0)</f>
        <v>0.5</v>
      </c>
      <c r="AE189" s="1092">
        <f>IFERROR(N189*$G$1/(_xlfn.XLOOKUP($AA189,Métrés!$A:$A,Métrés!$C:$C,0)),0)</f>
        <v>2.2549999999999999</v>
      </c>
      <c r="AF189" s="1092">
        <f>IFERROR(O189*$G$1/(_xlfn.XLOOKUP($AA189,Métrés!$A:$A,Métrés!$C:$C,0)),0)</f>
        <v>0.995</v>
      </c>
      <c r="AG189" s="1092">
        <f>IFERROR(Q189*$G$1/(_xlfn.XLOOKUP($AA189,Métrés!$A:$A,Métrés!$C:$C,0)),0)</f>
        <v>1.5449999999999999</v>
      </c>
      <c r="AH189" s="1092">
        <f>IFERROR(R189*$G$1/(_xlfn.XLOOKUP($AA189,Métrés!$A:$A,Métrés!$C:$C,0)),0)</f>
        <v>0.35299999999999998</v>
      </c>
      <c r="AI189" s="1092">
        <f>IFERROR(S189*$G$1/(_xlfn.XLOOKUP($AA189,Métrés!$A:$A,Métrés!$C:$C,0)),0)</f>
        <v>0</v>
      </c>
      <c r="AJ189" s="1022"/>
      <c r="AK189" s="638">
        <f t="shared" si="469"/>
        <v>0</v>
      </c>
      <c r="AL189" s="638">
        <f t="shared" si="470"/>
        <v>0</v>
      </c>
      <c r="AM189" s="638" t="s">
        <v>3388</v>
      </c>
      <c r="AN189" s="1036">
        <f t="shared" si="471"/>
        <v>0</v>
      </c>
      <c r="AO189" s="1037">
        <f t="shared" si="472"/>
        <v>0</v>
      </c>
      <c r="AP189" s="1037">
        <f t="shared" si="473"/>
        <v>0</v>
      </c>
      <c r="AQ189" s="1038">
        <f t="shared" si="474"/>
        <v>0</v>
      </c>
      <c r="AR189" s="1038">
        <f t="shared" si="475"/>
        <v>0</v>
      </c>
      <c r="AS189" s="1036">
        <f t="shared" si="476"/>
        <v>1.1456215217488088</v>
      </c>
      <c r="AT189" s="1037">
        <f t="shared" si="477"/>
        <v>1.9305373758959972</v>
      </c>
      <c r="AU189" s="1037">
        <f t="shared" si="478"/>
        <v>0.78491585414718834</v>
      </c>
      <c r="AV189" s="1038">
        <f t="shared" si="479"/>
        <v>0</v>
      </c>
      <c r="AW189" s="1038">
        <f t="shared" si="480"/>
        <v>0</v>
      </c>
      <c r="AX189" s="1036">
        <f t="shared" si="481"/>
        <v>0</v>
      </c>
      <c r="AY189" s="1037">
        <f t="shared" si="482"/>
        <v>0</v>
      </c>
      <c r="AZ189" s="1037">
        <f t="shared" si="483"/>
        <v>0</v>
      </c>
      <c r="BA189" s="1037">
        <f t="shared" si="484"/>
        <v>0</v>
      </c>
      <c r="BB189" s="1038">
        <f t="shared" si="485"/>
        <v>0</v>
      </c>
      <c r="BC189" s="1036"/>
      <c r="BD189" s="1037"/>
      <c r="BE189" s="1037"/>
      <c r="BF189" s="1038"/>
      <c r="BG189" s="1036">
        <f t="shared" si="486"/>
        <v>0</v>
      </c>
      <c r="BH189" s="1037">
        <f t="shared" si="487"/>
        <v>228.22</v>
      </c>
      <c r="BI189" s="1038">
        <f t="shared" si="488"/>
        <v>0</v>
      </c>
      <c r="BJ189" s="1037">
        <v>25</v>
      </c>
      <c r="BK189" s="1036">
        <f t="shared" si="329"/>
        <v>0</v>
      </c>
      <c r="BL189" s="1037">
        <f t="shared" si="330"/>
        <v>9.1288</v>
      </c>
      <c r="BM189" s="1038">
        <f t="shared" si="331"/>
        <v>0</v>
      </c>
      <c r="BN189" s="1037">
        <f>IFERROR((J189*VLOOKUP(H189, 'Baumaterialien Matériaux'!$A$11:$AH$318, 33,FALSE)),0)/$G$1</f>
        <v>0.50549597079382036</v>
      </c>
      <c r="BO189" s="1037">
        <f t="shared" si="489"/>
        <v>0.68483273229152752</v>
      </c>
      <c r="BP189" s="1037">
        <f>IFERROR((J189*VLOOKUP(H189, 'Baumaterialien Matériaux'!$A$11:$AH$318, 34,FALSE)),0)/$G$1</f>
        <v>0.17933676149770711</v>
      </c>
      <c r="BQ189" s="1037">
        <f t="shared" si="425"/>
        <v>0.2284789644012945</v>
      </c>
      <c r="BR189" s="1037">
        <f t="shared" si="490"/>
        <v>1.9305373758959972</v>
      </c>
    </row>
    <row r="190" spans="2:70">
      <c r="B190" s="1103"/>
      <c r="C190" s="1099"/>
      <c r="D190" s="478"/>
      <c r="E190" s="478"/>
      <c r="F190" s="478" t="s">
        <v>3020</v>
      </c>
      <c r="G190" s="478" t="str">
        <f>_xlfn.XLOOKUP(H190, 'Baumaterialien Matériaux'!A:A, 'Baumaterialien Matériaux'!AD:AD, "-", 0, 1)</f>
        <v>Polystyrène expansé (EPS)</v>
      </c>
      <c r="H190" s="892" t="s">
        <v>118</v>
      </c>
      <c r="I190" s="641" t="str">
        <f>_xlfn.XLOOKUP(H190, 'Baumaterialien Matériaux'!A:A, 'Baumaterialien Matériaux'!F:F, "-", 0, 1)</f>
        <v>kg</v>
      </c>
      <c r="J190" s="649">
        <f t="shared" si="491"/>
        <v>136.93199999999999</v>
      </c>
      <c r="K190" s="893">
        <f>0.02*15</f>
        <v>0.3</v>
      </c>
      <c r="L190" s="478">
        <f t="shared" ref="L190" si="494">L179</f>
        <v>30</v>
      </c>
      <c r="M190" s="648">
        <f t="shared" si="468"/>
        <v>2.6199424335514889</v>
      </c>
      <c r="N190" s="720">
        <f>IFERROR(($J190*VLOOKUP($H190, 'Baumaterialien Matériaux'!$A$11:$AD$318, 26,FALSE)),0)/$G$1</f>
        <v>0.68737291304928527</v>
      </c>
      <c r="O190" s="720">
        <f>IFERROR(($J190*VLOOKUP($H190, 'Baumaterialien Matériaux'!$A$11:$AH$318, 33,FALSE)),0)/$G$1</f>
        <v>0.30329758247629218</v>
      </c>
      <c r="P190" s="720">
        <f t="shared" si="493"/>
        <v>1.1583224255375983</v>
      </c>
      <c r="Q190" s="720">
        <f>IFERROR(($J190*VLOOKUP($H190, 'Baumaterialien Matériaux'!$A$11:$AD$318, 27,FALSE)),0)/$G$1</f>
        <v>0.47094951248831302</v>
      </c>
      <c r="R190" s="720">
        <f>IFERROR(($J190*VLOOKUP($H190, 'Baumaterialien Matériaux'!$A$11:$AH$318, 34,FALSE)),0)/$G$1</f>
        <v>0.10760205689862426</v>
      </c>
      <c r="S190" s="720">
        <f>IFERROR((J190*VLOOKUP(H190, 'Baumaterialien Matériaux'!$A$11:$AD$318, 29,FALSE)),0)/$G$1</f>
        <v>0</v>
      </c>
      <c r="T190" s="720"/>
      <c r="V190" s="638">
        <f t="shared" si="432"/>
        <v>0</v>
      </c>
      <c r="W190" s="638">
        <f t="shared" si="433"/>
        <v>0</v>
      </c>
      <c r="X190" s="638" t="str">
        <f t="shared" si="459"/>
        <v>Revêtement</v>
      </c>
      <c r="Z190" s="638">
        <f t="shared" si="314"/>
        <v>30</v>
      </c>
      <c r="AA190" s="648" t="s">
        <v>3458</v>
      </c>
      <c r="AB190" t="str">
        <f>_xlfn.XLOOKUP($H190,'[1]Baumaterialien Matériaux'!$A:$A,'[1]Baumaterialien Matériaux'!AK:AK,0,0)</f>
        <v>oil_product</v>
      </c>
      <c r="AC190" t="str" cm="1">
        <f t="array" ref="AC190">_xlfn.SWITCH(I190,"kg"," ",0," ",_xlfn.XLOOKUP(H190, '[1]Baumaterialien Matériaux'!$A:$A, '[1]Baumaterialien Matériaux'!$AL:$AL, "-", 0, 1))</f>
        <v xml:space="preserve"> </v>
      </c>
      <c r="AD190" s="622" cm="1">
        <f t="array" ref="AD190">IFERROR(_xlfn.SWITCH(I190,"kg",1,"m3",AC190,AC190)*J190/(_xlfn.XLOOKUP(AA190,Métrés!A:A,Métrés!C:C,0)),0)</f>
        <v>0.3</v>
      </c>
      <c r="AE190" s="1092">
        <f>IFERROR(N190*$G$1/(_xlfn.XLOOKUP($AA190,Métrés!$A:$A,Métrés!$C:$C,0)),0)</f>
        <v>1.3529999999999998</v>
      </c>
      <c r="AF190" s="1092">
        <f>IFERROR(O190*$G$1/(_xlfn.XLOOKUP($AA190,Métrés!$A:$A,Métrés!$C:$C,0)),0)</f>
        <v>0.59699999999999986</v>
      </c>
      <c r="AG190" s="1092">
        <f>IFERROR(Q190*$G$1/(_xlfn.XLOOKUP($AA190,Métrés!$A:$A,Métrés!$C:$C,0)),0)</f>
        <v>0.92699999999999994</v>
      </c>
      <c r="AH190" s="1092">
        <f>IFERROR(R190*$G$1/(_xlfn.XLOOKUP($AA190,Métrés!$A:$A,Métrés!$C:$C,0)),0)</f>
        <v>0.21179999999999996</v>
      </c>
      <c r="AI190" s="1092">
        <f>IFERROR(S190*$G$1/(_xlfn.XLOOKUP($AA190,Métrés!$A:$A,Métrés!$C:$C,0)),0)</f>
        <v>0</v>
      </c>
      <c r="AJ190" s="1022"/>
      <c r="AK190" s="638">
        <f t="shared" si="469"/>
        <v>0</v>
      </c>
      <c r="AL190" s="638">
        <f t="shared" si="470"/>
        <v>0</v>
      </c>
      <c r="AM190" s="638" t="s">
        <v>3388</v>
      </c>
      <c r="AN190" s="1036">
        <f t="shared" si="471"/>
        <v>0</v>
      </c>
      <c r="AO190" s="1037">
        <f t="shared" si="472"/>
        <v>0</v>
      </c>
      <c r="AP190" s="1037">
        <f t="shared" si="473"/>
        <v>0</v>
      </c>
      <c r="AQ190" s="1038">
        <f t="shared" si="474"/>
        <v>0</v>
      </c>
      <c r="AR190" s="1038">
        <f t="shared" si="475"/>
        <v>0</v>
      </c>
      <c r="AS190" s="1036">
        <f t="shared" si="476"/>
        <v>0.68737291304928527</v>
      </c>
      <c r="AT190" s="1037">
        <f t="shared" si="477"/>
        <v>1.1583224255375983</v>
      </c>
      <c r="AU190" s="1037">
        <f t="shared" si="478"/>
        <v>0.47094951248831302</v>
      </c>
      <c r="AV190" s="1038">
        <f t="shared" si="479"/>
        <v>0</v>
      </c>
      <c r="AW190" s="1038">
        <f t="shared" si="480"/>
        <v>0</v>
      </c>
      <c r="AX190" s="1036">
        <f t="shared" si="481"/>
        <v>0</v>
      </c>
      <c r="AY190" s="1037">
        <f t="shared" si="482"/>
        <v>0</v>
      </c>
      <c r="AZ190" s="1037">
        <f t="shared" si="483"/>
        <v>0</v>
      </c>
      <c r="BA190" s="1037">
        <f t="shared" si="484"/>
        <v>0</v>
      </c>
      <c r="BB190" s="1038">
        <f t="shared" si="485"/>
        <v>0</v>
      </c>
      <c r="BC190" s="1036"/>
      <c r="BD190" s="1037"/>
      <c r="BE190" s="1037"/>
      <c r="BF190" s="1038"/>
      <c r="BG190" s="1036">
        <f t="shared" si="486"/>
        <v>0</v>
      </c>
      <c r="BH190" s="1037">
        <f t="shared" si="487"/>
        <v>136.93199999999999</v>
      </c>
      <c r="BI190" s="1038">
        <f t="shared" si="488"/>
        <v>0</v>
      </c>
      <c r="BJ190" s="1037">
        <v>15</v>
      </c>
      <c r="BK190" s="1036">
        <f t="shared" si="329"/>
        <v>0</v>
      </c>
      <c r="BL190" s="1037">
        <f t="shared" si="330"/>
        <v>9.1288</v>
      </c>
      <c r="BM190" s="1038">
        <f t="shared" si="331"/>
        <v>0</v>
      </c>
      <c r="BN190" s="1037">
        <f>IFERROR((J190*VLOOKUP(H190, 'Baumaterialien Matériaux'!$A$11:$AH$318, 33,FALSE)),0)/$G$1</f>
        <v>0.30329758247629218</v>
      </c>
      <c r="BO190" s="1037">
        <f t="shared" si="489"/>
        <v>0.41089963937491647</v>
      </c>
      <c r="BP190" s="1037">
        <f>IFERROR((J190*VLOOKUP(H190, 'Baumaterialien Matériaux'!$A$11:$AH$318, 34,FALSE)),0)/$G$1</f>
        <v>0.10760205689862426</v>
      </c>
      <c r="BQ190" s="1037">
        <f t="shared" si="425"/>
        <v>0.22847896440129448</v>
      </c>
      <c r="BR190" s="1037">
        <f t="shared" si="490"/>
        <v>1.1583224255375983</v>
      </c>
    </row>
    <row r="191" spans="2:70">
      <c r="B191" s="1103"/>
      <c r="C191" s="1099"/>
      <c r="D191" s="478"/>
      <c r="E191" s="478"/>
      <c r="F191" s="478"/>
      <c r="G191" s="478"/>
      <c r="H191" s="478"/>
      <c r="I191" s="641"/>
      <c r="J191" s="649"/>
      <c r="K191" s="478"/>
      <c r="L191" s="478"/>
      <c r="M191" s="648"/>
      <c r="N191" s="720"/>
      <c r="O191" s="720"/>
      <c r="P191" s="720"/>
      <c r="Q191" s="720"/>
      <c r="R191" s="720"/>
      <c r="S191" s="720"/>
      <c r="T191" s="720"/>
      <c r="V191" s="638">
        <f t="shared" si="432"/>
        <v>0</v>
      </c>
      <c r="W191" s="638">
        <f t="shared" si="433"/>
        <v>0</v>
      </c>
      <c r="X191" s="638">
        <f t="shared" si="459"/>
        <v>0</v>
      </c>
      <c r="Z191" s="638">
        <f t="shared" si="314"/>
        <v>0</v>
      </c>
      <c r="AA191" s="648" t="s">
        <v>3458</v>
      </c>
      <c r="AB191">
        <f>_xlfn.XLOOKUP($H191,'[1]Baumaterialien Matériaux'!$A:$A,'[1]Baumaterialien Matériaux'!AK:AK,0,0)</f>
        <v>0</v>
      </c>
      <c r="AC191" t="str" cm="1">
        <f t="array" ref="AC191">_xlfn.SWITCH(I191,"kg"," ",0," ",_xlfn.XLOOKUP(H191, '[1]Baumaterialien Matériaux'!$A:$A, '[1]Baumaterialien Matériaux'!$AL:$AL, "-", 0, 1))</f>
        <v xml:space="preserve"> </v>
      </c>
      <c r="AD191" s="622" cm="1">
        <f t="array" ref="AD191">IFERROR(_xlfn.SWITCH(I191,"kg",1,"m3",AC191,AC191)*J191/(_xlfn.XLOOKUP(AA191,Métrés!A:A,Métrés!C:C,0)),0)</f>
        <v>0</v>
      </c>
      <c r="AE191" s="1092">
        <f>IFERROR(N191*$G$1/(_xlfn.XLOOKUP($AA191,Métrés!$A:$A,Métrés!$C:$C,0)),0)</f>
        <v>0</v>
      </c>
      <c r="AF191" s="1092">
        <f>IFERROR(O191*$G$1/(_xlfn.XLOOKUP($AA191,Métrés!$A:$A,Métrés!$C:$C,0)),0)</f>
        <v>0</v>
      </c>
      <c r="AG191" s="1092">
        <f>IFERROR(Q191*$G$1/(_xlfn.XLOOKUP($AA191,Métrés!$A:$A,Métrés!$C:$C,0)),0)</f>
        <v>0</v>
      </c>
      <c r="AH191" s="1092">
        <f>IFERROR(R191*$G$1/(_xlfn.XLOOKUP($AA191,Métrés!$A:$A,Métrés!$C:$C,0)),0)</f>
        <v>0</v>
      </c>
      <c r="AI191" s="1092">
        <f>IFERROR(S191*$G$1/(_xlfn.XLOOKUP($AA191,Métrés!$A:$A,Métrés!$C:$C,0)),0)</f>
        <v>0</v>
      </c>
      <c r="AJ191" s="1022"/>
      <c r="AK191" s="638">
        <f t="shared" si="469"/>
        <v>0</v>
      </c>
      <c r="AL191" s="638">
        <f t="shared" si="470"/>
        <v>0</v>
      </c>
      <c r="AM191" s="638">
        <f>IF(L191=$L$2, "Structure", IF(L191&gt;0,"Revêtement",0))</f>
        <v>0</v>
      </c>
      <c r="AN191" s="1036">
        <f t="shared" si="471"/>
        <v>0</v>
      </c>
      <c r="AO191" s="1037">
        <f t="shared" si="472"/>
        <v>0</v>
      </c>
      <c r="AP191" s="1037">
        <f t="shared" si="473"/>
        <v>0</v>
      </c>
      <c r="AQ191" s="1038">
        <f t="shared" si="474"/>
        <v>0</v>
      </c>
      <c r="AR191" s="1038">
        <f t="shared" si="475"/>
        <v>0</v>
      </c>
      <c r="AS191" s="1036">
        <f t="shared" si="476"/>
        <v>0</v>
      </c>
      <c r="AT191" s="1037">
        <f t="shared" si="477"/>
        <v>0</v>
      </c>
      <c r="AU191" s="1037">
        <f t="shared" si="478"/>
        <v>0</v>
      </c>
      <c r="AV191" s="1038">
        <f t="shared" si="479"/>
        <v>0</v>
      </c>
      <c r="AW191" s="1038">
        <f t="shared" si="480"/>
        <v>0</v>
      </c>
      <c r="AX191" s="1036">
        <f t="shared" si="481"/>
        <v>0</v>
      </c>
      <c r="AY191" s="1037">
        <f t="shared" si="482"/>
        <v>0</v>
      </c>
      <c r="AZ191" s="1037">
        <f t="shared" si="483"/>
        <v>0</v>
      </c>
      <c r="BA191" s="1037">
        <f t="shared" si="484"/>
        <v>0</v>
      </c>
      <c r="BB191" s="1038">
        <f t="shared" si="485"/>
        <v>0</v>
      </c>
      <c r="BC191" s="1036"/>
      <c r="BD191" s="1037"/>
      <c r="BE191" s="1037"/>
      <c r="BF191" s="1038"/>
      <c r="BG191" s="1036">
        <f t="shared" si="486"/>
        <v>0</v>
      </c>
      <c r="BH191" s="1037">
        <f t="shared" si="487"/>
        <v>0</v>
      </c>
      <c r="BI191" s="1038">
        <f t="shared" si="488"/>
        <v>0</v>
      </c>
      <c r="BJ191" s="1037">
        <f>_xlfn.XLOOKUP(H191, 'Baumaterialien Matériaux'!A:A, 'Baumaterialien Matériaux'!E:E, "-", 0, 1)</f>
        <v>0</v>
      </c>
      <c r="BK191" s="1036">
        <f t="shared" si="329"/>
        <v>0</v>
      </c>
      <c r="BL191" s="1037">
        <f t="shared" si="330"/>
        <v>0</v>
      </c>
      <c r="BM191" s="1038">
        <f t="shared" si="331"/>
        <v>0</v>
      </c>
      <c r="BN191" s="1037">
        <f>IFERROR((J191*VLOOKUP(H191, 'Baumaterialien Matériaux'!$A$11:$AH$318, 33,FALSE)),0)/$G$1</f>
        <v>0</v>
      </c>
      <c r="BO191" s="1037" t="e">
        <f t="shared" si="489"/>
        <v>#DIV/0!</v>
      </c>
      <c r="BP191" s="1037">
        <f>IFERROR((J191*VLOOKUP(H191, 'Baumaterialien Matériaux'!$A$11:$AH$318, 34,FALSE)),0)/$G$1</f>
        <v>0</v>
      </c>
      <c r="BQ191" s="1037" t="e">
        <f t="shared" si="425"/>
        <v>#DIV/0!</v>
      </c>
      <c r="BR191" s="1037">
        <f t="shared" si="490"/>
        <v>0</v>
      </c>
    </row>
    <row r="192" spans="2:70">
      <c r="B192" s="1103"/>
      <c r="C192" s="1099"/>
      <c r="D192" s="478"/>
      <c r="E192" s="478"/>
      <c r="F192" s="478"/>
      <c r="G192" s="478"/>
      <c r="H192" s="478"/>
      <c r="I192" s="641"/>
      <c r="J192" s="649"/>
      <c r="K192" s="478"/>
      <c r="L192" s="478"/>
      <c r="M192" s="648"/>
      <c r="N192" s="720"/>
      <c r="O192" s="720"/>
      <c r="P192" s="720"/>
      <c r="Q192" s="720"/>
      <c r="R192" s="720"/>
      <c r="S192" s="720"/>
      <c r="T192" s="720"/>
      <c r="V192" s="638">
        <f t="shared" si="432"/>
        <v>0</v>
      </c>
      <c r="W192" s="638">
        <f t="shared" si="433"/>
        <v>0</v>
      </c>
      <c r="X192" s="638">
        <f t="shared" si="459"/>
        <v>0</v>
      </c>
      <c r="Z192" s="638">
        <f t="shared" si="314"/>
        <v>0</v>
      </c>
      <c r="AA192" s="648" t="s">
        <v>3458</v>
      </c>
      <c r="AB192">
        <f>_xlfn.XLOOKUP($H192,'[1]Baumaterialien Matériaux'!$A:$A,'[1]Baumaterialien Matériaux'!AK:AK,0,0)</f>
        <v>0</v>
      </c>
      <c r="AC192" t="str" cm="1">
        <f t="array" ref="AC192">_xlfn.SWITCH(I192,"kg"," ",0," ",_xlfn.XLOOKUP(H192, '[1]Baumaterialien Matériaux'!$A:$A, '[1]Baumaterialien Matériaux'!$AL:$AL, "-", 0, 1))</f>
        <v xml:space="preserve"> </v>
      </c>
      <c r="AD192" s="622" cm="1">
        <f t="array" ref="AD192">IFERROR(_xlfn.SWITCH(I192,"kg",1,"m3",AC192,AC192)*J192/(_xlfn.XLOOKUP(AA192,Métrés!A:A,Métrés!C:C,0)),0)</f>
        <v>0</v>
      </c>
      <c r="AE192" s="1092">
        <f>IFERROR(N192*$G$1/(_xlfn.XLOOKUP($AA192,Métrés!$A:$A,Métrés!$C:$C,0)),0)</f>
        <v>0</v>
      </c>
      <c r="AF192" s="1092">
        <f>IFERROR(O192*$G$1/(_xlfn.XLOOKUP($AA192,Métrés!$A:$A,Métrés!$C:$C,0)),0)</f>
        <v>0</v>
      </c>
      <c r="AG192" s="1092">
        <f>IFERROR(Q192*$G$1/(_xlfn.XLOOKUP($AA192,Métrés!$A:$A,Métrés!$C:$C,0)),0)</f>
        <v>0</v>
      </c>
      <c r="AH192" s="1092">
        <f>IFERROR(R192*$G$1/(_xlfn.XLOOKUP($AA192,Métrés!$A:$A,Métrés!$C:$C,0)),0)</f>
        <v>0</v>
      </c>
      <c r="AI192" s="1092">
        <f>IFERROR(S192*$G$1/(_xlfn.XLOOKUP($AA192,Métrés!$A:$A,Métrés!$C:$C,0)),0)</f>
        <v>0</v>
      </c>
      <c r="AJ192" s="1022"/>
      <c r="AK192" s="638">
        <f t="shared" si="469"/>
        <v>0</v>
      </c>
      <c r="AL192" s="638">
        <f t="shared" si="470"/>
        <v>0</v>
      </c>
      <c r="AM192" s="638">
        <f>IF(L192=$L$2, "Structure", IF(L192&gt;0,"Revêtement",0))</f>
        <v>0</v>
      </c>
      <c r="AN192" s="1036">
        <f t="shared" si="471"/>
        <v>0</v>
      </c>
      <c r="AO192" s="1037">
        <f t="shared" si="472"/>
        <v>0</v>
      </c>
      <c r="AP192" s="1037">
        <f t="shared" si="473"/>
        <v>0</v>
      </c>
      <c r="AQ192" s="1038">
        <f t="shared" si="474"/>
        <v>0</v>
      </c>
      <c r="AR192" s="1038">
        <f t="shared" si="475"/>
        <v>0</v>
      </c>
      <c r="AS192" s="1036">
        <f t="shared" si="476"/>
        <v>0</v>
      </c>
      <c r="AT192" s="1037">
        <f t="shared" si="477"/>
        <v>0</v>
      </c>
      <c r="AU192" s="1037">
        <f t="shared" si="478"/>
        <v>0</v>
      </c>
      <c r="AV192" s="1038">
        <f t="shared" si="479"/>
        <v>0</v>
      </c>
      <c r="AW192" s="1038">
        <f t="shared" si="480"/>
        <v>0</v>
      </c>
      <c r="AX192" s="1036">
        <f t="shared" si="481"/>
        <v>0</v>
      </c>
      <c r="AY192" s="1037">
        <f t="shared" si="482"/>
        <v>0</v>
      </c>
      <c r="AZ192" s="1037">
        <f t="shared" si="483"/>
        <v>0</v>
      </c>
      <c r="BA192" s="1037">
        <f t="shared" si="484"/>
        <v>0</v>
      </c>
      <c r="BB192" s="1038">
        <f t="shared" si="485"/>
        <v>0</v>
      </c>
      <c r="BC192" s="1036"/>
      <c r="BD192" s="1037"/>
      <c r="BE192" s="1037"/>
      <c r="BF192" s="1038"/>
      <c r="BG192" s="1036">
        <f t="shared" si="486"/>
        <v>0</v>
      </c>
      <c r="BH192" s="1037">
        <f t="shared" si="487"/>
        <v>0</v>
      </c>
      <c r="BI192" s="1038">
        <f t="shared" si="488"/>
        <v>0</v>
      </c>
      <c r="BJ192" s="1037">
        <f>_xlfn.XLOOKUP(H192, 'Baumaterialien Matériaux'!A:A, 'Baumaterialien Matériaux'!E:E, "-", 0, 1)</f>
        <v>0</v>
      </c>
      <c r="BK192" s="1036">
        <f t="shared" si="329"/>
        <v>0</v>
      </c>
      <c r="BL192" s="1037">
        <f t="shared" si="330"/>
        <v>0</v>
      </c>
      <c r="BM192" s="1038">
        <f t="shared" si="331"/>
        <v>0</v>
      </c>
      <c r="BN192" s="1037">
        <f>IFERROR((J192*VLOOKUP(H192, 'Baumaterialien Matériaux'!$A$11:$AH$318, 33,FALSE)),0)/$G$1</f>
        <v>0</v>
      </c>
      <c r="BO192" s="1037" t="e">
        <f t="shared" si="489"/>
        <v>#DIV/0!</v>
      </c>
      <c r="BP192" s="1037">
        <f>IFERROR((J192*VLOOKUP(H192, 'Baumaterialien Matériaux'!$A$11:$AH$318, 34,FALSE)),0)/$G$1</f>
        <v>0</v>
      </c>
      <c r="BQ192" s="1037" t="e">
        <f t="shared" si="425"/>
        <v>#DIV/0!</v>
      </c>
      <c r="BR192" s="1037">
        <f t="shared" si="490"/>
        <v>0</v>
      </c>
    </row>
    <row r="193" spans="2:70">
      <c r="B193" s="1103"/>
      <c r="C193" s="1099"/>
      <c r="D193" s="478"/>
      <c r="E193" s="478"/>
      <c r="F193" s="478"/>
      <c r="G193" s="478"/>
      <c r="H193" s="478"/>
      <c r="I193" s="641"/>
      <c r="J193" s="649"/>
      <c r="K193" s="478"/>
      <c r="L193" s="478"/>
      <c r="M193" s="648"/>
      <c r="N193" s="720"/>
      <c r="O193" s="720"/>
      <c r="P193" s="720"/>
      <c r="Q193" s="720"/>
      <c r="R193" s="720"/>
      <c r="S193" s="720"/>
      <c r="T193" s="720"/>
      <c r="V193" s="638">
        <f t="shared" si="432"/>
        <v>0</v>
      </c>
      <c r="W193" s="638">
        <f t="shared" si="433"/>
        <v>0</v>
      </c>
      <c r="X193" s="638">
        <f t="shared" si="459"/>
        <v>0</v>
      </c>
      <c r="Z193" s="638">
        <f t="shared" si="314"/>
        <v>0</v>
      </c>
      <c r="AA193" s="648" t="s">
        <v>3458</v>
      </c>
      <c r="AB193">
        <f>_xlfn.XLOOKUP($H193,'[1]Baumaterialien Matériaux'!$A:$A,'[1]Baumaterialien Matériaux'!AK:AK,0,0)</f>
        <v>0</v>
      </c>
      <c r="AC193" t="str" cm="1">
        <f t="array" ref="AC193">_xlfn.SWITCH(I193,"kg"," ",0," ",_xlfn.XLOOKUP(H193, '[1]Baumaterialien Matériaux'!$A:$A, '[1]Baumaterialien Matériaux'!$AL:$AL, "-", 0, 1))</f>
        <v xml:space="preserve"> </v>
      </c>
      <c r="AD193" s="622" cm="1">
        <f t="array" ref="AD193">IFERROR(_xlfn.SWITCH(I193,"kg",1,"m3",AC193,AC193)*J193/(_xlfn.XLOOKUP(AA193,Métrés!A:A,Métrés!C:C,0)),0)</f>
        <v>0</v>
      </c>
      <c r="AE193" s="1092">
        <f>IFERROR(N193*$G$1/(_xlfn.XLOOKUP($AA193,Métrés!$A:$A,Métrés!$C:$C,0)),0)</f>
        <v>0</v>
      </c>
      <c r="AF193" s="1092">
        <f>IFERROR(O193*$G$1/(_xlfn.XLOOKUP($AA193,Métrés!$A:$A,Métrés!$C:$C,0)),0)</f>
        <v>0</v>
      </c>
      <c r="AG193" s="1092">
        <f>IFERROR(Q193*$G$1/(_xlfn.XLOOKUP($AA193,Métrés!$A:$A,Métrés!$C:$C,0)),0)</f>
        <v>0</v>
      </c>
      <c r="AH193" s="1092">
        <f>IFERROR(R193*$G$1/(_xlfn.XLOOKUP($AA193,Métrés!$A:$A,Métrés!$C:$C,0)),0)</f>
        <v>0</v>
      </c>
      <c r="AI193" s="1092">
        <f>IFERROR(S193*$G$1/(_xlfn.XLOOKUP($AA193,Métrés!$A:$A,Métrés!$C:$C,0)),0)</f>
        <v>0</v>
      </c>
      <c r="AJ193" s="1022"/>
      <c r="AK193" s="638">
        <f t="shared" si="469"/>
        <v>0</v>
      </c>
      <c r="AL193" s="638">
        <f t="shared" si="470"/>
        <v>0</v>
      </c>
      <c r="AM193" s="638">
        <f>IF(L193=$L$2, "Structure", IF(L193&gt;0,"Revêtement",0))</f>
        <v>0</v>
      </c>
      <c r="AN193" s="1036">
        <f t="shared" si="471"/>
        <v>0</v>
      </c>
      <c r="AO193" s="1037">
        <f t="shared" si="472"/>
        <v>0</v>
      </c>
      <c r="AP193" s="1037">
        <f t="shared" si="473"/>
        <v>0</v>
      </c>
      <c r="AQ193" s="1038">
        <f t="shared" si="474"/>
        <v>0</v>
      </c>
      <c r="AR193" s="1038">
        <f t="shared" si="475"/>
        <v>0</v>
      </c>
      <c r="AS193" s="1036">
        <f t="shared" si="476"/>
        <v>0</v>
      </c>
      <c r="AT193" s="1037">
        <f t="shared" si="477"/>
        <v>0</v>
      </c>
      <c r="AU193" s="1037">
        <f t="shared" si="478"/>
        <v>0</v>
      </c>
      <c r="AV193" s="1038">
        <f t="shared" si="479"/>
        <v>0</v>
      </c>
      <c r="AW193" s="1038">
        <f t="shared" si="480"/>
        <v>0</v>
      </c>
      <c r="AX193" s="1036">
        <f t="shared" si="481"/>
        <v>0</v>
      </c>
      <c r="AY193" s="1037">
        <f t="shared" si="482"/>
        <v>0</v>
      </c>
      <c r="AZ193" s="1037">
        <f t="shared" si="483"/>
        <v>0</v>
      </c>
      <c r="BA193" s="1037">
        <f t="shared" si="484"/>
        <v>0</v>
      </c>
      <c r="BB193" s="1038">
        <f t="shared" si="485"/>
        <v>0</v>
      </c>
      <c r="BC193" s="1036"/>
      <c r="BD193" s="1037"/>
      <c r="BE193" s="1037"/>
      <c r="BF193" s="1038"/>
      <c r="BG193" s="1036">
        <f t="shared" si="486"/>
        <v>0</v>
      </c>
      <c r="BH193" s="1037">
        <f t="shared" si="487"/>
        <v>0</v>
      </c>
      <c r="BI193" s="1038">
        <f t="shared" si="488"/>
        <v>0</v>
      </c>
      <c r="BJ193" s="1037">
        <f>_xlfn.XLOOKUP(H193, 'Baumaterialien Matériaux'!A:A, 'Baumaterialien Matériaux'!E:E, "-", 0, 1)</f>
        <v>0</v>
      </c>
      <c r="BK193" s="1036">
        <f t="shared" si="329"/>
        <v>0</v>
      </c>
      <c r="BL193" s="1037">
        <f t="shared" si="330"/>
        <v>0</v>
      </c>
      <c r="BM193" s="1038">
        <f t="shared" si="331"/>
        <v>0</v>
      </c>
      <c r="BN193" s="1037">
        <f>IFERROR((J193*VLOOKUP(H193, 'Baumaterialien Matériaux'!$A$11:$AH$318, 33,FALSE)),0)/$G$1</f>
        <v>0</v>
      </c>
      <c r="BO193" s="1037" t="e">
        <f t="shared" si="489"/>
        <v>#DIV/0!</v>
      </c>
      <c r="BP193" s="1037">
        <f>IFERROR((J193*VLOOKUP(H193, 'Baumaterialien Matériaux'!$A$11:$AH$318, 34,FALSE)),0)/$G$1</f>
        <v>0</v>
      </c>
      <c r="BQ193" s="1037" t="e">
        <f t="shared" si="425"/>
        <v>#DIV/0!</v>
      </c>
      <c r="BR193" s="1037">
        <f t="shared" si="490"/>
        <v>0</v>
      </c>
    </row>
    <row r="194" spans="2:70">
      <c r="B194" s="1103"/>
      <c r="C194" s="1099"/>
      <c r="D194" s="478"/>
      <c r="E194" s="478"/>
      <c r="F194" s="478"/>
      <c r="G194" s="478"/>
      <c r="H194" s="478"/>
      <c r="I194" s="641"/>
      <c r="J194" s="649"/>
      <c r="K194" s="478"/>
      <c r="L194" s="478"/>
      <c r="M194" s="648"/>
      <c r="N194" s="720"/>
      <c r="O194" s="720"/>
      <c r="P194" s="720"/>
      <c r="Q194" s="720"/>
      <c r="R194" s="720"/>
      <c r="S194" s="720"/>
      <c r="T194" s="720"/>
      <c r="V194" s="638">
        <f t="shared" si="432"/>
        <v>0</v>
      </c>
      <c r="W194" s="638">
        <f t="shared" si="433"/>
        <v>0</v>
      </c>
      <c r="X194" s="638">
        <f t="shared" si="459"/>
        <v>0</v>
      </c>
      <c r="Z194" s="638">
        <f t="shared" si="314"/>
        <v>0</v>
      </c>
      <c r="AA194" s="648" t="s">
        <v>3458</v>
      </c>
      <c r="AB194">
        <f>_xlfn.XLOOKUP($H194,'[1]Baumaterialien Matériaux'!$A:$A,'[1]Baumaterialien Matériaux'!AK:AK,0,0)</f>
        <v>0</v>
      </c>
      <c r="AC194" t="str" cm="1">
        <f t="array" ref="AC194">_xlfn.SWITCH(I194,"kg"," ",0," ",_xlfn.XLOOKUP(H194, '[1]Baumaterialien Matériaux'!$A:$A, '[1]Baumaterialien Matériaux'!$AL:$AL, "-", 0, 1))</f>
        <v xml:space="preserve"> </v>
      </c>
      <c r="AD194" s="622" cm="1">
        <f t="array" ref="AD194">IFERROR(_xlfn.SWITCH(I194,"kg",1,"m3",AC194,AC194)*J194/(_xlfn.XLOOKUP(AA194,Métrés!A:A,Métrés!C:C,0)),0)</f>
        <v>0</v>
      </c>
      <c r="AE194" s="1092">
        <f>IFERROR(N194*$G$1/(_xlfn.XLOOKUP($AA194,Métrés!$A:$A,Métrés!$C:$C,0)),0)</f>
        <v>0</v>
      </c>
      <c r="AF194" s="1092">
        <f>IFERROR(O194*$G$1/(_xlfn.XLOOKUP($AA194,Métrés!$A:$A,Métrés!$C:$C,0)),0)</f>
        <v>0</v>
      </c>
      <c r="AG194" s="1092">
        <f>IFERROR(Q194*$G$1/(_xlfn.XLOOKUP($AA194,Métrés!$A:$A,Métrés!$C:$C,0)),0)</f>
        <v>0</v>
      </c>
      <c r="AH194" s="1092">
        <f>IFERROR(R194*$G$1/(_xlfn.XLOOKUP($AA194,Métrés!$A:$A,Métrés!$C:$C,0)),0)</f>
        <v>0</v>
      </c>
      <c r="AI194" s="1092">
        <f>IFERROR(S194*$G$1/(_xlfn.XLOOKUP($AA194,Métrés!$A:$A,Métrés!$C:$C,0)),0)</f>
        <v>0</v>
      </c>
      <c r="AJ194" s="1022"/>
      <c r="AK194" s="638">
        <f t="shared" si="469"/>
        <v>0</v>
      </c>
      <c r="AL194" s="638">
        <f t="shared" si="470"/>
        <v>0</v>
      </c>
      <c r="AM194" s="638">
        <f>IF(L194=$L$2, "Structure", IF(L194&gt;0,"Revêtement",0))</f>
        <v>0</v>
      </c>
      <c r="AN194" s="1036">
        <f t="shared" si="471"/>
        <v>0</v>
      </c>
      <c r="AO194" s="1037">
        <f t="shared" si="472"/>
        <v>0</v>
      </c>
      <c r="AP194" s="1037">
        <f t="shared" si="473"/>
        <v>0</v>
      </c>
      <c r="AQ194" s="1038">
        <f t="shared" si="474"/>
        <v>0</v>
      </c>
      <c r="AR194" s="1038">
        <f t="shared" si="475"/>
        <v>0</v>
      </c>
      <c r="AS194" s="1036">
        <f t="shared" si="476"/>
        <v>0</v>
      </c>
      <c r="AT194" s="1037">
        <f t="shared" si="477"/>
        <v>0</v>
      </c>
      <c r="AU194" s="1037">
        <f t="shared" si="478"/>
        <v>0</v>
      </c>
      <c r="AV194" s="1038">
        <f t="shared" si="479"/>
        <v>0</v>
      </c>
      <c r="AW194" s="1038">
        <f t="shared" si="480"/>
        <v>0</v>
      </c>
      <c r="AX194" s="1036">
        <f t="shared" si="481"/>
        <v>0</v>
      </c>
      <c r="AY194" s="1037">
        <f t="shared" si="482"/>
        <v>0</v>
      </c>
      <c r="AZ194" s="1037">
        <f t="shared" si="483"/>
        <v>0</v>
      </c>
      <c r="BA194" s="1037">
        <f t="shared" si="484"/>
        <v>0</v>
      </c>
      <c r="BB194" s="1038">
        <f t="shared" si="485"/>
        <v>0</v>
      </c>
      <c r="BC194" s="1036"/>
      <c r="BD194" s="1037"/>
      <c r="BE194" s="1037"/>
      <c r="BF194" s="1038"/>
      <c r="BG194" s="1036">
        <f t="shared" si="486"/>
        <v>0</v>
      </c>
      <c r="BH194" s="1037">
        <f t="shared" si="487"/>
        <v>0</v>
      </c>
      <c r="BI194" s="1038">
        <f t="shared" si="488"/>
        <v>0</v>
      </c>
      <c r="BJ194" s="1037">
        <f>_xlfn.XLOOKUP(H194, 'Baumaterialien Matériaux'!A:A, 'Baumaterialien Matériaux'!E:E, "-", 0, 1)</f>
        <v>0</v>
      </c>
      <c r="BK194" s="1036">
        <f t="shared" si="329"/>
        <v>0</v>
      </c>
      <c r="BL194" s="1037">
        <f t="shared" si="330"/>
        <v>0</v>
      </c>
      <c r="BM194" s="1038">
        <f t="shared" si="331"/>
        <v>0</v>
      </c>
      <c r="BN194" s="1037">
        <f>IFERROR((J194*VLOOKUP(H194, 'Baumaterialien Matériaux'!$A$11:$AH$318, 33,FALSE)),0)/$G$1</f>
        <v>0</v>
      </c>
      <c r="BO194" s="1037" t="e">
        <f t="shared" si="489"/>
        <v>#DIV/0!</v>
      </c>
      <c r="BP194" s="1037">
        <f>IFERROR((J194*VLOOKUP(H194, 'Baumaterialien Matériaux'!$A$11:$AH$318, 34,FALSE)),0)/$G$1</f>
        <v>0</v>
      </c>
      <c r="BQ194" s="1037" t="e">
        <f t="shared" si="425"/>
        <v>#DIV/0!</v>
      </c>
      <c r="BR194" s="1037">
        <f t="shared" si="490"/>
        <v>0</v>
      </c>
    </row>
    <row r="195" spans="2:70">
      <c r="B195" s="1103"/>
      <c r="C195" s="1099"/>
      <c r="D195" s="478" t="s">
        <v>2990</v>
      </c>
      <c r="E195" s="479" t="str">
        <f>BillQuantities!E34</f>
        <v>Supports et revêtement de sol</v>
      </c>
      <c r="F195" s="479"/>
      <c r="G195" s="479"/>
      <c r="H195" s="479"/>
      <c r="I195" s="459" t="s">
        <v>39</v>
      </c>
      <c r="J195" s="662"/>
      <c r="K195" s="663"/>
      <c r="L195" s="663"/>
      <c r="M195" s="664">
        <f>SUM(M196:M202)</f>
        <v>29.19252259471973</v>
      </c>
      <c r="N195" s="664">
        <f t="shared" ref="N195:T195" si="495">SUM(N196:N202)</f>
        <v>9.203463781665997</v>
      </c>
      <c r="O195" s="664">
        <f t="shared" ref="O195" si="496">SUM(O196:O202)</f>
        <v>6.330205689862427</v>
      </c>
      <c r="P195" s="664">
        <f t="shared" si="495"/>
        <v>11.431158452428651</v>
      </c>
      <c r="Q195" s="664">
        <f t="shared" si="495"/>
        <v>2.2276946707626553</v>
      </c>
      <c r="R195" s="664">
        <f t="shared" ref="R195" si="497">SUM(R196:R202)</f>
        <v>4.3865477939539647E-2</v>
      </c>
      <c r="S195" s="664">
        <f t="shared" si="495"/>
        <v>2.6087514655031678</v>
      </c>
      <c r="T195" s="664">
        <f t="shared" si="495"/>
        <v>2.579897748690322E-2</v>
      </c>
      <c r="V195" s="638">
        <f t="shared" si="432"/>
        <v>2.579897748690322E-2</v>
      </c>
      <c r="X195" s="638">
        <f t="shared" si="459"/>
        <v>0</v>
      </c>
      <c r="Z195" s="638">
        <f t="shared" si="314"/>
        <v>0</v>
      </c>
      <c r="AB195">
        <f>_xlfn.XLOOKUP($H195,'[1]Baumaterialien Matériaux'!$A:$A,'[1]Baumaterialien Matériaux'!AK:AK,0,0)</f>
        <v>0</v>
      </c>
      <c r="AC195" cm="1">
        <f t="array" ref="AC195">_xlfn.SWITCH(I195,"kg"," ",0," ",_xlfn.XLOOKUP(H195, '[1]Baumaterialien Matériaux'!$A:$A, '[1]Baumaterialien Matériaux'!$AL:$AL, "-", 0, 1))</f>
        <v>0</v>
      </c>
      <c r="AD195" s="622" cm="1">
        <f t="array" ref="AD195">IFERROR(_xlfn.SWITCH(I195,"kg",1,"m3",AC195,AC195)*J195/(_xlfn.XLOOKUP(AA195,Métrés!A:A,Métrés!C:C,0)),0)</f>
        <v>0</v>
      </c>
      <c r="AE195" s="1092">
        <f>IFERROR(N195*$G$1/(_xlfn.XLOOKUP($AA195,Métrés!$A:$A,Métrés!$C:$C,0)),0)</f>
        <v>0</v>
      </c>
      <c r="AF195" s="1092">
        <f>IFERROR(O195*$G$1/(_xlfn.XLOOKUP($AA195,Métrés!$A:$A,Métrés!$C:$C,0)),0)</f>
        <v>0</v>
      </c>
      <c r="AG195" s="1092">
        <f>IFERROR(Q195*$G$1/(_xlfn.XLOOKUP($AA195,Métrés!$A:$A,Métrés!$C:$C,0)),0)</f>
        <v>0</v>
      </c>
      <c r="AH195" s="1092">
        <f>IFERROR(R195*$G$1/(_xlfn.XLOOKUP($AA195,Métrés!$A:$A,Métrés!$C:$C,0)),0)</f>
        <v>0</v>
      </c>
      <c r="AI195" s="1092">
        <f>IFERROR(S195*$G$1/(_xlfn.XLOOKUP($AA195,Métrés!$A:$A,Métrés!$C:$C,0)),0)</f>
        <v>0</v>
      </c>
      <c r="AJ195" s="1021"/>
      <c r="AK195" s="1021"/>
      <c r="AL195" s="1021"/>
      <c r="AM195" s="1021"/>
      <c r="AN195" s="1057"/>
      <c r="AO195" s="1021"/>
      <c r="AP195" s="1021"/>
      <c r="AQ195" s="1021"/>
      <c r="AR195" s="1058"/>
      <c r="AS195" s="1057"/>
      <c r="AT195" s="1021"/>
      <c r="AU195" s="1021"/>
      <c r="AV195" s="1021"/>
      <c r="AW195" s="1058"/>
      <c r="AX195" s="1057"/>
      <c r="AY195" s="1021"/>
      <c r="AZ195" s="1021"/>
      <c r="BA195" s="1021"/>
      <c r="BB195" s="1058"/>
      <c r="BC195" s="1057"/>
      <c r="BD195" s="1021"/>
      <c r="BE195" s="1021"/>
      <c r="BF195" s="1058"/>
      <c r="BG195" s="1057"/>
      <c r="BH195" s="1021"/>
      <c r="BI195" s="1058"/>
      <c r="BJ195" s="1045"/>
      <c r="BK195" s="1057"/>
      <c r="BL195" s="1021"/>
      <c r="BM195" s="1058"/>
      <c r="BN195" s="1037">
        <f>IFERROR((J195*VLOOKUP(H195, 'Baumaterialien Matériaux'!$A$11:$AH$318, 33,FALSE)),0)/$G$1</f>
        <v>0</v>
      </c>
      <c r="BO195" s="1037"/>
      <c r="BP195" s="1037">
        <f>IFERROR((J195*VLOOKUP(H195, 'Baumaterialien Matériaux'!$A$11:$AH$318, 34,FALSE)),0)/$G$1</f>
        <v>0</v>
      </c>
      <c r="BQ195" s="1037">
        <f t="shared" si="425"/>
        <v>0</v>
      </c>
      <c r="BR195" s="1037"/>
    </row>
    <row r="196" spans="2:70">
      <c r="B196" s="1103"/>
      <c r="C196" s="1099"/>
      <c r="D196" s="478"/>
      <c r="E196" s="478"/>
      <c r="F196" s="478" t="s">
        <v>3054</v>
      </c>
      <c r="G196" s="478" t="str">
        <f>_xlfn.XLOOKUP(H196, 'Baumaterialien Matériaux'!A:A, 'Baumaterialien Matériaux'!AD:AD, "-", 0, 1)</f>
        <v>Parquet, 2 plis, vitrifié d'usine, 11 mm</v>
      </c>
      <c r="H196" s="892" t="s">
        <v>776</v>
      </c>
      <c r="I196" s="641" t="str">
        <f>_xlfn.XLOOKUP(H196, 'Baumaterialien Matériaux'!A:A, 'Baumaterialien Matériaux'!F:F, "-", 0, 1)</f>
        <v>m2</v>
      </c>
      <c r="J196" s="890">
        <v>235</v>
      </c>
      <c r="K196" s="478">
        <f>_xlfn.XLOOKUP(H196, 'Baumaterialien Matériaux'!A:A, 'Baumaterialien Matériaux'!E:E, "-", 0, 1)/(Métrés!C$15)*J196</f>
        <v>2.0620855330350851</v>
      </c>
      <c r="L196" s="478">
        <f t="shared" ref="L196" si="498">L188</f>
        <v>30</v>
      </c>
      <c r="M196" s="648">
        <f t="shared" si="468"/>
        <v>4.9791416232580916</v>
      </c>
      <c r="N196" s="720">
        <f>IFERROR(($J196*VLOOKUP($H196, 'Baumaterialien Matériaux'!$A$11:$AD$318, 26,FALSE)),0)/$G$1</f>
        <v>1.9591180268020123</v>
      </c>
      <c r="O196" s="720">
        <f>IFERROR(($J196*VLOOKUP($H196, 'Baumaterialien Matériaux'!$A$11:$AH$318, 33,FALSE)),0)/$G$1</f>
        <v>0.8840879747117224</v>
      </c>
      <c r="P196" s="720">
        <f>IFERROR((N196+Q196)*($L$2/L196-1),0)</f>
        <v>2.0475268242731843</v>
      </c>
      <c r="Q196" s="720">
        <f>IFERROR(($J196*VLOOKUP($H196, 'Baumaterialien Matériaux'!$A$11:$AD$318, 27,FALSE)),0)/$G$1</f>
        <v>8.8408797471172251E-2</v>
      </c>
      <c r="R196" s="720">
        <f>IFERROR(($J196*VLOOKUP($H196, 'Baumaterialien Matériaux'!$A$11:$AH$318, 34,FALSE)),0)/$G$1</f>
        <v>1.1482681091670005E-2</v>
      </c>
      <c r="S196" s="720">
        <f>IFERROR((J196*VLOOKUP(H196, 'Baumaterialien Matériaux'!$A$11:$AD$318, 29,FALSE)),0)/$G$1</f>
        <v>2.5798977486903221</v>
      </c>
      <c r="T196" s="720">
        <f>S196*AJ196</f>
        <v>2.579897748690322E-2</v>
      </c>
      <c r="U196" s="638">
        <v>0.01</v>
      </c>
      <c r="V196" s="638">
        <f t="shared" si="432"/>
        <v>2.579897748690322E-2</v>
      </c>
      <c r="W196" s="638">
        <f t="shared" ref="W196:W202" si="499">IF(L196=60, 0, S196)</f>
        <v>2.5798977486903221</v>
      </c>
      <c r="X196" s="638" t="str">
        <f t="shared" si="459"/>
        <v>Revêtement</v>
      </c>
      <c r="Z196" s="638">
        <f t="shared" si="314"/>
        <v>30</v>
      </c>
      <c r="AA196" s="615" t="s">
        <v>3460</v>
      </c>
      <c r="AB196" t="str">
        <f>_xlfn.XLOOKUP($H196,'[1]Baumaterialien Matériaux'!$A:$A,'[1]Baumaterialien Matériaux'!AK:AK,0,0)</f>
        <v>timber</v>
      </c>
      <c r="AC196" cm="1">
        <f t="array" ref="AC196">_xlfn.SWITCH(I196,"kg"," ",0," ",_xlfn.XLOOKUP(H196, '[1]Baumaterialien Matériaux'!$A:$A, '[1]Baumaterialien Matériaux'!$AL:$AL, "-", 0, 1))</f>
        <v>6.1</v>
      </c>
      <c r="AD196" s="622" cm="1">
        <f t="array" ref="AD196">IFERROR(_xlfn.SWITCH(I196,"kg",1,"m3",AC196,AC196)*J196/(_xlfn.XLOOKUP(AA196,Métrés!A:A,Métrés!C:C,0)),0)</f>
        <v>2.0620855330350851</v>
      </c>
      <c r="AE196" s="1092">
        <f>IFERROR(N196*$G$1/(_xlfn.XLOOKUP($AA196,Métrés!$A:$A,Métrés!$C:$C,0)),0)</f>
        <v>2.5319705971201292</v>
      </c>
      <c r="AF196" s="1092">
        <f>IFERROR(O196*$G$1/(_xlfn.XLOOKUP($AA196,Métrés!$A:$A,Métrés!$C:$C,0)),0)</f>
        <v>1.1425982133866537</v>
      </c>
      <c r="AG196" s="1092">
        <f>IFERROR(Q196*$G$1/(_xlfn.XLOOKUP($AA196,Métrés!$A:$A,Métrés!$C:$C,0)),0)</f>
        <v>0.11425982133866538</v>
      </c>
      <c r="AH196" s="1092">
        <f>IFERROR(R196*$G$1/(_xlfn.XLOOKUP($AA196,Métrés!$A:$A,Métrés!$C:$C,0)),0)</f>
        <v>1.4840254901678727E-2</v>
      </c>
      <c r="AI196" s="1092">
        <f>IFERROR(S196*$G$1/(_xlfn.XLOOKUP($AA196,Métrés!$A:$A,Métrés!$C:$C,0)),0)</f>
        <v>3.334268356421211</v>
      </c>
      <c r="AJ196" s="1022">
        <v>0.01</v>
      </c>
      <c r="AK196" s="638">
        <f t="shared" ref="AK196:AK202" si="500">IF(L196=60, 0, T196)</f>
        <v>2.579897748690322E-2</v>
      </c>
      <c r="AL196" s="638">
        <f t="shared" ref="AL196:AL202" si="501">IF(L196=60, 0, S196)</f>
        <v>2.5798977486903221</v>
      </c>
      <c r="AM196" s="638" t="str">
        <f t="shared" ref="AM196:AM202" si="502">IF(L196=$L$2, "Structure", IF(L196&gt;0,"Revêtement",0))</f>
        <v>Revêtement</v>
      </c>
      <c r="AN196" s="1036">
        <f t="shared" ref="AN196:AN202" si="503">IF(AM196="Structure",N196,0)</f>
        <v>0</v>
      </c>
      <c r="AO196" s="1037">
        <f t="shared" ref="AO196:AO202" si="504">IF(AM196="Structure",P196,0)</f>
        <v>0</v>
      </c>
      <c r="AP196" s="1037">
        <f t="shared" ref="AP196:AP202" si="505">IF(AM196="Structure",Q196,0)</f>
        <v>0</v>
      </c>
      <c r="AQ196" s="1038">
        <f t="shared" ref="AQ196:AQ202" si="506">IF(AM196="Structure",S196,0)</f>
        <v>0</v>
      </c>
      <c r="AR196" s="1038">
        <f t="shared" ref="AR196:AR202" si="507">IF(AM196="Structure",T196,0)</f>
        <v>0</v>
      </c>
      <c r="AS196" s="1036">
        <f t="shared" ref="AS196:AS202" si="508">IF(AM196="Insulation",N196,0)</f>
        <v>0</v>
      </c>
      <c r="AT196" s="1037">
        <f t="shared" ref="AT196:AT202" si="509">IF(AM196="Insulation",P196,0)</f>
        <v>0</v>
      </c>
      <c r="AU196" s="1037">
        <f t="shared" ref="AU196:AU202" si="510">IF(AM196="Insulation",Q196,0)</f>
        <v>0</v>
      </c>
      <c r="AV196" s="1038">
        <f t="shared" ref="AV196:AV202" si="511">IF(AM196="Insulation",S196,0)</f>
        <v>0</v>
      </c>
      <c r="AW196" s="1038">
        <f t="shared" ref="AW196:AW202" si="512">IF(AM196="Insulation",T196,0)</f>
        <v>0</v>
      </c>
      <c r="AX196" s="1036">
        <f t="shared" ref="AX196:AX202" si="513">IF(AM196="Revêtement",N196,0)</f>
        <v>1.9591180268020123</v>
      </c>
      <c r="AY196" s="1037">
        <f t="shared" ref="AY196:AY202" si="514">IF(AM196="Revêtement",P196,0)</f>
        <v>2.0475268242731843</v>
      </c>
      <c r="AZ196" s="1037">
        <f t="shared" ref="AZ196:AZ202" si="515">IF(AM196="Revêtement",Q196,0)</f>
        <v>8.8408797471172251E-2</v>
      </c>
      <c r="BA196" s="1037">
        <f t="shared" ref="BA196:BA202" si="516">IF(AM196="Revêtement",S196,0)</f>
        <v>2.5798977486903221</v>
      </c>
      <c r="BB196" s="1038">
        <f t="shared" ref="BB196:BB202" si="517">IF(AM196="Revêtement",T196,0)</f>
        <v>2.579897748690322E-2</v>
      </c>
      <c r="BC196" s="1036"/>
      <c r="BD196" s="1037"/>
      <c r="BE196" s="1037"/>
      <c r="BF196" s="1038"/>
      <c r="BG196" s="1036">
        <f t="shared" ref="BG196:BG202" si="518">IF($AM196="Structure", IF($I196="kg",$J196,0), 0)</f>
        <v>0</v>
      </c>
      <c r="BH196" s="1037">
        <f t="shared" ref="BH196:BH202" si="519">IF($AM196="Insulation", IF($I196="kg",$J196,0), 0)</f>
        <v>0</v>
      </c>
      <c r="BI196" s="1038">
        <f t="shared" ref="BI196:BI202" si="520">IF($AM196="Revêtement", IF($I196="kg",$J196,0), 0)</f>
        <v>0</v>
      </c>
      <c r="BJ196" s="1037">
        <f>_xlfn.XLOOKUP(H196, 'Baumaterialien Matériaux'!A:A, 'Baumaterialien Matériaux'!E:E, "-", 0, 1)</f>
        <v>6.1</v>
      </c>
      <c r="BK196" s="1036">
        <f t="shared" si="329"/>
        <v>0</v>
      </c>
      <c r="BL196" s="1037">
        <f t="shared" si="330"/>
        <v>0</v>
      </c>
      <c r="BM196" s="1038">
        <f t="shared" si="331"/>
        <v>0</v>
      </c>
      <c r="BN196" s="1037">
        <f>IFERROR((J196*VLOOKUP(H196, 'Baumaterialien Matériaux'!$A$11:$AH$318, 33,FALSE)),0)/$G$1</f>
        <v>0.8840879747117224</v>
      </c>
      <c r="BO196" s="1037">
        <f t="shared" ref="BO196:BO202" si="521">(BN196+BP196)*($L$2/L196-1)</f>
        <v>0.89557065580339246</v>
      </c>
      <c r="BP196" s="1037">
        <f>IFERROR((J196*VLOOKUP(H196, 'Baumaterialien Matériaux'!$A$11:$AH$318, 34,FALSE)),0)/$G$1</f>
        <v>1.1482681091670005E-2</v>
      </c>
      <c r="BQ196" s="1037">
        <f t="shared" si="425"/>
        <v>0.12988165680473371</v>
      </c>
      <c r="BR196" s="1037">
        <f t="shared" ref="BR196:BR202" si="522">IFERROR((N196+Q196)*($L$2/L196-1),0)</f>
        <v>2.0475268242731843</v>
      </c>
    </row>
    <row r="197" spans="2:70">
      <c r="B197" s="1103"/>
      <c r="C197" s="1099"/>
      <c r="D197" s="478"/>
      <c r="E197" s="478"/>
      <c r="F197" s="478" t="s">
        <v>2991</v>
      </c>
      <c r="G197" s="478" t="str">
        <f>_xlfn.XLOOKUP(H197, 'Baumaterialien Matériaux'!A:A, 'Baumaterialien Matériaux'!AD:AD, "-", 0, 1)</f>
        <v>Dalle en céramique/grès, 9 mm</v>
      </c>
      <c r="H197" s="892" t="s">
        <v>786</v>
      </c>
      <c r="I197" s="641" t="str">
        <f>_xlfn.XLOOKUP(H197, 'Baumaterialien Matériaux'!A:A, 'Baumaterialien Matériaux'!F:F, "-", 0, 1)</f>
        <v>m2</v>
      </c>
      <c r="J197" s="890">
        <v>414</v>
      </c>
      <c r="K197" s="478">
        <f>_xlfn.XLOOKUP(H197, 'Baumaterialien Matériaux'!A:A, 'Baumaterialien Matériaux'!E:E, "-", 0, 1)/(Métrés!C$15)*J197</f>
        <v>10.719680078254241</v>
      </c>
      <c r="L197" s="478">
        <f t="shared" ref="L197" si="523">L189</f>
        <v>30</v>
      </c>
      <c r="M197" s="648">
        <f t="shared" si="468"/>
        <v>21.70361960731935</v>
      </c>
      <c r="N197" s="720">
        <f>IFERROR(($J197*VLOOKUP($H197, 'Baumaterialien Matériaux'!$A$11:$AD$318, 26,FALSE)),0)/$G$1</f>
        <v>6.4972619206624804</v>
      </c>
      <c r="O197" s="720">
        <f>IFERROR(($J197*VLOOKUP($H197, 'Baumaterialien Matériaux'!$A$11:$AH$318, 33,FALSE)),0)/$G$1</f>
        <v>4.8844664084412974</v>
      </c>
      <c r="P197" s="720">
        <f t="shared" ref="P197:P199" si="524">IFERROR((N197+Q197)*($L$2/L197-1),0)</f>
        <v>8.4095765994390259</v>
      </c>
      <c r="Q197" s="720">
        <f>IFERROR(($J197*VLOOKUP($H197, 'Baumaterialien Matériaux'!$A$11:$AD$318, 27,FALSE)),0)/$G$1</f>
        <v>1.9123146787765462</v>
      </c>
      <c r="R197" s="720">
        <f>IFERROR(($J197*VLOOKUP($H197, 'Baumaterialien Matériaux'!$A$11:$AH$318, 34,FALSE)),0)/$G$1</f>
        <v>2.1150661145986377E-2</v>
      </c>
      <c r="S197" s="720">
        <f>IFERROR((J197*VLOOKUP(H197, 'Baumaterialien Matériaux'!$A$11:$AD$318, 29,FALSE)),0)/$G$1</f>
        <v>0</v>
      </c>
      <c r="T197" s="720"/>
      <c r="V197" s="638">
        <f t="shared" si="432"/>
        <v>0</v>
      </c>
      <c r="W197" s="638">
        <f t="shared" si="499"/>
        <v>0</v>
      </c>
      <c r="X197" s="638" t="str">
        <f t="shared" si="459"/>
        <v>Revêtement</v>
      </c>
      <c r="Z197" s="638">
        <f t="shared" si="314"/>
        <v>30</v>
      </c>
      <c r="AA197" s="615" t="s">
        <v>3460</v>
      </c>
      <c r="AB197" t="str">
        <f>_xlfn.XLOOKUP($H197,'[1]Baumaterialien Matériaux'!$A:$A,'[1]Baumaterialien Matériaux'!AK:AK,0,0)</f>
        <v>stone</v>
      </c>
      <c r="AC197" cm="1">
        <f t="array" ref="AC197">_xlfn.SWITCH(I197,"kg"," ",0," ",_xlfn.XLOOKUP(H197, '[1]Baumaterialien Matériaux'!$A:$A, '[1]Baumaterialien Matériaux'!$AL:$AL, "-", 0, 1))</f>
        <v>18</v>
      </c>
      <c r="AD197" s="622" cm="1">
        <f t="array" ref="AD197">IFERROR(_xlfn.SWITCH(I197,"kg",1,"m3",AC197,AC197)*J197/(_xlfn.XLOOKUP(AA197,Métrés!A:A,Métrés!C:C,0)),0)</f>
        <v>10.719680078254241</v>
      </c>
      <c r="AE197" s="1092">
        <f>IFERROR(N197*$G$1/(_xlfn.XLOOKUP($AA197,Métrés!$A:$A,Métrés!$C:$C,0)),0)</f>
        <v>8.397082727965822</v>
      </c>
      <c r="AF197" s="1092">
        <f>IFERROR(O197*$G$1/(_xlfn.XLOOKUP($AA197,Métrés!$A:$A,Métrés!$C:$C,0)),0)</f>
        <v>6.3127004905274964</v>
      </c>
      <c r="AG197" s="1092">
        <f>IFERROR(Q197*$G$1/(_xlfn.XLOOKUP($AA197,Métrés!$A:$A,Métrés!$C:$C,0)),0)</f>
        <v>2.4714817958197277</v>
      </c>
      <c r="AH197" s="1092">
        <f>IFERROR(R197*$G$1/(_xlfn.XLOOKUP($AA197,Métrés!$A:$A,Métrés!$C:$C,0)),0)</f>
        <v>2.7335184199548314E-2</v>
      </c>
      <c r="AI197" s="1092">
        <f>IFERROR(S197*$G$1/(_xlfn.XLOOKUP($AA197,Métrés!$A:$A,Métrés!$C:$C,0)),0)</f>
        <v>0</v>
      </c>
      <c r="AJ197" s="1022"/>
      <c r="AK197" s="638">
        <f t="shared" si="500"/>
        <v>0</v>
      </c>
      <c r="AL197" s="638">
        <f t="shared" si="501"/>
        <v>0</v>
      </c>
      <c r="AM197" s="638" t="str">
        <f t="shared" si="502"/>
        <v>Revêtement</v>
      </c>
      <c r="AN197" s="1036">
        <f t="shared" si="503"/>
        <v>0</v>
      </c>
      <c r="AO197" s="1037">
        <f t="shared" si="504"/>
        <v>0</v>
      </c>
      <c r="AP197" s="1037">
        <f t="shared" si="505"/>
        <v>0</v>
      </c>
      <c r="AQ197" s="1038">
        <f t="shared" si="506"/>
        <v>0</v>
      </c>
      <c r="AR197" s="1038">
        <f t="shared" si="507"/>
        <v>0</v>
      </c>
      <c r="AS197" s="1036">
        <f t="shared" si="508"/>
        <v>0</v>
      </c>
      <c r="AT197" s="1037">
        <f t="shared" si="509"/>
        <v>0</v>
      </c>
      <c r="AU197" s="1037">
        <f t="shared" si="510"/>
        <v>0</v>
      </c>
      <c r="AV197" s="1038">
        <f t="shared" si="511"/>
        <v>0</v>
      </c>
      <c r="AW197" s="1038">
        <f t="shared" si="512"/>
        <v>0</v>
      </c>
      <c r="AX197" s="1036">
        <f t="shared" si="513"/>
        <v>6.4972619206624804</v>
      </c>
      <c r="AY197" s="1037">
        <f t="shared" si="514"/>
        <v>8.4095765994390259</v>
      </c>
      <c r="AZ197" s="1037">
        <f t="shared" si="515"/>
        <v>1.9123146787765462</v>
      </c>
      <c r="BA197" s="1037">
        <f t="shared" si="516"/>
        <v>0</v>
      </c>
      <c r="BB197" s="1038">
        <f t="shared" si="517"/>
        <v>0</v>
      </c>
      <c r="BC197" s="1036"/>
      <c r="BD197" s="1037"/>
      <c r="BE197" s="1037"/>
      <c r="BF197" s="1038"/>
      <c r="BG197" s="1036">
        <f t="shared" si="518"/>
        <v>0</v>
      </c>
      <c r="BH197" s="1037">
        <f t="shared" si="519"/>
        <v>0</v>
      </c>
      <c r="BI197" s="1038">
        <f t="shared" si="520"/>
        <v>0</v>
      </c>
      <c r="BJ197" s="1037">
        <f>_xlfn.XLOOKUP(H197, 'Baumaterialien Matériaux'!A:A, 'Baumaterialien Matériaux'!E:E, "-", 0, 1)</f>
        <v>18</v>
      </c>
      <c r="BK197" s="1036">
        <f t="shared" si="329"/>
        <v>0</v>
      </c>
      <c r="BL197" s="1037">
        <f t="shared" si="330"/>
        <v>0</v>
      </c>
      <c r="BM197" s="1038">
        <f t="shared" si="331"/>
        <v>0</v>
      </c>
      <c r="BN197" s="1037">
        <f>IFERROR((J197*VLOOKUP(H197, 'Baumaterialien Matériaux'!$A$11:$AH$318, 33,FALSE)),0)/$G$1</f>
        <v>4.8844664084412974</v>
      </c>
      <c r="BO197" s="1037">
        <f t="shared" si="521"/>
        <v>4.9056170695872838</v>
      </c>
      <c r="BP197" s="1037">
        <f>IFERROR((J197*VLOOKUP(H197, 'Baumaterialien Matériaux'!$A$11:$AH$318, 34,FALSE)),0)/$G$1</f>
        <v>2.1150661145986377E-2</v>
      </c>
      <c r="BQ197" s="1037">
        <f t="shared" si="425"/>
        <v>1.1060240963855422E-2</v>
      </c>
      <c r="BR197" s="1037">
        <f t="shared" si="522"/>
        <v>8.4095765994390259</v>
      </c>
    </row>
    <row r="198" spans="2:70">
      <c r="B198" s="1103"/>
      <c r="C198" s="1099"/>
      <c r="D198" s="478"/>
      <c r="E198" s="478"/>
      <c r="F198" s="478" t="s">
        <v>3055</v>
      </c>
      <c r="G198" s="478" t="str">
        <f>_xlfn.XLOOKUP(H198, 'Baumaterialien Matériaux'!A:A, 'Baumaterialien Matériaux'!AD:AD, "-", 0, 1)</f>
        <v>Moquette en fibres naturelles</v>
      </c>
      <c r="H198" s="892" t="s">
        <v>1898</v>
      </c>
      <c r="I198" s="641" t="str">
        <f>_xlfn.XLOOKUP(H198, 'Baumaterialien Matériaux'!A:A, 'Baumaterialien Matériaux'!F:F, "-", 0, 1)</f>
        <v>m2</v>
      </c>
      <c r="J198" s="890">
        <v>7</v>
      </c>
      <c r="K198" s="478">
        <f>_xlfn.XLOOKUP(H198, 'Baumaterialien Matériaux'!A:A, 'Baumaterialien Matériaux'!E:E, "-", 0, 1)/(Métrés!C$15)*J198</f>
        <v>2.7187594401369454E-2</v>
      </c>
      <c r="L198" s="478">
        <f t="shared" ref="L198" si="525">L190</f>
        <v>30</v>
      </c>
      <c r="M198" s="648">
        <f t="shared" si="468"/>
        <v>9.8248074440140692E-2</v>
      </c>
      <c r="N198" s="720">
        <f>IFERROR(($J198*VLOOKUP($H198, 'Baumaterialien Matériaux'!$A$11:$AD$318, 26,FALSE)),0)/$G$1</f>
        <v>2.5165843016784647E-2</v>
      </c>
      <c r="O198" s="720">
        <f>IFERROR(($J198*VLOOKUP($H198, 'Baumaterialien Matériaux'!$A$11:$AH$318, 33,FALSE)),0)/$G$1</f>
        <v>1.8932816882596501E-2</v>
      </c>
      <c r="P198" s="720">
        <f t="shared" si="524"/>
        <v>3.9657628778772089E-2</v>
      </c>
      <c r="Q198" s="720">
        <f>IFERROR(($J198*VLOOKUP($H198, 'Baumaterialien Matériaux'!$A$11:$AD$318, 27,FALSE)),0)/$G$1</f>
        <v>1.4491785761987445E-2</v>
      </c>
      <c r="R198" s="720">
        <f>IFERROR(($J198*VLOOKUP($H198, 'Baumaterialien Matériaux'!$A$11:$AH$318, 34,FALSE)),0)/$G$1</f>
        <v>8.8820622412181111E-3</v>
      </c>
      <c r="S198" s="720">
        <f>IFERROR((J198*VLOOKUP(H198, 'Baumaterialien Matériaux'!$A$11:$AD$318, 29,FALSE)),0)/$G$1</f>
        <v>2.8853716812845966E-2</v>
      </c>
      <c r="T198" s="720"/>
      <c r="V198" s="638">
        <f t="shared" si="432"/>
        <v>0</v>
      </c>
      <c r="W198" s="638">
        <f t="shared" si="499"/>
        <v>2.8853716812845966E-2</v>
      </c>
      <c r="X198" s="638" t="str">
        <f t="shared" si="459"/>
        <v>Revêtement</v>
      </c>
      <c r="Z198" s="638">
        <f t="shared" si="314"/>
        <v>30</v>
      </c>
      <c r="AA198" s="615" t="s">
        <v>3460</v>
      </c>
      <c r="AB198" t="str">
        <f>_xlfn.XLOOKUP($H198,'[1]Baumaterialien Matériaux'!$A:$A,'[1]Baumaterialien Matériaux'!AK:AK,0,0)</f>
        <v>vegetal_fiber</v>
      </c>
      <c r="AC198" cm="1">
        <f t="array" ref="AC198">_xlfn.SWITCH(I198,"kg"," ",0," ",_xlfn.XLOOKUP(H198, '[1]Baumaterialien Matériaux'!$A:$A, '[1]Baumaterialien Matériaux'!$AL:$AL, "-", 0, 1))</f>
        <v>2.7</v>
      </c>
      <c r="AD198" s="622" cm="1">
        <f t="array" ref="AD198">IFERROR(_xlfn.SWITCH(I198,"kg",1,"m3",AC198,AC198)*J198/(_xlfn.XLOOKUP(AA198,Métrés!A:A,Métrés!C:C,0)),0)</f>
        <v>2.7187594401369454E-2</v>
      </c>
      <c r="AE198" s="1092">
        <f>IFERROR(N198*$G$1/(_xlfn.XLOOKUP($AA198,Métrés!$A:$A,Métrés!$C:$C,0)),0)</f>
        <v>3.2524418487564197E-2</v>
      </c>
      <c r="AF198" s="1092">
        <f>IFERROR(O198*$G$1/(_xlfn.XLOOKUP($AA198,Métrés!$A:$A,Métrés!$C:$C,0)),0)</f>
        <v>2.4468834961232509E-2</v>
      </c>
      <c r="AG198" s="1092">
        <f>IFERROR(Q198*$G$1/(_xlfn.XLOOKUP($AA198,Métrés!$A:$A,Métrés!$C:$C,0)),0)</f>
        <v>1.8729231698721181E-2</v>
      </c>
      <c r="AH198" s="1092">
        <f>IFERROR(R198*$G$1/(_xlfn.XLOOKUP($AA198,Métrés!$A:$A,Métrés!$C:$C,0)),0)</f>
        <v>1.1479206525022658E-2</v>
      </c>
      <c r="AI198" s="1092">
        <f>IFERROR(S198*$G$1/(_xlfn.XLOOKUP($AA198,Métrés!$A:$A,Métrés!$C:$C,0)),0)</f>
        <v>3.7290638740643776E-2</v>
      </c>
      <c r="AJ198" s="1022"/>
      <c r="AK198" s="638">
        <f t="shared" si="500"/>
        <v>0</v>
      </c>
      <c r="AL198" s="638">
        <f t="shared" si="501"/>
        <v>2.8853716812845966E-2</v>
      </c>
      <c r="AM198" s="638" t="str">
        <f t="shared" si="502"/>
        <v>Revêtement</v>
      </c>
      <c r="AN198" s="1036">
        <f t="shared" si="503"/>
        <v>0</v>
      </c>
      <c r="AO198" s="1037">
        <f t="shared" si="504"/>
        <v>0</v>
      </c>
      <c r="AP198" s="1037">
        <f t="shared" si="505"/>
        <v>0</v>
      </c>
      <c r="AQ198" s="1038">
        <f t="shared" si="506"/>
        <v>0</v>
      </c>
      <c r="AR198" s="1038">
        <f t="shared" si="507"/>
        <v>0</v>
      </c>
      <c r="AS198" s="1036">
        <f t="shared" si="508"/>
        <v>0</v>
      </c>
      <c r="AT198" s="1037">
        <f t="shared" si="509"/>
        <v>0</v>
      </c>
      <c r="AU198" s="1037">
        <f t="shared" si="510"/>
        <v>0</v>
      </c>
      <c r="AV198" s="1038">
        <f t="shared" si="511"/>
        <v>0</v>
      </c>
      <c r="AW198" s="1038">
        <f t="shared" si="512"/>
        <v>0</v>
      </c>
      <c r="AX198" s="1036">
        <f t="shared" si="513"/>
        <v>2.5165843016784647E-2</v>
      </c>
      <c r="AY198" s="1037">
        <f t="shared" si="514"/>
        <v>3.9657628778772089E-2</v>
      </c>
      <c r="AZ198" s="1037">
        <f t="shared" si="515"/>
        <v>1.4491785761987445E-2</v>
      </c>
      <c r="BA198" s="1037">
        <f t="shared" si="516"/>
        <v>2.8853716812845966E-2</v>
      </c>
      <c r="BB198" s="1038">
        <f t="shared" si="517"/>
        <v>0</v>
      </c>
      <c r="BC198" s="1036"/>
      <c r="BD198" s="1037"/>
      <c r="BE198" s="1037"/>
      <c r="BF198" s="1038"/>
      <c r="BG198" s="1036">
        <f t="shared" si="518"/>
        <v>0</v>
      </c>
      <c r="BH198" s="1037">
        <f t="shared" si="519"/>
        <v>0</v>
      </c>
      <c r="BI198" s="1038">
        <f t="shared" si="520"/>
        <v>0</v>
      </c>
      <c r="BJ198" s="1037">
        <f>_xlfn.XLOOKUP(H198, 'Baumaterialien Matériaux'!A:A, 'Baumaterialien Matériaux'!E:E, "-", 0, 1)</f>
        <v>2.7</v>
      </c>
      <c r="BK198" s="1036">
        <f t="shared" si="329"/>
        <v>0</v>
      </c>
      <c r="BL198" s="1037">
        <f t="shared" si="330"/>
        <v>0</v>
      </c>
      <c r="BM198" s="1038">
        <f t="shared" si="331"/>
        <v>0</v>
      </c>
      <c r="BN198" s="1037">
        <f>IFERROR((J198*VLOOKUP(H198, 'Baumaterialien Matériaux'!$A$11:$AH$318, 33,FALSE)),0)/$G$1</f>
        <v>1.8932816882596501E-2</v>
      </c>
      <c r="BO198" s="1037">
        <f t="shared" si="521"/>
        <v>2.7814879123814612E-2</v>
      </c>
      <c r="BP198" s="1037">
        <f>IFERROR((J198*VLOOKUP(H198, 'Baumaterialien Matériaux'!$A$11:$AH$318, 34,FALSE)),0)/$G$1</f>
        <v>8.8820622412181111E-3</v>
      </c>
      <c r="BQ198" s="1037">
        <f t="shared" si="425"/>
        <v>0.61290322580645151</v>
      </c>
      <c r="BR198" s="1037">
        <f t="shared" si="522"/>
        <v>3.9657628778772089E-2</v>
      </c>
    </row>
    <row r="199" spans="2:70">
      <c r="B199" s="1103"/>
      <c r="C199" s="1099"/>
      <c r="D199" s="478"/>
      <c r="E199" s="478"/>
      <c r="F199" s="478" t="s">
        <v>3405</v>
      </c>
      <c r="G199" s="478" t="str">
        <f>_xlfn.XLOOKUP(H199, 'Baumaterialien Matériaux'!A:A, 'Baumaterialien Matériaux'!AD:AD, "-", 0, 1)</f>
        <v>Dalle en céramique/grès, 9 mm</v>
      </c>
      <c r="H199" s="892" t="s">
        <v>786</v>
      </c>
      <c r="I199" s="641" t="str">
        <f>_xlfn.XLOOKUP(H199, 'Baumaterialien Matériaux'!A:A, 'Baumaterialien Matériaux'!F:F, "-", 0, 1)</f>
        <v>m2</v>
      </c>
      <c r="J199" s="649">
        <v>46</v>
      </c>
      <c r="K199" s="478">
        <f>_xlfn.XLOOKUP(H199, 'Baumaterialien Matériaux'!A:A, 'Baumaterialien Matériaux'!E:E, "-", 0, 1)/(Métrés!C$15)*J199</f>
        <v>1.1910755642504711</v>
      </c>
      <c r="L199" s="478">
        <v>30</v>
      </c>
      <c r="M199" s="648">
        <f t="shared" si="468"/>
        <v>2.4115132897021501</v>
      </c>
      <c r="N199" s="720">
        <f>IFERROR(($J199*VLOOKUP($H199, 'Baumaterialien Matériaux'!$A$11:$AD$318, 26,FALSE)),0)/$G$1</f>
        <v>0.72191799118472011</v>
      </c>
      <c r="O199" s="720">
        <f>IFERROR(($J199*VLOOKUP($H199, 'Baumaterialien Matériaux'!$A$11:$AH$318, 33,FALSE)),0)/$G$1</f>
        <v>0.54271848982681081</v>
      </c>
      <c r="P199" s="720">
        <f t="shared" si="524"/>
        <v>0.93439739993766968</v>
      </c>
      <c r="Q199" s="720">
        <f>IFERROR(($J199*VLOOKUP($H199, 'Baumaterialien Matériaux'!$A$11:$AD$318, 27,FALSE)),0)/$G$1</f>
        <v>0.21247940875294954</v>
      </c>
      <c r="R199" s="720">
        <f>IFERROR(($J199*VLOOKUP($H199, 'Baumaterialien Matériaux'!$A$11:$AH$318, 34,FALSE)),0)/$G$1</f>
        <v>2.350073460665153E-3</v>
      </c>
      <c r="S199" s="720">
        <f>IFERROR((J199*VLOOKUP(H199, 'Baumaterialien Matériaux'!$A$11:$AD$318, 29,FALSE)),0)/$G$1</f>
        <v>0</v>
      </c>
      <c r="T199" s="720"/>
      <c r="U199" s="674"/>
      <c r="V199" s="674">
        <f t="shared" si="432"/>
        <v>0</v>
      </c>
      <c r="W199" s="674">
        <f t="shared" si="499"/>
        <v>0</v>
      </c>
      <c r="X199" s="674" t="str">
        <f t="shared" si="459"/>
        <v>Revêtement</v>
      </c>
      <c r="Y199" s="674"/>
      <c r="Z199" s="674">
        <f t="shared" si="314"/>
        <v>30</v>
      </c>
      <c r="AA199" s="675" t="s">
        <v>3460</v>
      </c>
      <c r="AB199" t="str">
        <f>_xlfn.XLOOKUP($H199,'[1]Baumaterialien Matériaux'!$A:$A,'[1]Baumaterialien Matériaux'!AK:AK,0,0)</f>
        <v>stone</v>
      </c>
      <c r="AC199" cm="1">
        <f t="array" ref="AC199">_xlfn.SWITCH(I199,"kg"," ",0," ",_xlfn.XLOOKUP(H199, '[1]Baumaterialien Matériaux'!$A:$A, '[1]Baumaterialien Matériaux'!$AL:$AL, "-", 0, 1))</f>
        <v>18</v>
      </c>
      <c r="AD199" s="622" cm="1">
        <f t="array" ref="AD199">IFERROR(_xlfn.SWITCH(I199,"kg",1,"m3",AC199,AC199)*J199/(_xlfn.XLOOKUP(AA199,Métrés!A:A,Métrés!C:C,0)),0)</f>
        <v>1.1910755642504711</v>
      </c>
      <c r="AE199" s="1092">
        <f>IFERROR(N199*$G$1/(_xlfn.XLOOKUP($AA199,Métrés!$A:$A,Métrés!$C:$C,0)),0)</f>
        <v>0.93300919199620247</v>
      </c>
      <c r="AF199" s="1092">
        <f>IFERROR(O199*$G$1/(_xlfn.XLOOKUP($AA199,Métrés!$A:$A,Métrés!$C:$C,0)),0)</f>
        <v>0.70141116561416628</v>
      </c>
      <c r="AG199" s="1092">
        <f>IFERROR(Q199*$G$1/(_xlfn.XLOOKUP($AA199,Métrés!$A:$A,Métrés!$C:$C,0)),0)</f>
        <v>0.27460908842441417</v>
      </c>
      <c r="AH199" s="1092">
        <f>IFERROR(R199*$G$1/(_xlfn.XLOOKUP($AA199,Métrés!$A:$A,Métrés!$C:$C,0)),0)</f>
        <v>3.0372426888387017E-3</v>
      </c>
      <c r="AI199" s="1092">
        <f>IFERROR(S199*$G$1/(_xlfn.XLOOKUP($AA199,Métrés!$A:$A,Métrés!$C:$C,0)),0)</f>
        <v>0</v>
      </c>
      <c r="AJ199" s="1022"/>
      <c r="AK199" s="638">
        <f t="shared" si="500"/>
        <v>0</v>
      </c>
      <c r="AL199" s="638">
        <f t="shared" si="501"/>
        <v>0</v>
      </c>
      <c r="AM199" s="638" t="str">
        <f t="shared" si="502"/>
        <v>Revêtement</v>
      </c>
      <c r="AN199" s="1036">
        <f t="shared" si="503"/>
        <v>0</v>
      </c>
      <c r="AO199" s="1037">
        <f t="shared" si="504"/>
        <v>0</v>
      </c>
      <c r="AP199" s="1037">
        <f t="shared" si="505"/>
        <v>0</v>
      </c>
      <c r="AQ199" s="1038">
        <f t="shared" si="506"/>
        <v>0</v>
      </c>
      <c r="AR199" s="1038">
        <f t="shared" si="507"/>
        <v>0</v>
      </c>
      <c r="AS199" s="1036">
        <f t="shared" si="508"/>
        <v>0</v>
      </c>
      <c r="AT199" s="1037">
        <f t="shared" si="509"/>
        <v>0</v>
      </c>
      <c r="AU199" s="1037">
        <f t="shared" si="510"/>
        <v>0</v>
      </c>
      <c r="AV199" s="1038">
        <f t="shared" si="511"/>
        <v>0</v>
      </c>
      <c r="AW199" s="1038">
        <f t="shared" si="512"/>
        <v>0</v>
      </c>
      <c r="AX199" s="1036">
        <f t="shared" si="513"/>
        <v>0.72191799118472011</v>
      </c>
      <c r="AY199" s="1037">
        <f t="shared" si="514"/>
        <v>0.93439739993766968</v>
      </c>
      <c r="AZ199" s="1037">
        <f t="shared" si="515"/>
        <v>0.21247940875294954</v>
      </c>
      <c r="BA199" s="1037">
        <f t="shared" si="516"/>
        <v>0</v>
      </c>
      <c r="BB199" s="1038">
        <f t="shared" si="517"/>
        <v>0</v>
      </c>
      <c r="BC199" s="1036"/>
      <c r="BD199" s="1037"/>
      <c r="BE199" s="1037"/>
      <c r="BF199" s="1038"/>
      <c r="BG199" s="1036">
        <f t="shared" si="518"/>
        <v>0</v>
      </c>
      <c r="BH199" s="1037">
        <f t="shared" si="519"/>
        <v>0</v>
      </c>
      <c r="BI199" s="1038">
        <f t="shared" si="520"/>
        <v>0</v>
      </c>
      <c r="BJ199" s="1037">
        <f>_xlfn.XLOOKUP(H199, 'Baumaterialien Matériaux'!A:A, 'Baumaterialien Matériaux'!E:E, "-", 0, 1)</f>
        <v>18</v>
      </c>
      <c r="BK199" s="1036">
        <f t="shared" si="329"/>
        <v>0</v>
      </c>
      <c r="BL199" s="1037">
        <f t="shared" si="330"/>
        <v>0</v>
      </c>
      <c r="BM199" s="1038">
        <f t="shared" si="331"/>
        <v>0</v>
      </c>
      <c r="BN199" s="1037">
        <f>IFERROR((J199*VLOOKUP(H199, 'Baumaterialien Matériaux'!$A$11:$AH$318, 33,FALSE)),0)/$G$1</f>
        <v>0.54271848982681081</v>
      </c>
      <c r="BO199" s="1037">
        <f t="shared" si="521"/>
        <v>0.54506856328747599</v>
      </c>
      <c r="BP199" s="1037">
        <f>IFERROR((J199*VLOOKUP(H199, 'Baumaterialien Matériaux'!$A$11:$AH$318, 34,FALSE)),0)/$G$1</f>
        <v>2.350073460665153E-3</v>
      </c>
      <c r="BQ199" s="1037">
        <f t="shared" si="425"/>
        <v>1.1060240963855423E-2</v>
      </c>
      <c r="BR199" s="1037">
        <f t="shared" si="522"/>
        <v>0.93439739993766968</v>
      </c>
    </row>
    <row r="200" spans="2:70">
      <c r="B200" s="1103"/>
      <c r="C200" s="1099"/>
      <c r="D200" s="478"/>
      <c r="E200" s="478"/>
      <c r="F200" s="478"/>
      <c r="G200" s="478"/>
      <c r="H200" s="478"/>
      <c r="I200" s="641"/>
      <c r="J200" s="649"/>
      <c r="K200" s="478"/>
      <c r="L200" s="478"/>
      <c r="M200" s="648"/>
      <c r="N200" s="720"/>
      <c r="O200" s="720"/>
      <c r="P200" s="720"/>
      <c r="Q200" s="720"/>
      <c r="R200" s="720"/>
      <c r="S200" s="720"/>
      <c r="T200" s="720"/>
      <c r="V200" s="638">
        <f t="shared" si="432"/>
        <v>0</v>
      </c>
      <c r="W200" s="638">
        <f t="shared" si="499"/>
        <v>0</v>
      </c>
      <c r="X200" s="638">
        <f t="shared" si="459"/>
        <v>0</v>
      </c>
      <c r="Z200" s="638">
        <f t="shared" si="314"/>
        <v>0</v>
      </c>
      <c r="AA200" s="615" t="s">
        <v>3460</v>
      </c>
      <c r="AB200">
        <f>_xlfn.XLOOKUP($H200,'[1]Baumaterialien Matériaux'!$A:$A,'[1]Baumaterialien Matériaux'!AK:AK,0,0)</f>
        <v>0</v>
      </c>
      <c r="AC200" t="str" cm="1">
        <f t="array" ref="AC200">_xlfn.SWITCH(I200,"kg"," ",0," ",_xlfn.XLOOKUP(H200, '[1]Baumaterialien Matériaux'!$A:$A, '[1]Baumaterialien Matériaux'!$AL:$AL, "-", 0, 1))</f>
        <v xml:space="preserve"> </v>
      </c>
      <c r="AD200" s="622" cm="1">
        <f t="array" ref="AD200">IFERROR(_xlfn.SWITCH(I200,"kg",1,"m3",AC200,AC200)*J200/(_xlfn.XLOOKUP(AA200,Métrés!A:A,Métrés!C:C,0)),0)</f>
        <v>0</v>
      </c>
      <c r="AE200" s="1092">
        <f>IFERROR(N200*$G$1/(_xlfn.XLOOKUP($AA200,Métrés!$A:$A,Métrés!$C:$C,0)),0)</f>
        <v>0</v>
      </c>
      <c r="AF200" s="1092">
        <f>IFERROR(O200*$G$1/(_xlfn.XLOOKUP($AA200,Métrés!$A:$A,Métrés!$C:$C,0)),0)</f>
        <v>0</v>
      </c>
      <c r="AG200" s="1092">
        <f>IFERROR(Q200*$G$1/(_xlfn.XLOOKUP($AA200,Métrés!$A:$A,Métrés!$C:$C,0)),0)</f>
        <v>0</v>
      </c>
      <c r="AH200" s="1092">
        <f>IFERROR(R200*$G$1/(_xlfn.XLOOKUP($AA200,Métrés!$A:$A,Métrés!$C:$C,0)),0)</f>
        <v>0</v>
      </c>
      <c r="AI200" s="1092">
        <f>IFERROR(S200*$G$1/(_xlfn.XLOOKUP($AA200,Métrés!$A:$A,Métrés!$C:$C,0)),0)</f>
        <v>0</v>
      </c>
      <c r="AJ200" s="1022"/>
      <c r="AK200" s="638">
        <f t="shared" si="500"/>
        <v>0</v>
      </c>
      <c r="AL200" s="638">
        <f t="shared" si="501"/>
        <v>0</v>
      </c>
      <c r="AM200" s="638">
        <f t="shared" si="502"/>
        <v>0</v>
      </c>
      <c r="AN200" s="1036">
        <f t="shared" si="503"/>
        <v>0</v>
      </c>
      <c r="AO200" s="1037">
        <f t="shared" si="504"/>
        <v>0</v>
      </c>
      <c r="AP200" s="1037">
        <f t="shared" si="505"/>
        <v>0</v>
      </c>
      <c r="AQ200" s="1038">
        <f t="shared" si="506"/>
        <v>0</v>
      </c>
      <c r="AR200" s="1038">
        <f t="shared" si="507"/>
        <v>0</v>
      </c>
      <c r="AS200" s="1036">
        <f t="shared" si="508"/>
        <v>0</v>
      </c>
      <c r="AT200" s="1037">
        <f t="shared" si="509"/>
        <v>0</v>
      </c>
      <c r="AU200" s="1037">
        <f t="shared" si="510"/>
        <v>0</v>
      </c>
      <c r="AV200" s="1038">
        <f t="shared" si="511"/>
        <v>0</v>
      </c>
      <c r="AW200" s="1038">
        <f t="shared" si="512"/>
        <v>0</v>
      </c>
      <c r="AX200" s="1036">
        <f t="shared" si="513"/>
        <v>0</v>
      </c>
      <c r="AY200" s="1037">
        <f t="shared" si="514"/>
        <v>0</v>
      </c>
      <c r="AZ200" s="1037">
        <f t="shared" si="515"/>
        <v>0</v>
      </c>
      <c r="BA200" s="1037">
        <f t="shared" si="516"/>
        <v>0</v>
      </c>
      <c r="BB200" s="1038">
        <f t="shared" si="517"/>
        <v>0</v>
      </c>
      <c r="BC200" s="1036"/>
      <c r="BD200" s="1037"/>
      <c r="BE200" s="1037"/>
      <c r="BF200" s="1038"/>
      <c r="BG200" s="1036">
        <f t="shared" si="518"/>
        <v>0</v>
      </c>
      <c r="BH200" s="1037">
        <f t="shared" si="519"/>
        <v>0</v>
      </c>
      <c r="BI200" s="1038">
        <f t="shared" si="520"/>
        <v>0</v>
      </c>
      <c r="BJ200" s="1037">
        <f>_xlfn.XLOOKUP(H200, 'Baumaterialien Matériaux'!A:A, 'Baumaterialien Matériaux'!E:E, "-", 0, 1)</f>
        <v>0</v>
      </c>
      <c r="BK200" s="1036">
        <f t="shared" si="329"/>
        <v>0</v>
      </c>
      <c r="BL200" s="1037">
        <f t="shared" si="330"/>
        <v>0</v>
      </c>
      <c r="BM200" s="1038">
        <f t="shared" si="331"/>
        <v>0</v>
      </c>
      <c r="BN200" s="1037">
        <f>IFERROR((J200*VLOOKUP(H200, 'Baumaterialien Matériaux'!$A$11:$AH$318, 33,FALSE)),0)/$G$1</f>
        <v>0</v>
      </c>
      <c r="BO200" s="1037" t="e">
        <f t="shared" si="521"/>
        <v>#DIV/0!</v>
      </c>
      <c r="BP200" s="1037">
        <f>IFERROR((J200*VLOOKUP(H200, 'Baumaterialien Matériaux'!$A$11:$AH$318, 34,FALSE)),0)/$G$1</f>
        <v>0</v>
      </c>
      <c r="BQ200" s="1037" t="e">
        <f t="shared" si="425"/>
        <v>#DIV/0!</v>
      </c>
      <c r="BR200" s="1037">
        <f t="shared" si="522"/>
        <v>0</v>
      </c>
    </row>
    <row r="201" spans="2:70">
      <c r="B201" s="1103"/>
      <c r="C201" s="1099"/>
      <c r="D201" s="478"/>
      <c r="E201" s="478"/>
      <c r="F201" s="478"/>
      <c r="G201" s="478"/>
      <c r="H201" s="478"/>
      <c r="I201" s="641"/>
      <c r="J201" s="649"/>
      <c r="K201" s="478"/>
      <c r="L201" s="478"/>
      <c r="M201" s="648"/>
      <c r="N201" s="720"/>
      <c r="O201" s="720"/>
      <c r="P201" s="720"/>
      <c r="Q201" s="720"/>
      <c r="R201" s="720"/>
      <c r="S201" s="720"/>
      <c r="T201" s="720"/>
      <c r="V201" s="638">
        <f t="shared" si="432"/>
        <v>0</v>
      </c>
      <c r="W201" s="638">
        <f t="shared" si="499"/>
        <v>0</v>
      </c>
      <c r="X201" s="638">
        <f t="shared" si="459"/>
        <v>0</v>
      </c>
      <c r="Z201" s="638">
        <f t="shared" ref="Z201:Z247" si="526">L201</f>
        <v>0</v>
      </c>
      <c r="AA201" s="615" t="s">
        <v>3460</v>
      </c>
      <c r="AB201">
        <f>_xlfn.XLOOKUP($H201,'[1]Baumaterialien Matériaux'!$A:$A,'[1]Baumaterialien Matériaux'!AK:AK,0,0)</f>
        <v>0</v>
      </c>
      <c r="AC201" t="str" cm="1">
        <f t="array" ref="AC201">_xlfn.SWITCH(I201,"kg"," ",0," ",_xlfn.XLOOKUP(H201, '[1]Baumaterialien Matériaux'!$A:$A, '[1]Baumaterialien Matériaux'!$AL:$AL, "-", 0, 1))</f>
        <v xml:space="preserve"> </v>
      </c>
      <c r="AD201" s="622" cm="1">
        <f t="array" ref="AD201">IFERROR(_xlfn.SWITCH(I201,"kg",1,"m3",AC201,AC201)*J201/(_xlfn.XLOOKUP(AA201,Métrés!A:A,Métrés!C:C,0)),0)</f>
        <v>0</v>
      </c>
      <c r="AE201" s="1092">
        <f>IFERROR(N201*$G$1/(_xlfn.XLOOKUP($AA201,Métrés!$A:$A,Métrés!$C:$C,0)),0)</f>
        <v>0</v>
      </c>
      <c r="AF201" s="1092">
        <f>IFERROR(O201*$G$1/(_xlfn.XLOOKUP($AA201,Métrés!$A:$A,Métrés!$C:$C,0)),0)</f>
        <v>0</v>
      </c>
      <c r="AG201" s="1092">
        <f>IFERROR(Q201*$G$1/(_xlfn.XLOOKUP($AA201,Métrés!$A:$A,Métrés!$C:$C,0)),0)</f>
        <v>0</v>
      </c>
      <c r="AH201" s="1092">
        <f>IFERROR(R201*$G$1/(_xlfn.XLOOKUP($AA201,Métrés!$A:$A,Métrés!$C:$C,0)),0)</f>
        <v>0</v>
      </c>
      <c r="AI201" s="1092">
        <f>IFERROR(S201*$G$1/(_xlfn.XLOOKUP($AA201,Métrés!$A:$A,Métrés!$C:$C,0)),0)</f>
        <v>0</v>
      </c>
      <c r="AJ201" s="1022"/>
      <c r="AK201" s="638">
        <f t="shared" si="500"/>
        <v>0</v>
      </c>
      <c r="AL201" s="638">
        <f t="shared" si="501"/>
        <v>0</v>
      </c>
      <c r="AM201" s="638">
        <f t="shared" si="502"/>
        <v>0</v>
      </c>
      <c r="AN201" s="1036">
        <f t="shared" si="503"/>
        <v>0</v>
      </c>
      <c r="AO201" s="1037">
        <f t="shared" si="504"/>
        <v>0</v>
      </c>
      <c r="AP201" s="1037">
        <f t="shared" si="505"/>
        <v>0</v>
      </c>
      <c r="AQ201" s="1038">
        <f t="shared" si="506"/>
        <v>0</v>
      </c>
      <c r="AR201" s="1038">
        <f t="shared" si="507"/>
        <v>0</v>
      </c>
      <c r="AS201" s="1036">
        <f t="shared" si="508"/>
        <v>0</v>
      </c>
      <c r="AT201" s="1037">
        <f t="shared" si="509"/>
        <v>0</v>
      </c>
      <c r="AU201" s="1037">
        <f t="shared" si="510"/>
        <v>0</v>
      </c>
      <c r="AV201" s="1038">
        <f t="shared" si="511"/>
        <v>0</v>
      </c>
      <c r="AW201" s="1038">
        <f t="shared" si="512"/>
        <v>0</v>
      </c>
      <c r="AX201" s="1036">
        <f t="shared" si="513"/>
        <v>0</v>
      </c>
      <c r="AY201" s="1037">
        <f t="shared" si="514"/>
        <v>0</v>
      </c>
      <c r="AZ201" s="1037">
        <f t="shared" si="515"/>
        <v>0</v>
      </c>
      <c r="BA201" s="1037">
        <f t="shared" si="516"/>
        <v>0</v>
      </c>
      <c r="BB201" s="1038">
        <f t="shared" si="517"/>
        <v>0</v>
      </c>
      <c r="BC201" s="1036"/>
      <c r="BD201" s="1037"/>
      <c r="BE201" s="1037"/>
      <c r="BF201" s="1038"/>
      <c r="BG201" s="1036">
        <f t="shared" si="518"/>
        <v>0</v>
      </c>
      <c r="BH201" s="1037">
        <f t="shared" si="519"/>
        <v>0</v>
      </c>
      <c r="BI201" s="1038">
        <f t="shared" si="520"/>
        <v>0</v>
      </c>
      <c r="BJ201" s="1037">
        <f>_xlfn.XLOOKUP(H201, 'Baumaterialien Matériaux'!A:A, 'Baumaterialien Matériaux'!E:E, "-", 0, 1)</f>
        <v>0</v>
      </c>
      <c r="BK201" s="1036">
        <f t="shared" si="329"/>
        <v>0</v>
      </c>
      <c r="BL201" s="1037">
        <f t="shared" si="330"/>
        <v>0</v>
      </c>
      <c r="BM201" s="1038">
        <f t="shared" si="331"/>
        <v>0</v>
      </c>
      <c r="BN201" s="1037">
        <f>IFERROR((J201*VLOOKUP(H201, 'Baumaterialien Matériaux'!$A$11:$AH$318, 33,FALSE)),0)/$G$1</f>
        <v>0</v>
      </c>
      <c r="BO201" s="1037" t="e">
        <f t="shared" si="521"/>
        <v>#DIV/0!</v>
      </c>
      <c r="BP201" s="1037">
        <f>IFERROR((J201*VLOOKUP(H201, 'Baumaterialien Matériaux'!$A$11:$AH$318, 34,FALSE)),0)/$G$1</f>
        <v>0</v>
      </c>
      <c r="BQ201" s="1037" t="e">
        <f t="shared" si="425"/>
        <v>#DIV/0!</v>
      </c>
      <c r="BR201" s="1037">
        <f t="shared" si="522"/>
        <v>0</v>
      </c>
    </row>
    <row r="202" spans="2:70">
      <c r="B202" s="1103"/>
      <c r="C202" s="1099"/>
      <c r="D202" s="478"/>
      <c r="E202" s="478"/>
      <c r="F202" s="478"/>
      <c r="G202" s="478"/>
      <c r="H202" s="478"/>
      <c r="I202" s="641"/>
      <c r="J202" s="649"/>
      <c r="K202" s="478"/>
      <c r="L202" s="478"/>
      <c r="M202" s="648"/>
      <c r="N202" s="720"/>
      <c r="O202" s="720"/>
      <c r="P202" s="720"/>
      <c r="Q202" s="720"/>
      <c r="R202" s="720"/>
      <c r="S202" s="720"/>
      <c r="T202" s="720"/>
      <c r="V202" s="638">
        <f t="shared" si="432"/>
        <v>0</v>
      </c>
      <c r="W202" s="638">
        <f t="shared" si="499"/>
        <v>0</v>
      </c>
      <c r="X202" s="638">
        <f t="shared" si="459"/>
        <v>0</v>
      </c>
      <c r="Z202" s="638">
        <f t="shared" si="526"/>
        <v>0</v>
      </c>
      <c r="AA202" s="615" t="s">
        <v>3460</v>
      </c>
      <c r="AB202">
        <f>_xlfn.XLOOKUP($H202,'[1]Baumaterialien Matériaux'!$A:$A,'[1]Baumaterialien Matériaux'!AK:AK,0,0)</f>
        <v>0</v>
      </c>
      <c r="AC202" t="str" cm="1">
        <f t="array" ref="AC202">_xlfn.SWITCH(I202,"kg"," ",0," ",_xlfn.XLOOKUP(H202, '[1]Baumaterialien Matériaux'!$A:$A, '[1]Baumaterialien Matériaux'!$AL:$AL, "-", 0, 1))</f>
        <v xml:space="preserve"> </v>
      </c>
      <c r="AD202" s="622" cm="1">
        <f t="array" ref="AD202">IFERROR(_xlfn.SWITCH(I202,"kg",1,"m3",AC202,AC202)*J202/(_xlfn.XLOOKUP(AA202,Métrés!A:A,Métrés!C:C,0)),0)</f>
        <v>0</v>
      </c>
      <c r="AE202" s="1092">
        <f>IFERROR(N202*$G$1/(_xlfn.XLOOKUP($AA202,Métrés!$A:$A,Métrés!$C:$C,0)),0)</f>
        <v>0</v>
      </c>
      <c r="AF202" s="1092">
        <f>IFERROR(O202*$G$1/(_xlfn.XLOOKUP($AA202,Métrés!$A:$A,Métrés!$C:$C,0)),0)</f>
        <v>0</v>
      </c>
      <c r="AG202" s="1092">
        <f>IFERROR(Q202*$G$1/(_xlfn.XLOOKUP($AA202,Métrés!$A:$A,Métrés!$C:$C,0)),0)</f>
        <v>0</v>
      </c>
      <c r="AH202" s="1092">
        <f>IFERROR(R202*$G$1/(_xlfn.XLOOKUP($AA202,Métrés!$A:$A,Métrés!$C:$C,0)),0)</f>
        <v>0</v>
      </c>
      <c r="AI202" s="1092">
        <f>IFERROR(S202*$G$1/(_xlfn.XLOOKUP($AA202,Métrés!$A:$A,Métrés!$C:$C,0)),0)</f>
        <v>0</v>
      </c>
      <c r="AJ202" s="1022"/>
      <c r="AK202" s="638">
        <f t="shared" si="500"/>
        <v>0</v>
      </c>
      <c r="AL202" s="638">
        <f t="shared" si="501"/>
        <v>0</v>
      </c>
      <c r="AM202" s="638">
        <f t="shared" si="502"/>
        <v>0</v>
      </c>
      <c r="AN202" s="1036">
        <f t="shared" si="503"/>
        <v>0</v>
      </c>
      <c r="AO202" s="1037">
        <f t="shared" si="504"/>
        <v>0</v>
      </c>
      <c r="AP202" s="1037">
        <f t="shared" si="505"/>
        <v>0</v>
      </c>
      <c r="AQ202" s="1038">
        <f t="shared" si="506"/>
        <v>0</v>
      </c>
      <c r="AR202" s="1038">
        <f t="shared" si="507"/>
        <v>0</v>
      </c>
      <c r="AS202" s="1036">
        <f t="shared" si="508"/>
        <v>0</v>
      </c>
      <c r="AT202" s="1037">
        <f t="shared" si="509"/>
        <v>0</v>
      </c>
      <c r="AU202" s="1037">
        <f t="shared" si="510"/>
        <v>0</v>
      </c>
      <c r="AV202" s="1038">
        <f t="shared" si="511"/>
        <v>0</v>
      </c>
      <c r="AW202" s="1038">
        <f t="shared" si="512"/>
        <v>0</v>
      </c>
      <c r="AX202" s="1036">
        <f t="shared" si="513"/>
        <v>0</v>
      </c>
      <c r="AY202" s="1037">
        <f t="shared" si="514"/>
        <v>0</v>
      </c>
      <c r="AZ202" s="1037">
        <f t="shared" si="515"/>
        <v>0</v>
      </c>
      <c r="BA202" s="1037">
        <f t="shared" si="516"/>
        <v>0</v>
      </c>
      <c r="BB202" s="1038">
        <f t="shared" si="517"/>
        <v>0</v>
      </c>
      <c r="BC202" s="1036"/>
      <c r="BD202" s="1037"/>
      <c r="BE202" s="1037"/>
      <c r="BF202" s="1038"/>
      <c r="BG202" s="1036">
        <f t="shared" si="518"/>
        <v>0</v>
      </c>
      <c r="BH202" s="1037">
        <f t="shared" si="519"/>
        <v>0</v>
      </c>
      <c r="BI202" s="1038">
        <f t="shared" si="520"/>
        <v>0</v>
      </c>
      <c r="BJ202" s="1037">
        <f>_xlfn.XLOOKUP(H202, 'Baumaterialien Matériaux'!A:A, 'Baumaterialien Matériaux'!E:E, "-", 0, 1)</f>
        <v>0</v>
      </c>
      <c r="BK202" s="1036">
        <f t="shared" si="329"/>
        <v>0</v>
      </c>
      <c r="BL202" s="1037">
        <f t="shared" si="330"/>
        <v>0</v>
      </c>
      <c r="BM202" s="1038">
        <f t="shared" si="331"/>
        <v>0</v>
      </c>
      <c r="BN202" s="1037">
        <f>IFERROR((J202*VLOOKUP(H202, 'Baumaterialien Matériaux'!$A$11:$AH$318, 33,FALSE)),0)/$G$1</f>
        <v>0</v>
      </c>
      <c r="BO202" s="1037" t="e">
        <f t="shared" si="521"/>
        <v>#DIV/0!</v>
      </c>
      <c r="BP202" s="1037">
        <f>IFERROR((J202*VLOOKUP(H202, 'Baumaterialien Matériaux'!$A$11:$AH$318, 34,FALSE)),0)/$G$1</f>
        <v>0</v>
      </c>
      <c r="BQ202" s="1037" t="e">
        <f t="shared" si="425"/>
        <v>#DIV/0!</v>
      </c>
      <c r="BR202" s="1037">
        <f t="shared" si="522"/>
        <v>0</v>
      </c>
    </row>
    <row r="203" spans="2:70">
      <c r="B203" s="1103"/>
      <c r="C203" s="1097" t="s">
        <v>142</v>
      </c>
      <c r="D203" s="473" t="s">
        <v>143</v>
      </c>
      <c r="E203" s="473"/>
      <c r="F203" s="473"/>
      <c r="G203" s="473"/>
      <c r="H203" s="473"/>
      <c r="I203" s="463"/>
      <c r="J203" s="654"/>
      <c r="K203" s="652"/>
      <c r="L203" s="652"/>
      <c r="M203" s="653">
        <f ca="1">M204+M209+M214</f>
        <v>18.963445263501178</v>
      </c>
      <c r="N203" s="653">
        <f t="shared" ref="N203:S203" si="527">N204+N209+N214</f>
        <v>13.853414973732246</v>
      </c>
      <c r="O203" s="653">
        <f t="shared" ref="O203" si="528">O204+O209+O214</f>
        <v>3.0538039268064638</v>
      </c>
      <c r="P203" s="653">
        <f t="shared" ca="1" si="527"/>
        <v>0.47936199209741326</v>
      </c>
      <c r="Q203" s="653">
        <f t="shared" si="527"/>
        <v>1.5768643708650547</v>
      </c>
      <c r="R203" s="653">
        <f t="shared" ref="R203" si="529">R204+R209+R214</f>
        <v>0.84486141781755031</v>
      </c>
      <c r="S203" s="653">
        <f t="shared" si="527"/>
        <v>1.1760790309870439</v>
      </c>
      <c r="T203" s="653">
        <f t="shared" ref="T203" si="530">T204+T209+T214</f>
        <v>-8.232553216909308E-2</v>
      </c>
      <c r="U203" s="666"/>
      <c r="V203" s="666"/>
      <c r="W203" s="666"/>
      <c r="X203" s="666"/>
      <c r="Y203" s="666"/>
      <c r="Z203" s="638">
        <f t="shared" si="526"/>
        <v>0</v>
      </c>
      <c r="AA203" s="615"/>
      <c r="AB203">
        <f>_xlfn.XLOOKUP($H203,'[1]Baumaterialien Matériaux'!$A:$A,'[1]Baumaterialien Matériaux'!AK:AK,0,0)</f>
        <v>0</v>
      </c>
      <c r="AC203" t="str" cm="1">
        <f t="array" ref="AC203">_xlfn.SWITCH(I203,"kg"," ",0," ",_xlfn.XLOOKUP(H203, '[1]Baumaterialien Matériaux'!$A:$A, '[1]Baumaterialien Matériaux'!$AL:$AL, "-", 0, 1))</f>
        <v xml:space="preserve"> </v>
      </c>
      <c r="AD203" s="622" cm="1">
        <f t="array" ref="AD203">IFERROR(_xlfn.SWITCH(I203,"kg",1,"m3",AC203,AC203)*J203/(_xlfn.XLOOKUP(AA203,Métrés!A:A,Métrés!C:C,0)),0)</f>
        <v>0</v>
      </c>
      <c r="AE203" s="1092">
        <f>IFERROR(N203*$G$1/(_xlfn.XLOOKUP($AA203,Métrés!$A:$A,Métrés!$C:$C,0)),0)</f>
        <v>0</v>
      </c>
      <c r="AF203" s="1092">
        <f>IFERROR(O203*$G$1/(_xlfn.XLOOKUP($AA203,Métrés!$A:$A,Métrés!$C:$C,0)),0)</f>
        <v>0</v>
      </c>
      <c r="AG203" s="1092">
        <f>IFERROR(Q203*$G$1/(_xlfn.XLOOKUP($AA203,Métrés!$A:$A,Métrés!$C:$C,0)),0)</f>
        <v>0</v>
      </c>
      <c r="AH203" s="1092">
        <f>IFERROR(R203*$G$1/(_xlfn.XLOOKUP($AA203,Métrés!$A:$A,Métrés!$C:$C,0)),0)</f>
        <v>0</v>
      </c>
      <c r="AI203" s="1092">
        <f>IFERROR(S203*$G$1/(_xlfn.XLOOKUP($AA203,Métrés!$A:$A,Métrés!$C:$C,0)),0)</f>
        <v>0</v>
      </c>
      <c r="AJ203" s="666"/>
      <c r="AK203" s="666"/>
      <c r="AL203" s="666"/>
      <c r="AM203" s="666"/>
      <c r="AN203" s="1051"/>
      <c r="AO203" s="666"/>
      <c r="AP203" s="666"/>
      <c r="AQ203" s="666"/>
      <c r="AR203" s="1052"/>
      <c r="AS203" s="1051"/>
      <c r="AT203" s="666"/>
      <c r="AU203" s="666"/>
      <c r="AV203" s="666"/>
      <c r="AW203" s="1052"/>
      <c r="AX203" s="1051"/>
      <c r="AY203" s="666"/>
      <c r="AZ203" s="666"/>
      <c r="BA203" s="666"/>
      <c r="BB203" s="1052"/>
      <c r="BC203" s="1051"/>
      <c r="BD203" s="666"/>
      <c r="BE203" s="666"/>
      <c r="BF203" s="1052"/>
      <c r="BG203" s="1051"/>
      <c r="BH203" s="666"/>
      <c r="BI203" s="1052"/>
      <c r="BJ203" s="666"/>
      <c r="BK203" s="1051"/>
      <c r="BL203" s="666"/>
      <c r="BM203" s="1052"/>
      <c r="BN203" s="1039"/>
      <c r="BO203" s="1039"/>
      <c r="BP203" s="1039"/>
      <c r="BQ203" s="1037">
        <f t="shared" si="425"/>
        <v>0</v>
      </c>
      <c r="BR203" s="1037"/>
    </row>
    <row r="204" spans="2:70">
      <c r="B204" s="1103"/>
      <c r="C204" s="1098"/>
      <c r="D204" s="478"/>
      <c r="E204" s="479" t="str">
        <f>BillQuantities!E36</f>
        <v>Balcons y c. dispositifs antichute</v>
      </c>
      <c r="F204" s="479" t="s">
        <v>3036</v>
      </c>
      <c r="G204" s="479"/>
      <c r="H204" s="479"/>
      <c r="I204" s="459" t="s">
        <v>39</v>
      </c>
      <c r="J204" s="662">
        <v>38.17</v>
      </c>
      <c r="K204" s="663"/>
      <c r="L204" s="663"/>
      <c r="M204" s="664">
        <f ca="1">SUM(M205:M208)</f>
        <v>6.9949477690218602</v>
      </c>
      <c r="N204" s="664">
        <f t="shared" ref="N204:S204" si="531">SUM(N205:N208)</f>
        <v>4.6278554672543519</v>
      </c>
      <c r="O204" s="664">
        <f t="shared" ref="O204" si="532">SUM(O205:O208)</f>
        <v>1.0723907468500957</v>
      </c>
      <c r="P204" s="664">
        <f t="shared" ca="1" si="531"/>
        <v>0.40969320266239256</v>
      </c>
      <c r="Q204" s="664">
        <f t="shared" si="531"/>
        <v>0.88500835225501984</v>
      </c>
      <c r="R204" s="664">
        <f t="shared" ref="R204" si="533">SUM(R205:R208)</f>
        <v>0.65886881839633127</v>
      </c>
      <c r="S204" s="664">
        <f t="shared" si="531"/>
        <v>0</v>
      </c>
      <c r="T204" s="664">
        <f t="shared" ref="T204" si="534">SUM(T205:T208)</f>
        <v>0</v>
      </c>
      <c r="V204" s="638">
        <f t="shared" ref="V204:V218" si="535">IF(L204=60, 0, T204)</f>
        <v>0</v>
      </c>
      <c r="W204" s="638">
        <f>IF(L204=60, 0, S204)</f>
        <v>0</v>
      </c>
      <c r="X204" s="638">
        <f t="shared" si="459"/>
        <v>0</v>
      </c>
      <c r="Z204" s="638">
        <f t="shared" si="526"/>
        <v>0</v>
      </c>
      <c r="AB204">
        <f>_xlfn.XLOOKUP($H204,'[1]Baumaterialien Matériaux'!$A:$A,'[1]Baumaterialien Matériaux'!AK:AK,0,0)</f>
        <v>0</v>
      </c>
      <c r="AC204" cm="1">
        <f t="array" ref="AC204">_xlfn.SWITCH(I204,"kg"," ",0," ",_xlfn.XLOOKUP(H204, '[1]Baumaterialien Matériaux'!$A:$A, '[1]Baumaterialien Matériaux'!$AL:$AL, "-", 0, 1))</f>
        <v>0</v>
      </c>
      <c r="AD204" s="622" cm="1">
        <f t="array" ref="AD204">IFERROR(_xlfn.SWITCH(I204,"kg",1,"m3",AC204,AC204)*J204/(_xlfn.XLOOKUP(AA204,Métrés!A:A,Métrés!C:C,0)),0)</f>
        <v>0</v>
      </c>
      <c r="AE204" s="1092">
        <f>IFERROR(N204*$G$1/(_xlfn.XLOOKUP($AA204,Métrés!$A:$A,Métrés!$C:$C,0)),0)</f>
        <v>0</v>
      </c>
      <c r="AF204" s="1092">
        <f>IFERROR(O204*$G$1/(_xlfn.XLOOKUP($AA204,Métrés!$A:$A,Métrés!$C:$C,0)),0)</f>
        <v>0</v>
      </c>
      <c r="AG204" s="1092">
        <f>IFERROR(Q204*$G$1/(_xlfn.XLOOKUP($AA204,Métrés!$A:$A,Métrés!$C:$C,0)),0)</f>
        <v>0</v>
      </c>
      <c r="AH204" s="1092">
        <f>IFERROR(R204*$G$1/(_xlfn.XLOOKUP($AA204,Métrés!$A:$A,Métrés!$C:$C,0)),0)</f>
        <v>0</v>
      </c>
      <c r="AI204" s="1092">
        <f>IFERROR(S204*$G$1/(_xlfn.XLOOKUP($AA204,Métrés!$A:$A,Métrés!$C:$C,0)),0)</f>
        <v>0</v>
      </c>
      <c r="AJ204" s="878"/>
      <c r="AK204" s="878"/>
      <c r="AL204" s="878"/>
      <c r="AM204" s="878"/>
      <c r="AN204" s="1053"/>
      <c r="AO204" s="878"/>
      <c r="AP204" s="878"/>
      <c r="AQ204" s="878"/>
      <c r="AR204" s="1054"/>
      <c r="AS204" s="1053"/>
      <c r="AT204" s="878"/>
      <c r="AU204" s="878"/>
      <c r="AV204" s="878"/>
      <c r="AW204" s="1054"/>
      <c r="AX204" s="1053"/>
      <c r="AY204" s="878"/>
      <c r="AZ204" s="878"/>
      <c r="BA204" s="878"/>
      <c r="BB204" s="1054"/>
      <c r="BC204" s="1053"/>
      <c r="BD204" s="878"/>
      <c r="BE204" s="878"/>
      <c r="BF204" s="1054"/>
      <c r="BG204" s="1053"/>
      <c r="BH204" s="878"/>
      <c r="BI204" s="1054"/>
      <c r="BJ204" s="878"/>
      <c r="BK204" s="1053"/>
      <c r="BL204" s="878"/>
      <c r="BM204" s="1054"/>
      <c r="BN204" s="1037">
        <f>IFERROR((J204*VLOOKUP(H204, 'Baumaterialien Matériaux'!$A$11:$AH$318, 33,FALSE)),0)/$G$1</f>
        <v>0</v>
      </c>
      <c r="BO204" s="1037"/>
      <c r="BP204" s="1037">
        <f>IFERROR((J204*VLOOKUP(H204, 'Baumaterialien Matériaux'!$A$11:$AH$318, 34,FALSE)),0)/$G$1</f>
        <v>0</v>
      </c>
      <c r="BQ204" s="1037">
        <f t="shared" ref="BQ204:BQ232" si="536">BP204/Q204</f>
        <v>0</v>
      </c>
      <c r="BR204" s="1037"/>
    </row>
    <row r="205" spans="2:70">
      <c r="B205" s="1103"/>
      <c r="C205" s="1099"/>
      <c r="D205" s="478"/>
      <c r="E205" s="478"/>
      <c r="F205" s="3" t="s">
        <v>2994</v>
      </c>
      <c r="G205" s="478" t="str">
        <f>_xlfn.XLOOKUP(H205, 'Baumaterialien Matériaux'!A:A, 'Baumaterialien Matériaux'!AD:AD, "-", 0, 1)</f>
        <v>Lé d'étanchéité bitumineux</v>
      </c>
      <c r="H205" s="892" t="s">
        <v>696</v>
      </c>
      <c r="I205" s="641" t="str">
        <f>_xlfn.XLOOKUP(H205, 'Baumaterialien Matériaux'!A:A, 'Baumaterialien Matériaux'!F:F, "-", 0, 1)</f>
        <v>kg</v>
      </c>
      <c r="J205" s="649">
        <f>$J$204*K205</f>
        <v>218.33240000000001</v>
      </c>
      <c r="K205" s="893">
        <f>0.0052*1100</f>
        <v>5.72</v>
      </c>
      <c r="L205" s="647" cm="1">
        <f t="array" aca="1" ref="L205" ca="1">INDEX('Eléments de constr. inté. et ex'!N124:N166, 'Eléments de constr. inté. et ex'!W124)</f>
        <v>40</v>
      </c>
      <c r="M205" s="648">
        <f t="shared" ref="M205:M208" ca="1" si="537">SUM(N205:Q205)</f>
        <v>1.3533381590312095</v>
      </c>
      <c r="N205" s="720">
        <f>IFERROR(($J205*VLOOKUP($H205, 'Baumaterialien Matériaux'!$A$11:$AD$318, 26,FALSE)),0)/$G$1</f>
        <v>0.24544290548061082</v>
      </c>
      <c r="O205" s="720">
        <f>IFERROR(($J205*VLOOKUP($H205, 'Baumaterialien Matériaux'!$A$11:$AH$318, 33,FALSE)),0)/$G$1</f>
        <v>0.1358441427362985</v>
      </c>
      <c r="P205" s="720">
        <f ca="1">IFERROR((N205+Q205)*($L$2/L205-1),0)</f>
        <v>0.40583133876497035</v>
      </c>
      <c r="Q205" s="720">
        <f>IFERROR(($J205*VLOOKUP($H205, 'Baumaterialien Matériaux'!$A$11:$AD$318, 27,FALSE)),0)/$G$1</f>
        <v>0.56621977204932994</v>
      </c>
      <c r="R205" s="720">
        <f>IFERROR(($J205*VLOOKUP($H205, 'Baumaterialien Matériaux'!$A$11:$AH$318, 34,FALSE)),0)/$G$1</f>
        <v>0.57108002760340137</v>
      </c>
      <c r="S205" s="720">
        <f>IFERROR((J205*VLOOKUP(H205, 'Baumaterialien Matériaux'!$A$11:$AD$318, 29,FALSE)),0)/$G$1</f>
        <v>0</v>
      </c>
      <c r="T205" s="720"/>
      <c r="V205" s="638">
        <f t="shared" ca="1" si="535"/>
        <v>0</v>
      </c>
      <c r="W205" s="638">
        <f ca="1">IF(L205=60, 0, S205)</f>
        <v>0</v>
      </c>
      <c r="X205" s="638" t="s">
        <v>3407</v>
      </c>
      <c r="Z205" s="638">
        <f t="shared" ca="1" si="526"/>
        <v>40</v>
      </c>
      <c r="AA205" s="527" t="s">
        <v>3450</v>
      </c>
      <c r="AB205" t="str">
        <f>_xlfn.XLOOKUP($H205,'[1]Baumaterialien Matériaux'!$A:$A,'[1]Baumaterialien Matériaux'!AK:AK,0,0)</f>
        <v>oil_product</v>
      </c>
      <c r="AC205" t="str" cm="1">
        <f t="array" ref="AC205">_xlfn.SWITCH(I205,"kg"," ",0," ",_xlfn.XLOOKUP(H205, '[1]Baumaterialien Matériaux'!$A:$A, '[1]Baumaterialien Matériaux'!$AL:$AL, "-", 0, 1))</f>
        <v xml:space="preserve"> </v>
      </c>
      <c r="AD205" s="622" cm="1">
        <f t="array" ref="AD205">IFERROR(_xlfn.SWITCH(I205,"kg",1,"m3",AC205,AC205)*J205/(_xlfn.XLOOKUP(AA205,Métrés!A:A,Métrés!C:C,0)),0)</f>
        <v>1.9066666666666667</v>
      </c>
      <c r="AE205" s="1092">
        <f>IFERROR(N205*$G$1/(_xlfn.XLOOKUP($AA205,Métrés!$A:$A,Métrés!$C:$C,0)),0)</f>
        <v>1.9257333333333333</v>
      </c>
      <c r="AF205" s="1092">
        <f>IFERROR(O205*$G$1/(_xlfn.XLOOKUP($AA205,Métrés!$A:$A,Métrés!$C:$C,0)),0)</f>
        <v>1.0658266666666669</v>
      </c>
      <c r="AG205" s="1092">
        <f>IFERROR(Q205*$G$1/(_xlfn.XLOOKUP($AA205,Métrés!$A:$A,Métrés!$C:$C,0)),0)</f>
        <v>4.4425333333333334</v>
      </c>
      <c r="AH205" s="1092">
        <f>IFERROR(R205*$G$1/(_xlfn.XLOOKUP($AA205,Métrés!$A:$A,Métrés!$C:$C,0)),0)</f>
        <v>4.4806666666666661</v>
      </c>
      <c r="AI205" s="1092">
        <f>IFERROR(S205*$G$1/(_xlfn.XLOOKUP($AA205,Métrés!$A:$A,Métrés!$C:$C,0)),0)</f>
        <v>0</v>
      </c>
      <c r="AJ205" s="1022"/>
      <c r="AK205" s="638">
        <f ca="1">IF(L205=60, 0, T205)</f>
        <v>0</v>
      </c>
      <c r="AL205" s="638">
        <f ca="1">IF(L205=60, 0, S205)</f>
        <v>0</v>
      </c>
      <c r="AM205" s="638" t="str">
        <f ca="1">IF(L205=$L$2, "Structure", IF(L205&gt;0,"Revêtement",0))</f>
        <v>Revêtement</v>
      </c>
      <c r="AN205" s="1036">
        <f ca="1">IF(AM205="Structure",N205,0)</f>
        <v>0</v>
      </c>
      <c r="AO205" s="1037">
        <f ca="1">IF(AM205="Structure",P205,0)</f>
        <v>0</v>
      </c>
      <c r="AP205" s="1037">
        <f ca="1">IF(AM205="Structure",Q205,0)</f>
        <v>0</v>
      </c>
      <c r="AQ205" s="1038">
        <f ca="1">IF(AM205="Structure",S205,0)</f>
        <v>0</v>
      </c>
      <c r="AR205" s="1038">
        <f ca="1">IF(AM205="Structure",T205,0)</f>
        <v>0</v>
      </c>
      <c r="AS205" s="1036">
        <f ca="1">IF(AM205="Insulation",N205,0)</f>
        <v>0</v>
      </c>
      <c r="AT205" s="1037">
        <f ca="1">IF(AM205="Insulation",P205,0)</f>
        <v>0</v>
      </c>
      <c r="AU205" s="1037">
        <f ca="1">IF(AM205="Insulation",Q205,0)</f>
        <v>0</v>
      </c>
      <c r="AV205" s="1038">
        <f ca="1">IF(AM205="Insulation",S205,0)</f>
        <v>0</v>
      </c>
      <c r="AW205" s="1038">
        <f ca="1">IF(AM205="Insulation",T205,0)</f>
        <v>0</v>
      </c>
      <c r="AX205" s="1036">
        <f ca="1">IF(AM205="Revêtement",N205,0)</f>
        <v>0.24544290548061082</v>
      </c>
      <c r="AY205" s="1037">
        <f ca="1">IF(AM205="Revêtement",P205,0)</f>
        <v>0.40583133876497035</v>
      </c>
      <c r="AZ205" s="1037">
        <f ca="1">IF(AM205="Revêtement",Q205,0)</f>
        <v>0.56621977204932994</v>
      </c>
      <c r="BA205" s="1037">
        <f ca="1">IF(AM205="Revêtement",S205,0)</f>
        <v>0</v>
      </c>
      <c r="BB205" s="1038">
        <f ca="1">IF(AM205="Revêtement",T205,0)</f>
        <v>0</v>
      </c>
      <c r="BC205" s="1036"/>
      <c r="BD205" s="1037"/>
      <c r="BE205" s="1037"/>
      <c r="BF205" s="1038"/>
      <c r="BG205" s="1036">
        <f ca="1">IF($AM205="Structure", IF($I205="kg",$J205,0), 0)</f>
        <v>0</v>
      </c>
      <c r="BH205" s="1037">
        <f ca="1">IF($AM205="Insulation", IF($I205="kg",$J205,0), 0)</f>
        <v>0</v>
      </c>
      <c r="BI205" s="1038">
        <f ca="1">IF($AM205="Revêtement", IF($I205="kg",$J205,0), 0)</f>
        <v>218.33240000000001</v>
      </c>
      <c r="BJ205" s="1037">
        <f>_xlfn.XLOOKUP(H205, 'Baumaterialien Matériaux'!A:A, 'Baumaterialien Matériaux'!E:E, "-", 0, 1)</f>
        <v>1100</v>
      </c>
      <c r="BK205" s="1036">
        <f t="shared" ca="1" si="329"/>
        <v>0</v>
      </c>
      <c r="BL205" s="1037">
        <f t="shared" ca="1" si="330"/>
        <v>0</v>
      </c>
      <c r="BM205" s="1038">
        <f t="shared" ca="1" si="331"/>
        <v>0.19848399999999999</v>
      </c>
      <c r="BN205" s="1037">
        <f>IFERROR((J205*VLOOKUP(H205, 'Baumaterialien Matériaux'!$A$11:$AH$318, 33,FALSE)),0)/$G$1</f>
        <v>0.1358441427362985</v>
      </c>
      <c r="BO205" s="1037">
        <f ca="1">(BN205+BP205)*($L$2/L205-1)</f>
        <v>0.35346208516984995</v>
      </c>
      <c r="BP205" s="1037">
        <f>IFERROR((J205*VLOOKUP(H205, 'Baumaterialien Matériaux'!$A$11:$AH$318, 34,FALSE)),0)/$G$1</f>
        <v>0.57108002760340137</v>
      </c>
      <c r="BQ205" s="1037">
        <f t="shared" si="536"/>
        <v>1.0085836909871244</v>
      </c>
      <c r="BR205" s="1037">
        <f ca="1">IFERROR((N205+Q205)*($L$2/L205-1),0)</f>
        <v>0.40583133876497035</v>
      </c>
    </row>
    <row r="206" spans="2:70">
      <c r="B206" s="1103"/>
      <c r="C206" s="1099"/>
      <c r="D206" s="478"/>
      <c r="E206" s="478"/>
      <c r="F206" s="638" t="s">
        <v>3016</v>
      </c>
      <c r="G206" s="478" t="str">
        <f>_xlfn.XLOOKUP(H206, 'Baumaterialien Matériaux'!A:A, 'Baumaterialien Matériaux'!AD:AD, "-", 0, 1)</f>
        <v>Émulsion de bitume, 1 couche</v>
      </c>
      <c r="H206" s="892" t="s">
        <v>512</v>
      </c>
      <c r="I206" s="641" t="str">
        <f>_xlfn.XLOOKUP(H206, 'Baumaterialien Matériaux'!A:A, 'Baumaterialien Matériaux'!F:F, "-", 0, 1)</f>
        <v>m2</v>
      </c>
      <c r="J206" s="649">
        <f t="shared" ref="J206:J208" si="538">$J$204*K206</f>
        <v>38.17</v>
      </c>
      <c r="K206" s="894">
        <v>1</v>
      </c>
      <c r="L206" s="647" cm="1">
        <f t="array" aca="1" ref="L206" ca="1">INDEX('Eléments de constr. inté. et ex'!N125:N167, 'Eléments de constr. inté. et ex'!W125)</f>
        <v>40</v>
      </c>
      <c r="M206" s="648">
        <f t="shared" ca="1" si="537"/>
        <v>1.5269019634032325E-2</v>
      </c>
      <c r="N206" s="720">
        <f>IFERROR(($J206*VLOOKUP($H206, 'Baumaterialien Matériaux'!$A$11:$AD$318, 26,FALSE)),0)/$G$1</f>
        <v>5.735441431815147E-3</v>
      </c>
      <c r="O206" s="720">
        <f>IFERROR(($J206*VLOOKUP($H206, 'Baumaterialien Matériaux'!$A$11:$AH$318, 33,FALSE)),0)/$G$1</f>
        <v>3.683427941765727E-3</v>
      </c>
      <c r="P206" s="720">
        <f t="shared" ref="P206:P208" ca="1" si="539">IFERROR((N206+Q206)*($L$2/L206-1),0)</f>
        <v>3.8618638974221987E-3</v>
      </c>
      <c r="Q206" s="720">
        <f>IFERROR(($J206*VLOOKUP($H206, 'Baumaterialien Matériaux'!$A$11:$AD$318, 27,FALSE)),0)/$G$1</f>
        <v>1.9882863630292505E-3</v>
      </c>
      <c r="R206" s="720">
        <f>IFERROR(($J206*VLOOKUP($H206, 'Baumaterialien Matériaux'!$A$11:$AH$318, 34,FALSE)),0)/$G$1</f>
        <v>2.4938549040559189E-2</v>
      </c>
      <c r="S206" s="720">
        <f>IFERROR((J206*VLOOKUP(H206, 'Baumaterialien Matériaux'!$A$11:$AD$318, 29,FALSE)),0)/$G$1</f>
        <v>0</v>
      </c>
      <c r="T206" s="720"/>
      <c r="V206" s="638">
        <f t="shared" ca="1" si="535"/>
        <v>0</v>
      </c>
      <c r="W206" s="638">
        <f ca="1">IF(L206=60, 0, S206)</f>
        <v>0</v>
      </c>
      <c r="X206" s="638" t="s">
        <v>3407</v>
      </c>
      <c r="Z206" s="638">
        <f t="shared" ca="1" si="526"/>
        <v>40</v>
      </c>
      <c r="AA206" s="527" t="s">
        <v>3450</v>
      </c>
      <c r="AB206" t="str">
        <f>_xlfn.XLOOKUP($H206,'[1]Baumaterialien Matériaux'!$A:$A,'[1]Baumaterialien Matériaux'!AK:AK,0,0)</f>
        <v>autre</v>
      </c>
      <c r="AC206" cm="1">
        <f t="array" ref="AC206">_xlfn.SWITCH(I206,"kg"," ",0," ",_xlfn.XLOOKUP(H206, '[1]Baumaterialien Matériaux'!$A:$A, '[1]Baumaterialien Matériaux'!$AL:$AL, "-", 0, 1))</f>
        <v>0.25</v>
      </c>
      <c r="AD206" s="622" cm="1">
        <f t="array" ref="AD206">IFERROR(_xlfn.SWITCH(I206,"kg",1,"m3",AC206,AC206)*J206/(_xlfn.XLOOKUP(AA206,Métrés!A:A,Métrés!C:C,0)),0)</f>
        <v>8.3333333333333329E-2</v>
      </c>
      <c r="AE206" s="1092">
        <f>IFERROR(N206*$G$1/(_xlfn.XLOOKUP($AA206,Métrés!$A:$A,Métrés!$C:$C,0)),0)</f>
        <v>4.5000000000000005E-2</v>
      </c>
      <c r="AF206" s="1092">
        <f>IFERROR(O206*$G$1/(_xlfn.XLOOKUP($AA206,Métrés!$A:$A,Métrés!$C:$C,0)),0)</f>
        <v>2.8899999999999999E-2</v>
      </c>
      <c r="AG206" s="1092">
        <f>IFERROR(Q206*$G$1/(_xlfn.XLOOKUP($AA206,Métrés!$A:$A,Métrés!$C:$C,0)),0)</f>
        <v>1.5599999999999998E-2</v>
      </c>
      <c r="AH206" s="1092">
        <f>IFERROR(R206*$G$1/(_xlfn.XLOOKUP($AA206,Métrés!$A:$A,Métrés!$C:$C,0)),0)</f>
        <v>0.19566666666666666</v>
      </c>
      <c r="AI206" s="1092">
        <f>IFERROR(S206*$G$1/(_xlfn.XLOOKUP($AA206,Métrés!$A:$A,Métrés!$C:$C,0)),0)</f>
        <v>0</v>
      </c>
      <c r="AJ206" s="1022"/>
      <c r="AK206" s="638">
        <f ca="1">IF(L206=60, 0, T206)</f>
        <v>0</v>
      </c>
      <c r="AL206" s="638">
        <f ca="1">IF(L206=60, 0, S206)</f>
        <v>0</v>
      </c>
      <c r="AM206" s="638" t="str">
        <f ca="1">IF(L206=$L$2, "Structure", IF(L206&gt;0,"Revêtement",0))</f>
        <v>Revêtement</v>
      </c>
      <c r="AN206" s="1036">
        <f ca="1">IF(AM206="Structure",N206,0)</f>
        <v>0</v>
      </c>
      <c r="AO206" s="1037">
        <f ca="1">IF(AM206="Structure",P206,0)</f>
        <v>0</v>
      </c>
      <c r="AP206" s="1037">
        <f ca="1">IF(AM206="Structure",Q206,0)</f>
        <v>0</v>
      </c>
      <c r="AQ206" s="1038">
        <f ca="1">IF(AM206="Structure",S206,0)</f>
        <v>0</v>
      </c>
      <c r="AR206" s="1038">
        <f ca="1">IF(AM206="Structure",T206,0)</f>
        <v>0</v>
      </c>
      <c r="AS206" s="1036">
        <f ca="1">IF(AM206="Insulation",N206,0)</f>
        <v>0</v>
      </c>
      <c r="AT206" s="1037">
        <f ca="1">IF(AM206="Insulation",P206,0)</f>
        <v>0</v>
      </c>
      <c r="AU206" s="1037">
        <f ca="1">IF(AM206="Insulation",Q206,0)</f>
        <v>0</v>
      </c>
      <c r="AV206" s="1038">
        <f ca="1">IF(AM206="Insulation",S206,0)</f>
        <v>0</v>
      </c>
      <c r="AW206" s="1038">
        <f ca="1">IF(AM206="Insulation",T206,0)</f>
        <v>0</v>
      </c>
      <c r="AX206" s="1036">
        <f ca="1">IF(AM206="Revêtement",N206,0)</f>
        <v>5.735441431815147E-3</v>
      </c>
      <c r="AY206" s="1037">
        <f ca="1">IF(AM206="Revêtement",P206,0)</f>
        <v>3.8618638974221987E-3</v>
      </c>
      <c r="AZ206" s="1037">
        <f ca="1">IF(AM206="Revêtement",Q206,0)</f>
        <v>1.9882863630292505E-3</v>
      </c>
      <c r="BA206" s="1037">
        <f ca="1">IF(AM206="Revêtement",S206,0)</f>
        <v>0</v>
      </c>
      <c r="BB206" s="1038">
        <f ca="1">IF(AM206="Revêtement",T206,0)</f>
        <v>0</v>
      </c>
      <c r="BC206" s="1036"/>
      <c r="BD206" s="1037"/>
      <c r="BE206" s="1037"/>
      <c r="BF206" s="1038"/>
      <c r="BG206" s="1036">
        <f ca="1">IF($AM206="Structure", IF($I206="kg",$J206,0), 0)</f>
        <v>0</v>
      </c>
      <c r="BH206" s="1037">
        <f ca="1">IF($AM206="Insulation", IF($I206="kg",$J206,0), 0)</f>
        <v>0</v>
      </c>
      <c r="BI206" s="1038">
        <f ca="1">IF($AM206="Revêtement", IF($I206="kg",$J206,0), 0)</f>
        <v>0</v>
      </c>
      <c r="BJ206" s="1037">
        <f>_xlfn.XLOOKUP(H206, 'Baumaterialien Matériaux'!A:A, 'Baumaterialien Matériaux'!E:E, "-", 0, 1)</f>
        <v>0.25</v>
      </c>
      <c r="BK206" s="1036">
        <f t="shared" ca="1" si="329"/>
        <v>0</v>
      </c>
      <c r="BL206" s="1037">
        <f t="shared" ca="1" si="330"/>
        <v>0</v>
      </c>
      <c r="BM206" s="1038">
        <f t="shared" ca="1" si="331"/>
        <v>0</v>
      </c>
      <c r="BN206" s="1037">
        <f>IFERROR((J206*VLOOKUP(H206, 'Baumaterialien Matériaux'!$A$11:$AH$318, 33,FALSE)),0)/$G$1</f>
        <v>3.683427941765727E-3</v>
      </c>
      <c r="BO206" s="1037">
        <f ca="1">(BN206+BP206)*($L$2/L206-1)</f>
        <v>1.4310988491162458E-2</v>
      </c>
      <c r="BP206" s="1037">
        <f>IFERROR((J206*VLOOKUP(H206, 'Baumaterialien Matériaux'!$A$11:$AH$318, 34,FALSE)),0)/$G$1</f>
        <v>2.4938549040559189E-2</v>
      </c>
      <c r="BQ206" s="1037">
        <f t="shared" si="536"/>
        <v>12.542735042735043</v>
      </c>
      <c r="BR206" s="1037">
        <f ca="1">IFERROR((N206+Q206)*($L$2/L206-1),0)</f>
        <v>3.8618638974221987E-3</v>
      </c>
    </row>
    <row r="207" spans="2:70">
      <c r="B207" s="1103"/>
      <c r="C207" s="1099"/>
      <c r="D207" s="478"/>
      <c r="E207" s="478"/>
      <c r="F207" s="3" t="s">
        <v>3028</v>
      </c>
      <c r="G207" s="478" t="str">
        <f>_xlfn.XLOOKUP(H207, 'Baumaterialien Matériaux'!A:A, 'Baumaterialien Matériaux'!AD:AD, "-", 0, 1)</f>
        <v>Béton pour bâtiment (sans armature)</v>
      </c>
      <c r="H207" s="891">
        <v>1.0019999999999998</v>
      </c>
      <c r="I207" s="641" t="str">
        <f>_xlfn.XLOOKUP(H207, 'Baumaterialien Matériaux'!A:A, 'Baumaterialien Matériaux'!F:F, "-", 0, 1)</f>
        <v>kg</v>
      </c>
      <c r="J207" s="649">
        <f t="shared" si="538"/>
        <v>21069.84</v>
      </c>
      <c r="K207" s="894">
        <f>0.24*2300</f>
        <v>552</v>
      </c>
      <c r="L207" s="647">
        <v>60</v>
      </c>
      <c r="M207" s="648">
        <f t="shared" si="537"/>
        <v>2.8681285695205019</v>
      </c>
      <c r="N207" s="720">
        <f>IFERROR(($J207*VLOOKUP($H207, 'Baumaterialien Matériaux'!$A$11:$AD$318, 26,FALSE)),0)/$G$1</f>
        <v>2.0825005476158673</v>
      </c>
      <c r="O207" s="720">
        <f>IFERROR(($J207*VLOOKUP($H207, 'Baumaterialien Matériaux'!$A$11:$AH$318, 33,FALSE)),0)/$G$1</f>
        <v>0.48779292106317612</v>
      </c>
      <c r="P207" s="720">
        <f t="shared" si="539"/>
        <v>0</v>
      </c>
      <c r="Q207" s="720">
        <f>IFERROR(($J207*VLOOKUP($H207, 'Baumaterialien Matériaux'!$A$11:$AD$318, 27,FALSE)),0)/$G$1</f>
        <v>0.29783510084145853</v>
      </c>
      <c r="R207" s="720">
        <f>IFERROR(($J207*VLOOKUP($H207, 'Baumaterialien Matériaux'!$A$11:$AH$318, 34,FALSE)),0)/$G$1</f>
        <v>6.2850241752370778E-2</v>
      </c>
      <c r="S207" s="720">
        <f>IFERROR((J207*VLOOKUP(H207, 'Baumaterialien Matériaux'!$A$11:$AD$318, 29,FALSE)),0)/$G$1</f>
        <v>0</v>
      </c>
      <c r="T207" s="720"/>
      <c r="V207" s="638">
        <f t="shared" si="535"/>
        <v>0</v>
      </c>
      <c r="W207" s="638">
        <f>IF(L207=60, 0, S207)</f>
        <v>0</v>
      </c>
      <c r="X207" s="638" t="s">
        <v>3407</v>
      </c>
      <c r="Z207" s="638">
        <f t="shared" si="526"/>
        <v>60</v>
      </c>
      <c r="AA207" s="527" t="s">
        <v>3450</v>
      </c>
      <c r="AB207" t="str">
        <f>_xlfn.XLOOKUP($H207,'[1]Baumaterialien Matériaux'!$A:$A,'[1]Baumaterialien Matériaux'!AK:AK,0,0)</f>
        <v>concrete</v>
      </c>
      <c r="AC207" t="str" cm="1">
        <f t="array" ref="AC207">_xlfn.SWITCH(I207,"kg"," ",0," ",_xlfn.XLOOKUP(H207, '[1]Baumaterialien Matériaux'!$A:$A, '[1]Baumaterialien Matériaux'!$AL:$AL, "-", 0, 1))</f>
        <v xml:space="preserve"> </v>
      </c>
      <c r="AD207" s="622" cm="1">
        <f t="array" ref="AD207">IFERROR(_xlfn.SWITCH(I207,"kg",1,"m3",AC207,AC207)*J207/(_xlfn.XLOOKUP(AA207,Métrés!A:A,Métrés!C:C,0)),0)</f>
        <v>184</v>
      </c>
      <c r="AE207" s="1092">
        <f>IFERROR(N207*$G$1/(_xlfn.XLOOKUP($AA207,Métrés!$A:$A,Métrés!$C:$C,0)),0)</f>
        <v>16.339199999999998</v>
      </c>
      <c r="AF207" s="1092">
        <f>IFERROR(O207*$G$1/(_xlfn.XLOOKUP($AA207,Métrés!$A:$A,Métrés!$C:$C,0)),0)</f>
        <v>3.8271999999999995</v>
      </c>
      <c r="AG207" s="1092">
        <f>IFERROR(Q207*$G$1/(_xlfn.XLOOKUP($AA207,Métrés!$A:$A,Métrés!$C:$C,0)),0)</f>
        <v>2.3368000000000002</v>
      </c>
      <c r="AH207" s="1092">
        <f>IFERROR(R207*$G$1/(_xlfn.XLOOKUP($AA207,Métrés!$A:$A,Métrés!$C:$C,0)),0)</f>
        <v>0.49312</v>
      </c>
      <c r="AI207" s="1092">
        <f>IFERROR(S207*$G$1/(_xlfn.XLOOKUP($AA207,Métrés!$A:$A,Métrés!$C:$C,0)),0)</f>
        <v>0</v>
      </c>
      <c r="AJ207" s="1022"/>
      <c r="AK207" s="638">
        <f>IF(L207=60, 0, T207)</f>
        <v>0</v>
      </c>
      <c r="AL207" s="638">
        <f>IF(L207=60, 0, S207)</f>
        <v>0</v>
      </c>
      <c r="AM207" s="638" t="str">
        <f>IF(L207=$L$2, "Structure", IF(L207&gt;0,"Revêtement",0))</f>
        <v>Structure</v>
      </c>
      <c r="AN207" s="1036">
        <f>IF(AM207="Structure",N207,0)</f>
        <v>2.0825005476158673</v>
      </c>
      <c r="AO207" s="1037">
        <f>IF(AM207="Structure",P207,0)</f>
        <v>0</v>
      </c>
      <c r="AP207" s="1037">
        <f>IF(AM207="Structure",Q207,0)</f>
        <v>0.29783510084145853</v>
      </c>
      <c r="AQ207" s="1038">
        <f>IF(AM207="Structure",S207,0)</f>
        <v>0</v>
      </c>
      <c r="AR207" s="1038">
        <f>IF(AM207="Structure",T207,0)</f>
        <v>0</v>
      </c>
      <c r="AS207" s="1036">
        <f>IF(AM207="Insulation",N207,0)</f>
        <v>0</v>
      </c>
      <c r="AT207" s="1037">
        <f>IF(AM207="Insulation",P207,0)</f>
        <v>0</v>
      </c>
      <c r="AU207" s="1037">
        <f>IF(AM207="Insulation",Q207,0)</f>
        <v>0</v>
      </c>
      <c r="AV207" s="1038">
        <f>IF(AM207="Insulation",S207,0)</f>
        <v>0</v>
      </c>
      <c r="AW207" s="1038">
        <f>IF(AM207="Insulation",T207,0)</f>
        <v>0</v>
      </c>
      <c r="AX207" s="1036">
        <f>IF(AM207="Revêtement",N207,0)</f>
        <v>0</v>
      </c>
      <c r="AY207" s="1037">
        <f>IF(AM207="Revêtement",P207,0)</f>
        <v>0</v>
      </c>
      <c r="AZ207" s="1037">
        <f>IF(AM207="Revêtement",Q207,0)</f>
        <v>0</v>
      </c>
      <c r="BA207" s="1037">
        <f>IF(AM207="Revêtement",S207,0)</f>
        <v>0</v>
      </c>
      <c r="BB207" s="1038">
        <f>IF(AM207="Revêtement",T207,0)</f>
        <v>0</v>
      </c>
      <c r="BC207" s="1036"/>
      <c r="BD207" s="1037"/>
      <c r="BE207" s="1037"/>
      <c r="BF207" s="1038"/>
      <c r="BG207" s="1036">
        <f>IF($AM207="Structure", IF($I207="kg",$J207,0), 0)</f>
        <v>21069.84</v>
      </c>
      <c r="BH207" s="1037">
        <f>IF($AM207="Insulation", IF($I207="kg",$J207,0), 0)</f>
        <v>0</v>
      </c>
      <c r="BI207" s="1038">
        <f>IF($AM207="Revêtement", IF($I207="kg",$J207,0), 0)</f>
        <v>0</v>
      </c>
      <c r="BJ207" s="1037">
        <f>_xlfn.XLOOKUP(H207, 'Baumaterialien Matériaux'!A:A, 'Baumaterialien Matériaux'!E:E, "-", 0, 1)</f>
        <v>2300</v>
      </c>
      <c r="BK207" s="1036">
        <f t="shared" si="329"/>
        <v>9.1608000000000001</v>
      </c>
      <c r="BL207" s="1037">
        <f t="shared" si="330"/>
        <v>0</v>
      </c>
      <c r="BM207" s="1038">
        <f t="shared" si="331"/>
        <v>0</v>
      </c>
      <c r="BN207" s="1037">
        <f>IFERROR((J207*VLOOKUP(H207, 'Baumaterialien Matériaux'!$A$11:$AH$318, 33,FALSE)),0)/$G$1</f>
        <v>0.48779292106317612</v>
      </c>
      <c r="BO207" s="1037">
        <f>(BN207+BP207)*($L$2/L207-1)</f>
        <v>0</v>
      </c>
      <c r="BP207" s="1037">
        <f>IFERROR((J207*VLOOKUP(H207, 'Baumaterialien Matériaux'!$A$11:$AH$318, 34,FALSE)),0)/$G$1</f>
        <v>6.2850241752370778E-2</v>
      </c>
      <c r="BQ207" s="1037">
        <f t="shared" si="536"/>
        <v>0.21102362204724409</v>
      </c>
      <c r="BR207" s="1037">
        <f>IFERROR((N207+Q207)*($L$2/L207-1),0)</f>
        <v>0</v>
      </c>
    </row>
    <row r="208" spans="2:70">
      <c r="B208" s="1103"/>
      <c r="C208" s="1099"/>
      <c r="D208" s="478"/>
      <c r="E208" s="478"/>
      <c r="F208" s="3" t="s">
        <v>3004</v>
      </c>
      <c r="G208" s="478" t="str">
        <f>_xlfn.XLOOKUP(H208, 'Baumaterialien Matériaux'!A:A, 'Baumaterialien Matériaux'!AD:AD, "-", 0, 1)</f>
        <v>Acier d'armature</v>
      </c>
      <c r="H208" s="892" t="s">
        <v>497</v>
      </c>
      <c r="I208" s="641" t="str">
        <f>_xlfn.XLOOKUP(H208, 'Baumaterialien Matériaux'!A:A, 'Baumaterialien Matériaux'!F:F, "-", 0, 1)</f>
        <v>kg</v>
      </c>
      <c r="J208" s="649">
        <f t="shared" si="538"/>
        <v>1374.1200000000001</v>
      </c>
      <c r="K208" s="894">
        <f>0.24*150</f>
        <v>36</v>
      </c>
      <c r="L208" s="647">
        <v>60</v>
      </c>
      <c r="M208" s="648">
        <f t="shared" si="537"/>
        <v>2.7582120208361163</v>
      </c>
      <c r="N208" s="720">
        <f>IFERROR(($J208*VLOOKUP($H208, 'Baumaterialien Matériaux'!$A$11:$AD$318, 26,FALSE)),0)/$G$1</f>
        <v>2.2941765727260588</v>
      </c>
      <c r="O208" s="720">
        <f>IFERROR(($J208*VLOOKUP($H208, 'Baumaterialien Matériaux'!$A$11:$AH$318, 33,FALSE)),0)/$G$1</f>
        <v>0.44507025510885534</v>
      </c>
      <c r="P208" s="720">
        <f t="shared" si="539"/>
        <v>0</v>
      </c>
      <c r="Q208" s="720">
        <f>IFERROR(($J208*VLOOKUP($H208, 'Baumaterialien Matériaux'!$A$11:$AD$318, 27,FALSE)),0)/$G$1</f>
        <v>1.8965193001202082E-2</v>
      </c>
      <c r="R208" s="720">
        <f>IFERROR(($J208*VLOOKUP($H208, 'Baumaterialien Matériaux'!$A$11:$AH$318, 34,FALSE)),0)/$G$1</f>
        <v>0</v>
      </c>
      <c r="S208" s="720">
        <f>IFERROR((J208*VLOOKUP(H208, 'Baumaterialien Matériaux'!$A$11:$AD$318, 29,FALSE)),0)/$G$1</f>
        <v>0</v>
      </c>
      <c r="T208" s="720">
        <f>S208*-0.07</f>
        <v>0</v>
      </c>
      <c r="V208" s="638">
        <f t="shared" si="535"/>
        <v>0</v>
      </c>
      <c r="W208" s="638">
        <f>IF(L208=60, 0, S208)</f>
        <v>0</v>
      </c>
      <c r="X208" s="638" t="s">
        <v>3407</v>
      </c>
      <c r="Z208" s="638">
        <f t="shared" si="526"/>
        <v>60</v>
      </c>
      <c r="AA208" s="527" t="s">
        <v>3450</v>
      </c>
      <c r="AB208" t="str">
        <f>_xlfn.XLOOKUP($H208,'[1]Baumaterialien Matériaux'!$A:$A,'[1]Baumaterialien Matériaux'!AK:AK,0,0)</f>
        <v>metal</v>
      </c>
      <c r="AC208" t="str" cm="1">
        <f t="array" ref="AC208">_xlfn.SWITCH(I208,"kg"," ",0," ",_xlfn.XLOOKUP(H208, '[1]Baumaterialien Matériaux'!$A:$A, '[1]Baumaterialien Matériaux'!$AL:$AL, "-", 0, 1))</f>
        <v xml:space="preserve"> </v>
      </c>
      <c r="AD208" s="622" cm="1">
        <f t="array" ref="AD208">IFERROR(_xlfn.SWITCH(I208,"kg",1,"m3",AC208,AC208)*J208/(_xlfn.XLOOKUP(AA208,Métrés!A:A,Métrés!C:C,0)),0)</f>
        <v>12</v>
      </c>
      <c r="AE208" s="1092">
        <f>IFERROR(N208*$G$1/(_xlfn.XLOOKUP($AA208,Métrés!$A:$A,Métrés!$C:$C,0)),0)</f>
        <v>18</v>
      </c>
      <c r="AF208" s="1092">
        <f>IFERROR(O208*$G$1/(_xlfn.XLOOKUP($AA208,Métrés!$A:$A,Métrés!$C:$C,0)),0)</f>
        <v>3.492</v>
      </c>
      <c r="AG208" s="1092">
        <f>IFERROR(Q208*$G$1/(_xlfn.XLOOKUP($AA208,Métrés!$A:$A,Métrés!$C:$C,0)),0)</f>
        <v>0.14879999999999999</v>
      </c>
      <c r="AH208" s="1092">
        <f>IFERROR(R208*$G$1/(_xlfn.XLOOKUP($AA208,Métrés!$A:$A,Métrés!$C:$C,0)),0)</f>
        <v>0</v>
      </c>
      <c r="AI208" s="1092">
        <f>IFERROR(S208*$G$1/(_xlfn.XLOOKUP($AA208,Métrés!$A:$A,Métrés!$C:$C,0)),0)</f>
        <v>0</v>
      </c>
      <c r="AJ208" s="1022"/>
      <c r="AK208" s="638">
        <f>IF(L208=60, 0, T208)</f>
        <v>0</v>
      </c>
      <c r="AL208" s="638">
        <f>IF(L208=60, 0, S208)</f>
        <v>0</v>
      </c>
      <c r="AM208" s="638" t="str">
        <f>IF(L208=$L$2, "Structure", IF(L208&gt;0,"Revêtement",0))</f>
        <v>Structure</v>
      </c>
      <c r="AN208" s="1036">
        <f>IF(AM208="Structure",N208,0)</f>
        <v>2.2941765727260588</v>
      </c>
      <c r="AO208" s="1037">
        <f>IF(AM208="Structure",P208,0)</f>
        <v>0</v>
      </c>
      <c r="AP208" s="1037">
        <f>IF(AM208="Structure",Q208,0)</f>
        <v>1.8965193001202082E-2</v>
      </c>
      <c r="AQ208" s="1038">
        <f>IF(AM208="Structure",S208,0)</f>
        <v>0</v>
      </c>
      <c r="AR208" s="1038">
        <f>IF(AM208="Structure",T208,0)</f>
        <v>0</v>
      </c>
      <c r="AS208" s="1036">
        <f>IF(AM208="Insulation",N208,0)</f>
        <v>0</v>
      </c>
      <c r="AT208" s="1037">
        <f>IF(AM208="Insulation",P208,0)</f>
        <v>0</v>
      </c>
      <c r="AU208" s="1037">
        <f>IF(AM208="Insulation",Q208,0)</f>
        <v>0</v>
      </c>
      <c r="AV208" s="1038">
        <f>IF(AM208="Insulation",S208,0)</f>
        <v>0</v>
      </c>
      <c r="AW208" s="1038">
        <f>IF(AM208="Insulation",T208,0)</f>
        <v>0</v>
      </c>
      <c r="AX208" s="1036">
        <f>IF(AM208="Revêtement",N208,0)</f>
        <v>0</v>
      </c>
      <c r="AY208" s="1037">
        <f>IF(AM208="Revêtement",P208,0)</f>
        <v>0</v>
      </c>
      <c r="AZ208" s="1037">
        <f>IF(AM208="Revêtement",Q208,0)</f>
        <v>0</v>
      </c>
      <c r="BA208" s="1037">
        <f>IF(AM208="Revêtement",S208,0)</f>
        <v>0</v>
      </c>
      <c r="BB208" s="1038">
        <f>IF(AM208="Revêtement",T208,0)</f>
        <v>0</v>
      </c>
      <c r="BC208" s="1036"/>
      <c r="BD208" s="1037"/>
      <c r="BE208" s="1037"/>
      <c r="BF208" s="1038"/>
      <c r="BG208" s="1036">
        <f>IF($AM208="Structure", IF($I208="kg",$J208,0), 0)</f>
        <v>1374.1200000000001</v>
      </c>
      <c r="BH208" s="1037">
        <f>IF($AM208="Insulation", IF($I208="kg",$J208,0), 0)</f>
        <v>0</v>
      </c>
      <c r="BI208" s="1038">
        <f>IF($AM208="Revêtement", IF($I208="kg",$J208,0), 0)</f>
        <v>0</v>
      </c>
      <c r="BJ208" s="1037">
        <f>_xlfn.XLOOKUP(H208, 'Baumaterialien Matériaux'!A:A, 'Baumaterialien Matériaux'!E:E, "-", 0, 1)</f>
        <v>7850</v>
      </c>
      <c r="BK208" s="1036">
        <f t="shared" si="329"/>
        <v>0.1750471337579618</v>
      </c>
      <c r="BL208" s="1037">
        <f t="shared" si="330"/>
        <v>0</v>
      </c>
      <c r="BM208" s="1038">
        <f t="shared" si="331"/>
        <v>0</v>
      </c>
      <c r="BN208" s="1037">
        <f>IFERROR((J208*VLOOKUP(H208, 'Baumaterialien Matériaux'!$A$11:$AH$318, 33,FALSE)),0)/$G$1</f>
        <v>0.44507025510885534</v>
      </c>
      <c r="BO208" s="1037">
        <f>(BN208+BP208)*($L$2/L208-1)</f>
        <v>0</v>
      </c>
      <c r="BP208" s="1037">
        <f>IFERROR((J208*VLOOKUP(H208, 'Baumaterialien Matériaux'!$A$11:$AH$318, 34,FALSE)),0)/$G$1</f>
        <v>0</v>
      </c>
      <c r="BQ208" s="1037">
        <f t="shared" si="536"/>
        <v>0</v>
      </c>
      <c r="BR208" s="1037">
        <f>IFERROR((N208+Q208)*($L$2/L208-1),0)</f>
        <v>0</v>
      </c>
    </row>
    <row r="209" spans="2:71">
      <c r="B209" s="1103"/>
      <c r="C209" s="1099"/>
      <c r="D209" s="478"/>
      <c r="E209" s="478"/>
      <c r="F209" s="479" t="s">
        <v>3039</v>
      </c>
      <c r="G209" s="479"/>
      <c r="H209" s="479"/>
      <c r="I209" s="459" t="s">
        <v>39</v>
      </c>
      <c r="J209" s="662">
        <v>76.34</v>
      </c>
      <c r="K209" s="663"/>
      <c r="L209" s="663"/>
      <c r="M209" s="664">
        <f>SUM(M210:M213)</f>
        <v>11.968497494479317</v>
      </c>
      <c r="N209" s="664">
        <f t="shared" ref="N209:O209" si="540">SUM(N210:N213)</f>
        <v>9.2255595064778948</v>
      </c>
      <c r="O209" s="664">
        <f t="shared" si="540"/>
        <v>1.9814131799563683</v>
      </c>
      <c r="P209" s="664">
        <f t="shared" ref="P209" si="541">SUM(P210:P213)</f>
        <v>6.9668789435020695E-2</v>
      </c>
      <c r="Q209" s="664">
        <f t="shared" ref="Q209:R209" si="542">SUM(Q210:Q213)</f>
        <v>0.69185601861003498</v>
      </c>
      <c r="R209" s="664">
        <f t="shared" si="542"/>
        <v>0.18599259942121901</v>
      </c>
      <c r="S209" s="664">
        <f t="shared" ref="S209:T209" si="543">SUM(S210:S213)</f>
        <v>1.1760790309870439</v>
      </c>
      <c r="T209" s="664">
        <f t="shared" si="543"/>
        <v>-8.232553216909308E-2</v>
      </c>
      <c r="V209" s="638">
        <f t="shared" si="535"/>
        <v>-8.232553216909308E-2</v>
      </c>
      <c r="Z209" s="638">
        <f t="shared" si="526"/>
        <v>0</v>
      </c>
      <c r="AA209" s="527" t="s">
        <v>3450</v>
      </c>
      <c r="AB209">
        <f>_xlfn.XLOOKUP($H209,'[1]Baumaterialien Matériaux'!$A:$A,'[1]Baumaterialien Matériaux'!AK:AK,0,0)</f>
        <v>0</v>
      </c>
      <c r="AC209" cm="1">
        <f t="array" ref="AC209">_xlfn.SWITCH(I209,"kg"," ",0," ",_xlfn.XLOOKUP(H209, '[1]Baumaterialien Matériaux'!$A:$A, '[1]Baumaterialien Matériaux'!$AL:$AL, "-", 0, 1))</f>
        <v>0</v>
      </c>
      <c r="AD209" s="622" cm="1">
        <f t="array" ref="AD209">IFERROR(_xlfn.SWITCH(I209,"kg",1,"m3",AC209,AC209)*J209/(_xlfn.XLOOKUP(AA209,Métrés!A:A,Métrés!C:C,0)),0)</f>
        <v>0</v>
      </c>
      <c r="AE209" s="1092">
        <f>IFERROR(N209*$G$1/(_xlfn.XLOOKUP($AA209,Métrés!$A:$A,Métrés!$C:$C,0)),0)</f>
        <v>72.383300000000006</v>
      </c>
      <c r="AF209" s="1092">
        <f>IFERROR(O209*$G$1/(_xlfn.XLOOKUP($AA209,Métrés!$A:$A,Métrés!$C:$C,0)),0)</f>
        <v>15.546073333333331</v>
      </c>
      <c r="AG209" s="1092">
        <f>IFERROR(Q209*$G$1/(_xlfn.XLOOKUP($AA209,Métrés!$A:$A,Métrés!$C:$C,0)),0)</f>
        <v>5.4282693333333318</v>
      </c>
      <c r="AH209" s="1092">
        <f>IFERROR(R209*$G$1/(_xlfn.XLOOKUP($AA209,Métrés!$A:$A,Métrés!$C:$C,0)),0)</f>
        <v>1.4592890666666667</v>
      </c>
      <c r="AI209" s="1092">
        <f>IFERROR(S209*$G$1/(_xlfn.XLOOKUP($AA209,Métrés!$A:$A,Métrés!$C:$C,0)),0)</f>
        <v>9.2274599999999971</v>
      </c>
      <c r="AJ209" s="1021"/>
      <c r="AK209" s="1021"/>
      <c r="AL209" s="1021"/>
      <c r="AM209" s="1021"/>
      <c r="AN209" s="1057"/>
      <c r="AO209" s="1021"/>
      <c r="AP209" s="1021"/>
      <c r="AQ209" s="1021"/>
      <c r="AR209" s="1058"/>
      <c r="AS209" s="1057"/>
      <c r="AT209" s="1021"/>
      <c r="AU209" s="1021"/>
      <c r="AV209" s="1021"/>
      <c r="AW209" s="1058"/>
      <c r="AX209" s="1057"/>
      <c r="AY209" s="1021"/>
      <c r="AZ209" s="1021"/>
      <c r="BA209" s="1021"/>
      <c r="BB209" s="1058"/>
      <c r="BC209" s="1057"/>
      <c r="BD209" s="1021"/>
      <c r="BE209" s="1021"/>
      <c r="BF209" s="1058"/>
      <c r="BG209" s="1057"/>
      <c r="BH209" s="1021"/>
      <c r="BI209" s="1058"/>
      <c r="BJ209" s="1045"/>
      <c r="BK209" s="1057"/>
      <c r="BL209" s="1021"/>
      <c r="BM209" s="1058"/>
      <c r="BN209" s="1037">
        <f>IFERROR((J209*VLOOKUP(H209, 'Baumaterialien Matériaux'!$A$11:$AH$318, 33,FALSE)),0)/$G$1</f>
        <v>0</v>
      </c>
      <c r="BO209" s="1037"/>
      <c r="BP209" s="1037">
        <f>IFERROR((J209*VLOOKUP(H209, 'Baumaterialien Matériaux'!$A$11:$AH$318, 34,FALSE)),0)/$G$1</f>
        <v>0</v>
      </c>
      <c r="BQ209" s="1037">
        <f t="shared" si="536"/>
        <v>0</v>
      </c>
      <c r="BR209" s="1037"/>
    </row>
    <row r="210" spans="2:71">
      <c r="B210" s="1103"/>
      <c r="C210" s="1099"/>
      <c r="D210" s="478"/>
      <c r="E210" s="478"/>
      <c r="F210" s="3" t="s">
        <v>3040</v>
      </c>
      <c r="G210" s="478" t="str">
        <f>_xlfn.XLOOKUP(H210, 'Baumaterialien Matériaux'!A:A, 'Baumaterialien Matériaux'!AD:AD, "-", 0, 1)</f>
        <v>Béton pour bâtiment (sans armature)</v>
      </c>
      <c r="H210" s="891">
        <v>1.0019999999999998</v>
      </c>
      <c r="I210" s="641" t="str">
        <f>_xlfn.XLOOKUP(H210, 'Baumaterialien Matériaux'!A:A, 'Baumaterialien Matériaux'!F:F, "-", 0, 1)</f>
        <v>kg</v>
      </c>
      <c r="J210" s="649">
        <f>$J$209*K210</f>
        <v>43895.5</v>
      </c>
      <c r="K210" s="894">
        <f>0.25*2300</f>
        <v>575</v>
      </c>
      <c r="L210" s="647">
        <v>60</v>
      </c>
      <c r="M210" s="648">
        <f t="shared" ref="M210:M213" si="544">SUM(N210:Q210)</f>
        <v>5.9752678531677121</v>
      </c>
      <c r="N210" s="720">
        <f>IFERROR(($J210*VLOOKUP($H210, 'Baumaterialien Matériaux'!$A$11:$AD$318, 26,FALSE)),0)/$G$1</f>
        <v>4.3385428075330568</v>
      </c>
      <c r="O210" s="720">
        <f>IFERROR(($J210*VLOOKUP($H210, 'Baumaterialien Matériaux'!$A$11:$AH$318, 33,FALSE)),0)/$G$1</f>
        <v>1.0162352522149503</v>
      </c>
      <c r="P210" s="720">
        <f t="shared" ref="P210:P213" si="545">IFERROR((N210+Q210)*($L$2/L210-1),0)</f>
        <v>0</v>
      </c>
      <c r="Q210" s="720">
        <f>IFERROR(($J210*VLOOKUP($H210, 'Baumaterialien Matériaux'!$A$11:$AD$318, 27,FALSE)),0)/$G$1</f>
        <v>0.62048979341970523</v>
      </c>
      <c r="R210" s="720">
        <f>IFERROR(($J210*VLOOKUP($H210, 'Baumaterialien Matériaux'!$A$11:$AH$318, 34,FALSE)),0)/$G$1</f>
        <v>0.13093800365077246</v>
      </c>
      <c r="S210" s="720">
        <f>IFERROR((J210*VLOOKUP(H210, 'Baumaterialien Matériaux'!$A$11:$AD$318, 29,FALSE)),0)/$G$1</f>
        <v>0</v>
      </c>
      <c r="T210" s="720"/>
      <c r="V210" s="638">
        <f t="shared" si="535"/>
        <v>0</v>
      </c>
      <c r="W210" s="638">
        <f t="shared" ref="W210:W218" si="546">IF(L210=60, 0, S210)</f>
        <v>0</v>
      </c>
      <c r="Z210" s="638">
        <f t="shared" si="526"/>
        <v>60</v>
      </c>
      <c r="AA210" s="527" t="s">
        <v>3450</v>
      </c>
      <c r="AB210" t="str">
        <f>_xlfn.XLOOKUP($H210,'[1]Baumaterialien Matériaux'!$A:$A,'[1]Baumaterialien Matériaux'!AK:AK,0,0)</f>
        <v>concrete</v>
      </c>
      <c r="AC210" t="str" cm="1">
        <f t="array" ref="AC210">_xlfn.SWITCH(I210,"kg"," ",0," ",_xlfn.XLOOKUP(H210, '[1]Baumaterialien Matériaux'!$A:$A, '[1]Baumaterialien Matériaux'!$AL:$AL, "-", 0, 1))</f>
        <v xml:space="preserve"> </v>
      </c>
      <c r="AD210" s="622" cm="1">
        <f t="array" ref="AD210">IFERROR(_xlfn.SWITCH(I210,"kg",1,"m3",AC210,AC210)*J210/(_xlfn.XLOOKUP(AA210,Métrés!A:A,Métrés!C:C,0)),0)</f>
        <v>383.33333333333331</v>
      </c>
      <c r="AE210" s="1092">
        <f>IFERROR(N210*$G$1/(_xlfn.XLOOKUP($AA210,Métrés!$A:$A,Métrés!$C:$C,0)),0)</f>
        <v>34.04</v>
      </c>
      <c r="AF210" s="1092">
        <f>IFERROR(O210*$G$1/(_xlfn.XLOOKUP($AA210,Métrés!$A:$A,Métrés!$C:$C,0)),0)</f>
        <v>7.9733333333333327</v>
      </c>
      <c r="AG210" s="1092">
        <f>IFERROR(Q210*$G$1/(_xlfn.XLOOKUP($AA210,Métrés!$A:$A,Métrés!$C:$C,0)),0)</f>
        <v>4.8683333333333332</v>
      </c>
      <c r="AH210" s="1092">
        <f>IFERROR(R210*$G$1/(_xlfn.XLOOKUP($AA210,Métrés!$A:$A,Métrés!$C:$C,0)),0)</f>
        <v>1.0273333333333334</v>
      </c>
      <c r="AI210" s="1092">
        <f>IFERROR(S210*$G$1/(_xlfn.XLOOKUP($AA210,Métrés!$A:$A,Métrés!$C:$C,0)),0)</f>
        <v>0</v>
      </c>
      <c r="AJ210" s="1022"/>
      <c r="AK210" s="638">
        <f>IF(L210=60, 0, T210)</f>
        <v>0</v>
      </c>
      <c r="AL210" s="638">
        <f>IF(L210=60, 0, S210)</f>
        <v>0</v>
      </c>
      <c r="AM210" s="638" t="str">
        <f>IF(L210=$L$2, "Structure", IF(L210&gt;0,"Revêtement",0))</f>
        <v>Structure</v>
      </c>
      <c r="AN210" s="1036">
        <f>IF(AM210="Structure",N210,0)</f>
        <v>4.3385428075330568</v>
      </c>
      <c r="AO210" s="1037">
        <f>IF(AM210="Structure",P210,0)</f>
        <v>0</v>
      </c>
      <c r="AP210" s="1037">
        <f>IF(AM210="Structure",Q210,0)</f>
        <v>0.62048979341970523</v>
      </c>
      <c r="AQ210" s="1038">
        <f>IF(AM210="Structure",S210,0)</f>
        <v>0</v>
      </c>
      <c r="AR210" s="1038">
        <f>IF(AM210="Structure",T210,0)</f>
        <v>0</v>
      </c>
      <c r="AS210" s="1036">
        <f>IF(AM210="Insulation",N210,0)</f>
        <v>0</v>
      </c>
      <c r="AT210" s="1037">
        <f>IF(AM210="Insulation",P210,0)</f>
        <v>0</v>
      </c>
      <c r="AU210" s="1037">
        <f>IF(AM210="Insulation",Q210,0)</f>
        <v>0</v>
      </c>
      <c r="AV210" s="1038">
        <f>IF(AM210="Insulation",S210,0)</f>
        <v>0</v>
      </c>
      <c r="AW210" s="1038">
        <f>IF(AM210="Insulation",T210,0)</f>
        <v>0</v>
      </c>
      <c r="AX210" s="1036">
        <f>IF(AM210="Revêtement",N210,0)</f>
        <v>0</v>
      </c>
      <c r="AY210" s="1037">
        <f>IF(AM210="Revêtement",P210,0)</f>
        <v>0</v>
      </c>
      <c r="AZ210" s="1037">
        <f>IF(AM210="Revêtement",Q210,0)</f>
        <v>0</v>
      </c>
      <c r="BA210" s="1037">
        <f>IF(AM210="Revêtement",S210,0)</f>
        <v>0</v>
      </c>
      <c r="BB210" s="1038">
        <f>IF(AM210="Revêtement",T210,0)</f>
        <v>0</v>
      </c>
      <c r="BC210" s="1036"/>
      <c r="BD210" s="1037"/>
      <c r="BE210" s="1037"/>
      <c r="BF210" s="1038"/>
      <c r="BG210" s="1036">
        <f>IF($AM210="Structure", IF($I210="kg",$J210,0), 0)</f>
        <v>43895.5</v>
      </c>
      <c r="BH210" s="1037">
        <f>IF($AM210="Insulation", IF($I210="kg",$J210,0), 0)</f>
        <v>0</v>
      </c>
      <c r="BI210" s="1038">
        <f>IF($AM210="Revêtement", IF($I210="kg",$J210,0), 0)</f>
        <v>0</v>
      </c>
      <c r="BJ210" s="1037">
        <f>_xlfn.XLOOKUP(H210, 'Baumaterialien Matériaux'!A:A, 'Baumaterialien Matériaux'!E:E, "-", 0, 1)</f>
        <v>2300</v>
      </c>
      <c r="BK210" s="1036">
        <f t="shared" ref="BK210:BK247" si="547">IFERROR(BG210/$BJ210,0)</f>
        <v>19.085000000000001</v>
      </c>
      <c r="BL210" s="1037">
        <f t="shared" ref="BL210:BL247" si="548">IFERROR(BH210/$BJ210,0)</f>
        <v>0</v>
      </c>
      <c r="BM210" s="1038">
        <f t="shared" ref="BM210:BM247" si="549">IFERROR(BI210/$BJ210,0)</f>
        <v>0</v>
      </c>
      <c r="BN210" s="1037">
        <f>IFERROR((J210*VLOOKUP(H210, 'Baumaterialien Matériaux'!$A$11:$AH$318, 33,FALSE)),0)/$G$1</f>
        <v>1.0162352522149503</v>
      </c>
      <c r="BO210" s="1037">
        <f>(BN210+BP210)*($L$2/L210-1)</f>
        <v>0</v>
      </c>
      <c r="BP210" s="1037">
        <f>IFERROR((J210*VLOOKUP(H210, 'Baumaterialien Matériaux'!$A$11:$AH$318, 34,FALSE)),0)/$G$1</f>
        <v>0.13093800365077246</v>
      </c>
      <c r="BQ210" s="1037">
        <f t="shared" si="536"/>
        <v>0.21102362204724412</v>
      </c>
      <c r="BR210" s="1037"/>
    </row>
    <row r="211" spans="2:71">
      <c r="B211" s="1103"/>
      <c r="C211" s="1099"/>
      <c r="D211" s="478"/>
      <c r="E211" s="478"/>
      <c r="F211" s="3" t="s">
        <v>3008</v>
      </c>
      <c r="G211" s="478" t="str">
        <f>_xlfn.XLOOKUP(H211, 'Baumaterialien Matériaux'!A:A, 'Baumaterialien Matériaux'!AD:AD, "-", 0, 1)</f>
        <v>Acier d'armature</v>
      </c>
      <c r="H211" s="892" t="s">
        <v>497</v>
      </c>
      <c r="I211" s="641" t="str">
        <f>_xlfn.XLOOKUP(H211, 'Baumaterialien Matériaux'!A:A, 'Baumaterialien Matériaux'!F:F, "-", 0, 1)</f>
        <v>kg</v>
      </c>
      <c r="J211" s="649">
        <f t="shared" ref="J211:J213" si="550">$J$209*K211</f>
        <v>2862.75</v>
      </c>
      <c r="K211" s="894">
        <f>0.25*150</f>
        <v>37.5</v>
      </c>
      <c r="L211" s="647">
        <v>60</v>
      </c>
      <c r="M211" s="648">
        <f t="shared" si="544"/>
        <v>5.7462750434085743</v>
      </c>
      <c r="N211" s="720">
        <f>IFERROR(($J211*VLOOKUP($H211, 'Baumaterialien Matériaux'!$A$11:$AD$318, 26,FALSE)),0)/$G$1</f>
        <v>4.7795345265126219</v>
      </c>
      <c r="O211" s="720">
        <f>IFERROR(($J211*VLOOKUP($H211, 'Baumaterialien Matériaux'!$A$11:$AH$318, 33,FALSE)),0)/$G$1</f>
        <v>0.92722969814344858</v>
      </c>
      <c r="P211" s="720">
        <f t="shared" si="545"/>
        <v>0</v>
      </c>
      <c r="Q211" s="720">
        <f>IFERROR(($J211*VLOOKUP($H211, 'Baumaterialien Matériaux'!$A$11:$AD$318, 27,FALSE)),0)/$G$1</f>
        <v>3.951081875250434E-2</v>
      </c>
      <c r="R211" s="720">
        <f>IFERROR(($J211*VLOOKUP($H211, 'Baumaterialien Matériaux'!$A$11:$AH$318, 34,FALSE)),0)/$G$1</f>
        <v>0</v>
      </c>
      <c r="S211" s="720">
        <f>IFERROR((J211*VLOOKUP(H211, 'Baumaterialien Matériaux'!$A$11:$AD$318, 29,FALSE)),0)/$G$1</f>
        <v>0</v>
      </c>
      <c r="T211" s="720"/>
      <c r="V211" s="638">
        <f t="shared" si="535"/>
        <v>0</v>
      </c>
      <c r="W211" s="638">
        <f t="shared" si="546"/>
        <v>0</v>
      </c>
      <c r="Z211" s="638">
        <f t="shared" si="526"/>
        <v>60</v>
      </c>
      <c r="AA211" s="527" t="s">
        <v>3450</v>
      </c>
      <c r="AB211" t="str">
        <f>_xlfn.XLOOKUP($H211,'[1]Baumaterialien Matériaux'!$A:$A,'[1]Baumaterialien Matériaux'!AK:AK,0,0)</f>
        <v>metal</v>
      </c>
      <c r="AC211" t="str" cm="1">
        <f t="array" ref="AC211">_xlfn.SWITCH(I211,"kg"," ",0," ",_xlfn.XLOOKUP(H211, '[1]Baumaterialien Matériaux'!$A:$A, '[1]Baumaterialien Matériaux'!$AL:$AL, "-", 0, 1))</f>
        <v xml:space="preserve"> </v>
      </c>
      <c r="AD211" s="622" cm="1">
        <f t="array" ref="AD211">IFERROR(_xlfn.SWITCH(I211,"kg",1,"m3",AC211,AC211)*J211/(_xlfn.XLOOKUP(AA211,Métrés!A:A,Métrés!C:C,0)),0)</f>
        <v>25</v>
      </c>
      <c r="AE211" s="1092">
        <f>IFERROR(N211*$G$1/(_xlfn.XLOOKUP($AA211,Métrés!$A:$A,Métrés!$C:$C,0)),0)</f>
        <v>37.5</v>
      </c>
      <c r="AF211" s="1092">
        <f>IFERROR(O211*$G$1/(_xlfn.XLOOKUP($AA211,Métrés!$A:$A,Métrés!$C:$C,0)),0)</f>
        <v>7.2749999999999995</v>
      </c>
      <c r="AG211" s="1092">
        <f>IFERROR(Q211*$G$1/(_xlfn.XLOOKUP($AA211,Métrés!$A:$A,Métrés!$C:$C,0)),0)</f>
        <v>0.31</v>
      </c>
      <c r="AH211" s="1092">
        <f>IFERROR(R211*$G$1/(_xlfn.XLOOKUP($AA211,Métrés!$A:$A,Métrés!$C:$C,0)),0)</f>
        <v>0</v>
      </c>
      <c r="AI211" s="1092">
        <f>IFERROR(S211*$G$1/(_xlfn.XLOOKUP($AA211,Métrés!$A:$A,Métrés!$C:$C,0)),0)</f>
        <v>0</v>
      </c>
      <c r="AJ211" s="1022"/>
      <c r="AK211" s="638">
        <f>IF(L211=60, 0, T211)</f>
        <v>0</v>
      </c>
      <c r="AL211" s="638">
        <f>IF(L211=60, 0, S211)</f>
        <v>0</v>
      </c>
      <c r="AM211" s="638" t="str">
        <f>IF(L211=$L$2, "Structure", IF(L211&gt;0,"Revêtement",0))</f>
        <v>Structure</v>
      </c>
      <c r="AN211" s="1036">
        <f>IF(AM211="Structure",N211,0)</f>
        <v>4.7795345265126219</v>
      </c>
      <c r="AO211" s="1037">
        <f>IF(AM211="Structure",P211,0)</f>
        <v>0</v>
      </c>
      <c r="AP211" s="1037">
        <f>IF(AM211="Structure",Q211,0)</f>
        <v>3.951081875250434E-2</v>
      </c>
      <c r="AQ211" s="1038">
        <f>IF(AM211="Structure",S211,0)</f>
        <v>0</v>
      </c>
      <c r="AR211" s="1038">
        <f>IF(AM211="Structure",T211,0)</f>
        <v>0</v>
      </c>
      <c r="AS211" s="1036">
        <f>IF(AM211="Insulation",N211,0)</f>
        <v>0</v>
      </c>
      <c r="AT211" s="1037">
        <f>IF(AM211="Insulation",P211,0)</f>
        <v>0</v>
      </c>
      <c r="AU211" s="1037">
        <f>IF(AM211="Insulation",Q211,0)</f>
        <v>0</v>
      </c>
      <c r="AV211" s="1038">
        <f>IF(AM211="Insulation",S211,0)</f>
        <v>0</v>
      </c>
      <c r="AW211" s="1038">
        <f>IF(AM211="Insulation",T211,0)</f>
        <v>0</v>
      </c>
      <c r="AX211" s="1036">
        <f>IF(AM211="Revêtement",N211,0)</f>
        <v>0</v>
      </c>
      <c r="AY211" s="1037">
        <f>IF(AM211="Revêtement",P211,0)</f>
        <v>0</v>
      </c>
      <c r="AZ211" s="1037">
        <f>IF(AM211="Revêtement",Q211,0)</f>
        <v>0</v>
      </c>
      <c r="BA211" s="1037">
        <f>IF(AM211="Revêtement",S211,0)</f>
        <v>0</v>
      </c>
      <c r="BB211" s="1038">
        <f>IF(AM211="Revêtement",T211,0)</f>
        <v>0</v>
      </c>
      <c r="BC211" s="1036"/>
      <c r="BD211" s="1037"/>
      <c r="BE211" s="1037"/>
      <c r="BF211" s="1038"/>
      <c r="BG211" s="1036">
        <f>IF($AM211="Structure", IF($I211="kg",$J211,0), 0)</f>
        <v>2862.75</v>
      </c>
      <c r="BH211" s="1037">
        <f>IF($AM211="Insulation", IF($I211="kg",$J211,0), 0)</f>
        <v>0</v>
      </c>
      <c r="BI211" s="1038">
        <f>IF($AM211="Revêtement", IF($I211="kg",$J211,0), 0)</f>
        <v>0</v>
      </c>
      <c r="BJ211" s="1037">
        <f>_xlfn.XLOOKUP(H211, 'Baumaterialien Matériaux'!A:A, 'Baumaterialien Matériaux'!E:E, "-", 0, 1)</f>
        <v>7850</v>
      </c>
      <c r="BK211" s="1036">
        <f t="shared" si="547"/>
        <v>0.36468152866242037</v>
      </c>
      <c r="BL211" s="1037">
        <f t="shared" si="548"/>
        <v>0</v>
      </c>
      <c r="BM211" s="1038">
        <f t="shared" si="549"/>
        <v>0</v>
      </c>
      <c r="BN211" s="1037">
        <f>IFERROR((J211*VLOOKUP(H211, 'Baumaterialien Matériaux'!$A$11:$AH$318, 33,FALSE)),0)/$G$1</f>
        <v>0.92722969814344858</v>
      </c>
      <c r="BO211" s="1037">
        <f>(BN211+BP211)*($L$2/L211-1)</f>
        <v>0</v>
      </c>
      <c r="BP211" s="1037">
        <f>IFERROR((J211*VLOOKUP(H211, 'Baumaterialien Matériaux'!$A$11:$AH$318, 34,FALSE)),0)/$G$1</f>
        <v>0</v>
      </c>
      <c r="BQ211" s="1037">
        <f t="shared" si="536"/>
        <v>0</v>
      </c>
      <c r="BR211" s="1037"/>
    </row>
    <row r="212" spans="2:71">
      <c r="B212" s="1103"/>
      <c r="C212" s="1099"/>
      <c r="D212" s="478"/>
      <c r="E212" s="478"/>
      <c r="F212" s="3" t="s">
        <v>3041</v>
      </c>
      <c r="G212" s="478" t="str">
        <f>_xlfn.XLOOKUP(H212, 'Baumaterialien Matériaux'!A:A, 'Baumaterialien Matériaux'!AD:AD, "-", 0, 1)</f>
        <v>Émulsion de bitume, 1 couche</v>
      </c>
      <c r="H212" s="892" t="s">
        <v>512</v>
      </c>
      <c r="I212" s="641" t="str">
        <f>_xlfn.XLOOKUP(H212, 'Baumaterialien Matériaux'!A:A, 'Baumaterialien Matériaux'!F:F, "-", 0, 1)</f>
        <v>m2</v>
      </c>
      <c r="J212" s="649">
        <f t="shared" si="550"/>
        <v>76.34</v>
      </c>
      <c r="K212" s="894">
        <v>1</v>
      </c>
      <c r="L212" s="647">
        <v>40</v>
      </c>
      <c r="M212" s="648">
        <f t="shared" si="544"/>
        <v>3.053803926806465E-2</v>
      </c>
      <c r="N212" s="720">
        <f>IFERROR(($J212*VLOOKUP($H212, 'Baumaterialien Matériaux'!$A$11:$AD$318, 26,FALSE)),0)/$G$1</f>
        <v>1.1470882863630294E-2</v>
      </c>
      <c r="O212" s="720">
        <f>IFERROR(($J212*VLOOKUP($H212, 'Baumaterialien Matériaux'!$A$11:$AH$318, 33,FALSE)),0)/$G$1</f>
        <v>7.366855883531454E-3</v>
      </c>
      <c r="P212" s="720">
        <f t="shared" si="545"/>
        <v>7.7237277948443974E-3</v>
      </c>
      <c r="Q212" s="720">
        <f>IFERROR(($J212*VLOOKUP($H212, 'Baumaterialien Matériaux'!$A$11:$AD$318, 27,FALSE)),0)/$G$1</f>
        <v>3.9765727260585009E-3</v>
      </c>
      <c r="R212" s="720">
        <f>IFERROR(($J212*VLOOKUP($H212, 'Baumaterialien Matériaux'!$A$11:$AH$318, 34,FALSE)),0)/$G$1</f>
        <v>4.9877098081118378E-2</v>
      </c>
      <c r="S212" s="720">
        <f>IFERROR((J212*VLOOKUP(H212, 'Baumaterialien Matériaux'!$A$11:$AD$318, 29,FALSE)),0)/$G$1</f>
        <v>0</v>
      </c>
      <c r="T212" s="720"/>
      <c r="V212" s="638">
        <f t="shared" si="535"/>
        <v>0</v>
      </c>
      <c r="W212" s="638">
        <f t="shared" si="546"/>
        <v>0</v>
      </c>
      <c r="Z212" s="638">
        <f t="shared" si="526"/>
        <v>40</v>
      </c>
      <c r="AA212" s="527" t="s">
        <v>3450</v>
      </c>
      <c r="AB212" t="str">
        <f>_xlfn.XLOOKUP($H212,'[1]Baumaterialien Matériaux'!$A:$A,'[1]Baumaterialien Matériaux'!AK:AK,0,0)</f>
        <v>autre</v>
      </c>
      <c r="AC212" cm="1">
        <f t="array" ref="AC212">_xlfn.SWITCH(I212,"kg"," ",0," ",_xlfn.XLOOKUP(H212, '[1]Baumaterialien Matériaux'!$A:$A, '[1]Baumaterialien Matériaux'!$AL:$AL, "-", 0, 1))</f>
        <v>0.25</v>
      </c>
      <c r="AD212" s="622" cm="1">
        <f t="array" ref="AD212">IFERROR(_xlfn.SWITCH(I212,"kg",1,"m3",AC212,AC212)*J212/(_xlfn.XLOOKUP(AA212,Métrés!A:A,Métrés!C:C,0)),0)</f>
        <v>0.16666666666666666</v>
      </c>
      <c r="AE212" s="1092">
        <f>IFERROR(N212*$G$1/(_xlfn.XLOOKUP($AA212,Métrés!$A:$A,Métrés!$C:$C,0)),0)</f>
        <v>9.0000000000000011E-2</v>
      </c>
      <c r="AF212" s="1092">
        <f>IFERROR(O212*$G$1/(_xlfn.XLOOKUP($AA212,Métrés!$A:$A,Métrés!$C:$C,0)),0)</f>
        <v>5.7799999999999997E-2</v>
      </c>
      <c r="AG212" s="1092">
        <f>IFERROR(Q212*$G$1/(_xlfn.XLOOKUP($AA212,Métrés!$A:$A,Métrés!$C:$C,0)),0)</f>
        <v>3.1199999999999995E-2</v>
      </c>
      <c r="AH212" s="1092">
        <f>IFERROR(R212*$G$1/(_xlfn.XLOOKUP($AA212,Métrés!$A:$A,Métrés!$C:$C,0)),0)</f>
        <v>0.39133333333333331</v>
      </c>
      <c r="AI212" s="1092">
        <f>IFERROR(S212*$G$1/(_xlfn.XLOOKUP($AA212,Métrés!$A:$A,Métrés!$C:$C,0)),0)</f>
        <v>0</v>
      </c>
      <c r="AJ212" s="1022"/>
      <c r="AK212" s="638">
        <f>IF(L212=60, 0, T212)</f>
        <v>0</v>
      </c>
      <c r="AL212" s="638">
        <f>IF(L212=60, 0, S212)</f>
        <v>0</v>
      </c>
      <c r="AM212" s="638" t="str">
        <f>IF(L212=$L$2, "Structure", IF(L212&gt;0,"Revêtement",0))</f>
        <v>Revêtement</v>
      </c>
      <c r="AN212" s="1036">
        <f>IF(AM212="Structure",N212,0)</f>
        <v>0</v>
      </c>
      <c r="AO212" s="1037">
        <f>IF(AM212="Structure",P212,0)</f>
        <v>0</v>
      </c>
      <c r="AP212" s="1037">
        <f>IF(AM212="Structure",Q212,0)</f>
        <v>0</v>
      </c>
      <c r="AQ212" s="1038">
        <f>IF(AM212="Structure",S212,0)</f>
        <v>0</v>
      </c>
      <c r="AR212" s="1038">
        <f>IF(AM212="Structure",T212,0)</f>
        <v>0</v>
      </c>
      <c r="AS212" s="1036">
        <f>IF(AM212="Insulation",N212,0)</f>
        <v>0</v>
      </c>
      <c r="AT212" s="1037">
        <f>IF(AM212="Insulation",P212,0)</f>
        <v>0</v>
      </c>
      <c r="AU212" s="1037">
        <f>IF(AM212="Insulation",Q212,0)</f>
        <v>0</v>
      </c>
      <c r="AV212" s="1038">
        <f>IF(AM212="Insulation",S212,0)</f>
        <v>0</v>
      </c>
      <c r="AW212" s="1038">
        <f>IF(AM212="Insulation",T212,0)</f>
        <v>0</v>
      </c>
      <c r="AX212" s="1036">
        <f>IF(AM212="Revêtement",N212,0)</f>
        <v>1.1470882863630294E-2</v>
      </c>
      <c r="AY212" s="1037">
        <f>IF(AM212="Revêtement",P212,0)</f>
        <v>7.7237277948443974E-3</v>
      </c>
      <c r="AZ212" s="1037">
        <f>IF(AM212="Revêtement",Q212,0)</f>
        <v>3.9765727260585009E-3</v>
      </c>
      <c r="BA212" s="1037">
        <f>IF(AM212="Revêtement",S212,0)</f>
        <v>0</v>
      </c>
      <c r="BB212" s="1038">
        <f>IF(AM212="Revêtement",T212,0)</f>
        <v>0</v>
      </c>
      <c r="BC212" s="1036"/>
      <c r="BD212" s="1037"/>
      <c r="BE212" s="1037"/>
      <c r="BF212" s="1038"/>
      <c r="BG212" s="1036">
        <f>IF($AM212="Structure", IF($I212="kg",$J212,0), 0)</f>
        <v>0</v>
      </c>
      <c r="BH212" s="1037">
        <f>IF($AM212="Insulation", IF($I212="kg",$J212,0), 0)</f>
        <v>0</v>
      </c>
      <c r="BI212" s="1038">
        <f>IF($AM212="Revêtement", IF($I212="kg",$J212,0), 0)</f>
        <v>0</v>
      </c>
      <c r="BJ212" s="1037">
        <f>_xlfn.XLOOKUP(H212, 'Baumaterialien Matériaux'!A:A, 'Baumaterialien Matériaux'!E:E, "-", 0, 1)</f>
        <v>0.25</v>
      </c>
      <c r="BK212" s="1036">
        <f t="shared" si="547"/>
        <v>0</v>
      </c>
      <c r="BL212" s="1037">
        <f t="shared" si="548"/>
        <v>0</v>
      </c>
      <c r="BM212" s="1038">
        <f t="shared" si="549"/>
        <v>0</v>
      </c>
      <c r="BN212" s="1037">
        <f>IFERROR((J212*VLOOKUP(H212, 'Baumaterialien Matériaux'!$A$11:$AH$318, 33,FALSE)),0)/$G$1</f>
        <v>7.366855883531454E-3</v>
      </c>
      <c r="BO212" s="1037">
        <f>(BN212+BP212)*($L$2/L212-1)</f>
        <v>2.8621976982324916E-2</v>
      </c>
      <c r="BP212" s="1037">
        <f>IFERROR((J212*VLOOKUP(H212, 'Baumaterialien Matériaux'!$A$11:$AH$318, 34,FALSE)),0)/$G$1</f>
        <v>4.9877098081118378E-2</v>
      </c>
      <c r="BQ212" s="1037">
        <f t="shared" si="536"/>
        <v>12.542735042735043</v>
      </c>
      <c r="BR212" s="1037"/>
    </row>
    <row r="213" spans="2:71">
      <c r="B213" s="1103"/>
      <c r="C213" s="1099"/>
      <c r="D213" s="478"/>
      <c r="E213" s="478"/>
      <c r="F213" s="3" t="s">
        <v>3042</v>
      </c>
      <c r="G213" s="478" t="str">
        <f>_xlfn.XLOOKUP(H213, 'Baumaterialien Matériaux'!A:A, 'Baumaterialien Matériaux'!AD:AD, "-", 0, 1)</f>
        <v>Bois massif épicéa / sapin / mélèze, séché en cellule, raboté</v>
      </c>
      <c r="H213" s="892" t="s">
        <v>129</v>
      </c>
      <c r="I213" s="641" t="str">
        <f>_xlfn.XLOOKUP(H213, 'Baumaterialien Matériaux'!A:A, 'Baumaterialien Matériaux'!F:F, "-", 0, 1)</f>
        <v>kg</v>
      </c>
      <c r="J213" s="649">
        <f t="shared" si="550"/>
        <v>638.96579999999994</v>
      </c>
      <c r="K213" s="894">
        <f>0.018*465</f>
        <v>8.3699999999999992</v>
      </c>
      <c r="L213" s="647">
        <v>40</v>
      </c>
      <c r="M213" s="648">
        <f t="shared" si="544"/>
        <v>0.21641655863496725</v>
      </c>
      <c r="N213" s="720">
        <f>IFERROR(($J213*VLOOKUP($H213, 'Baumaterialien Matériaux'!$A$11:$AD$318, 26,FALSE)),0)/$G$1</f>
        <v>9.6011289568585553E-2</v>
      </c>
      <c r="O213" s="720">
        <f>IFERROR(($J213*VLOOKUP($H213, 'Baumaterialien Matériaux'!$A$11:$AH$318, 33,FALSE)),0)/$G$1</f>
        <v>3.0581373714438354E-2</v>
      </c>
      <c r="P213" s="720">
        <f t="shared" si="545"/>
        <v>6.1945061640176304E-2</v>
      </c>
      <c r="Q213" s="720">
        <f>IFERROR(($J213*VLOOKUP($H213, 'Baumaterialien Matériaux'!$A$11:$AD$318, 27,FALSE)),0)/$G$1</f>
        <v>2.7878833711767057E-2</v>
      </c>
      <c r="R213" s="720">
        <f>IFERROR(($J213*VLOOKUP($H213, 'Baumaterialien Matériaux'!$A$11:$AH$318, 34,FALSE)),0)/$G$1</f>
        <v>5.177497689328168E-3</v>
      </c>
      <c r="S213" s="720">
        <f>IFERROR((J213*VLOOKUP(H213, 'Baumaterialien Matériaux'!$A$11:$AD$318, 29,FALSE)),0)/$G$1</f>
        <v>1.1760790309870439</v>
      </c>
      <c r="T213" s="720">
        <f>S213*AJ213</f>
        <v>-8.232553216909308E-2</v>
      </c>
      <c r="U213" s="638">
        <v>-7.0000000000000007E-2</v>
      </c>
      <c r="V213" s="638">
        <f t="shared" si="535"/>
        <v>-8.232553216909308E-2</v>
      </c>
      <c r="W213" s="638">
        <f t="shared" si="546"/>
        <v>1.1760790309870439</v>
      </c>
      <c r="Z213" s="638">
        <f t="shared" si="526"/>
        <v>40</v>
      </c>
      <c r="AA213" s="527" t="s">
        <v>3450</v>
      </c>
      <c r="AB213" t="str">
        <f>_xlfn.XLOOKUP($H213,'[1]Baumaterialien Matériaux'!$A:$A,'[1]Baumaterialien Matériaux'!AK:AK,0,0)</f>
        <v>timber</v>
      </c>
      <c r="AC213" t="str" cm="1">
        <f t="array" ref="AC213">_xlfn.SWITCH(I213,"kg"," ",0," ",_xlfn.XLOOKUP(H213, '[1]Baumaterialien Matériaux'!$A:$A, '[1]Baumaterialien Matériaux'!$AL:$AL, "-", 0, 1))</f>
        <v xml:space="preserve"> </v>
      </c>
      <c r="AD213" s="622" cm="1">
        <f t="array" ref="AD213">IFERROR(_xlfn.SWITCH(I213,"kg",1,"m3",AC213,AC213)*J213/(_xlfn.XLOOKUP(AA213,Métrés!A:A,Métrés!C:C,0)),0)</f>
        <v>5.5799999999999992</v>
      </c>
      <c r="AE213" s="1092">
        <f>IFERROR(N213*$G$1/(_xlfn.XLOOKUP($AA213,Métrés!$A:$A,Métrés!$C:$C,0)),0)</f>
        <v>0.75329999999999997</v>
      </c>
      <c r="AF213" s="1092">
        <f>IFERROR(O213*$G$1/(_xlfn.XLOOKUP($AA213,Métrés!$A:$A,Métrés!$C:$C,0)),0)</f>
        <v>0.23993999999999996</v>
      </c>
      <c r="AG213" s="1092">
        <f>IFERROR(Q213*$G$1/(_xlfn.XLOOKUP($AA213,Métrés!$A:$A,Métrés!$C:$C,0)),0)</f>
        <v>0.21873599999999996</v>
      </c>
      <c r="AH213" s="1092">
        <f>IFERROR(R213*$G$1/(_xlfn.XLOOKUP($AA213,Métrés!$A:$A,Métrés!$C:$C,0)),0)</f>
        <v>4.0622399999999996E-2</v>
      </c>
      <c r="AI213" s="1092">
        <f>IFERROR(S213*$G$1/(_xlfn.XLOOKUP($AA213,Métrés!$A:$A,Métrés!$C:$C,0)),0)</f>
        <v>9.2274599999999971</v>
      </c>
      <c r="AJ213" s="1022">
        <v>-7.0000000000000007E-2</v>
      </c>
      <c r="AK213" s="638">
        <f>IF(L213=60, 0, T213)</f>
        <v>-8.232553216909308E-2</v>
      </c>
      <c r="AL213" s="638">
        <f>IF(L213=60, 0, S213)</f>
        <v>1.1760790309870439</v>
      </c>
      <c r="AM213" s="638" t="str">
        <f>IF(L213=$L$2, "Structure", IF(L213&gt;0,"Revêtement",0))</f>
        <v>Revêtement</v>
      </c>
      <c r="AN213" s="1036">
        <f>IF(AM213="Structure",N213,0)</f>
        <v>0</v>
      </c>
      <c r="AO213" s="1037">
        <f>IF(AM213="Structure",P213,0)</f>
        <v>0</v>
      </c>
      <c r="AP213" s="1037">
        <f>IF(AM213="Structure",Q213,0)</f>
        <v>0</v>
      </c>
      <c r="AQ213" s="1038">
        <f>IF(AM213="Structure",S213,0)</f>
        <v>0</v>
      </c>
      <c r="AR213" s="1038">
        <f>IF(AM213="Structure",T213,0)</f>
        <v>0</v>
      </c>
      <c r="AS213" s="1036">
        <f>IF(AM213="Insulation",N213,0)</f>
        <v>0</v>
      </c>
      <c r="AT213" s="1037">
        <f>IF(AM213="Insulation",P213,0)</f>
        <v>0</v>
      </c>
      <c r="AU213" s="1037">
        <f>IF(AM213="Insulation",Q213,0)</f>
        <v>0</v>
      </c>
      <c r="AV213" s="1038">
        <f>IF(AM213="Insulation",S213,0)</f>
        <v>0</v>
      </c>
      <c r="AW213" s="1038">
        <f>IF(AM213="Insulation",T213,0)</f>
        <v>0</v>
      </c>
      <c r="AX213" s="1036">
        <f>IF(AM213="Revêtement",N213,0)</f>
        <v>9.6011289568585553E-2</v>
      </c>
      <c r="AY213" s="1037">
        <f>IF(AM213="Revêtement",P213,0)</f>
        <v>6.1945061640176304E-2</v>
      </c>
      <c r="AZ213" s="1037">
        <f>IF(AM213="Revêtement",Q213,0)</f>
        <v>2.7878833711767057E-2</v>
      </c>
      <c r="BA213" s="1037">
        <f>IF(AM213="Revêtement",S213,0)</f>
        <v>1.1760790309870439</v>
      </c>
      <c r="BB213" s="1038">
        <f>IF(AM213="Revêtement",T213,0)</f>
        <v>-8.232553216909308E-2</v>
      </c>
      <c r="BC213" s="1036"/>
      <c r="BD213" s="1037"/>
      <c r="BE213" s="1037"/>
      <c r="BF213" s="1038"/>
      <c r="BG213" s="1036">
        <f>IF($AM213="Structure", IF($I213="kg",$J213,0), 0)</f>
        <v>0</v>
      </c>
      <c r="BH213" s="1037">
        <f>IF($AM213="Insulation", IF($I213="kg",$J213,0), 0)</f>
        <v>0</v>
      </c>
      <c r="BI213" s="1038">
        <f>IF($AM213="Revêtement", IF($I213="kg",$J213,0), 0)</f>
        <v>638.96579999999994</v>
      </c>
      <c r="BJ213" s="1037">
        <f>_xlfn.XLOOKUP(H213, 'Baumaterialien Matériaux'!A:A, 'Baumaterialien Matériaux'!E:E, "-", 0, 1)</f>
        <v>465</v>
      </c>
      <c r="BK213" s="1036">
        <f t="shared" si="547"/>
        <v>0</v>
      </c>
      <c r="BL213" s="1037">
        <f t="shared" si="548"/>
        <v>0</v>
      </c>
      <c r="BM213" s="1038">
        <f t="shared" si="549"/>
        <v>1.3741199999999998</v>
      </c>
      <c r="BN213" s="1037">
        <f>IFERROR((J213*VLOOKUP(H213, 'Baumaterialien Matériaux'!$A$11:$AH$318, 33,FALSE)),0)/$G$1</f>
        <v>3.0581373714438354E-2</v>
      </c>
      <c r="BO213" s="1037">
        <f>(BN213+BP213)*($L$2/L213-1)</f>
        <v>1.7879435701883262E-2</v>
      </c>
      <c r="BP213" s="1037">
        <f>IFERROR((J213*VLOOKUP(H213, 'Baumaterialien Matériaux'!$A$11:$AH$318, 34,FALSE)),0)/$G$1</f>
        <v>5.177497689328168E-3</v>
      </c>
      <c r="BQ213" s="1037">
        <f t="shared" si="536"/>
        <v>0.18571428571428572</v>
      </c>
      <c r="BR213" s="1037"/>
    </row>
    <row r="214" spans="2:71">
      <c r="B214" s="1103"/>
      <c r="C214" s="1099"/>
      <c r="D214" s="478"/>
      <c r="E214" s="478"/>
      <c r="F214" s="479"/>
      <c r="G214" s="479"/>
      <c r="H214" s="479"/>
      <c r="I214" s="459"/>
      <c r="J214" s="662">
        <v>40.090000000000003</v>
      </c>
      <c r="K214" s="663"/>
      <c r="L214" s="663"/>
      <c r="M214" s="664">
        <f>SUM(M215:M218)</f>
        <v>0</v>
      </c>
      <c r="N214" s="664">
        <f t="shared" ref="N214:O214" si="551">SUM(N215:N218)</f>
        <v>0</v>
      </c>
      <c r="O214" s="664">
        <f t="shared" si="551"/>
        <v>0</v>
      </c>
      <c r="P214" s="664">
        <f t="shared" ref="P214" si="552">SUM(P215:P218)</f>
        <v>0</v>
      </c>
      <c r="Q214" s="664">
        <f t="shared" ref="Q214:R214" si="553">SUM(Q215:Q218)</f>
        <v>0</v>
      </c>
      <c r="R214" s="664">
        <f t="shared" si="553"/>
        <v>0</v>
      </c>
      <c r="S214" s="664">
        <f t="shared" ref="S214:T214" si="554">SUM(S215:S218)</f>
        <v>0</v>
      </c>
      <c r="T214" s="664">
        <f t="shared" si="554"/>
        <v>0</v>
      </c>
      <c r="U214" s="674"/>
      <c r="V214" s="674">
        <f t="shared" si="535"/>
        <v>0</v>
      </c>
      <c r="W214" s="674">
        <f t="shared" si="546"/>
        <v>0</v>
      </c>
      <c r="X214" s="674" t="s">
        <v>3407</v>
      </c>
      <c r="Y214" s="674"/>
      <c r="Z214" s="638">
        <f t="shared" si="526"/>
        <v>0</v>
      </c>
      <c r="AA214" s="879" t="s">
        <v>3450</v>
      </c>
      <c r="AB214">
        <f>_xlfn.XLOOKUP($H214,'[1]Baumaterialien Matériaux'!$A:$A,'[1]Baumaterialien Matériaux'!AK:AK,0,0)</f>
        <v>0</v>
      </c>
      <c r="AC214" t="str" cm="1">
        <f t="array" ref="AC214">_xlfn.SWITCH(I214,"kg"," ",0," ",_xlfn.XLOOKUP(H214, '[1]Baumaterialien Matériaux'!$A:$A, '[1]Baumaterialien Matériaux'!$AL:$AL, "-", 0, 1))</f>
        <v xml:space="preserve"> </v>
      </c>
      <c r="AD214" s="622" cm="1">
        <f t="array" ref="AD214">IFERROR(_xlfn.SWITCH(I214,"kg",1,"m3",AC214,AC214)*J214/(_xlfn.XLOOKUP(AA214,Métrés!A:A,Métrés!C:C,0)),0)</f>
        <v>0</v>
      </c>
      <c r="AE214" s="1092">
        <f>IFERROR(N214*$G$1/(_xlfn.XLOOKUP($AA214,Métrés!$A:$A,Métrés!$C:$C,0)),0)</f>
        <v>0</v>
      </c>
      <c r="AF214" s="1092">
        <f>IFERROR(O214*$G$1/(_xlfn.XLOOKUP($AA214,Métrés!$A:$A,Métrés!$C:$C,0)),0)</f>
        <v>0</v>
      </c>
      <c r="AG214" s="1092">
        <f>IFERROR(Q214*$G$1/(_xlfn.XLOOKUP($AA214,Métrés!$A:$A,Métrés!$C:$C,0)),0)</f>
        <v>0</v>
      </c>
      <c r="AH214" s="1092">
        <f>IFERROR(R214*$G$1/(_xlfn.XLOOKUP($AA214,Métrés!$A:$A,Métrés!$C:$C,0)),0)</f>
        <v>0</v>
      </c>
      <c r="AI214" s="1092">
        <f>IFERROR(S214*$G$1/(_xlfn.XLOOKUP($AA214,Métrés!$A:$A,Métrés!$C:$C,0)),0)</f>
        <v>0</v>
      </c>
      <c r="AJ214" s="1021"/>
      <c r="AK214" s="1021"/>
      <c r="AL214" s="1021"/>
      <c r="AM214" s="1021"/>
      <c r="AN214" s="1057"/>
      <c r="AO214" s="1021"/>
      <c r="AP214" s="1021"/>
      <c r="AQ214" s="1021"/>
      <c r="AR214" s="1058"/>
      <c r="AS214" s="1057"/>
      <c r="AT214" s="1021"/>
      <c r="AU214" s="1021"/>
      <c r="AV214" s="1021"/>
      <c r="AW214" s="1058"/>
      <c r="AX214" s="1057"/>
      <c r="AY214" s="1021"/>
      <c r="AZ214" s="1021"/>
      <c r="BA214" s="1021"/>
      <c r="BB214" s="1058"/>
      <c r="BC214" s="1057"/>
      <c r="BD214" s="1021"/>
      <c r="BE214" s="1021"/>
      <c r="BF214" s="1058"/>
      <c r="BG214" s="1057"/>
      <c r="BH214" s="1021"/>
      <c r="BI214" s="1058"/>
      <c r="BJ214" s="1045"/>
      <c r="BK214" s="1057"/>
      <c r="BL214" s="1021"/>
      <c r="BM214" s="1058"/>
      <c r="BN214" s="1037">
        <f>IFERROR((J214*VLOOKUP(H214, 'Baumaterialien Matériaux'!$A$11:$AH$318, 33,FALSE)),0)/$G$1</f>
        <v>0</v>
      </c>
      <c r="BO214" s="1037"/>
      <c r="BP214" s="1037">
        <f>IFERROR((J214*VLOOKUP(H214, 'Baumaterialien Matériaux'!$A$11:$AH$318, 34,FALSE)),0)/$G$1</f>
        <v>0</v>
      </c>
      <c r="BQ214" s="1037" t="e">
        <f t="shared" si="536"/>
        <v>#DIV/0!</v>
      </c>
      <c r="BR214" s="1037">
        <f>IFERROR((N214+Q214)*($L$2/L214-1),0)</f>
        <v>0</v>
      </c>
    </row>
    <row r="215" spans="2:71">
      <c r="B215" s="1103"/>
      <c r="C215" s="1099"/>
      <c r="D215" s="478"/>
      <c r="E215" s="478"/>
      <c r="F215" s="3"/>
      <c r="G215" s="478"/>
      <c r="H215" s="875"/>
      <c r="I215" s="641"/>
      <c r="J215" s="649"/>
      <c r="K215" s="650"/>
      <c r="L215" s="647"/>
      <c r="M215" s="648"/>
      <c r="N215" s="720"/>
      <c r="O215" s="720"/>
      <c r="P215" s="720"/>
      <c r="Q215" s="720"/>
      <c r="R215" s="720"/>
      <c r="S215" s="720"/>
      <c r="T215" s="720"/>
      <c r="U215" s="674"/>
      <c r="V215" s="674">
        <f t="shared" si="535"/>
        <v>0</v>
      </c>
      <c r="W215" s="674">
        <f t="shared" si="546"/>
        <v>0</v>
      </c>
      <c r="X215" s="674" t="s">
        <v>3407</v>
      </c>
      <c r="Y215" s="674"/>
      <c r="Z215" s="638">
        <f t="shared" si="526"/>
        <v>0</v>
      </c>
      <c r="AA215" s="879" t="s">
        <v>3450</v>
      </c>
      <c r="AB215">
        <f>_xlfn.XLOOKUP($H215,'[1]Baumaterialien Matériaux'!$A:$A,'[1]Baumaterialien Matériaux'!AK:AK,0,0)</f>
        <v>0</v>
      </c>
      <c r="AC215" t="str" cm="1">
        <f t="array" ref="AC215">_xlfn.SWITCH(I215,"kg"," ",0," ",_xlfn.XLOOKUP(H215, '[1]Baumaterialien Matériaux'!$A:$A, '[1]Baumaterialien Matériaux'!$AL:$AL, "-", 0, 1))</f>
        <v xml:space="preserve"> </v>
      </c>
      <c r="AD215" s="622" cm="1">
        <f t="array" ref="AD215">IFERROR(_xlfn.SWITCH(I215,"kg",1,"m3",AC215,AC215)*J215/(_xlfn.XLOOKUP(AA215,Métrés!A:A,Métrés!C:C,0)),0)</f>
        <v>0</v>
      </c>
      <c r="AE215" s="1092">
        <f>IFERROR(N215*$G$1/(_xlfn.XLOOKUP($AA215,Métrés!$A:$A,Métrés!$C:$C,0)),0)</f>
        <v>0</v>
      </c>
      <c r="AF215" s="1092">
        <f>IFERROR(O215*$G$1/(_xlfn.XLOOKUP($AA215,Métrés!$A:$A,Métrés!$C:$C,0)),0)</f>
        <v>0</v>
      </c>
      <c r="AG215" s="1092">
        <f>IFERROR(Q215*$G$1/(_xlfn.XLOOKUP($AA215,Métrés!$A:$A,Métrés!$C:$C,0)),0)</f>
        <v>0</v>
      </c>
      <c r="AH215" s="1092">
        <f>IFERROR(R215*$G$1/(_xlfn.XLOOKUP($AA215,Métrés!$A:$A,Métrés!$C:$C,0)),0)</f>
        <v>0</v>
      </c>
      <c r="AI215" s="1092">
        <f>IFERROR(S215*$G$1/(_xlfn.XLOOKUP($AA215,Métrés!$A:$A,Métrés!$C:$C,0)),0)</f>
        <v>0</v>
      </c>
      <c r="AJ215" s="1022"/>
      <c r="AK215" s="638">
        <f>IF(L215=60, 0, T215)</f>
        <v>0</v>
      </c>
      <c r="AL215" s="638">
        <f>IF(L215=60, 0, S215)</f>
        <v>0</v>
      </c>
      <c r="AM215" s="638">
        <f>IF(L215=$L$2, "Structure", IF(L215&gt;0,"Revêtement",0))</f>
        <v>0</v>
      </c>
      <c r="AN215" s="1036">
        <f>IF(AM215="Structure",N215,0)</f>
        <v>0</v>
      </c>
      <c r="AO215" s="1037">
        <f>IF(AM215="Structure",P215,0)</f>
        <v>0</v>
      </c>
      <c r="AP215" s="1037">
        <f>IF(AM215="Structure",Q215,0)</f>
        <v>0</v>
      </c>
      <c r="AQ215" s="1038">
        <f>IF(AM215="Structure",S215,0)</f>
        <v>0</v>
      </c>
      <c r="AR215" s="1038">
        <f>IF(AM215="Structure",T215,0)</f>
        <v>0</v>
      </c>
      <c r="AS215" s="1036">
        <f>IF(AM215="Insulation",N215,0)</f>
        <v>0</v>
      </c>
      <c r="AT215" s="1037">
        <f>IF(AM215="Insulation",P215,0)</f>
        <v>0</v>
      </c>
      <c r="AU215" s="1037">
        <f>IF(AM215="Insulation",Q215,0)</f>
        <v>0</v>
      </c>
      <c r="AV215" s="1038">
        <f>IF(AM215="Insulation",S215,0)</f>
        <v>0</v>
      </c>
      <c r="AW215" s="1038">
        <f>IF(AM215="Insulation",T215,0)</f>
        <v>0</v>
      </c>
      <c r="AX215" s="1036">
        <f>IF(AM215="Revêtement",N215,0)</f>
        <v>0</v>
      </c>
      <c r="AY215" s="1037">
        <f>IF(AM215="Revêtement",P215,0)</f>
        <v>0</v>
      </c>
      <c r="AZ215" s="1037">
        <f>IF(AM215="Revêtement",Q215,0)</f>
        <v>0</v>
      </c>
      <c r="BA215" s="1037">
        <f>IF(AM215="Revêtement",S215,0)</f>
        <v>0</v>
      </c>
      <c r="BB215" s="1038">
        <f>IF(AM215="Revêtement",T215,0)</f>
        <v>0</v>
      </c>
      <c r="BC215" s="1036"/>
      <c r="BD215" s="1037"/>
      <c r="BE215" s="1037"/>
      <c r="BF215" s="1038"/>
      <c r="BG215" s="1036">
        <f>IF($AM215="Structure", IF($I215="kg",$J215,0), 0)</f>
        <v>0</v>
      </c>
      <c r="BH215" s="1037">
        <f>IF($AM215="Insulation", IF($I215="kg",$J215,0), 0)</f>
        <v>0</v>
      </c>
      <c r="BI215" s="1038">
        <f>IF($AM215="Revêtement", IF($I215="kg",$J215,0), 0)</f>
        <v>0</v>
      </c>
      <c r="BJ215" s="1037">
        <f>_xlfn.XLOOKUP(H215, 'Baumaterialien Matériaux'!A:A, 'Baumaterialien Matériaux'!E:E, "-", 0, 1)</f>
        <v>0</v>
      </c>
      <c r="BK215" s="1036">
        <f t="shared" si="547"/>
        <v>0</v>
      </c>
      <c r="BL215" s="1037">
        <f t="shared" si="548"/>
        <v>0</v>
      </c>
      <c r="BM215" s="1038">
        <f t="shared" si="549"/>
        <v>0</v>
      </c>
      <c r="BN215" s="1037">
        <f>IFERROR((J215*VLOOKUP(H215, 'Baumaterialien Matériaux'!$A$11:$AH$318, 33,FALSE)),0)/$G$1</f>
        <v>0</v>
      </c>
      <c r="BO215" s="1037" t="e">
        <f>(BN215+BP215)*($L$2/L215-1)</f>
        <v>#DIV/0!</v>
      </c>
      <c r="BP215" s="1037">
        <f>IFERROR((J215*VLOOKUP(H215, 'Baumaterialien Matériaux'!$A$11:$AH$318, 34,FALSE)),0)/$G$1</f>
        <v>0</v>
      </c>
      <c r="BQ215" s="1037" t="e">
        <f t="shared" si="536"/>
        <v>#DIV/0!</v>
      </c>
      <c r="BR215" s="1037">
        <f>IFERROR((N215+Q215)*($L$2/L215-1),0)</f>
        <v>0</v>
      </c>
      <c r="BS215" s="638" t="e">
        <f>VLOOKUP(H215, 'Baumaterialien Matériaux'!$A$11:$AH$318, 32,FALSE)</f>
        <v>#N/A</v>
      </c>
    </row>
    <row r="216" spans="2:71">
      <c r="B216" s="1103"/>
      <c r="C216" s="1099"/>
      <c r="D216" s="478"/>
      <c r="E216" s="478"/>
      <c r="F216" s="3"/>
      <c r="G216" s="478"/>
      <c r="H216" s="875"/>
      <c r="I216" s="641"/>
      <c r="J216" s="649"/>
      <c r="K216" s="650"/>
      <c r="L216" s="647"/>
      <c r="M216" s="648"/>
      <c r="N216" s="720"/>
      <c r="O216" s="720"/>
      <c r="P216" s="720"/>
      <c r="Q216" s="720"/>
      <c r="R216" s="720"/>
      <c r="S216" s="720"/>
      <c r="T216" s="720"/>
      <c r="U216" s="674"/>
      <c r="V216" s="674">
        <f t="shared" si="535"/>
        <v>0</v>
      </c>
      <c r="W216" s="674">
        <f t="shared" si="546"/>
        <v>0</v>
      </c>
      <c r="X216" s="674"/>
      <c r="Y216" s="674"/>
      <c r="Z216" s="638">
        <f t="shared" si="526"/>
        <v>0</v>
      </c>
      <c r="AA216" s="879" t="s">
        <v>3450</v>
      </c>
      <c r="AB216">
        <f>_xlfn.XLOOKUP($H216,'[1]Baumaterialien Matériaux'!$A:$A,'[1]Baumaterialien Matériaux'!AK:AK,0,0)</f>
        <v>0</v>
      </c>
      <c r="AC216" t="str" cm="1">
        <f t="array" ref="AC216">_xlfn.SWITCH(I216,"kg"," ",0," ",_xlfn.XLOOKUP(H216, '[1]Baumaterialien Matériaux'!$A:$A, '[1]Baumaterialien Matériaux'!$AL:$AL, "-", 0, 1))</f>
        <v xml:space="preserve"> </v>
      </c>
      <c r="AD216" s="622" cm="1">
        <f t="array" ref="AD216">IFERROR(_xlfn.SWITCH(I216,"kg",1,"m3",AC216,AC216)*J216/(_xlfn.XLOOKUP(AA216,Métrés!A:A,Métrés!C:C,0)),0)</f>
        <v>0</v>
      </c>
      <c r="AE216" s="1092">
        <f>IFERROR(N216*$G$1/(_xlfn.XLOOKUP($AA216,Métrés!$A:$A,Métrés!$C:$C,0)),0)</f>
        <v>0</v>
      </c>
      <c r="AF216" s="1092">
        <f>IFERROR(O216*$G$1/(_xlfn.XLOOKUP($AA216,Métrés!$A:$A,Métrés!$C:$C,0)),0)</f>
        <v>0</v>
      </c>
      <c r="AG216" s="1092">
        <f>IFERROR(Q216*$G$1/(_xlfn.XLOOKUP($AA216,Métrés!$A:$A,Métrés!$C:$C,0)),0)</f>
        <v>0</v>
      </c>
      <c r="AH216" s="1092">
        <f>IFERROR(R216*$G$1/(_xlfn.XLOOKUP($AA216,Métrés!$A:$A,Métrés!$C:$C,0)),0)</f>
        <v>0</v>
      </c>
      <c r="AI216" s="1092">
        <f>IFERROR(S216*$G$1/(_xlfn.XLOOKUP($AA216,Métrés!$A:$A,Métrés!$C:$C,0)),0)</f>
        <v>0</v>
      </c>
      <c r="AJ216" s="1022"/>
      <c r="AK216" s="638">
        <f>IF(L216=60, 0, T216)</f>
        <v>0</v>
      </c>
      <c r="AL216" s="638">
        <f>IF(L216=60, 0, S216)</f>
        <v>0</v>
      </c>
      <c r="AM216" s="638">
        <f>IF(L216=$L$2, "Structure", IF(L216&gt;0,"Revêtement",0))</f>
        <v>0</v>
      </c>
      <c r="AN216" s="1036">
        <f>IF(AM216="Structure",N216,0)</f>
        <v>0</v>
      </c>
      <c r="AO216" s="1037">
        <f>IF(AM216="Structure",P216,0)</f>
        <v>0</v>
      </c>
      <c r="AP216" s="1037">
        <f>IF(AM216="Structure",Q216,0)</f>
        <v>0</v>
      </c>
      <c r="AQ216" s="1038">
        <f>IF(AM216="Structure",S216,0)</f>
        <v>0</v>
      </c>
      <c r="AR216" s="1038">
        <f>IF(AM216="Structure",T216,0)</f>
        <v>0</v>
      </c>
      <c r="AS216" s="1036">
        <f>IF(AM216="Insulation",N216,0)</f>
        <v>0</v>
      </c>
      <c r="AT216" s="1037">
        <f>IF(AM216="Insulation",P216,0)</f>
        <v>0</v>
      </c>
      <c r="AU216" s="1037">
        <f>IF(AM216="Insulation",Q216,0)</f>
        <v>0</v>
      </c>
      <c r="AV216" s="1038">
        <f>IF(AM216="Insulation",S216,0)</f>
        <v>0</v>
      </c>
      <c r="AW216" s="1038">
        <f>IF(AM216="Insulation",T216,0)</f>
        <v>0</v>
      </c>
      <c r="AX216" s="1036">
        <f>IF(AM216="Revêtement",N216,0)</f>
        <v>0</v>
      </c>
      <c r="AY216" s="1037">
        <f>IF(AM216="Revêtement",P216,0)</f>
        <v>0</v>
      </c>
      <c r="AZ216" s="1037">
        <f>IF(AM216="Revêtement",Q216,0)</f>
        <v>0</v>
      </c>
      <c r="BA216" s="1037">
        <f>IF(AM216="Revêtement",S216,0)</f>
        <v>0</v>
      </c>
      <c r="BB216" s="1038">
        <f>IF(AM216="Revêtement",T216,0)</f>
        <v>0</v>
      </c>
      <c r="BC216" s="1036"/>
      <c r="BD216" s="1037"/>
      <c r="BE216" s="1037"/>
      <c r="BF216" s="1038"/>
      <c r="BG216" s="1036">
        <f>IF($AM216="Structure", IF($I216="kg",$J216,0), 0)</f>
        <v>0</v>
      </c>
      <c r="BH216" s="1037">
        <f>IF($AM216="Insulation", IF($I216="kg",$J216,0), 0)</f>
        <v>0</v>
      </c>
      <c r="BI216" s="1038">
        <f>IF($AM216="Revêtement", IF($I216="kg",$J216,0), 0)</f>
        <v>0</v>
      </c>
      <c r="BJ216" s="1037">
        <f>_xlfn.XLOOKUP(H216, 'Baumaterialien Matériaux'!A:A, 'Baumaterialien Matériaux'!E:E, "-", 0, 1)</f>
        <v>0</v>
      </c>
      <c r="BK216" s="1036">
        <f t="shared" si="547"/>
        <v>0</v>
      </c>
      <c r="BL216" s="1037">
        <f t="shared" si="548"/>
        <v>0</v>
      </c>
      <c r="BM216" s="1038">
        <f t="shared" si="549"/>
        <v>0</v>
      </c>
      <c r="BN216" s="1037">
        <f>IFERROR((J216*VLOOKUP(H216, 'Baumaterialien Matériaux'!$A$11:$AH$318, 33,FALSE)),0)/$G$1</f>
        <v>0</v>
      </c>
      <c r="BO216" s="1037"/>
      <c r="BP216" s="1037">
        <f>IFERROR((J216*VLOOKUP(H216, 'Baumaterialien Matériaux'!$A$11:$AH$318, 34,FALSE)),0)/$G$1</f>
        <v>0</v>
      </c>
      <c r="BQ216" s="1037" t="e">
        <f t="shared" si="536"/>
        <v>#DIV/0!</v>
      </c>
      <c r="BR216" s="1037"/>
    </row>
    <row r="217" spans="2:71">
      <c r="B217" s="1103"/>
      <c r="C217" s="1099"/>
      <c r="D217" s="478"/>
      <c r="E217" s="478"/>
      <c r="F217" s="3"/>
      <c r="G217" s="478"/>
      <c r="H217" s="875"/>
      <c r="I217" s="641"/>
      <c r="J217" s="649"/>
      <c r="K217" s="650"/>
      <c r="L217" s="647"/>
      <c r="M217" s="648"/>
      <c r="N217" s="720"/>
      <c r="O217" s="720"/>
      <c r="P217" s="720"/>
      <c r="Q217" s="720"/>
      <c r="R217" s="720"/>
      <c r="S217" s="720"/>
      <c r="T217" s="720"/>
      <c r="U217" s="674"/>
      <c r="V217" s="674">
        <f t="shared" si="535"/>
        <v>0</v>
      </c>
      <c r="W217" s="674">
        <f t="shared" si="546"/>
        <v>0</v>
      </c>
      <c r="X217" s="674"/>
      <c r="Y217" s="674"/>
      <c r="Z217" s="638">
        <f t="shared" si="526"/>
        <v>0</v>
      </c>
      <c r="AA217" s="879" t="s">
        <v>3450</v>
      </c>
      <c r="AB217">
        <f>_xlfn.XLOOKUP($H217,'[1]Baumaterialien Matériaux'!$A:$A,'[1]Baumaterialien Matériaux'!AK:AK,0,0)</f>
        <v>0</v>
      </c>
      <c r="AC217" t="str" cm="1">
        <f t="array" ref="AC217">_xlfn.SWITCH(I217,"kg"," ",0," ",_xlfn.XLOOKUP(H217, '[1]Baumaterialien Matériaux'!$A:$A, '[1]Baumaterialien Matériaux'!$AL:$AL, "-", 0, 1))</f>
        <v xml:space="preserve"> </v>
      </c>
      <c r="AD217" s="622" cm="1">
        <f t="array" ref="AD217">IFERROR(_xlfn.SWITCH(I217,"kg",1,"m3",AC217,AC217)*J217/(_xlfn.XLOOKUP(AA217,Métrés!A:A,Métrés!C:C,0)),0)</f>
        <v>0</v>
      </c>
      <c r="AE217" s="1092">
        <f>IFERROR(N217*$G$1/(_xlfn.XLOOKUP($AA217,Métrés!$A:$A,Métrés!$C:$C,0)),0)</f>
        <v>0</v>
      </c>
      <c r="AF217" s="1092">
        <f>IFERROR(O217*$G$1/(_xlfn.XLOOKUP($AA217,Métrés!$A:$A,Métrés!$C:$C,0)),0)</f>
        <v>0</v>
      </c>
      <c r="AG217" s="1092">
        <f>IFERROR(Q217*$G$1/(_xlfn.XLOOKUP($AA217,Métrés!$A:$A,Métrés!$C:$C,0)),0)</f>
        <v>0</v>
      </c>
      <c r="AH217" s="1092">
        <f>IFERROR(R217*$G$1/(_xlfn.XLOOKUP($AA217,Métrés!$A:$A,Métrés!$C:$C,0)),0)</f>
        <v>0</v>
      </c>
      <c r="AI217" s="1092">
        <f>IFERROR(S217*$G$1/(_xlfn.XLOOKUP($AA217,Métrés!$A:$A,Métrés!$C:$C,0)),0)</f>
        <v>0</v>
      </c>
      <c r="AJ217" s="1022"/>
      <c r="AK217" s="638">
        <f>IF(L217=60, 0, T217)</f>
        <v>0</v>
      </c>
      <c r="AL217" s="638">
        <f>IF(L217=60, 0, S217)</f>
        <v>0</v>
      </c>
      <c r="AM217" s="638">
        <f>IF(L217=$L$2, "Structure", IF(L217&gt;0,"Revêtement",0))</f>
        <v>0</v>
      </c>
      <c r="AN217" s="1036">
        <f>IF(AM217="Structure",N217,0)</f>
        <v>0</v>
      </c>
      <c r="AO217" s="1037">
        <f>IF(AM217="Structure",P217,0)</f>
        <v>0</v>
      </c>
      <c r="AP217" s="1037">
        <f>IF(AM217="Structure",Q217,0)</f>
        <v>0</v>
      </c>
      <c r="AQ217" s="1038">
        <f>IF(AM217="Structure",S217,0)</f>
        <v>0</v>
      </c>
      <c r="AR217" s="1038">
        <f>IF(AM217="Structure",T217,0)</f>
        <v>0</v>
      </c>
      <c r="AS217" s="1036">
        <f>IF(AM217="Insulation",N217,0)</f>
        <v>0</v>
      </c>
      <c r="AT217" s="1037">
        <f>IF(AM217="Insulation",P217,0)</f>
        <v>0</v>
      </c>
      <c r="AU217" s="1037">
        <f>IF(AM217="Insulation",Q217,0)</f>
        <v>0</v>
      </c>
      <c r="AV217" s="1038">
        <f>IF(AM217="Insulation",S217,0)</f>
        <v>0</v>
      </c>
      <c r="AW217" s="1038">
        <f>IF(AM217="Insulation",T217,0)</f>
        <v>0</v>
      </c>
      <c r="AX217" s="1036">
        <f>IF(AM217="Revêtement",N217,0)</f>
        <v>0</v>
      </c>
      <c r="AY217" s="1037">
        <f>IF(AM217="Revêtement",P217,0)</f>
        <v>0</v>
      </c>
      <c r="AZ217" s="1037">
        <f>IF(AM217="Revêtement",Q217,0)</f>
        <v>0</v>
      </c>
      <c r="BA217" s="1037">
        <f>IF(AM217="Revêtement",S217,0)</f>
        <v>0</v>
      </c>
      <c r="BB217" s="1038">
        <f>IF(AM217="Revêtement",T217,0)</f>
        <v>0</v>
      </c>
      <c r="BC217" s="1036"/>
      <c r="BD217" s="1037"/>
      <c r="BE217" s="1037"/>
      <c r="BF217" s="1038"/>
      <c r="BG217" s="1036">
        <f>IF($AM217="Structure", IF($I217="kg",$J217,0), 0)</f>
        <v>0</v>
      </c>
      <c r="BH217" s="1037">
        <f>IF($AM217="Insulation", IF($I217="kg",$J217,0), 0)</f>
        <v>0</v>
      </c>
      <c r="BI217" s="1038">
        <f>IF($AM217="Revêtement", IF($I217="kg",$J217,0), 0)</f>
        <v>0</v>
      </c>
      <c r="BJ217" s="1037">
        <f>_xlfn.XLOOKUP(H217, 'Baumaterialien Matériaux'!A:A, 'Baumaterialien Matériaux'!E:E, "-", 0, 1)</f>
        <v>0</v>
      </c>
      <c r="BK217" s="1036">
        <f t="shared" si="547"/>
        <v>0</v>
      </c>
      <c r="BL217" s="1037">
        <f t="shared" si="548"/>
        <v>0</v>
      </c>
      <c r="BM217" s="1038">
        <f t="shared" si="549"/>
        <v>0</v>
      </c>
      <c r="BN217" s="1037">
        <f>IFERROR((J217*VLOOKUP(H217, 'Baumaterialien Matériaux'!$A$11:$AH$318, 33,FALSE)),0)/$G$1</f>
        <v>0</v>
      </c>
      <c r="BO217" s="1037"/>
      <c r="BP217" s="1037">
        <f>IFERROR((J217*VLOOKUP(H217, 'Baumaterialien Matériaux'!$A$11:$AH$318, 34,FALSE)),0)/$G$1</f>
        <v>0</v>
      </c>
      <c r="BQ217" s="1037" t="e">
        <f t="shared" si="536"/>
        <v>#DIV/0!</v>
      </c>
      <c r="BR217" s="1037"/>
    </row>
    <row r="218" spans="2:71">
      <c r="B218" s="1104"/>
      <c r="C218" s="1099"/>
      <c r="D218" s="478"/>
      <c r="E218" s="478"/>
      <c r="F218" s="3"/>
      <c r="G218" s="478"/>
      <c r="H218" s="875"/>
      <c r="I218" s="641"/>
      <c r="J218" s="649"/>
      <c r="K218" s="650"/>
      <c r="L218" s="647"/>
      <c r="M218" s="648"/>
      <c r="N218" s="720"/>
      <c r="O218" s="720"/>
      <c r="P218" s="720"/>
      <c r="Q218" s="720"/>
      <c r="R218" s="720"/>
      <c r="S218" s="720"/>
      <c r="T218" s="720"/>
      <c r="U218" s="674"/>
      <c r="V218" s="674">
        <f t="shared" si="535"/>
        <v>0</v>
      </c>
      <c r="W218" s="674">
        <f t="shared" si="546"/>
        <v>0</v>
      </c>
      <c r="X218" s="674" t="s">
        <v>3407</v>
      </c>
      <c r="Y218" s="674"/>
      <c r="Z218" s="638">
        <f t="shared" si="526"/>
        <v>0</v>
      </c>
      <c r="AA218" s="879" t="s">
        <v>3450</v>
      </c>
      <c r="AB218">
        <f>_xlfn.XLOOKUP($H218,'[1]Baumaterialien Matériaux'!$A:$A,'[1]Baumaterialien Matériaux'!AK:AK,0,0)</f>
        <v>0</v>
      </c>
      <c r="AC218" t="str" cm="1">
        <f t="array" ref="AC218">_xlfn.SWITCH(I218,"kg"," ",0," ",_xlfn.XLOOKUP(H218, '[1]Baumaterialien Matériaux'!$A:$A, '[1]Baumaterialien Matériaux'!$AL:$AL, "-", 0, 1))</f>
        <v xml:space="preserve"> </v>
      </c>
      <c r="AD218" s="622" cm="1">
        <f t="array" ref="AD218">IFERROR(_xlfn.SWITCH(I218,"kg",1,"m3",AC218,AC218)*J218/(_xlfn.XLOOKUP(AA218,Métrés!A:A,Métrés!C:C,0)),0)</f>
        <v>0</v>
      </c>
      <c r="AE218" s="1092">
        <f>IFERROR(N218*$G$1/(_xlfn.XLOOKUP($AA218,Métrés!$A:$A,Métrés!$C:$C,0)),0)</f>
        <v>0</v>
      </c>
      <c r="AF218" s="1092">
        <f>IFERROR(O218*$G$1/(_xlfn.XLOOKUP($AA218,Métrés!$A:$A,Métrés!$C:$C,0)),0)</f>
        <v>0</v>
      </c>
      <c r="AG218" s="1092">
        <f>IFERROR(Q218*$G$1/(_xlfn.XLOOKUP($AA218,Métrés!$A:$A,Métrés!$C:$C,0)),0)</f>
        <v>0</v>
      </c>
      <c r="AH218" s="1092">
        <f>IFERROR(R218*$G$1/(_xlfn.XLOOKUP($AA218,Métrés!$A:$A,Métrés!$C:$C,0)),0)</f>
        <v>0</v>
      </c>
      <c r="AI218" s="1092">
        <f>IFERROR(S218*$G$1/(_xlfn.XLOOKUP($AA218,Métrés!$A:$A,Métrés!$C:$C,0)),0)</f>
        <v>0</v>
      </c>
      <c r="AJ218" s="1022"/>
      <c r="AK218" s="638">
        <f>IF(L218=60, 0, T218)</f>
        <v>0</v>
      </c>
      <c r="AL218" s="638">
        <f>IF(L218=60, 0, S218)</f>
        <v>0</v>
      </c>
      <c r="AM218" s="638">
        <f>IF(L218=$L$2, "Structure", IF(L218&gt;0,"Revêtement",0))</f>
        <v>0</v>
      </c>
      <c r="AN218" s="1036">
        <f>IF(AM218="Structure",N218,0)</f>
        <v>0</v>
      </c>
      <c r="AO218" s="1037">
        <f>IF(AM218="Structure",P218,0)</f>
        <v>0</v>
      </c>
      <c r="AP218" s="1037">
        <f>IF(AM218="Structure",Q218,0)</f>
        <v>0</v>
      </c>
      <c r="AQ218" s="1038">
        <f>IF(AM218="Structure",S218,0)</f>
        <v>0</v>
      </c>
      <c r="AR218" s="1038">
        <f>IF(AM218="Structure",T218,0)</f>
        <v>0</v>
      </c>
      <c r="AS218" s="1036">
        <f>IF(AM218="Insulation",N218,0)</f>
        <v>0</v>
      </c>
      <c r="AT218" s="1037">
        <f>IF(AM218="Insulation",P218,0)</f>
        <v>0</v>
      </c>
      <c r="AU218" s="1037">
        <f>IF(AM218="Insulation",Q218,0)</f>
        <v>0</v>
      </c>
      <c r="AV218" s="1038">
        <f>IF(AM218="Insulation",S218,0)</f>
        <v>0</v>
      </c>
      <c r="AW218" s="1038">
        <f>IF(AM218="Insulation",T218,0)</f>
        <v>0</v>
      </c>
      <c r="AX218" s="1036">
        <f>IF(AM218="Revêtement",N218,0)</f>
        <v>0</v>
      </c>
      <c r="AY218" s="1037">
        <f>IF(AM218="Revêtement",P218,0)</f>
        <v>0</v>
      </c>
      <c r="AZ218" s="1037">
        <f>IF(AM218="Revêtement",Q218,0)</f>
        <v>0</v>
      </c>
      <c r="BA218" s="1037">
        <f>IF(AM218="Revêtement",S218,0)</f>
        <v>0</v>
      </c>
      <c r="BB218" s="1038">
        <f>IF(AM218="Revêtement",T218,0)</f>
        <v>0</v>
      </c>
      <c r="BC218" s="1036"/>
      <c r="BD218" s="1037"/>
      <c r="BE218" s="1037"/>
      <c r="BF218" s="1038"/>
      <c r="BG218" s="1036">
        <f>IF($AM218="Structure", IF($I218="kg",$J218,0), 0)</f>
        <v>0</v>
      </c>
      <c r="BH218" s="1037">
        <f>IF($AM218="Insulation", IF($I218="kg",$J218,0), 0)</f>
        <v>0</v>
      </c>
      <c r="BI218" s="1038">
        <f>IF($AM218="Revêtement", IF($I218="kg",$J218,0), 0)</f>
        <v>0</v>
      </c>
      <c r="BJ218" s="1037">
        <f>_xlfn.XLOOKUP(H218, 'Baumaterialien Matériaux'!A:A, 'Baumaterialien Matériaux'!E:E, "-", 0, 1)</f>
        <v>0</v>
      </c>
      <c r="BK218" s="1036">
        <f t="shared" si="547"/>
        <v>0</v>
      </c>
      <c r="BL218" s="1037">
        <f t="shared" si="548"/>
        <v>0</v>
      </c>
      <c r="BM218" s="1038">
        <f t="shared" si="549"/>
        <v>0</v>
      </c>
      <c r="BN218" s="1037">
        <f>IFERROR((J218*VLOOKUP(H218, 'Baumaterialien Matériaux'!$A$11:$AH$318, 33,FALSE)),0)/$G$1</f>
        <v>0</v>
      </c>
      <c r="BO218" s="1037" t="e">
        <f>(BN218+BP218)*($L$2/L218-1)</f>
        <v>#DIV/0!</v>
      </c>
      <c r="BP218" s="1037">
        <f>IFERROR((J218*VLOOKUP(H218, 'Baumaterialien Matériaux'!$A$11:$AH$318, 34,FALSE)),0)/$G$1</f>
        <v>0</v>
      </c>
      <c r="BQ218" s="1037" t="e">
        <f t="shared" si="536"/>
        <v>#DIV/0!</v>
      </c>
      <c r="BR218" s="1037">
        <f>IFERROR((N218+Q218)*($L$2/L218-1),0)</f>
        <v>0</v>
      </c>
    </row>
    <row r="219" spans="2:71" ht="15.75" customHeight="1">
      <c r="B219" s="1101"/>
      <c r="C219" s="1097" t="s">
        <v>2987</v>
      </c>
      <c r="D219" s="473" t="s">
        <v>2988</v>
      </c>
      <c r="E219" s="473"/>
      <c r="F219" s="473"/>
      <c r="G219" s="473"/>
      <c r="H219" s="473"/>
      <c r="I219" s="463"/>
      <c r="J219" s="654"/>
      <c r="K219" s="652"/>
      <c r="L219" s="652"/>
      <c r="M219" s="653">
        <f>M220+M227+M230</f>
        <v>8.3904430479497805</v>
      </c>
      <c r="N219" s="653">
        <f t="shared" ref="N219:S219" si="555">N220+N227+N230</f>
        <v>6.1616379925203679</v>
      </c>
      <c r="O219" s="653">
        <f t="shared" ref="O219" si="556">O220+O227+O230</f>
        <v>1.3440799853078669</v>
      </c>
      <c r="P219" s="653">
        <f t="shared" si="555"/>
        <v>0.39501633831975419</v>
      </c>
      <c r="Q219" s="653">
        <f t="shared" si="555"/>
        <v>0.4897087318017897</v>
      </c>
      <c r="R219" s="653">
        <f t="shared" ref="R219" si="557">R220+R227+R230</f>
        <v>9.981347368772539E-2</v>
      </c>
      <c r="S219" s="653">
        <f t="shared" si="555"/>
        <v>8.3546814478429252E-3</v>
      </c>
      <c r="T219" s="653">
        <f t="shared" ref="T219" si="558">T220+T227+T230</f>
        <v>8.3546814478429256E-5</v>
      </c>
      <c r="U219" s="666"/>
      <c r="V219" s="666"/>
      <c r="W219" s="666"/>
      <c r="X219" s="666"/>
      <c r="Y219" s="666"/>
      <c r="Z219" s="638">
        <f t="shared" si="526"/>
        <v>0</v>
      </c>
      <c r="AB219">
        <f>_xlfn.XLOOKUP($H219,'[1]Baumaterialien Matériaux'!$A:$A,'[1]Baumaterialien Matériaux'!AK:AK,0,0)</f>
        <v>0</v>
      </c>
      <c r="AC219" t="str" cm="1">
        <f t="array" ref="AC219">_xlfn.SWITCH(I219,"kg"," ",0," ",_xlfn.XLOOKUP(H219, '[1]Baumaterialien Matériaux'!$A:$A, '[1]Baumaterialien Matériaux'!$AL:$AL, "-", 0, 1))</f>
        <v xml:space="preserve"> </v>
      </c>
      <c r="AD219" s="622" cm="1">
        <f t="array" ref="AD219">IFERROR(_xlfn.SWITCH(I219,"kg",1,"m3",AC219,AC219)*J219/(_xlfn.XLOOKUP(AA219,Métrés!A:A,Métrés!C:C,0)),0)</f>
        <v>0</v>
      </c>
      <c r="AE219" s="1092">
        <f>IFERROR(N219*$G$1/(_xlfn.XLOOKUP($AA219,Métrés!$A:$A,Métrés!$C:$C,0)),0)</f>
        <v>0</v>
      </c>
      <c r="AF219" s="1092">
        <f>IFERROR(O219*$G$1/(_xlfn.XLOOKUP($AA219,Métrés!$A:$A,Métrés!$C:$C,0)),0)</f>
        <v>0</v>
      </c>
      <c r="AG219" s="1092">
        <f>IFERROR(Q219*$G$1/(_xlfn.XLOOKUP($AA219,Métrés!$A:$A,Métrés!$C:$C,0)),0)</f>
        <v>0</v>
      </c>
      <c r="AH219" s="1092">
        <f>IFERROR(R219*$G$1/(_xlfn.XLOOKUP($AA219,Métrés!$A:$A,Métrés!$C:$C,0)),0)</f>
        <v>0</v>
      </c>
      <c r="AI219" s="1092">
        <f>IFERROR(S219*$G$1/(_xlfn.XLOOKUP($AA219,Métrés!$A:$A,Métrés!$C:$C,0)),0)</f>
        <v>0</v>
      </c>
      <c r="AJ219" s="666"/>
      <c r="AK219" s="666"/>
      <c r="AL219" s="666"/>
      <c r="AM219" s="666"/>
      <c r="AN219" s="1051"/>
      <c r="AO219" s="666"/>
      <c r="AP219" s="666"/>
      <c r="AQ219" s="666"/>
      <c r="AR219" s="1052"/>
      <c r="AS219" s="1051"/>
      <c r="AT219" s="666"/>
      <c r="AU219" s="666"/>
      <c r="AV219" s="666"/>
      <c r="AW219" s="1052"/>
      <c r="AX219" s="1051"/>
      <c r="AY219" s="666"/>
      <c r="AZ219" s="666"/>
      <c r="BA219" s="666"/>
      <c r="BB219" s="1052"/>
      <c r="BC219" s="1051"/>
      <c r="BD219" s="666"/>
      <c r="BE219" s="666"/>
      <c r="BF219" s="1052"/>
      <c r="BG219" s="1051"/>
      <c r="BH219" s="666"/>
      <c r="BI219" s="1052"/>
      <c r="BJ219" s="666"/>
      <c r="BK219" s="1051"/>
      <c r="BL219" s="666"/>
      <c r="BM219" s="1052"/>
      <c r="BN219" s="1039"/>
      <c r="BO219" s="1039"/>
      <c r="BP219" s="1039"/>
      <c r="BQ219" s="1037">
        <f t="shared" si="536"/>
        <v>0</v>
      </c>
      <c r="BR219" s="1037"/>
    </row>
    <row r="220" spans="2:71">
      <c r="B220" s="1101"/>
      <c r="C220" s="1098"/>
      <c r="D220" s="478"/>
      <c r="E220" s="479">
        <f>BillQuantities!E45</f>
        <v>0</v>
      </c>
      <c r="F220" s="479" t="s">
        <v>61</v>
      </c>
      <c r="G220" s="479"/>
      <c r="H220" s="479"/>
      <c r="I220" s="459" t="s">
        <v>39</v>
      </c>
      <c r="J220" s="662">
        <v>13.38</v>
      </c>
      <c r="K220" s="663"/>
      <c r="L220" s="663"/>
      <c r="M220" s="664">
        <f>SUM(M221:M226)</f>
        <v>2.8628619073059971</v>
      </c>
      <c r="N220" s="664">
        <f>SUM(N221:N226)</f>
        <v>1.8617849138506741</v>
      </c>
      <c r="O220" s="664">
        <f>SUM(O221:O226)</f>
        <v>0.42759140510217708</v>
      </c>
      <c r="P220" s="664">
        <f t="shared" ref="P220:S220" si="559">SUM(P221:P226)</f>
        <v>0.39501633831975419</v>
      </c>
      <c r="Q220" s="664">
        <f t="shared" si="559"/>
        <v>0.1784692500333912</v>
      </c>
      <c r="R220" s="664">
        <f t="shared" ref="R220" si="560">SUM(R221:R226)</f>
        <v>3.8066445505542945E-2</v>
      </c>
      <c r="S220" s="664">
        <f t="shared" si="559"/>
        <v>8.3546814478429252E-3</v>
      </c>
      <c r="T220" s="664">
        <f t="shared" ref="T220" si="561">SUM(T221:T226)</f>
        <v>8.3546814478429256E-5</v>
      </c>
      <c r="V220" s="638">
        <f t="shared" ref="V220:V232" si="562">IF(L220=60, 0, T220)</f>
        <v>8.3546814478429256E-5</v>
      </c>
      <c r="W220" s="638">
        <f t="shared" ref="W220:W232" si="563">IF(L220=60, 0, S220)</f>
        <v>8.3546814478429252E-3</v>
      </c>
      <c r="Z220" s="638">
        <f t="shared" si="526"/>
        <v>0</v>
      </c>
      <c r="AA220" s="647" t="s">
        <v>3463</v>
      </c>
      <c r="AB220">
        <f>_xlfn.XLOOKUP($H220,'[1]Baumaterialien Matériaux'!$A:$A,'[1]Baumaterialien Matériaux'!AK:AK,0,0)</f>
        <v>0</v>
      </c>
      <c r="AC220" cm="1">
        <f t="array" ref="AC220">_xlfn.SWITCH(I220,"kg"," ",0," ",_xlfn.XLOOKUP(H220, '[1]Baumaterialien Matériaux'!$A:$A, '[1]Baumaterialien Matériaux'!$AL:$AL, "-", 0, 1))</f>
        <v>0</v>
      </c>
      <c r="AD220" s="622" cm="1">
        <f t="array" ref="AD220">IFERROR(_xlfn.SWITCH(I220,"kg",1,"m3",AC220,AC220)*J220/(_xlfn.XLOOKUP(AA220,Métrés!A:A,Métrés!C:C,0)),0)</f>
        <v>0</v>
      </c>
      <c r="AE220" s="1092">
        <f>IFERROR(N220*$G$1/(_xlfn.XLOOKUP($AA220,Métrés!$A:$A,Métrés!$C:$C,0)),0)</f>
        <v>74.740931099195691</v>
      </c>
      <c r="AF220" s="1092">
        <f>IFERROR(O220*$G$1/(_xlfn.XLOOKUP($AA220,Métrés!$A:$A,Métrés!$C:$C,0)),0)</f>
        <v>17.165559517426271</v>
      </c>
      <c r="AG220" s="1092">
        <f>IFERROR(Q220*$G$1/(_xlfn.XLOOKUP($AA220,Métrés!$A:$A,Métrés!$C:$C,0)),0)</f>
        <v>7.1646073726541557</v>
      </c>
      <c r="AH220" s="1092">
        <f>IFERROR(R220*$G$1/(_xlfn.XLOOKUP($AA220,Métrés!$A:$A,Métrés!$C:$C,0)),0)</f>
        <v>1.5281687801608579</v>
      </c>
      <c r="AI220" s="1092">
        <f>IFERROR(S220*$G$1/(_xlfn.XLOOKUP($AA220,Métrés!$A:$A,Métrés!$C:$C,0)),0)</f>
        <v>0.33539678284182295</v>
      </c>
      <c r="AJ220" s="878"/>
      <c r="AK220" s="878"/>
      <c r="AL220" s="878"/>
      <c r="AM220" s="878"/>
      <c r="AN220" s="1053"/>
      <c r="AO220" s="878"/>
      <c r="AP220" s="878"/>
      <c r="AQ220" s="878"/>
      <c r="AR220" s="1054"/>
      <c r="AS220" s="1053"/>
      <c r="AT220" s="878"/>
      <c r="AU220" s="878"/>
      <c r="AV220" s="878"/>
      <c r="AW220" s="1054"/>
      <c r="AX220" s="1053"/>
      <c r="AY220" s="878"/>
      <c r="AZ220" s="878"/>
      <c r="BA220" s="878"/>
      <c r="BB220" s="1054"/>
      <c r="BC220" s="1053"/>
      <c r="BD220" s="878"/>
      <c r="BE220" s="878"/>
      <c r="BF220" s="1054"/>
      <c r="BG220" s="1053"/>
      <c r="BH220" s="878"/>
      <c r="BI220" s="1054"/>
      <c r="BJ220" s="878"/>
      <c r="BK220" s="1053"/>
      <c r="BL220" s="878"/>
      <c r="BM220" s="1054"/>
      <c r="BN220" s="1037">
        <f>IFERROR((J220*VLOOKUP(H220, 'Baumaterialien Matériaux'!$A$11:$AH$318, 33,FALSE)),0)/$G$1</f>
        <v>0</v>
      </c>
      <c r="BO220" s="1037"/>
      <c r="BP220" s="1037">
        <f>IFERROR((J220*VLOOKUP(H220, 'Baumaterialien Matériaux'!$A$11:$AH$318, 34,FALSE)),0)/$G$1</f>
        <v>0</v>
      </c>
      <c r="BQ220" s="1037">
        <f t="shared" si="536"/>
        <v>0</v>
      </c>
      <c r="BR220" s="1037"/>
    </row>
    <row r="221" spans="2:71">
      <c r="B221" s="1101"/>
      <c r="C221" s="1099"/>
      <c r="D221" s="478"/>
      <c r="E221" s="478"/>
      <c r="F221" s="478" t="s">
        <v>3022</v>
      </c>
      <c r="G221" s="478" t="str">
        <f>_xlfn.XLOOKUP(H221, 'Baumaterialien Matériaux'!A:A, 'Baumaterialien Matériaux'!AD:AD, "-", 0, 1)</f>
        <v>Chape de ciment, 85 mm</v>
      </c>
      <c r="H221" s="891" t="s">
        <v>780</v>
      </c>
      <c r="I221" s="641" t="str">
        <f>_xlfn.XLOOKUP(H221, 'Baumaterialien Matériaux'!A:A, 'Baumaterialien Matériaux'!F:F, "-", 0, 1)</f>
        <v>kg</v>
      </c>
      <c r="J221" s="649">
        <f>$J$220*K221</f>
        <v>1980.24</v>
      </c>
      <c r="K221" s="893">
        <f>0.08*1850</f>
        <v>148</v>
      </c>
      <c r="L221" s="647">
        <v>30</v>
      </c>
      <c r="M221" s="648">
        <f t="shared" ref="M221:M222" si="564">SUM(N221:Q221)</f>
        <v>0.58672798183518093</v>
      </c>
      <c r="N221" s="720">
        <f>IFERROR(($J221*VLOOKUP($H221, 'Baumaterialien Matériaux'!$A$11:$AD$318, 26,FALSE)),0)/$G$1</f>
        <v>0.23804140510217708</v>
      </c>
      <c r="O221" s="720">
        <f>IFERROR(($J221*VLOOKUP($H221, 'Baumaterialien Matériaux'!$A$11:$AH$318, 33,FALSE)),0)/$G$1</f>
        <v>5.4220542273273671E-2</v>
      </c>
      <c r="P221" s="720">
        <f t="shared" ref="P221:P222" si="565">IFERROR((N221+Q221)*($L$2/L221-1),0)</f>
        <v>0.26625371978095363</v>
      </c>
      <c r="Q221" s="720">
        <f>IFERROR(($J221*VLOOKUP($H221, 'Baumaterialien Matériaux'!$A$11:$AD$318, 27,FALSE)),0)/$G$1</f>
        <v>2.8212314678776544E-2</v>
      </c>
      <c r="R221" s="720">
        <f>IFERROR(($J221*VLOOKUP($H221, 'Baumaterialien Matériaux'!$A$11:$AH$318, 34,FALSE)),0)/$G$1</f>
        <v>7.2073647655936952E-3</v>
      </c>
      <c r="S221" s="720">
        <f>IFERROR((J221*VLOOKUP(H221, 'Baumaterialien Matériaux'!$A$11:$AD$318, 29,FALSE)),0)/$G$1</f>
        <v>0</v>
      </c>
      <c r="T221" s="720"/>
      <c r="V221" s="638">
        <f t="shared" si="562"/>
        <v>0</v>
      </c>
      <c r="W221" s="638">
        <f t="shared" si="563"/>
        <v>0</v>
      </c>
      <c r="X221" s="638" t="s">
        <v>3407</v>
      </c>
      <c r="Z221" s="638">
        <f t="shared" si="526"/>
        <v>30</v>
      </c>
      <c r="AA221" s="647" t="s">
        <v>3463</v>
      </c>
      <c r="AB221" t="str">
        <f>_xlfn.XLOOKUP($H221,'[1]Baumaterialien Matériaux'!$A:$A,'[1]Baumaterialien Matériaux'!AK:AK,0,0)</f>
        <v>concrete</v>
      </c>
      <c r="AC221" t="str" cm="1">
        <f t="array" ref="AC221">_xlfn.SWITCH(I221,"kg"," ",0," ",_xlfn.XLOOKUP(H221, '[1]Baumaterialien Matériaux'!$A:$A, '[1]Baumaterialien Matériaux'!$AL:$AL, "-", 0, 1))</f>
        <v xml:space="preserve"> </v>
      </c>
      <c r="AD221" s="622" cm="1">
        <f t="array" ref="AD221">IFERROR(_xlfn.SWITCH(I221,"kg",1,"m3",AC221,AC221)*J221/(_xlfn.XLOOKUP(AA221,Métrés!A:A,Métrés!C:C,0)),0)</f>
        <v>88.482573726541546</v>
      </c>
      <c r="AE221" s="1092">
        <f>IFERROR(N221*$G$1/(_xlfn.XLOOKUP($AA221,Métrés!$A:$A,Métrés!$C:$C,0)),0)</f>
        <v>9.5561179624664856</v>
      </c>
      <c r="AF221" s="1092">
        <f>IFERROR(O221*$G$1/(_xlfn.XLOOKUP($AA221,Métrés!$A:$A,Métrés!$C:$C,0)),0)</f>
        <v>2.1766713136729221</v>
      </c>
      <c r="AG221" s="1092">
        <f>IFERROR(Q221*$G$1/(_xlfn.XLOOKUP($AA221,Métrés!$A:$A,Métrés!$C:$C,0)),0)</f>
        <v>1.1325769436997317</v>
      </c>
      <c r="AH221" s="1092">
        <f>IFERROR(R221*$G$1/(_xlfn.XLOOKUP($AA221,Métrés!$A:$A,Métrés!$C:$C,0)),0)</f>
        <v>0.28933801608579085</v>
      </c>
      <c r="AI221" s="1092">
        <f>IFERROR(S221*$G$1/(_xlfn.XLOOKUP($AA221,Métrés!$A:$A,Métrés!$C:$C,0)),0)</f>
        <v>0</v>
      </c>
      <c r="AJ221" s="1022"/>
      <c r="AK221" s="638">
        <f t="shared" ref="AK221:AK226" si="566">IF(L221=60, 0, T221)</f>
        <v>0</v>
      </c>
      <c r="AL221" s="638">
        <f t="shared" ref="AL221:AL226" si="567">IF(L221=60, 0, S221)</f>
        <v>0</v>
      </c>
      <c r="AM221" s="638" t="str">
        <f>IF(L221=$L$2, "Structure", IF(L221&gt;0,"Revêtement",0))</f>
        <v>Revêtement</v>
      </c>
      <c r="AN221" s="1036">
        <f t="shared" ref="AN221:AN226" si="568">IF(AM221="Structure",N221,0)</f>
        <v>0</v>
      </c>
      <c r="AO221" s="1037">
        <f t="shared" ref="AO221:AO226" si="569">IF(AM221="Structure",P221,0)</f>
        <v>0</v>
      </c>
      <c r="AP221" s="1037">
        <f t="shared" ref="AP221:AP226" si="570">IF(AM221="Structure",Q221,0)</f>
        <v>0</v>
      </c>
      <c r="AQ221" s="1038">
        <f t="shared" ref="AQ221:AQ226" si="571">IF(AM221="Structure",S221,0)</f>
        <v>0</v>
      </c>
      <c r="AR221" s="1038">
        <f t="shared" ref="AR221:AR226" si="572">IF(AM221="Structure",T221,0)</f>
        <v>0</v>
      </c>
      <c r="AS221" s="1036">
        <f t="shared" ref="AS221:AS226" si="573">IF(AM221="Insulation",N221,0)</f>
        <v>0</v>
      </c>
      <c r="AT221" s="1037">
        <f t="shared" ref="AT221:AT226" si="574">IF(AM221="Insulation",P221,0)</f>
        <v>0</v>
      </c>
      <c r="AU221" s="1037">
        <f t="shared" ref="AU221:AU226" si="575">IF(AM221="Insulation",Q221,0)</f>
        <v>0</v>
      </c>
      <c r="AV221" s="1038">
        <f t="shared" ref="AV221:AV226" si="576">IF(AM221="Insulation",S221,0)</f>
        <v>0</v>
      </c>
      <c r="AW221" s="1038">
        <f t="shared" ref="AW221:AW226" si="577">IF(AM221="Insulation",T221,0)</f>
        <v>0</v>
      </c>
      <c r="AX221" s="1036">
        <f t="shared" ref="AX221:AX226" si="578">IF(AM221="Revêtement",N221,0)</f>
        <v>0.23804140510217708</v>
      </c>
      <c r="AY221" s="1037">
        <f t="shared" ref="AY221:AY226" si="579">IF(AM221="Revêtement",P221,0)</f>
        <v>0.26625371978095363</v>
      </c>
      <c r="AZ221" s="1037">
        <f t="shared" ref="AZ221:AZ226" si="580">IF(AM221="Revêtement",Q221,0)</f>
        <v>2.8212314678776544E-2</v>
      </c>
      <c r="BA221" s="1037">
        <f t="shared" ref="BA221:BA226" si="581">IF(AM221="Revêtement",S221,0)</f>
        <v>0</v>
      </c>
      <c r="BB221" s="1038">
        <f t="shared" ref="BB221:BB226" si="582">IF(AM221="Revêtement",T221,0)</f>
        <v>0</v>
      </c>
      <c r="BC221" s="1036"/>
      <c r="BD221" s="1037"/>
      <c r="BE221" s="1037"/>
      <c r="BF221" s="1038"/>
      <c r="BG221" s="1036">
        <f t="shared" ref="BG221:BG226" si="583">IF($AM221="Structure", IF($I221="kg",$J221,0), 0)</f>
        <v>0</v>
      </c>
      <c r="BH221" s="1037">
        <f t="shared" ref="BH221:BH226" si="584">IF($AM221="Insulation", IF($I221="kg",$J221,0), 0)</f>
        <v>0</v>
      </c>
      <c r="BI221" s="1038">
        <f t="shared" ref="BI221:BI226" si="585">IF($AM221="Revêtement", IF($I221="kg",$J221,0), 0)</f>
        <v>1980.24</v>
      </c>
      <c r="BJ221" s="1037">
        <f>_xlfn.XLOOKUP(H221, 'Baumaterialien Matériaux'!A:A, 'Baumaterialien Matériaux'!E:E, "-", 0, 1)</f>
        <v>1850</v>
      </c>
      <c r="BK221" s="1036">
        <f t="shared" si="547"/>
        <v>0</v>
      </c>
      <c r="BL221" s="1037">
        <f t="shared" si="548"/>
        <v>0</v>
      </c>
      <c r="BM221" s="1038">
        <f t="shared" si="549"/>
        <v>1.0704</v>
      </c>
      <c r="BN221" s="1037">
        <f>IFERROR((J221*VLOOKUP(H221, 'Baumaterialien Matériaux'!$A$11:$AH$318, 33,FALSE)),0)/$G$1</f>
        <v>5.4220542273273671E-2</v>
      </c>
      <c r="BO221" s="1037">
        <f t="shared" ref="BO221:BO226" si="586">(BN221+BP221)*($L$2/L221-1)</f>
        <v>6.1427907038867365E-2</v>
      </c>
      <c r="BP221" s="1037">
        <f>IFERROR((J221*VLOOKUP(H221, 'Baumaterialien Matériaux'!$A$11:$AH$318, 34,FALSE)),0)/$G$1</f>
        <v>7.2073647655936952E-3</v>
      </c>
      <c r="BQ221" s="1037">
        <f t="shared" si="536"/>
        <v>0.25546875000000002</v>
      </c>
      <c r="BR221" s="1037"/>
    </row>
    <row r="222" spans="2:71">
      <c r="B222" s="1101"/>
      <c r="C222" s="1099"/>
      <c r="D222" s="478"/>
      <c r="E222" s="478"/>
      <c r="F222" s="478" t="s">
        <v>3019</v>
      </c>
      <c r="G222" s="478" t="str">
        <f>_xlfn.XLOOKUP(H222, 'Baumaterialien Matériaux'!A:A, 'Baumaterialien Matériaux'!AD:AD, "-", 0, 1)</f>
        <v>Polystyrène expansé (EPS)</v>
      </c>
      <c r="H222" s="892" t="s">
        <v>118</v>
      </c>
      <c r="I222" s="641" t="str">
        <f>_xlfn.XLOOKUP(H222, 'Baumaterialien Matériaux'!A:A, 'Baumaterialien Matériaux'!F:F, "-", 0, 1)</f>
        <v>kg</v>
      </c>
      <c r="J222" s="649">
        <f t="shared" ref="J222:J226" si="587">$J$220*K222</f>
        <v>6.69</v>
      </c>
      <c r="K222" s="893">
        <f>0.02*25</f>
        <v>0.5</v>
      </c>
      <c r="L222" s="647">
        <v>30</v>
      </c>
      <c r="M222" s="648">
        <f t="shared" si="564"/>
        <v>0.12800086817149725</v>
      </c>
      <c r="N222" s="720">
        <f>IFERROR(($J222*VLOOKUP($H222, 'Baumaterialien Matériaux'!$A$11:$AD$318, 26,FALSE)),0)/$G$1</f>
        <v>3.3582543074662748E-2</v>
      </c>
      <c r="O222" s="720">
        <f>IFERROR(($J222*VLOOKUP($H222, 'Baumaterialien Matériaux'!$A$11:$AH$318, 33,FALSE)),0)/$G$1</f>
        <v>1.4818017897689328E-2</v>
      </c>
      <c r="P222" s="720">
        <f t="shared" si="565"/>
        <v>5.6591425136903961E-2</v>
      </c>
      <c r="Q222" s="720">
        <f>IFERROR(($J222*VLOOKUP($H222, 'Baumaterialien Matériaux'!$A$11:$AD$318, 27,FALSE)),0)/$G$1</f>
        <v>2.3008882062241217E-2</v>
      </c>
      <c r="R222" s="720">
        <f>IFERROR(($J222*VLOOKUP($H222, 'Baumaterialien Matériaux'!$A$11:$AH$318, 34,FALSE)),0)/$G$1</f>
        <v>5.2570455456123948E-3</v>
      </c>
      <c r="S222" s="720">
        <f>IFERROR((J222*VLOOKUP(H222, 'Baumaterialien Matériaux'!$A$11:$AD$318, 29,FALSE)),0)/$G$1</f>
        <v>0</v>
      </c>
      <c r="T222" s="720"/>
      <c r="V222" s="638">
        <f t="shared" si="562"/>
        <v>0</v>
      </c>
      <c r="W222" s="638">
        <f t="shared" si="563"/>
        <v>0</v>
      </c>
      <c r="X222" s="638" t="s">
        <v>3407</v>
      </c>
      <c r="Z222" s="638">
        <f t="shared" si="526"/>
        <v>30</v>
      </c>
      <c r="AA222" s="647" t="s">
        <v>3463</v>
      </c>
      <c r="AB222" t="str">
        <f>_xlfn.XLOOKUP($H222,'[1]Baumaterialien Matériaux'!$A:$A,'[1]Baumaterialien Matériaux'!AK:AK,0,0)</f>
        <v>oil_product</v>
      </c>
      <c r="AC222" t="str" cm="1">
        <f t="array" ref="AC222">_xlfn.SWITCH(I222,"kg"," ",0," ",_xlfn.XLOOKUP(H222, '[1]Baumaterialien Matériaux'!$A:$A, '[1]Baumaterialien Matériaux'!$AL:$AL, "-", 0, 1))</f>
        <v xml:space="preserve"> </v>
      </c>
      <c r="AD222" s="622" cm="1">
        <f t="array" ref="AD222">IFERROR(_xlfn.SWITCH(I222,"kg",1,"m3",AC222,AC222)*J222/(_xlfn.XLOOKUP(AA222,Métrés!A:A,Métrés!C:C,0)),0)</f>
        <v>0.29892761394101874</v>
      </c>
      <c r="AE222" s="1092">
        <f>IFERROR(N222*$G$1/(_xlfn.XLOOKUP($AA222,Métrés!$A:$A,Métrés!$C:$C,0)),0)</f>
        <v>1.3481635388739945</v>
      </c>
      <c r="AF222" s="1092">
        <f>IFERROR(O222*$G$1/(_xlfn.XLOOKUP($AA222,Métrés!$A:$A,Métrés!$C:$C,0)),0)</f>
        <v>0.59486595174262724</v>
      </c>
      <c r="AG222" s="1092">
        <f>IFERROR(Q222*$G$1/(_xlfn.XLOOKUP($AA222,Métrés!$A:$A,Métrés!$C:$C,0)),0)</f>
        <v>0.92368632707774789</v>
      </c>
      <c r="AH222" s="1092">
        <f>IFERROR(R222*$G$1/(_xlfn.XLOOKUP($AA222,Métrés!$A:$A,Métrés!$C:$C,0)),0)</f>
        <v>0.21104289544235921</v>
      </c>
      <c r="AI222" s="1092">
        <f>IFERROR(S222*$G$1/(_xlfn.XLOOKUP($AA222,Métrés!$A:$A,Métrés!$C:$C,0)),0)</f>
        <v>0</v>
      </c>
      <c r="AJ222" s="1022"/>
      <c r="AK222" s="638">
        <f t="shared" si="566"/>
        <v>0</v>
      </c>
      <c r="AL222" s="638">
        <f t="shared" si="567"/>
        <v>0</v>
      </c>
      <c r="AM222" s="638" t="s">
        <v>3388</v>
      </c>
      <c r="AN222" s="1036">
        <f t="shared" si="568"/>
        <v>0</v>
      </c>
      <c r="AO222" s="1037">
        <f t="shared" si="569"/>
        <v>0</v>
      </c>
      <c r="AP222" s="1037">
        <f t="shared" si="570"/>
        <v>0</v>
      </c>
      <c r="AQ222" s="1038">
        <f t="shared" si="571"/>
        <v>0</v>
      </c>
      <c r="AR222" s="1038">
        <f t="shared" si="572"/>
        <v>0</v>
      </c>
      <c r="AS222" s="1036">
        <f t="shared" si="573"/>
        <v>3.3582543074662748E-2</v>
      </c>
      <c r="AT222" s="1037">
        <f t="shared" si="574"/>
        <v>5.6591425136903961E-2</v>
      </c>
      <c r="AU222" s="1037">
        <f t="shared" si="575"/>
        <v>2.3008882062241217E-2</v>
      </c>
      <c r="AV222" s="1038">
        <f t="shared" si="576"/>
        <v>0</v>
      </c>
      <c r="AW222" s="1038">
        <f t="shared" si="577"/>
        <v>0</v>
      </c>
      <c r="AX222" s="1036">
        <f t="shared" si="578"/>
        <v>0</v>
      </c>
      <c r="AY222" s="1037">
        <f t="shared" si="579"/>
        <v>0</v>
      </c>
      <c r="AZ222" s="1037">
        <f t="shared" si="580"/>
        <v>0</v>
      </c>
      <c r="BA222" s="1037">
        <f t="shared" si="581"/>
        <v>0</v>
      </c>
      <c r="BB222" s="1038">
        <f t="shared" si="582"/>
        <v>0</v>
      </c>
      <c r="BC222" s="1036"/>
      <c r="BD222" s="1037"/>
      <c r="BE222" s="1037"/>
      <c r="BF222" s="1038"/>
      <c r="BG222" s="1036">
        <f t="shared" si="583"/>
        <v>0</v>
      </c>
      <c r="BH222" s="1037">
        <f t="shared" si="584"/>
        <v>6.69</v>
      </c>
      <c r="BI222" s="1038">
        <f t="shared" si="585"/>
        <v>0</v>
      </c>
      <c r="BJ222" s="1037">
        <v>25</v>
      </c>
      <c r="BK222" s="1036">
        <f t="shared" si="547"/>
        <v>0</v>
      </c>
      <c r="BL222" s="1037">
        <f t="shared" si="548"/>
        <v>0.2676</v>
      </c>
      <c r="BM222" s="1038">
        <f t="shared" si="549"/>
        <v>0</v>
      </c>
      <c r="BN222" s="1037">
        <f>IFERROR((J222*VLOOKUP(H222, 'Baumaterialien Matériaux'!$A$11:$AH$318, 33,FALSE)),0)/$G$1</f>
        <v>1.4818017897689328E-2</v>
      </c>
      <c r="BO222" s="1037">
        <f t="shared" si="586"/>
        <v>2.0075063443301722E-2</v>
      </c>
      <c r="BP222" s="1037">
        <f>IFERROR((J222*VLOOKUP(H222, 'Baumaterialien Matériaux'!$A$11:$AH$318, 34,FALSE)),0)/$G$1</f>
        <v>5.2570455456123948E-3</v>
      </c>
      <c r="BQ222" s="1037">
        <f t="shared" si="536"/>
        <v>0.2284789644012945</v>
      </c>
      <c r="BR222" s="1037"/>
    </row>
    <row r="223" spans="2:71">
      <c r="B223" s="1101"/>
      <c r="C223" s="1099"/>
      <c r="D223" s="478"/>
      <c r="E223" s="478"/>
      <c r="F223" s="478" t="s">
        <v>3020</v>
      </c>
      <c r="G223" s="478" t="str">
        <f>_xlfn.XLOOKUP(H223, 'Baumaterialien Matériaux'!A:A, 'Baumaterialien Matériaux'!AD:AD, "-", 0, 1)</f>
        <v>Polystyrène expansé (EPS)</v>
      </c>
      <c r="H223" s="892" t="s">
        <v>118</v>
      </c>
      <c r="I223" s="641" t="str">
        <f>_xlfn.XLOOKUP(H223, 'Baumaterialien Matériaux'!A:A, 'Baumaterialien Matériaux'!F:F, "-", 0, 1)</f>
        <v>kg</v>
      </c>
      <c r="J223" s="649">
        <f t="shared" si="587"/>
        <v>4.0140000000000002</v>
      </c>
      <c r="K223" s="893">
        <f>0.02*15</f>
        <v>0.3</v>
      </c>
      <c r="L223" s="647">
        <v>30</v>
      </c>
      <c r="M223" s="648">
        <f t="shared" ref="M223:M225" si="588">SUM(N223:Q223)</f>
        <v>7.680052090289835E-2</v>
      </c>
      <c r="N223" s="720">
        <f>IFERROR(($J223*VLOOKUP($H223, 'Baumaterialien Matériaux'!$A$11:$AD$318, 26,FALSE)),0)/$G$1</f>
        <v>2.0149525844797646E-2</v>
      </c>
      <c r="O223" s="720">
        <f>IFERROR(($J223*VLOOKUP($H223, 'Baumaterialien Matériaux'!$A$11:$AH$318, 33,FALSE)),0)/$G$1</f>
        <v>8.8908107386135964E-3</v>
      </c>
      <c r="P223" s="720">
        <f t="shared" ref="P223:P225" si="589">IFERROR((N223+Q223)*($L$2/L223-1),0)</f>
        <v>3.3954855082142375E-2</v>
      </c>
      <c r="Q223" s="720">
        <f>IFERROR(($J223*VLOOKUP($H223, 'Baumaterialien Matériaux'!$A$11:$AD$318, 27,FALSE)),0)/$G$1</f>
        <v>1.3805329237344729E-2</v>
      </c>
      <c r="R223" s="720">
        <f>IFERROR(($J223*VLOOKUP($H223, 'Baumaterialien Matériaux'!$A$11:$AH$318, 34,FALSE)),0)/$G$1</f>
        <v>3.1542273273674364E-3</v>
      </c>
      <c r="S223" s="720">
        <f>IFERROR((J223*VLOOKUP(H223, 'Baumaterialien Matériaux'!$A$11:$AD$318, 29,FALSE)),0)/$G$1</f>
        <v>0</v>
      </c>
      <c r="T223" s="720"/>
      <c r="V223" s="638">
        <f t="shared" si="562"/>
        <v>0</v>
      </c>
      <c r="W223" s="638">
        <f t="shared" si="563"/>
        <v>0</v>
      </c>
      <c r="Z223" s="638">
        <f t="shared" si="526"/>
        <v>30</v>
      </c>
      <c r="AA223" s="647" t="s">
        <v>3463</v>
      </c>
      <c r="AB223" t="str">
        <f>_xlfn.XLOOKUP($H223,'[1]Baumaterialien Matériaux'!$A:$A,'[1]Baumaterialien Matériaux'!AK:AK,0,0)</f>
        <v>oil_product</v>
      </c>
      <c r="AC223" t="str" cm="1">
        <f t="array" ref="AC223">_xlfn.SWITCH(I223,"kg"," ",0," ",_xlfn.XLOOKUP(H223, '[1]Baumaterialien Matériaux'!$A:$A, '[1]Baumaterialien Matériaux'!$AL:$AL, "-", 0, 1))</f>
        <v xml:space="preserve"> </v>
      </c>
      <c r="AD223" s="622" cm="1">
        <f t="array" ref="AD223">IFERROR(_xlfn.SWITCH(I223,"kg",1,"m3",AC223,AC223)*J223/(_xlfn.XLOOKUP(AA223,Métrés!A:A,Métrés!C:C,0)),0)</f>
        <v>0.17935656836461125</v>
      </c>
      <c r="AE223" s="1092">
        <f>IFERROR(N223*$G$1/(_xlfn.XLOOKUP($AA223,Métrés!$A:$A,Métrés!$C:$C,0)),0)</f>
        <v>0.8088981233243967</v>
      </c>
      <c r="AF223" s="1092">
        <f>IFERROR(O223*$G$1/(_xlfn.XLOOKUP($AA223,Métrés!$A:$A,Métrés!$C:$C,0)),0)</f>
        <v>0.35691957104557637</v>
      </c>
      <c r="AG223" s="1092">
        <f>IFERROR(Q223*$G$1/(_xlfn.XLOOKUP($AA223,Métrés!$A:$A,Métrés!$C:$C,0)),0)</f>
        <v>0.55421179624664874</v>
      </c>
      <c r="AH223" s="1092">
        <f>IFERROR(R223*$G$1/(_xlfn.XLOOKUP($AA223,Métrés!$A:$A,Métrés!$C:$C,0)),0)</f>
        <v>0.12662573726541554</v>
      </c>
      <c r="AI223" s="1092">
        <f>IFERROR(S223*$G$1/(_xlfn.XLOOKUP($AA223,Métrés!$A:$A,Métrés!$C:$C,0)),0)</f>
        <v>0</v>
      </c>
      <c r="AJ223" s="1022"/>
      <c r="AK223" s="638">
        <f t="shared" si="566"/>
        <v>0</v>
      </c>
      <c r="AL223" s="638">
        <f t="shared" si="567"/>
        <v>0</v>
      </c>
      <c r="AM223" s="638" t="s">
        <v>3388</v>
      </c>
      <c r="AN223" s="1036">
        <f t="shared" si="568"/>
        <v>0</v>
      </c>
      <c r="AO223" s="1037">
        <f t="shared" si="569"/>
        <v>0</v>
      </c>
      <c r="AP223" s="1037">
        <f t="shared" si="570"/>
        <v>0</v>
      </c>
      <c r="AQ223" s="1038">
        <f t="shared" si="571"/>
        <v>0</v>
      </c>
      <c r="AR223" s="1038">
        <f t="shared" si="572"/>
        <v>0</v>
      </c>
      <c r="AS223" s="1036">
        <f t="shared" si="573"/>
        <v>2.0149525844797646E-2</v>
      </c>
      <c r="AT223" s="1037">
        <f t="shared" si="574"/>
        <v>3.3954855082142375E-2</v>
      </c>
      <c r="AU223" s="1037">
        <f t="shared" si="575"/>
        <v>1.3805329237344729E-2</v>
      </c>
      <c r="AV223" s="1038">
        <f t="shared" si="576"/>
        <v>0</v>
      </c>
      <c r="AW223" s="1038">
        <f t="shared" si="577"/>
        <v>0</v>
      </c>
      <c r="AX223" s="1036">
        <f t="shared" si="578"/>
        <v>0</v>
      </c>
      <c r="AY223" s="1037">
        <f t="shared" si="579"/>
        <v>0</v>
      </c>
      <c r="AZ223" s="1037">
        <f t="shared" si="580"/>
        <v>0</v>
      </c>
      <c r="BA223" s="1037">
        <f t="shared" si="581"/>
        <v>0</v>
      </c>
      <c r="BB223" s="1038">
        <f t="shared" si="582"/>
        <v>0</v>
      </c>
      <c r="BC223" s="1036"/>
      <c r="BD223" s="1037"/>
      <c r="BE223" s="1037"/>
      <c r="BF223" s="1038"/>
      <c r="BG223" s="1036">
        <f t="shared" si="583"/>
        <v>0</v>
      </c>
      <c r="BH223" s="1037">
        <f t="shared" si="584"/>
        <v>4.0140000000000002</v>
      </c>
      <c r="BI223" s="1038">
        <f t="shared" si="585"/>
        <v>0</v>
      </c>
      <c r="BJ223" s="1037">
        <v>15</v>
      </c>
      <c r="BK223" s="1036">
        <f t="shared" si="547"/>
        <v>0</v>
      </c>
      <c r="BL223" s="1037">
        <f t="shared" si="548"/>
        <v>0.2676</v>
      </c>
      <c r="BM223" s="1038">
        <f t="shared" si="549"/>
        <v>0</v>
      </c>
      <c r="BN223" s="1037">
        <f>IFERROR((J223*VLOOKUP(H223, 'Baumaterialien Matériaux'!$A$11:$AH$318, 33,FALSE)),0)/$G$1</f>
        <v>8.8908107386135964E-3</v>
      </c>
      <c r="BO223" s="1037">
        <f t="shared" si="586"/>
        <v>1.2045038065981032E-2</v>
      </c>
      <c r="BP223" s="1037">
        <f>IFERROR((J223*VLOOKUP(H223, 'Baumaterialien Matériaux'!$A$11:$AH$318, 34,FALSE)),0)/$G$1</f>
        <v>3.1542273273674364E-3</v>
      </c>
      <c r="BQ223" s="1037">
        <f t="shared" si="536"/>
        <v>0.2284789644012945</v>
      </c>
      <c r="BR223" s="1037"/>
    </row>
    <row r="224" spans="2:71">
      <c r="B224" s="1101"/>
      <c r="C224" s="1099"/>
      <c r="D224" s="478"/>
      <c r="E224" s="478"/>
      <c r="F224" s="483" t="s">
        <v>3007</v>
      </c>
      <c r="G224" s="478" t="str">
        <f>_xlfn.XLOOKUP(H224, 'Baumaterialien Matériaux'!A:A, 'Baumaterialien Matériaux'!AD:AD, "-", 0, 1)</f>
        <v>Béton pour bâtiment (sans armature)</v>
      </c>
      <c r="H224" s="891">
        <v>1.0019999999999998</v>
      </c>
      <c r="I224" s="641" t="str">
        <f>_xlfn.XLOOKUP(H224, 'Baumaterialien Matériaux'!A:A, 'Baumaterialien Matériaux'!F:F, "-", 0, 1)</f>
        <v>kg</v>
      </c>
      <c r="J224" s="649">
        <f t="shared" si="587"/>
        <v>7385.76</v>
      </c>
      <c r="K224" s="893">
        <f>0.24*2300</f>
        <v>552</v>
      </c>
      <c r="L224" s="647">
        <v>60</v>
      </c>
      <c r="M224" s="648">
        <f t="shared" si="588"/>
        <v>1.0053853880058767</v>
      </c>
      <c r="N224" s="720">
        <f>IFERROR(($J224*VLOOKUP($H224, 'Baumaterialien Matériaux'!$A$11:$AD$318, 26,FALSE)),0)/$G$1</f>
        <v>0.72999364231334307</v>
      </c>
      <c r="O224" s="720">
        <f>IFERROR(($J224*VLOOKUP($H224, 'Baumaterialien Matériaux'!$A$11:$AH$318, 33,FALSE)),0)/$G$1</f>
        <v>0.17098950180312542</v>
      </c>
      <c r="P224" s="720">
        <f t="shared" si="589"/>
        <v>0</v>
      </c>
      <c r="Q224" s="720">
        <f>IFERROR(($J224*VLOOKUP($H224, 'Baumaterialien Matériaux'!$A$11:$AD$318, 27,FALSE)),0)/$G$1</f>
        <v>0.10440224388940829</v>
      </c>
      <c r="R224" s="720">
        <f>IFERROR(($J224*VLOOKUP($H224, 'Baumaterialien Matériaux'!$A$11:$AH$318, 34,FALSE)),0)/$G$1</f>
        <v>2.2031339655402698E-2</v>
      </c>
      <c r="S224" s="720">
        <f>IFERROR((J224*VLOOKUP(H224, 'Baumaterialien Matériaux'!$A$11:$AD$318, 29,FALSE)),0)/$G$1</f>
        <v>0</v>
      </c>
      <c r="T224" s="720"/>
      <c r="V224" s="638">
        <f t="shared" si="562"/>
        <v>0</v>
      </c>
      <c r="W224" s="638">
        <f t="shared" si="563"/>
        <v>0</v>
      </c>
      <c r="Z224" s="638">
        <f t="shared" si="526"/>
        <v>60</v>
      </c>
      <c r="AA224" s="647" t="s">
        <v>3463</v>
      </c>
      <c r="AB224" t="str">
        <f>_xlfn.XLOOKUP($H224,'[1]Baumaterialien Matériaux'!$A:$A,'[1]Baumaterialien Matériaux'!AK:AK,0,0)</f>
        <v>concrete</v>
      </c>
      <c r="AC224" t="str" cm="1">
        <f t="array" ref="AC224">_xlfn.SWITCH(I224,"kg"," ",0," ",_xlfn.XLOOKUP(H224, '[1]Baumaterialien Matériaux'!$A:$A, '[1]Baumaterialien Matériaux'!$AL:$AL, "-", 0, 1))</f>
        <v xml:space="preserve"> </v>
      </c>
      <c r="AD224" s="622" cm="1">
        <f t="array" ref="AD224">IFERROR(_xlfn.SWITCH(I224,"kg",1,"m3",AC224,AC224)*J224/(_xlfn.XLOOKUP(AA224,Métrés!A:A,Métrés!C:C,0)),0)</f>
        <v>330.01608579088469</v>
      </c>
      <c r="AE224" s="1092">
        <f>IFERROR(N224*$G$1/(_xlfn.XLOOKUP($AA224,Métrés!$A:$A,Métrés!$C:$C,0)),0)</f>
        <v>29.305428418230562</v>
      </c>
      <c r="AF224" s="1092">
        <f>IFERROR(O224*$G$1/(_xlfn.XLOOKUP($AA224,Métrés!$A:$A,Métrés!$C:$C,0)),0)</f>
        <v>6.8643345844504013</v>
      </c>
      <c r="AG224" s="1092">
        <f>IFERROR(Q224*$G$1/(_xlfn.XLOOKUP($AA224,Métrés!$A:$A,Métrés!$C:$C,0)),0)</f>
        <v>4.1912042895442347</v>
      </c>
      <c r="AH224" s="1092">
        <f>IFERROR(R224*$G$1/(_xlfn.XLOOKUP($AA224,Métrés!$A:$A,Métrés!$C:$C,0)),0)</f>
        <v>0.88444310991957098</v>
      </c>
      <c r="AI224" s="1092">
        <f>IFERROR(S224*$G$1/(_xlfn.XLOOKUP($AA224,Métrés!$A:$A,Métrés!$C:$C,0)),0)</f>
        <v>0</v>
      </c>
      <c r="AJ224" s="1022"/>
      <c r="AK224" s="638">
        <f t="shared" si="566"/>
        <v>0</v>
      </c>
      <c r="AL224" s="638">
        <f t="shared" si="567"/>
        <v>0</v>
      </c>
      <c r="AM224" s="638" t="str">
        <f>IF(L224=$L$2, "Structure", IF(L224&gt;0,"Revêtement",0))</f>
        <v>Structure</v>
      </c>
      <c r="AN224" s="1036">
        <f t="shared" si="568"/>
        <v>0.72999364231334307</v>
      </c>
      <c r="AO224" s="1037">
        <f t="shared" si="569"/>
        <v>0</v>
      </c>
      <c r="AP224" s="1037">
        <f t="shared" si="570"/>
        <v>0.10440224388940829</v>
      </c>
      <c r="AQ224" s="1038">
        <f t="shared" si="571"/>
        <v>0</v>
      </c>
      <c r="AR224" s="1038">
        <f t="shared" si="572"/>
        <v>0</v>
      </c>
      <c r="AS224" s="1036">
        <f t="shared" si="573"/>
        <v>0</v>
      </c>
      <c r="AT224" s="1037">
        <f t="shared" si="574"/>
        <v>0</v>
      </c>
      <c r="AU224" s="1037">
        <f t="shared" si="575"/>
        <v>0</v>
      </c>
      <c r="AV224" s="1038">
        <f t="shared" si="576"/>
        <v>0</v>
      </c>
      <c r="AW224" s="1038">
        <f t="shared" si="577"/>
        <v>0</v>
      </c>
      <c r="AX224" s="1036">
        <f t="shared" si="578"/>
        <v>0</v>
      </c>
      <c r="AY224" s="1037">
        <f t="shared" si="579"/>
        <v>0</v>
      </c>
      <c r="AZ224" s="1037">
        <f t="shared" si="580"/>
        <v>0</v>
      </c>
      <c r="BA224" s="1037">
        <f t="shared" si="581"/>
        <v>0</v>
      </c>
      <c r="BB224" s="1038">
        <f t="shared" si="582"/>
        <v>0</v>
      </c>
      <c r="BC224" s="1036"/>
      <c r="BD224" s="1037"/>
      <c r="BE224" s="1037"/>
      <c r="BF224" s="1038"/>
      <c r="BG224" s="1036">
        <f t="shared" si="583"/>
        <v>7385.76</v>
      </c>
      <c r="BH224" s="1037">
        <f t="shared" si="584"/>
        <v>0</v>
      </c>
      <c r="BI224" s="1038">
        <f t="shared" si="585"/>
        <v>0</v>
      </c>
      <c r="BJ224" s="1037">
        <f>_xlfn.XLOOKUP(H224, 'Baumaterialien Matériaux'!A:A, 'Baumaterialien Matériaux'!E:E, "-", 0, 1)</f>
        <v>2300</v>
      </c>
      <c r="BK224" s="1036">
        <f t="shared" si="547"/>
        <v>3.2112000000000003</v>
      </c>
      <c r="BL224" s="1037">
        <f t="shared" si="548"/>
        <v>0</v>
      </c>
      <c r="BM224" s="1038">
        <f t="shared" si="549"/>
        <v>0</v>
      </c>
      <c r="BN224" s="1037">
        <f>IFERROR((J224*VLOOKUP(H224, 'Baumaterialien Matériaux'!$A$11:$AH$318, 33,FALSE)),0)/$G$1</f>
        <v>0.17098950180312542</v>
      </c>
      <c r="BO224" s="1037">
        <f t="shared" si="586"/>
        <v>0</v>
      </c>
      <c r="BP224" s="1037">
        <f>IFERROR((J224*VLOOKUP(H224, 'Baumaterialien Matériaux'!$A$11:$AH$318, 34,FALSE)),0)/$G$1</f>
        <v>2.2031339655402698E-2</v>
      </c>
      <c r="BQ224" s="1037">
        <f t="shared" si="536"/>
        <v>0.21102362204724412</v>
      </c>
      <c r="BR224" s="1037"/>
    </row>
    <row r="225" spans="2:70">
      <c r="B225" s="1101"/>
      <c r="C225" s="1099"/>
      <c r="D225" s="478"/>
      <c r="E225" s="478"/>
      <c r="F225" s="638" t="s">
        <v>3008</v>
      </c>
      <c r="G225" s="478" t="str">
        <f>_xlfn.XLOOKUP(H225, 'Baumaterialien Matériaux'!A:A, 'Baumaterialien Matériaux'!AD:AD, "-", 0, 1)</f>
        <v>Acier d'armature</v>
      </c>
      <c r="H225" s="892" t="s">
        <v>497</v>
      </c>
      <c r="I225" s="641" t="str">
        <f>_xlfn.XLOOKUP(H225, 'Baumaterialien Matériaux'!A:A, 'Baumaterialien Matériaux'!F:F, "-", 0, 1)</f>
        <v>kg</v>
      </c>
      <c r="J225" s="649">
        <f t="shared" si="587"/>
        <v>481.68</v>
      </c>
      <c r="K225" s="894">
        <f>0.24*150</f>
        <v>36</v>
      </c>
      <c r="L225" s="647">
        <v>60</v>
      </c>
      <c r="M225" s="648">
        <f t="shared" si="588"/>
        <v>0.96685556297582465</v>
      </c>
      <c r="N225" s="720">
        <f>IFERROR(($J225*VLOOKUP($H225, 'Baumaterialien Matériaux'!$A$11:$AD$318, 26,FALSE)),0)/$G$1</f>
        <v>0.80419393615600365</v>
      </c>
      <c r="O225" s="720">
        <f>IFERROR(($J225*VLOOKUP($H225, 'Baumaterialien Matériaux'!$A$11:$AH$318, 33,FALSE)),0)/$G$1</f>
        <v>0.15601362361426471</v>
      </c>
      <c r="P225" s="720">
        <f t="shared" si="589"/>
        <v>0</v>
      </c>
      <c r="Q225" s="720">
        <f>IFERROR(($J225*VLOOKUP($H225, 'Baumaterialien Matériaux'!$A$11:$AD$318, 27,FALSE)),0)/$G$1</f>
        <v>6.6480032055562964E-3</v>
      </c>
      <c r="R225" s="720">
        <f>IFERROR(($J225*VLOOKUP($H225, 'Baumaterialien Matériaux'!$A$11:$AH$318, 34,FALSE)),0)/$G$1</f>
        <v>0</v>
      </c>
      <c r="S225" s="720">
        <f>IFERROR((J225*VLOOKUP(H225, 'Baumaterialien Matériaux'!$A$11:$AD$318, 29,FALSE)),0)/$G$1</f>
        <v>0</v>
      </c>
      <c r="T225" s="720"/>
      <c r="V225" s="638">
        <f t="shared" si="562"/>
        <v>0</v>
      </c>
      <c r="W225" s="638">
        <f t="shared" si="563"/>
        <v>0</v>
      </c>
      <c r="Z225" s="638">
        <f t="shared" si="526"/>
        <v>60</v>
      </c>
      <c r="AA225" s="647" t="s">
        <v>3463</v>
      </c>
      <c r="AB225" t="str">
        <f>_xlfn.XLOOKUP($H225,'[1]Baumaterialien Matériaux'!$A:$A,'[1]Baumaterialien Matériaux'!AK:AK,0,0)</f>
        <v>metal</v>
      </c>
      <c r="AC225" t="str" cm="1">
        <f t="array" ref="AC225">_xlfn.SWITCH(I225,"kg"," ",0," ",_xlfn.XLOOKUP(H225, '[1]Baumaterialien Matériaux'!$A:$A, '[1]Baumaterialien Matériaux'!$AL:$AL, "-", 0, 1))</f>
        <v xml:space="preserve"> </v>
      </c>
      <c r="AD225" s="622" cm="1">
        <f t="array" ref="AD225">IFERROR(_xlfn.SWITCH(I225,"kg",1,"m3",AC225,AC225)*J225/(_xlfn.XLOOKUP(AA225,Métrés!A:A,Métrés!C:C,0)),0)</f>
        <v>21.52278820375335</v>
      </c>
      <c r="AE225" s="1092">
        <f>IFERROR(N225*$G$1/(_xlfn.XLOOKUP($AA225,Métrés!$A:$A,Métrés!$C:$C,0)),0)</f>
        <v>32.284182305630026</v>
      </c>
      <c r="AF225" s="1092">
        <f>IFERROR(O225*$G$1/(_xlfn.XLOOKUP($AA225,Métrés!$A:$A,Métrés!$C:$C,0)),0)</f>
        <v>6.2631313672922246</v>
      </c>
      <c r="AG225" s="1092">
        <f>IFERROR(Q225*$G$1/(_xlfn.XLOOKUP($AA225,Métrés!$A:$A,Métrés!$C:$C,0)),0)</f>
        <v>0.26688257372654151</v>
      </c>
      <c r="AH225" s="1092">
        <f>IFERROR(R225*$G$1/(_xlfn.XLOOKUP($AA225,Métrés!$A:$A,Métrés!$C:$C,0)),0)</f>
        <v>0</v>
      </c>
      <c r="AI225" s="1092">
        <f>IFERROR(S225*$G$1/(_xlfn.XLOOKUP($AA225,Métrés!$A:$A,Métrés!$C:$C,0)),0)</f>
        <v>0</v>
      </c>
      <c r="AJ225" s="1022"/>
      <c r="AK225" s="638">
        <f t="shared" si="566"/>
        <v>0</v>
      </c>
      <c r="AL225" s="638">
        <f t="shared" si="567"/>
        <v>0</v>
      </c>
      <c r="AM225" s="638" t="str">
        <f>IF(L225=$L$2, "Structure", IF(L225&gt;0,"Revêtement",0))</f>
        <v>Structure</v>
      </c>
      <c r="AN225" s="1036">
        <f t="shared" si="568"/>
        <v>0.80419393615600365</v>
      </c>
      <c r="AO225" s="1037">
        <f t="shared" si="569"/>
        <v>0</v>
      </c>
      <c r="AP225" s="1037">
        <f t="shared" si="570"/>
        <v>6.6480032055562964E-3</v>
      </c>
      <c r="AQ225" s="1038">
        <f t="shared" si="571"/>
        <v>0</v>
      </c>
      <c r="AR225" s="1038">
        <f t="shared" si="572"/>
        <v>0</v>
      </c>
      <c r="AS225" s="1036">
        <f t="shared" si="573"/>
        <v>0</v>
      </c>
      <c r="AT225" s="1037">
        <f t="shared" si="574"/>
        <v>0</v>
      </c>
      <c r="AU225" s="1037">
        <f t="shared" si="575"/>
        <v>0</v>
      </c>
      <c r="AV225" s="1038">
        <f t="shared" si="576"/>
        <v>0</v>
      </c>
      <c r="AW225" s="1038">
        <f t="shared" si="577"/>
        <v>0</v>
      </c>
      <c r="AX225" s="1036">
        <f t="shared" si="578"/>
        <v>0</v>
      </c>
      <c r="AY225" s="1037">
        <f t="shared" si="579"/>
        <v>0</v>
      </c>
      <c r="AZ225" s="1037">
        <f t="shared" si="580"/>
        <v>0</v>
      </c>
      <c r="BA225" s="1037">
        <f t="shared" si="581"/>
        <v>0</v>
      </c>
      <c r="BB225" s="1038">
        <f t="shared" si="582"/>
        <v>0</v>
      </c>
      <c r="BC225" s="1036"/>
      <c r="BD225" s="1037"/>
      <c r="BE225" s="1037"/>
      <c r="BF225" s="1038"/>
      <c r="BG225" s="1036">
        <f t="shared" si="583"/>
        <v>481.68</v>
      </c>
      <c r="BH225" s="1037">
        <f t="shared" si="584"/>
        <v>0</v>
      </c>
      <c r="BI225" s="1038">
        <f t="shared" si="585"/>
        <v>0</v>
      </c>
      <c r="BJ225" s="1037">
        <f>_xlfn.XLOOKUP(H225, 'Baumaterialien Matériaux'!A:A, 'Baumaterialien Matériaux'!E:E, "-", 0, 1)</f>
        <v>7850</v>
      </c>
      <c r="BK225" s="1036">
        <f t="shared" si="547"/>
        <v>6.136050955414013E-2</v>
      </c>
      <c r="BL225" s="1037">
        <f t="shared" si="548"/>
        <v>0</v>
      </c>
      <c r="BM225" s="1038">
        <f t="shared" si="549"/>
        <v>0</v>
      </c>
      <c r="BN225" s="1037">
        <f>IFERROR((J225*VLOOKUP(H225, 'Baumaterialien Matériaux'!$A$11:$AH$318, 33,FALSE)),0)/$G$1</f>
        <v>0.15601362361426471</v>
      </c>
      <c r="BO225" s="1037">
        <f t="shared" si="586"/>
        <v>0</v>
      </c>
      <c r="BP225" s="1037">
        <f>IFERROR((J225*VLOOKUP(H225, 'Baumaterialien Matériaux'!$A$11:$AH$318, 34,FALSE)),0)/$G$1</f>
        <v>0</v>
      </c>
      <c r="BQ225" s="1037">
        <f t="shared" si="536"/>
        <v>0</v>
      </c>
      <c r="BR225" s="1037"/>
    </row>
    <row r="226" spans="2:70">
      <c r="B226" s="1101"/>
      <c r="C226" s="1099"/>
      <c r="D226" s="478"/>
      <c r="E226" s="478"/>
      <c r="F226" s="483" t="s">
        <v>3009</v>
      </c>
      <c r="G226" s="478" t="str">
        <f>_xlfn.XLOOKUP(H226, 'Baumaterialien Matériaux'!A:A, 'Baumaterialien Matériaux'!AD:AD, "-", 0, 1)</f>
        <v>Plaque de plâtre cartonnée</v>
      </c>
      <c r="H226" s="892" t="s">
        <v>107</v>
      </c>
      <c r="I226" s="641" t="str">
        <f>_xlfn.XLOOKUP(H226, 'Baumaterialien Matériaux'!A:A, 'Baumaterialien Matériaux'!F:F, "-", 0, 1)</f>
        <v>kg</v>
      </c>
      <c r="J226" s="649">
        <f t="shared" si="587"/>
        <v>113.73</v>
      </c>
      <c r="K226" s="894">
        <f>0.01*850</f>
        <v>8.5</v>
      </c>
      <c r="L226" s="647">
        <v>30</v>
      </c>
      <c r="M226" s="648">
        <f t="shared" ref="M226" si="590">SUM(N226:Q226)</f>
        <v>9.9091585414718825E-2</v>
      </c>
      <c r="N226" s="720">
        <f>IFERROR(($J226*VLOOKUP($H226, 'Baumaterialien Matériaux'!$A$11:$AD$318, 26,FALSE)),0)/$G$1</f>
        <v>3.5823861359690123E-2</v>
      </c>
      <c r="O226" s="720">
        <f>IFERROR(($J226*VLOOKUP($H226, 'Baumaterialien Matériaux'!$A$11:$AH$318, 33,FALSE)),0)/$G$1</f>
        <v>2.2658908775210363E-2</v>
      </c>
      <c r="P226" s="720">
        <f t="shared" ref="P226" si="591">IFERROR((N226+Q226)*($L$2/L226-1),0)</f>
        <v>3.8216338319754233E-2</v>
      </c>
      <c r="Q226" s="720">
        <f>IFERROR(($J226*VLOOKUP($H226, 'Baumaterialien Matériaux'!$A$11:$AD$318, 27,FALSE)),0)/$G$1</f>
        <v>2.3924769600641113E-3</v>
      </c>
      <c r="R226" s="720">
        <f>IFERROR(($J226*VLOOKUP($H226, 'Baumaterialien Matériaux'!$A$11:$AH$318, 34,FALSE)),0)/$G$1</f>
        <v>4.1646821156671561E-4</v>
      </c>
      <c r="S226" s="720">
        <f>IFERROR((J226*VLOOKUP(H226, 'Baumaterialien Matériaux'!$A$11:$AD$318, 29,FALSE)),0)/$G$1</f>
        <v>8.3546814478429252E-3</v>
      </c>
      <c r="T226" s="720">
        <f>S226*AJ226</f>
        <v>8.3546814478429256E-5</v>
      </c>
      <c r="V226" s="638">
        <f t="shared" si="562"/>
        <v>8.3546814478429256E-5</v>
      </c>
      <c r="W226" s="638">
        <f t="shared" si="563"/>
        <v>8.3546814478429252E-3</v>
      </c>
      <c r="Z226" s="638">
        <f t="shared" si="526"/>
        <v>30</v>
      </c>
      <c r="AA226" s="647" t="s">
        <v>3463</v>
      </c>
      <c r="AB226" t="str">
        <f>_xlfn.XLOOKUP($H226,'[1]Baumaterialien Matériaux'!$A:$A,'[1]Baumaterialien Matériaux'!AK:AK,0,0)</f>
        <v>gypsum</v>
      </c>
      <c r="AC226" t="str" cm="1">
        <f t="array" ref="AC226">_xlfn.SWITCH(I226,"kg"," ",0," ",_xlfn.XLOOKUP(H226, '[1]Baumaterialien Matériaux'!$A:$A, '[1]Baumaterialien Matériaux'!$AL:$AL, "-", 0, 1))</f>
        <v xml:space="preserve"> </v>
      </c>
      <c r="AD226" s="622" cm="1">
        <f t="array" ref="AD226">IFERROR(_xlfn.SWITCH(I226,"kg",1,"m3",AC226,AC226)*J226/(_xlfn.XLOOKUP(AA226,Métrés!A:A,Métrés!C:C,0)),0)</f>
        <v>5.0817694369973188</v>
      </c>
      <c r="AE226" s="1092">
        <f>IFERROR(N226*$G$1/(_xlfn.XLOOKUP($AA226,Métrés!$A:$A,Métrés!$C:$C,0)),0)</f>
        <v>1.4381407506702411</v>
      </c>
      <c r="AF226" s="1092">
        <f>IFERROR(O226*$G$1/(_xlfn.XLOOKUP($AA226,Métrés!$A:$A,Métrés!$C:$C,0)),0)</f>
        <v>0.90963672922251992</v>
      </c>
      <c r="AG226" s="1092">
        <f>IFERROR(Q226*$G$1/(_xlfn.XLOOKUP($AA226,Métrés!$A:$A,Métrés!$C:$C,0)),0)</f>
        <v>9.6045442359249333E-2</v>
      </c>
      <c r="AH226" s="1092">
        <f>IFERROR(R226*$G$1/(_xlfn.XLOOKUP($AA226,Métrés!$A:$A,Métrés!$C:$C,0)),0)</f>
        <v>1.6719021447721177E-2</v>
      </c>
      <c r="AI226" s="1092">
        <f>IFERROR(S226*$G$1/(_xlfn.XLOOKUP($AA226,Métrés!$A:$A,Métrés!$C:$C,0)),0)</f>
        <v>0.33539678284182295</v>
      </c>
      <c r="AJ226" s="1022">
        <v>0.01</v>
      </c>
      <c r="AK226" s="1031">
        <f t="shared" si="566"/>
        <v>8.3546814478429256E-5</v>
      </c>
      <c r="AL226" s="638">
        <f t="shared" si="567"/>
        <v>8.3546814478429252E-3</v>
      </c>
      <c r="AM226" s="638" t="str">
        <f>IF(L226=$L$2, "Structure", IF(L226&gt;0,"Revêtement",0))</f>
        <v>Revêtement</v>
      </c>
      <c r="AN226" s="1036">
        <f t="shared" si="568"/>
        <v>0</v>
      </c>
      <c r="AO226" s="1037">
        <f t="shared" si="569"/>
        <v>0</v>
      </c>
      <c r="AP226" s="1037">
        <f t="shared" si="570"/>
        <v>0</v>
      </c>
      <c r="AQ226" s="1038">
        <f t="shared" si="571"/>
        <v>0</v>
      </c>
      <c r="AR226" s="1038">
        <f t="shared" si="572"/>
        <v>0</v>
      </c>
      <c r="AS226" s="1036">
        <f t="shared" si="573"/>
        <v>0</v>
      </c>
      <c r="AT226" s="1037">
        <f t="shared" si="574"/>
        <v>0</v>
      </c>
      <c r="AU226" s="1037">
        <f t="shared" si="575"/>
        <v>0</v>
      </c>
      <c r="AV226" s="1038">
        <f t="shared" si="576"/>
        <v>0</v>
      </c>
      <c r="AW226" s="1038">
        <f t="shared" si="577"/>
        <v>0</v>
      </c>
      <c r="AX226" s="1036">
        <f t="shared" si="578"/>
        <v>3.5823861359690123E-2</v>
      </c>
      <c r="AY226" s="1037">
        <f t="shared" si="579"/>
        <v>3.8216338319754233E-2</v>
      </c>
      <c r="AZ226" s="1037">
        <f t="shared" si="580"/>
        <v>2.3924769600641113E-3</v>
      </c>
      <c r="BA226" s="1037">
        <f t="shared" si="581"/>
        <v>8.3546814478429252E-3</v>
      </c>
      <c r="BB226" s="1038">
        <f t="shared" si="582"/>
        <v>8.3546814478429256E-5</v>
      </c>
      <c r="BC226" s="1036"/>
      <c r="BD226" s="1037"/>
      <c r="BE226" s="1037"/>
      <c r="BF226" s="1038"/>
      <c r="BG226" s="1036">
        <f t="shared" si="583"/>
        <v>0</v>
      </c>
      <c r="BH226" s="1037">
        <f t="shared" si="584"/>
        <v>0</v>
      </c>
      <c r="BI226" s="1038">
        <f t="shared" si="585"/>
        <v>113.73</v>
      </c>
      <c r="BJ226" s="1037">
        <f>_xlfn.XLOOKUP(H226, 'Baumaterialien Matériaux'!A:A, 'Baumaterialien Matériaux'!E:E, "-", 0, 1)</f>
        <v>850</v>
      </c>
      <c r="BK226" s="1036">
        <f t="shared" si="547"/>
        <v>0</v>
      </c>
      <c r="BL226" s="1037">
        <f t="shared" si="548"/>
        <v>0</v>
      </c>
      <c r="BM226" s="1038">
        <f t="shared" si="549"/>
        <v>0.1338</v>
      </c>
      <c r="BN226" s="1037">
        <f>IFERROR((J226*VLOOKUP(H226, 'Baumaterialien Matériaux'!$A$11:$AH$318, 33,FALSE)),0)/$G$1</f>
        <v>2.2658908775210363E-2</v>
      </c>
      <c r="BO226" s="1037">
        <f t="shared" si="586"/>
        <v>2.3075376986777078E-2</v>
      </c>
      <c r="BP226" s="1037">
        <f>IFERROR((J226*VLOOKUP(H226, 'Baumaterialien Matériaux'!$A$11:$AH$318, 34,FALSE)),0)/$G$1</f>
        <v>4.1646821156671561E-4</v>
      </c>
      <c r="BQ226" s="1037">
        <f t="shared" si="536"/>
        <v>0.17407407407407405</v>
      </c>
      <c r="BR226" s="1037"/>
    </row>
    <row r="227" spans="2:70">
      <c r="B227" s="1101"/>
      <c r="C227" s="1099"/>
      <c r="D227" s="478"/>
      <c r="E227" s="478"/>
      <c r="F227" s="479" t="s">
        <v>3061</v>
      </c>
      <c r="G227" s="479"/>
      <c r="H227" s="479"/>
      <c r="I227" s="459" t="s">
        <v>39</v>
      </c>
      <c r="J227" s="876">
        <v>9</v>
      </c>
      <c r="K227" s="663"/>
      <c r="L227" s="663"/>
      <c r="M227" s="664">
        <f>SUM(M228:M229)</f>
        <v>5.5275811406437825</v>
      </c>
      <c r="N227" s="664">
        <f t="shared" ref="N227:T227" si="592">SUM(N228:N229)</f>
        <v>4.2998530786696936</v>
      </c>
      <c r="O227" s="664">
        <f t="shared" ref="O227" si="593">SUM(O228:O229)</f>
        <v>0.9164885802056898</v>
      </c>
      <c r="P227" s="664">
        <f t="shared" si="592"/>
        <v>0</v>
      </c>
      <c r="Q227" s="664">
        <f t="shared" si="592"/>
        <v>0.3112394817683985</v>
      </c>
      <c r="R227" s="664">
        <f t="shared" ref="R227" si="594">SUM(R228:R229)</f>
        <v>6.1747028182182445E-2</v>
      </c>
      <c r="S227" s="664">
        <f t="shared" si="592"/>
        <v>0</v>
      </c>
      <c r="T227" s="664">
        <f t="shared" si="592"/>
        <v>0</v>
      </c>
      <c r="V227" s="638">
        <f t="shared" si="562"/>
        <v>0</v>
      </c>
      <c r="W227" s="638">
        <f t="shared" si="563"/>
        <v>0</v>
      </c>
      <c r="Z227" s="638">
        <f t="shared" si="526"/>
        <v>0</v>
      </c>
      <c r="AA227" s="647" t="s">
        <v>3463</v>
      </c>
      <c r="AB227">
        <f>_xlfn.XLOOKUP($H227,'[1]Baumaterialien Matériaux'!$A:$A,'[1]Baumaterialien Matériaux'!AK:AK,0,0)</f>
        <v>0</v>
      </c>
      <c r="AC227" cm="1">
        <f t="array" ref="AC227">_xlfn.SWITCH(I227,"kg"," ",0," ",_xlfn.XLOOKUP(H227, '[1]Baumaterialien Matériaux'!$A:$A, '[1]Baumaterialien Matériaux'!$AL:$AL, "-", 0, 1))</f>
        <v>0</v>
      </c>
      <c r="AD227" s="622" cm="1">
        <f t="array" ref="AD227">IFERROR(_xlfn.SWITCH(I227,"kg",1,"m3",AC227,AC227)*J227/(_xlfn.XLOOKUP(AA227,Métrés!A:A,Métrés!C:C,0)),0)</f>
        <v>0</v>
      </c>
      <c r="AE227" s="1092">
        <f>IFERROR(N227*$G$1/(_xlfn.XLOOKUP($AA227,Métrés!$A:$A,Métrés!$C:$C,0)),0)</f>
        <v>172.61662198391417</v>
      </c>
      <c r="AF227" s="1092">
        <f>IFERROR(O227*$G$1/(_xlfn.XLOOKUP($AA227,Métrés!$A:$A,Métrés!$C:$C,0)),0)</f>
        <v>36.792225201072384</v>
      </c>
      <c r="AG227" s="1092">
        <f>IFERROR(Q227*$G$1/(_xlfn.XLOOKUP($AA227,Métrés!$A:$A,Métrés!$C:$C,0)),0)</f>
        <v>12.49463806970509</v>
      </c>
      <c r="AH227" s="1092">
        <f>IFERROR(R227*$G$1/(_xlfn.XLOOKUP($AA227,Métrés!$A:$A,Métrés!$C:$C,0)),0)</f>
        <v>2.4788203753351201</v>
      </c>
      <c r="AI227" s="1092">
        <f>IFERROR(S227*$G$1/(_xlfn.XLOOKUP($AA227,Métrés!$A:$A,Métrés!$C:$C,0)),0)</f>
        <v>0</v>
      </c>
      <c r="AJ227" s="1021"/>
      <c r="AK227" s="1021"/>
      <c r="AL227" s="1021"/>
      <c r="AM227" s="1021"/>
      <c r="AN227" s="1057"/>
      <c r="AO227" s="1021"/>
      <c r="AP227" s="1021"/>
      <c r="AQ227" s="1021"/>
      <c r="AR227" s="1058"/>
      <c r="AS227" s="1057"/>
      <c r="AT227" s="1021"/>
      <c r="AU227" s="1021"/>
      <c r="AV227" s="1021"/>
      <c r="AW227" s="1058"/>
      <c r="AX227" s="1057"/>
      <c r="AY227" s="1021"/>
      <c r="AZ227" s="1021"/>
      <c r="BA227" s="1021"/>
      <c r="BB227" s="1058"/>
      <c r="BC227" s="1057"/>
      <c r="BD227" s="1021"/>
      <c r="BE227" s="1021"/>
      <c r="BF227" s="1058"/>
      <c r="BG227" s="1057"/>
      <c r="BH227" s="1021"/>
      <c r="BI227" s="1058"/>
      <c r="BJ227" s="1045"/>
      <c r="BK227" s="1057"/>
      <c r="BL227" s="1021"/>
      <c r="BM227" s="1058"/>
      <c r="BN227" s="1037">
        <f>IFERROR((J227*VLOOKUP(H227, 'Baumaterialien Matériaux'!$A$11:$AH$318, 33,FALSE)),0)/$G$1</f>
        <v>0</v>
      </c>
      <c r="BO227" s="1037"/>
      <c r="BP227" s="1037">
        <f>IFERROR((J227*VLOOKUP(H227, 'Baumaterialien Matériaux'!$A$11:$AH$318, 34,FALSE)),0)/$G$1</f>
        <v>0</v>
      </c>
      <c r="BQ227" s="1037">
        <f t="shared" si="536"/>
        <v>0</v>
      </c>
      <c r="BR227" s="1037"/>
    </row>
    <row r="228" spans="2:70">
      <c r="B228" s="1101"/>
      <c r="C228" s="1099"/>
      <c r="D228" s="478"/>
      <c r="E228" s="478"/>
      <c r="F228" s="638" t="s">
        <v>3403</v>
      </c>
      <c r="G228" s="478" t="str">
        <f>_xlfn.XLOOKUP(H228, 'Baumaterialien Matériaux'!A:A, 'Baumaterialien Matériaux'!AD:AD, "-", 0, 1)</f>
        <v>Béton pour bâtiment (sans armature)</v>
      </c>
      <c r="H228" s="891">
        <v>1.0019999999999998</v>
      </c>
      <c r="I228" s="641" t="str">
        <f>_xlfn.XLOOKUP(H228, 'Baumaterialien Matériaux'!A:A, 'Baumaterialien Matériaux'!F:F, "-", 0, 1)</f>
        <v>kg</v>
      </c>
      <c r="J228" s="649">
        <f>9*2300</f>
        <v>20700</v>
      </c>
      <c r="K228" s="894"/>
      <c r="L228" s="647">
        <v>60</v>
      </c>
      <c r="M228" s="648">
        <f t="shared" ref="M228:M229" si="595">SUM(N228:Q228)</f>
        <v>2.817784159209296</v>
      </c>
      <c r="N228" s="720">
        <f>IFERROR(($J228*VLOOKUP($H228, 'Baumaterialien Matériaux'!$A$11:$AD$318, 26,FALSE)),0)/$G$1</f>
        <v>2.0459463069320156</v>
      </c>
      <c r="O228" s="720">
        <f>IFERROR(($J228*VLOOKUP($H228, 'Baumaterialien Matériaux'!$A$11:$AH$318, 33,FALSE)),0)/$G$1</f>
        <v>0.4792306664885802</v>
      </c>
      <c r="P228" s="720">
        <f t="shared" ref="P228:P229" si="596">IFERROR((N228+Q228)*($L$2/L228-1),0)</f>
        <v>0</v>
      </c>
      <c r="Q228" s="720">
        <f>IFERROR(($J228*VLOOKUP($H228, 'Baumaterialien Matériaux'!$A$11:$AD$318, 27,FALSE)),0)/$G$1</f>
        <v>0.29260718578870037</v>
      </c>
      <c r="R228" s="720">
        <f>IFERROR(($J228*VLOOKUP($H228, 'Baumaterialien Matériaux'!$A$11:$AH$318, 34,FALSE)),0)/$G$1</f>
        <v>6.1747028182182445E-2</v>
      </c>
      <c r="S228" s="720">
        <f>IFERROR((J228*VLOOKUP(H228, 'Baumaterialien Matériaux'!$A$11:$AD$318, 29,FALSE)),0)/$G$1</f>
        <v>0</v>
      </c>
      <c r="T228" s="720"/>
      <c r="V228" s="638">
        <f t="shared" si="562"/>
        <v>0</v>
      </c>
      <c r="W228" s="638">
        <f t="shared" si="563"/>
        <v>0</v>
      </c>
      <c r="Z228" s="638">
        <f t="shared" si="526"/>
        <v>60</v>
      </c>
      <c r="AA228" s="647" t="s">
        <v>3463</v>
      </c>
      <c r="AB228" t="str">
        <f>_xlfn.XLOOKUP($H228,'[1]Baumaterialien Matériaux'!$A:$A,'[1]Baumaterialien Matériaux'!AK:AK,0,0)</f>
        <v>concrete</v>
      </c>
      <c r="AC228" t="str" cm="1">
        <f t="array" ref="AC228">_xlfn.SWITCH(I228,"kg"," ",0," ",_xlfn.XLOOKUP(H228, '[1]Baumaterialien Matériaux'!$A:$A, '[1]Baumaterialien Matériaux'!$AL:$AL, "-", 0, 1))</f>
        <v xml:space="preserve"> </v>
      </c>
      <c r="AD228" s="622" cm="1">
        <f t="array" ref="AD228">IFERROR(_xlfn.SWITCH(I228,"kg",1,"m3",AC228,AC228)*J228/(_xlfn.XLOOKUP(AA228,Métrés!A:A,Métrés!C:C,0)),0)</f>
        <v>924.9329758713136</v>
      </c>
      <c r="AE228" s="1092">
        <f>IFERROR(N228*$G$1/(_xlfn.XLOOKUP($AA228,Métrés!$A:$A,Métrés!$C:$C,0)),0)</f>
        <v>82.134048257372655</v>
      </c>
      <c r="AF228" s="1092">
        <f>IFERROR(O228*$G$1/(_xlfn.XLOOKUP($AA228,Métrés!$A:$A,Métrés!$C:$C,0)),0)</f>
        <v>19.238605898123321</v>
      </c>
      <c r="AG228" s="1092">
        <f>IFERROR(Q228*$G$1/(_xlfn.XLOOKUP($AA228,Métrés!$A:$A,Métrés!$C:$C,0)),0)</f>
        <v>11.746648793565681</v>
      </c>
      <c r="AH228" s="1092">
        <f>IFERROR(R228*$G$1/(_xlfn.XLOOKUP($AA228,Métrés!$A:$A,Métrés!$C:$C,0)),0)</f>
        <v>2.4788203753351201</v>
      </c>
      <c r="AI228" s="1092">
        <f>IFERROR(S228*$G$1/(_xlfn.XLOOKUP($AA228,Métrés!$A:$A,Métrés!$C:$C,0)),0)</f>
        <v>0</v>
      </c>
      <c r="AJ228" s="1022"/>
      <c r="AK228" s="638">
        <f>IF(L228=60, 0, T228)</f>
        <v>0</v>
      </c>
      <c r="AL228" s="638">
        <f>IF(L228=60, 0, S228)</f>
        <v>0</v>
      </c>
      <c r="AM228" s="638" t="str">
        <f>IF(L228=$L$2, "Structure", IF(L228&gt;0,"Revêtement",0))</f>
        <v>Structure</v>
      </c>
      <c r="AN228" s="1036">
        <f>IF(AM228="Structure",N228,0)</f>
        <v>2.0459463069320156</v>
      </c>
      <c r="AO228" s="1037">
        <f>IF(AM228="Structure",P228,0)</f>
        <v>0</v>
      </c>
      <c r="AP228" s="1037">
        <f>IF(AM228="Structure",Q228,0)</f>
        <v>0.29260718578870037</v>
      </c>
      <c r="AQ228" s="1038">
        <f>IF(AM228="Structure",S228,0)</f>
        <v>0</v>
      </c>
      <c r="AR228" s="1038">
        <f>IF(AM228="Structure",T228,0)</f>
        <v>0</v>
      </c>
      <c r="AS228" s="1036">
        <f>IF(AM228="Insulation",N228,0)</f>
        <v>0</v>
      </c>
      <c r="AT228" s="1037">
        <f>IF(AM228="Insulation",P228,0)</f>
        <v>0</v>
      </c>
      <c r="AU228" s="1037">
        <f>IF(AM228="Insulation",Q228,0)</f>
        <v>0</v>
      </c>
      <c r="AV228" s="1038">
        <f>IF(AM228="Insulation",S228,0)</f>
        <v>0</v>
      </c>
      <c r="AW228" s="1038">
        <f>IF(AM228="Insulation",T228,0)</f>
        <v>0</v>
      </c>
      <c r="AX228" s="1036">
        <f>IF(AM228="Revêtement",N228,0)</f>
        <v>0</v>
      </c>
      <c r="AY228" s="1037">
        <f>IF(AM228="Revêtement",P228,0)</f>
        <v>0</v>
      </c>
      <c r="AZ228" s="1037">
        <f>IF(AM228="Revêtement",Q228,0)</f>
        <v>0</v>
      </c>
      <c r="BA228" s="1037">
        <f>IF(AM228="Revêtement",S228,0)</f>
        <v>0</v>
      </c>
      <c r="BB228" s="1038">
        <f>IF(AM228="Revêtement",T228,0)</f>
        <v>0</v>
      </c>
      <c r="BC228" s="1036"/>
      <c r="BD228" s="1037"/>
      <c r="BE228" s="1037"/>
      <c r="BF228" s="1038"/>
      <c r="BG228" s="1036">
        <f>IF($AM228="Structure", IF($I228="kg",$J228,0), 0)</f>
        <v>20700</v>
      </c>
      <c r="BH228" s="1037">
        <f>IF($AM228="Insulation", IF($I228="kg",$J228,0), 0)</f>
        <v>0</v>
      </c>
      <c r="BI228" s="1038">
        <f>IF($AM228="Revêtement", IF($I228="kg",$J228,0), 0)</f>
        <v>0</v>
      </c>
      <c r="BJ228" s="1037">
        <f>_xlfn.XLOOKUP(H228, 'Baumaterialien Matériaux'!A:A, 'Baumaterialien Matériaux'!E:E, "-", 0, 1)</f>
        <v>2300</v>
      </c>
      <c r="BK228" s="1036">
        <f t="shared" si="547"/>
        <v>9</v>
      </c>
      <c r="BL228" s="1037">
        <f t="shared" si="548"/>
        <v>0</v>
      </c>
      <c r="BM228" s="1038">
        <f t="shared" si="549"/>
        <v>0</v>
      </c>
      <c r="BN228" s="1037">
        <f>IFERROR((J228*VLOOKUP(H228, 'Baumaterialien Matériaux'!$A$11:$AH$318, 33,FALSE)),0)/$G$1</f>
        <v>0.4792306664885802</v>
      </c>
      <c r="BO228" s="1037">
        <f>(BN228+BP228)*($L$2/L228-1)</f>
        <v>0</v>
      </c>
      <c r="BP228" s="1037">
        <f>IFERROR((J228*VLOOKUP(H228, 'Baumaterialien Matériaux'!$A$11:$AH$318, 34,FALSE)),0)/$G$1</f>
        <v>6.1747028182182445E-2</v>
      </c>
      <c r="BQ228" s="1037">
        <f t="shared" si="536"/>
        <v>0.21102362204724412</v>
      </c>
      <c r="BR228" s="1037"/>
    </row>
    <row r="229" spans="2:70">
      <c r="B229" s="1101"/>
      <c r="C229" s="1099"/>
      <c r="D229" s="478"/>
      <c r="E229" s="478"/>
      <c r="F229" s="638" t="s">
        <v>3004</v>
      </c>
      <c r="G229" s="478" t="str">
        <f>_xlfn.XLOOKUP(H229, 'Baumaterialien Matériaux'!A:A, 'Baumaterialien Matériaux'!AD:AD, "-", 0, 1)</f>
        <v>Acier d'armature</v>
      </c>
      <c r="H229" s="892" t="s">
        <v>497</v>
      </c>
      <c r="I229" s="641" t="str">
        <f>_xlfn.XLOOKUP(H229, 'Baumaterialien Matériaux'!A:A, 'Baumaterialien Matériaux'!F:F, "-", 0, 1)</f>
        <v>kg</v>
      </c>
      <c r="J229" s="649">
        <f>150*9</f>
        <v>1350</v>
      </c>
      <c r="K229" s="894"/>
      <c r="L229" s="647">
        <v>60</v>
      </c>
      <c r="M229" s="648">
        <f t="shared" si="595"/>
        <v>2.7097969814344864</v>
      </c>
      <c r="N229" s="720">
        <f>IFERROR(($J229*VLOOKUP($H229, 'Baumaterialien Matériaux'!$A$11:$AD$318, 26,FALSE)),0)/$G$1</f>
        <v>2.2539067717376784</v>
      </c>
      <c r="O229" s="720">
        <f>IFERROR(($J229*VLOOKUP($H229, 'Baumaterialien Matériaux'!$A$11:$AH$318, 33,FALSE)),0)/$G$1</f>
        <v>0.43725791371710959</v>
      </c>
      <c r="P229" s="720">
        <f t="shared" si="596"/>
        <v>0</v>
      </c>
      <c r="Q229" s="720">
        <f>IFERROR(($J229*VLOOKUP($H229, 'Baumaterialien Matériaux'!$A$11:$AD$318, 27,FALSE)),0)/$G$1</f>
        <v>1.8632295979698142E-2</v>
      </c>
      <c r="R229" s="720">
        <f>IFERROR(($J229*VLOOKUP($H229, 'Baumaterialien Matériaux'!$A$11:$AH$318, 34,FALSE)),0)/$G$1</f>
        <v>0</v>
      </c>
      <c r="S229" s="720">
        <f>IFERROR((J229*VLOOKUP(H229, 'Baumaterialien Matériaux'!$A$11:$AD$318, 29,FALSE)),0)/$G$1</f>
        <v>0</v>
      </c>
      <c r="T229" s="720"/>
      <c r="V229" s="638">
        <f t="shared" si="562"/>
        <v>0</v>
      </c>
      <c r="W229" s="638">
        <f t="shared" si="563"/>
        <v>0</v>
      </c>
      <c r="Z229" s="638">
        <f t="shared" si="526"/>
        <v>60</v>
      </c>
      <c r="AA229" s="647" t="s">
        <v>3463</v>
      </c>
      <c r="AB229" t="str">
        <f>_xlfn.XLOOKUP($H229,'[1]Baumaterialien Matériaux'!$A:$A,'[1]Baumaterialien Matériaux'!AK:AK,0,0)</f>
        <v>metal</v>
      </c>
      <c r="AC229" t="str" cm="1">
        <f t="array" ref="AC229">_xlfn.SWITCH(I229,"kg"," ",0," ",_xlfn.XLOOKUP(H229, '[1]Baumaterialien Matériaux'!$A:$A, '[1]Baumaterialien Matériaux'!$AL:$AL, "-", 0, 1))</f>
        <v xml:space="preserve"> </v>
      </c>
      <c r="AD229" s="622" cm="1">
        <f t="array" ref="AD229">IFERROR(_xlfn.SWITCH(I229,"kg",1,"m3",AC229,AC229)*J229/(_xlfn.XLOOKUP(AA229,Métrés!A:A,Métrés!C:C,0)),0)</f>
        <v>60.321715817694361</v>
      </c>
      <c r="AE229" s="1092">
        <f>IFERROR(N229*$G$1/(_xlfn.XLOOKUP($AA229,Métrés!$A:$A,Métrés!$C:$C,0)),0)</f>
        <v>90.482573726541546</v>
      </c>
      <c r="AF229" s="1092">
        <f>IFERROR(O229*$G$1/(_xlfn.XLOOKUP($AA229,Métrés!$A:$A,Métrés!$C:$C,0)),0)</f>
        <v>17.553619302949059</v>
      </c>
      <c r="AG229" s="1092">
        <f>IFERROR(Q229*$G$1/(_xlfn.XLOOKUP($AA229,Métrés!$A:$A,Métrés!$C:$C,0)),0)</f>
        <v>0.74798927613941002</v>
      </c>
      <c r="AH229" s="1092">
        <f>IFERROR(R229*$G$1/(_xlfn.XLOOKUP($AA229,Métrés!$A:$A,Métrés!$C:$C,0)),0)</f>
        <v>0</v>
      </c>
      <c r="AI229" s="1092">
        <f>IFERROR(S229*$G$1/(_xlfn.XLOOKUP($AA229,Métrés!$A:$A,Métrés!$C:$C,0)),0)</f>
        <v>0</v>
      </c>
      <c r="AJ229" s="1022"/>
      <c r="AK229" s="638">
        <f>IF(L229=60, 0, T229)</f>
        <v>0</v>
      </c>
      <c r="AL229" s="638">
        <f>IF(L229=60, 0, S229)</f>
        <v>0</v>
      </c>
      <c r="AM229" s="638" t="str">
        <f>IF(L229=$L$2, "Structure", IF(L229&gt;0,"Revêtement",0))</f>
        <v>Structure</v>
      </c>
      <c r="AN229" s="1036">
        <f>IF(AM229="Structure",N229,0)</f>
        <v>2.2539067717376784</v>
      </c>
      <c r="AO229" s="1037">
        <f>IF(AM229="Structure",P229,0)</f>
        <v>0</v>
      </c>
      <c r="AP229" s="1037">
        <f>IF(AM229="Structure",Q229,0)</f>
        <v>1.8632295979698142E-2</v>
      </c>
      <c r="AQ229" s="1038">
        <f>IF(AM229="Structure",S229,0)</f>
        <v>0</v>
      </c>
      <c r="AR229" s="1038">
        <f>IF(AM229="Structure",T229,0)</f>
        <v>0</v>
      </c>
      <c r="AS229" s="1036">
        <f>IF(AM229="Insulation",N229,0)</f>
        <v>0</v>
      </c>
      <c r="AT229" s="1037">
        <f>IF(AM229="Insulation",P229,0)</f>
        <v>0</v>
      </c>
      <c r="AU229" s="1037">
        <f>IF(AM229="Insulation",Q229,0)</f>
        <v>0</v>
      </c>
      <c r="AV229" s="1038">
        <f>IF(AM229="Insulation",S229,0)</f>
        <v>0</v>
      </c>
      <c r="AW229" s="1038">
        <f>IF(AM229="Insulation",T229,0)</f>
        <v>0</v>
      </c>
      <c r="AX229" s="1036">
        <f>IF(AM229="Revêtement",N229,0)</f>
        <v>0</v>
      </c>
      <c r="AY229" s="1037">
        <f>IF(AM229="Revêtement",P229,0)</f>
        <v>0</v>
      </c>
      <c r="AZ229" s="1037">
        <f>IF(AM229="Revêtement",Q229,0)</f>
        <v>0</v>
      </c>
      <c r="BA229" s="1037">
        <f>IF(AM229="Revêtement",S229,0)</f>
        <v>0</v>
      </c>
      <c r="BB229" s="1038">
        <f>IF(AM229="Revêtement",T229,0)</f>
        <v>0</v>
      </c>
      <c r="BC229" s="1036"/>
      <c r="BD229" s="1037"/>
      <c r="BE229" s="1037"/>
      <c r="BF229" s="1038"/>
      <c r="BG229" s="1036">
        <f>IF($AM229="Structure", IF($I229="kg",$J229,0), 0)</f>
        <v>1350</v>
      </c>
      <c r="BH229" s="1037">
        <f>IF($AM229="Insulation", IF($I229="kg",$J229,0), 0)</f>
        <v>0</v>
      </c>
      <c r="BI229" s="1038">
        <f>IF($AM229="Revêtement", IF($I229="kg",$J229,0), 0)</f>
        <v>0</v>
      </c>
      <c r="BJ229" s="1037">
        <f>_xlfn.XLOOKUP(H229, 'Baumaterialien Matériaux'!A:A, 'Baumaterialien Matériaux'!E:E, "-", 0, 1)</f>
        <v>7850</v>
      </c>
      <c r="BK229" s="1036">
        <f t="shared" si="547"/>
        <v>0.17197452229299362</v>
      </c>
      <c r="BL229" s="1037">
        <f t="shared" si="548"/>
        <v>0</v>
      </c>
      <c r="BM229" s="1038">
        <f t="shared" si="549"/>
        <v>0</v>
      </c>
      <c r="BN229" s="1037">
        <f>IFERROR((J229*VLOOKUP(H229, 'Baumaterialien Matériaux'!$A$11:$AH$318, 33,FALSE)),0)/$G$1</f>
        <v>0.43725791371710959</v>
      </c>
      <c r="BO229" s="1037">
        <f>(BN229+BP229)*($L$2/L229-1)</f>
        <v>0</v>
      </c>
      <c r="BP229" s="1037">
        <f>IFERROR((J229*VLOOKUP(H229, 'Baumaterialien Matériaux'!$A$11:$AH$318, 34,FALSE)),0)/$G$1</f>
        <v>0</v>
      </c>
      <c r="BQ229" s="1037">
        <f t="shared" si="536"/>
        <v>0</v>
      </c>
      <c r="BR229" s="1037"/>
    </row>
    <row r="230" spans="2:70">
      <c r="B230" s="1101"/>
      <c r="C230" s="1099"/>
      <c r="D230" s="478"/>
      <c r="E230" s="478"/>
      <c r="F230" s="479" t="s">
        <v>3290</v>
      </c>
      <c r="G230" s="479"/>
      <c r="H230" s="479"/>
      <c r="I230" s="459" t="s">
        <v>39</v>
      </c>
      <c r="J230" s="662"/>
      <c r="K230" s="663"/>
      <c r="L230" s="663"/>
      <c r="M230" s="664">
        <f>SUM(M231:M232)</f>
        <v>0</v>
      </c>
      <c r="N230" s="664">
        <f t="shared" ref="N230:O230" si="597">SUM(N231:N232)</f>
        <v>0</v>
      </c>
      <c r="O230" s="664">
        <f t="shared" si="597"/>
        <v>0</v>
      </c>
      <c r="P230" s="664">
        <f t="shared" ref="P230" si="598">SUM(P231:P232)</f>
        <v>0</v>
      </c>
      <c r="Q230" s="664">
        <f t="shared" ref="Q230:R230" si="599">SUM(Q231:Q232)</f>
        <v>0</v>
      </c>
      <c r="R230" s="664">
        <f t="shared" si="599"/>
        <v>0</v>
      </c>
      <c r="S230" s="664">
        <f t="shared" ref="S230:T230" si="600">SUM(S231:S232)</f>
        <v>0</v>
      </c>
      <c r="T230" s="664">
        <f t="shared" si="600"/>
        <v>0</v>
      </c>
      <c r="V230" s="638">
        <f t="shared" si="562"/>
        <v>0</v>
      </c>
      <c r="W230" s="638">
        <f t="shared" si="563"/>
        <v>0</v>
      </c>
      <c r="Z230" s="638">
        <f t="shared" si="526"/>
        <v>0</v>
      </c>
      <c r="AA230" s="647" t="s">
        <v>3463</v>
      </c>
      <c r="AB230">
        <f>_xlfn.XLOOKUP($H230,'[1]Baumaterialien Matériaux'!$A:$A,'[1]Baumaterialien Matériaux'!AK:AK,0,0)</f>
        <v>0</v>
      </c>
      <c r="AC230" cm="1">
        <f t="array" ref="AC230">_xlfn.SWITCH(I230,"kg"," ",0," ",_xlfn.XLOOKUP(H230, '[1]Baumaterialien Matériaux'!$A:$A, '[1]Baumaterialien Matériaux'!$AL:$AL, "-", 0, 1))</f>
        <v>0</v>
      </c>
      <c r="AD230" s="622" cm="1">
        <f t="array" ref="AD230">IFERROR(_xlfn.SWITCH(I230,"kg",1,"m3",AC230,AC230)*J230/(_xlfn.XLOOKUP(AA230,Métrés!A:A,Métrés!C:C,0)),0)</f>
        <v>0</v>
      </c>
      <c r="AE230" s="1092">
        <f>IFERROR(N230*$G$1/(_xlfn.XLOOKUP($AA230,Métrés!$A:$A,Métrés!$C:$C,0)),0)</f>
        <v>0</v>
      </c>
      <c r="AF230" s="1092">
        <f>IFERROR(O230*$G$1/(_xlfn.XLOOKUP($AA230,Métrés!$A:$A,Métrés!$C:$C,0)),0)</f>
        <v>0</v>
      </c>
      <c r="AG230" s="1092">
        <f>IFERROR(Q230*$G$1/(_xlfn.XLOOKUP($AA230,Métrés!$A:$A,Métrés!$C:$C,0)),0)</f>
        <v>0</v>
      </c>
      <c r="AH230" s="1092">
        <f>IFERROR(R230*$G$1/(_xlfn.XLOOKUP($AA230,Métrés!$A:$A,Métrés!$C:$C,0)),0)</f>
        <v>0</v>
      </c>
      <c r="AI230" s="1092">
        <f>IFERROR(S230*$G$1/(_xlfn.XLOOKUP($AA230,Métrés!$A:$A,Métrés!$C:$C,0)),0)</f>
        <v>0</v>
      </c>
      <c r="AJ230" s="1021"/>
      <c r="AK230" s="1021"/>
      <c r="AL230" s="1021"/>
      <c r="AM230" s="1021"/>
      <c r="AN230" s="1057"/>
      <c r="AO230" s="1021"/>
      <c r="AP230" s="1021"/>
      <c r="AQ230" s="1021"/>
      <c r="AR230" s="1058"/>
      <c r="AS230" s="1057"/>
      <c r="AT230" s="1021"/>
      <c r="AU230" s="1021"/>
      <c r="AV230" s="1021"/>
      <c r="AW230" s="1058"/>
      <c r="AX230" s="1057"/>
      <c r="AY230" s="1021"/>
      <c r="AZ230" s="1021"/>
      <c r="BA230" s="1021"/>
      <c r="BB230" s="1058"/>
      <c r="BC230" s="1057"/>
      <c r="BD230" s="1021"/>
      <c r="BE230" s="1021"/>
      <c r="BF230" s="1058"/>
      <c r="BG230" s="1057"/>
      <c r="BH230" s="1021"/>
      <c r="BI230" s="1058"/>
      <c r="BJ230" s="1045"/>
      <c r="BK230" s="1057"/>
      <c r="BL230" s="1021"/>
      <c r="BM230" s="1058"/>
      <c r="BN230" s="1037">
        <f>IFERROR((J230*VLOOKUP(H230, 'Baumaterialien Matériaux'!$A$11:$AH$318, 33,FALSE)),0)/$G$1</f>
        <v>0</v>
      </c>
      <c r="BO230" s="1037"/>
      <c r="BP230" s="1037">
        <f>IFERROR((J230*VLOOKUP(H230, 'Baumaterialien Matériaux'!$A$11:$AH$318, 34,FALSE)),0)/$G$1</f>
        <v>0</v>
      </c>
      <c r="BQ230" s="1037" t="e">
        <f t="shared" si="536"/>
        <v>#DIV/0!</v>
      </c>
      <c r="BR230" s="1037"/>
    </row>
    <row r="231" spans="2:70">
      <c r="B231" s="1101"/>
      <c r="C231" s="1099"/>
      <c r="D231" s="478"/>
      <c r="E231" s="478"/>
      <c r="F231" s="638" t="s">
        <v>3402</v>
      </c>
      <c r="G231" s="478" t="str">
        <f>_xlfn.XLOOKUP(H231, 'Baumaterialien Matériaux'!A:A, 'Baumaterialien Matériaux'!AD:AD, "-", 0, 1)</f>
        <v>Données écobilans dans la construction</v>
      </c>
      <c r="H231" s="891"/>
      <c r="I231" s="641">
        <f>_xlfn.XLOOKUP(H231, 'Baumaterialien Matériaux'!A:A, 'Baumaterialien Matériaux'!F:F, "-", 0, 1)</f>
        <v>0</v>
      </c>
      <c r="J231" s="649"/>
      <c r="K231" s="894"/>
      <c r="L231" s="647">
        <v>60</v>
      </c>
      <c r="M231" s="648">
        <f t="shared" ref="M231" si="601">SUM(N231:Q231)</f>
        <v>0</v>
      </c>
      <c r="N231" s="720">
        <f>IFERROR(($J231*VLOOKUP($H231, 'Baumaterialien Matériaux'!$A$11:$AD$318, 26,FALSE)),0)/$G$1</f>
        <v>0</v>
      </c>
      <c r="O231" s="720">
        <f>IFERROR(($J231*VLOOKUP($H231, 'Baumaterialien Matériaux'!$A$11:$AH$318, 33,FALSE)),0)/$G$1</f>
        <v>0</v>
      </c>
      <c r="P231" s="720">
        <f t="shared" ref="P231" si="602">IFERROR((N231+Q231)*($L$2/L231-1),0)</f>
        <v>0</v>
      </c>
      <c r="Q231" s="720">
        <f>IFERROR(($J231*VLOOKUP($H231, 'Baumaterialien Matériaux'!$A$11:$AD$318, 27,FALSE)),0)/$G$1</f>
        <v>0</v>
      </c>
      <c r="R231" s="720">
        <f>IFERROR(($J231*VLOOKUP($H231, 'Baumaterialien Matériaux'!$A$11:$AH$318, 34,FALSE)),0)/$G$1</f>
        <v>0</v>
      </c>
      <c r="S231" s="720">
        <f>IFERROR((J231*VLOOKUP(H231, 'Baumaterialien Matériaux'!$A$11:$AD$318, 29,FALSE)),0)/$G$1</f>
        <v>0</v>
      </c>
      <c r="T231" s="720"/>
      <c r="V231" s="638">
        <f t="shared" si="562"/>
        <v>0</v>
      </c>
      <c r="W231" s="638">
        <f t="shared" si="563"/>
        <v>0</v>
      </c>
      <c r="Z231" s="638">
        <f t="shared" si="526"/>
        <v>60</v>
      </c>
      <c r="AA231" s="647" t="s">
        <v>3463</v>
      </c>
      <c r="AB231">
        <f>_xlfn.XLOOKUP($H231,'[1]Baumaterialien Matériaux'!$A:$A,'[1]Baumaterialien Matériaux'!AK:AK,0,0)</f>
        <v>0</v>
      </c>
      <c r="AC231" t="str" cm="1">
        <f t="array" ref="AC231">_xlfn.SWITCH(I231,"kg"," ",0," ",_xlfn.XLOOKUP(H231, '[1]Baumaterialien Matériaux'!$A:$A, '[1]Baumaterialien Matériaux'!$AL:$AL, "-", 0, 1))</f>
        <v xml:space="preserve"> </v>
      </c>
      <c r="AD231" s="622" cm="1">
        <f t="array" ref="AD231">IFERROR(_xlfn.SWITCH(I231,"kg",1,"m3",AC231,AC231)*J231/(_xlfn.XLOOKUP(AA231,Métrés!A:A,Métrés!C:C,0)),0)</f>
        <v>0</v>
      </c>
      <c r="AE231" s="1092">
        <f>IFERROR(N231*$G$1/(_xlfn.XLOOKUP($AA231,Métrés!$A:$A,Métrés!$C:$C,0)),0)</f>
        <v>0</v>
      </c>
      <c r="AF231" s="1092">
        <f>IFERROR(O231*$G$1/(_xlfn.XLOOKUP($AA231,Métrés!$A:$A,Métrés!$C:$C,0)),0)</f>
        <v>0</v>
      </c>
      <c r="AG231" s="1092">
        <f>IFERROR(Q231*$G$1/(_xlfn.XLOOKUP($AA231,Métrés!$A:$A,Métrés!$C:$C,0)),0)</f>
        <v>0</v>
      </c>
      <c r="AH231" s="1092">
        <f>IFERROR(R231*$G$1/(_xlfn.XLOOKUP($AA231,Métrés!$A:$A,Métrés!$C:$C,0)),0)</f>
        <v>0</v>
      </c>
      <c r="AI231" s="1092">
        <f>IFERROR(S231*$G$1/(_xlfn.XLOOKUP($AA231,Métrés!$A:$A,Métrés!$C:$C,0)),0)</f>
        <v>0</v>
      </c>
      <c r="AJ231" s="1022"/>
      <c r="AK231" s="638">
        <f>IF(L231=60, 0, T231)</f>
        <v>0</v>
      </c>
      <c r="AL231" s="638">
        <f>IF(L231=60, 0, S231)</f>
        <v>0</v>
      </c>
      <c r="AM231" s="638" t="str">
        <f>IF(L231=$L$2, "Structure", IF(L231&gt;0,"Revêtement",0))</f>
        <v>Structure</v>
      </c>
      <c r="AN231" s="1036">
        <f>IF(AM231="Structure",N231,0)</f>
        <v>0</v>
      </c>
      <c r="AO231" s="1037">
        <f>IF(AM231="Structure",P231,0)</f>
        <v>0</v>
      </c>
      <c r="AP231" s="1037">
        <f>IF(AM231="Structure",Q231,0)</f>
        <v>0</v>
      </c>
      <c r="AQ231" s="1038">
        <f>IF(AM231="Structure",S231,0)</f>
        <v>0</v>
      </c>
      <c r="AR231" s="1038">
        <f>IF(AM231="Structure",T231,0)</f>
        <v>0</v>
      </c>
      <c r="AS231" s="1036">
        <f>IF(AM231="Insulation",N231,0)</f>
        <v>0</v>
      </c>
      <c r="AT231" s="1037">
        <f>IF(AM231="Insulation",P231,0)</f>
        <v>0</v>
      </c>
      <c r="AU231" s="1037">
        <f>IF(AM231="Insulation",Q231,0)</f>
        <v>0</v>
      </c>
      <c r="AV231" s="1038">
        <f>IF(AM231="Insulation",S231,0)</f>
        <v>0</v>
      </c>
      <c r="AW231" s="1038">
        <f>IF(AM231="Insulation",T231,0)</f>
        <v>0</v>
      </c>
      <c r="AX231" s="1036">
        <f>IF(AM231="Revêtement",N231,0)</f>
        <v>0</v>
      </c>
      <c r="AY231" s="1037">
        <f>IF(AM231="Revêtement",P231,0)</f>
        <v>0</v>
      </c>
      <c r="AZ231" s="1037">
        <f>IF(AM231="Revêtement",Q231,0)</f>
        <v>0</v>
      </c>
      <c r="BA231" s="1037">
        <f>IF(AM231="Revêtement",S231,0)</f>
        <v>0</v>
      </c>
      <c r="BB231" s="1038">
        <f>IF(AM231="Revêtement",T231,0)</f>
        <v>0</v>
      </c>
      <c r="BC231" s="1036"/>
      <c r="BD231" s="1037"/>
      <c r="BE231" s="1037"/>
      <c r="BF231" s="1038"/>
      <c r="BG231" s="1036">
        <f>IF($AM231="Structure", IF($I231="kg",$J231,0), 0)</f>
        <v>0</v>
      </c>
      <c r="BH231" s="1037">
        <f>IF($AM231="Insulation", IF($I231="kg",$J231,0), 0)</f>
        <v>0</v>
      </c>
      <c r="BI231" s="1038">
        <f>IF($AM231="Revêtement", IF($I231="kg",$J231,0), 0)</f>
        <v>0</v>
      </c>
      <c r="BJ231" s="1037">
        <f>_xlfn.XLOOKUP(H231, 'Baumaterialien Matériaux'!A:A, 'Baumaterialien Matériaux'!E:E, "-", 0, 1)</f>
        <v>0</v>
      </c>
      <c r="BK231" s="1036">
        <f t="shared" si="547"/>
        <v>0</v>
      </c>
      <c r="BL231" s="1037">
        <f t="shared" si="548"/>
        <v>0</v>
      </c>
      <c r="BM231" s="1038">
        <f t="shared" si="549"/>
        <v>0</v>
      </c>
      <c r="BN231" s="1037">
        <f>IFERROR((J231*VLOOKUP(H231, 'Baumaterialien Matériaux'!$A$11:$AH$318, 33,FALSE)),0)/$G$1</f>
        <v>0</v>
      </c>
      <c r="BO231" s="1037">
        <f>(BN231+BP231)*($L$2/L231-1)</f>
        <v>0</v>
      </c>
      <c r="BP231" s="1037">
        <f>IFERROR((J231*VLOOKUP(H231, 'Baumaterialien Matériaux'!$A$11:$AH$318, 34,FALSE)),0)/$G$1</f>
        <v>0</v>
      </c>
      <c r="BQ231" s="1037" t="e">
        <f t="shared" si="536"/>
        <v>#DIV/0!</v>
      </c>
      <c r="BR231" s="1037"/>
    </row>
    <row r="232" spans="2:70">
      <c r="B232" s="1101"/>
      <c r="C232" s="1099"/>
      <c r="D232" s="478"/>
      <c r="E232" s="478"/>
      <c r="G232" s="478"/>
      <c r="H232" s="892"/>
      <c r="I232" s="641"/>
      <c r="J232" s="649"/>
      <c r="K232" s="894"/>
      <c r="L232" s="647"/>
      <c r="M232" s="648"/>
      <c r="N232" s="720"/>
      <c r="O232" s="720"/>
      <c r="P232" s="720"/>
      <c r="Q232" s="720"/>
      <c r="R232" s="720"/>
      <c r="S232" s="720"/>
      <c r="T232" s="720"/>
      <c r="V232" s="638">
        <f t="shared" si="562"/>
        <v>0</v>
      </c>
      <c r="W232" s="638">
        <f t="shared" si="563"/>
        <v>0</v>
      </c>
      <c r="Z232" s="638">
        <f t="shared" si="526"/>
        <v>0</v>
      </c>
      <c r="AA232" s="647" t="s">
        <v>3463</v>
      </c>
      <c r="AB232">
        <f>_xlfn.XLOOKUP($H232,'[1]Baumaterialien Matériaux'!$A:$A,'[1]Baumaterialien Matériaux'!AK:AK,0,0)</f>
        <v>0</v>
      </c>
      <c r="AC232" t="str" cm="1">
        <f t="array" ref="AC232">_xlfn.SWITCH(I232,"kg"," ",0," ",_xlfn.XLOOKUP(H232, '[1]Baumaterialien Matériaux'!$A:$A, '[1]Baumaterialien Matériaux'!$AL:$AL, "-", 0, 1))</f>
        <v xml:space="preserve"> </v>
      </c>
      <c r="AD232" s="622" cm="1">
        <f t="array" ref="AD232">IFERROR(_xlfn.SWITCH(I232,"kg",1,"m3",AC232,AC232)*J232/(_xlfn.XLOOKUP(AA232,Métrés!A:A,Métrés!C:C,0)),0)</f>
        <v>0</v>
      </c>
      <c r="AE232" s="1092">
        <f>IFERROR(N232*$G$1/(_xlfn.XLOOKUP($AA232,Métrés!$A:$A,Métrés!$C:$C,0)),0)</f>
        <v>0</v>
      </c>
      <c r="AF232" s="1092">
        <f>IFERROR(O232*$G$1/(_xlfn.XLOOKUP($AA232,Métrés!$A:$A,Métrés!$C:$C,0)),0)</f>
        <v>0</v>
      </c>
      <c r="AG232" s="1092">
        <f>IFERROR(Q232*$G$1/(_xlfn.XLOOKUP($AA232,Métrés!$A:$A,Métrés!$C:$C,0)),0)</f>
        <v>0</v>
      </c>
      <c r="AH232" s="1092">
        <f>IFERROR(R232*$G$1/(_xlfn.XLOOKUP($AA232,Métrés!$A:$A,Métrés!$C:$C,0)),0)</f>
        <v>0</v>
      </c>
      <c r="AI232" s="1092">
        <f>IFERROR(S232*$G$1/(_xlfn.XLOOKUP($AA232,Métrés!$A:$A,Métrés!$C:$C,0)),0)</f>
        <v>0</v>
      </c>
      <c r="AJ232" s="1022"/>
      <c r="AK232" s="638">
        <f>IF(L232=60, 0, T232)</f>
        <v>0</v>
      </c>
      <c r="AL232" s="638">
        <f>IF(L232=60, 0, S232)</f>
        <v>0</v>
      </c>
      <c r="AM232" s="638">
        <f>IF(L232=$L$2, "Structure", IF(L232&gt;0,"Revêtement",0))</f>
        <v>0</v>
      </c>
      <c r="AN232" s="1036">
        <f>IF(AM232="Structure",N232,0)</f>
        <v>0</v>
      </c>
      <c r="AO232" s="1037">
        <f>IF(AM232="Structure",P232,0)</f>
        <v>0</v>
      </c>
      <c r="AP232" s="1037">
        <f>IF(AM232="Structure",Q232,0)</f>
        <v>0</v>
      </c>
      <c r="AQ232" s="1038">
        <f>IF(AM232="Structure",S232,0)</f>
        <v>0</v>
      </c>
      <c r="AR232" s="1038">
        <f>IF(AM232="Structure",T232,0)</f>
        <v>0</v>
      </c>
      <c r="AS232" s="1036">
        <f>IF(AM232="Insulation",N232,0)</f>
        <v>0</v>
      </c>
      <c r="AT232" s="1037">
        <f>IF(AM232="Insulation",P232,0)</f>
        <v>0</v>
      </c>
      <c r="AU232" s="1037">
        <f>IF(AM232="Insulation",Q232,0)</f>
        <v>0</v>
      </c>
      <c r="AV232" s="1038">
        <f>IF(AM232="Insulation",S232,0)</f>
        <v>0</v>
      </c>
      <c r="AW232" s="1038">
        <f>IF(AM232="Insulation",T232,0)</f>
        <v>0</v>
      </c>
      <c r="AX232" s="1036">
        <f>IF(AM232="Revêtement",N232,0)</f>
        <v>0</v>
      </c>
      <c r="AY232" s="1037">
        <f>IF(AM232="Revêtement",P232,0)</f>
        <v>0</v>
      </c>
      <c r="AZ232" s="1037">
        <f>IF(AM232="Revêtement",Q232,0)</f>
        <v>0</v>
      </c>
      <c r="BA232" s="1037">
        <f>IF(AM232="Revêtement",S232,0)</f>
        <v>0</v>
      </c>
      <c r="BB232" s="1038">
        <f>IF(AM232="Revêtement",T232,0)</f>
        <v>0</v>
      </c>
      <c r="BC232" s="1036"/>
      <c r="BD232" s="1037"/>
      <c r="BE232" s="1037"/>
      <c r="BF232" s="1038"/>
      <c r="BG232" s="1036">
        <f>IF($AM232="Structure", IF($I232="kg",$J232,0), 0)</f>
        <v>0</v>
      </c>
      <c r="BH232" s="1037">
        <f>IF($AM232="Insulation", IF($I232="kg",$J232,0), 0)</f>
        <v>0</v>
      </c>
      <c r="BI232" s="1038">
        <f>IF($AM232="Revêtement", IF($I232="kg",$J232,0), 0)</f>
        <v>0</v>
      </c>
      <c r="BJ232" s="1037">
        <f>_xlfn.XLOOKUP(H232, 'Baumaterialien Matériaux'!A:A, 'Baumaterialien Matériaux'!E:E, "-", 0, 1)</f>
        <v>0</v>
      </c>
      <c r="BK232" s="1036">
        <f t="shared" si="547"/>
        <v>0</v>
      </c>
      <c r="BL232" s="1037">
        <f t="shared" si="548"/>
        <v>0</v>
      </c>
      <c r="BM232" s="1038">
        <f t="shared" si="549"/>
        <v>0</v>
      </c>
      <c r="BN232" s="1037">
        <f>IFERROR((J232*VLOOKUP(H232, 'Baumaterialien Matériaux'!$A$11:$AH$318, 33,FALSE)),0)/$G$1</f>
        <v>0</v>
      </c>
      <c r="BO232" s="1037" t="e">
        <f>(BN232+BP232)*($L$2/L232-1)</f>
        <v>#DIV/0!</v>
      </c>
      <c r="BP232" s="1037">
        <f>IFERROR((J232*VLOOKUP(H232, 'Baumaterialien Matériaux'!$A$11:$AH$318, 34,FALSE)),0)/$G$1</f>
        <v>0</v>
      </c>
      <c r="BQ232" s="1037" t="e">
        <f t="shared" si="536"/>
        <v>#DIV/0!</v>
      </c>
      <c r="BR232" s="1037"/>
    </row>
    <row r="233" spans="2:70">
      <c r="B233" s="1101"/>
      <c r="C233" s="1099"/>
      <c r="D233" s="478"/>
      <c r="E233" s="478"/>
      <c r="G233" s="478"/>
      <c r="H233" s="875"/>
      <c r="I233" s="641"/>
      <c r="J233" s="649"/>
      <c r="K233" s="650"/>
      <c r="L233" s="647"/>
      <c r="M233" s="648"/>
      <c r="N233" s="720"/>
      <c r="O233" s="720"/>
      <c r="P233" s="720"/>
      <c r="Q233" s="720"/>
      <c r="R233" s="720"/>
      <c r="S233" s="720"/>
      <c r="T233" s="720"/>
      <c r="Z233" s="638">
        <f t="shared" si="526"/>
        <v>0</v>
      </c>
      <c r="AA233" s="647" t="s">
        <v>3463</v>
      </c>
      <c r="AB233">
        <f>_xlfn.XLOOKUP($H233,'[1]Baumaterialien Matériaux'!$A:$A,'[1]Baumaterialien Matériaux'!AK:AK,0,0)</f>
        <v>0</v>
      </c>
      <c r="AC233" t="str" cm="1">
        <f t="array" ref="AC233">_xlfn.SWITCH(I233,"kg"," ",0," ",_xlfn.XLOOKUP(H233, '[1]Baumaterialien Matériaux'!$A:$A, '[1]Baumaterialien Matériaux'!$AL:$AL, "-", 0, 1))</f>
        <v xml:space="preserve"> </v>
      </c>
      <c r="AD233" s="622" cm="1">
        <f t="array" ref="AD233">IFERROR(_xlfn.SWITCH(I233,"kg",1,"m3",AC233,AC233)*J233/(_xlfn.XLOOKUP(AA233,Métrés!A:A,Métrés!C:C,0)),0)</f>
        <v>0</v>
      </c>
      <c r="AE233" s="1092">
        <f>IFERROR(N233*$G$1/(_xlfn.XLOOKUP($AA233,Métrés!$A:$A,Métrés!$C:$C,0)),0)</f>
        <v>0</v>
      </c>
      <c r="AF233" s="1092">
        <f>IFERROR(O233*$G$1/(_xlfn.XLOOKUP($AA233,Métrés!$A:$A,Métrés!$C:$C,0)),0)</f>
        <v>0</v>
      </c>
      <c r="AG233" s="1092">
        <f>IFERROR(Q233*$G$1/(_xlfn.XLOOKUP($AA233,Métrés!$A:$A,Métrés!$C:$C,0)),0)</f>
        <v>0</v>
      </c>
      <c r="AH233" s="1092">
        <f>IFERROR(R233*$G$1/(_xlfn.XLOOKUP($AA233,Métrés!$A:$A,Métrés!$C:$C,0)),0)</f>
        <v>0</v>
      </c>
      <c r="AI233" s="1092">
        <f>IFERROR(S233*$G$1/(_xlfn.XLOOKUP($AA233,Métrés!$A:$A,Métrés!$C:$C,0)),0)</f>
        <v>0</v>
      </c>
      <c r="AJ233" s="1022"/>
      <c r="AM233" s="638">
        <f>IF(L233=$L$2, "Structure", IF(L233&gt;0,"Revêtement",0))</f>
        <v>0</v>
      </c>
      <c r="AN233" s="1036">
        <f>IF(AM233="Structure",N233,0)</f>
        <v>0</v>
      </c>
      <c r="AO233" s="1037">
        <f>IF(AM233="Structure",P233,0)</f>
        <v>0</v>
      </c>
      <c r="AP233" s="1037">
        <f>IF(AM233="Structure",Q233,0)</f>
        <v>0</v>
      </c>
      <c r="AQ233" s="1038">
        <f>IF(AM233="Structure",S233,0)</f>
        <v>0</v>
      </c>
      <c r="AR233" s="1038">
        <f>IF(AM233="Structure",T233,0)</f>
        <v>0</v>
      </c>
      <c r="AS233" s="1036">
        <f>IF(AM233="Insulation",N233,0)</f>
        <v>0</v>
      </c>
      <c r="AT233" s="1037">
        <f>IF(AM233="Insulation",P233,0)</f>
        <v>0</v>
      </c>
      <c r="AU233" s="1037">
        <f>IF(AM233="Insulation",Q233,0)</f>
        <v>0</v>
      </c>
      <c r="AV233" s="1038">
        <f>IF(AM233="Insulation",S233,0)</f>
        <v>0</v>
      </c>
      <c r="AW233" s="1038">
        <f>IF(AM233="Insulation",T233,0)</f>
        <v>0</v>
      </c>
      <c r="AX233" s="1036">
        <f>IF(AM233="Revêtement",N233,0)</f>
        <v>0</v>
      </c>
      <c r="AY233" s="1037">
        <f>IF(AM233="Revêtement",P233,0)</f>
        <v>0</v>
      </c>
      <c r="AZ233" s="1037">
        <f>IF(AM233="Revêtement",Q233,0)</f>
        <v>0</v>
      </c>
      <c r="BA233" s="1037">
        <f>IF(AM233="Revêtement",S233,0)</f>
        <v>0</v>
      </c>
      <c r="BB233" s="1038">
        <f>IF(AM233="Revêtement",T233,0)</f>
        <v>0</v>
      </c>
      <c r="BC233" s="1036">
        <f>IF(AM233="Installation",N233,0)</f>
        <v>0</v>
      </c>
      <c r="BD233" s="1037">
        <f>IF(AM233="Installation",P233,0)</f>
        <v>0</v>
      </c>
      <c r="BE233" s="1037">
        <f>IF(AM233="Installation",Q233,0)</f>
        <v>0</v>
      </c>
      <c r="BF233" s="1038"/>
      <c r="BG233" s="1036">
        <f>IF($AM233="Structure", IF($I233="kg",$J233,0), 0)</f>
        <v>0</v>
      </c>
      <c r="BH233" s="1037">
        <f>IF($AM233="Insulation", IF($I233="kg",$J233,0), 0)</f>
        <v>0</v>
      </c>
      <c r="BI233" s="1038">
        <f>IF($AM233="Revêtement", IF($I233="kg",$J233,0), 0)</f>
        <v>0</v>
      </c>
      <c r="BJ233" s="1037">
        <f>_xlfn.XLOOKUP(H233, 'Baumaterialien Matériaux'!A:A, 'Baumaterialien Matériaux'!E:E, "-", 0, 1)</f>
        <v>0</v>
      </c>
      <c r="BK233" s="1036">
        <f t="shared" si="547"/>
        <v>0</v>
      </c>
      <c r="BL233" s="1037">
        <f t="shared" si="548"/>
        <v>0</v>
      </c>
      <c r="BM233" s="1038">
        <f t="shared" si="549"/>
        <v>0</v>
      </c>
      <c r="BN233" s="1037"/>
      <c r="BO233" s="1037"/>
      <c r="BP233" s="1037"/>
      <c r="BQ233" s="1037"/>
      <c r="BR233" s="1037"/>
    </row>
    <row r="234" spans="2:70" ht="15.75" customHeight="1">
      <c r="B234" s="1105" t="s">
        <v>145</v>
      </c>
      <c r="C234" s="1097" t="s">
        <v>146</v>
      </c>
      <c r="D234" s="473" t="s">
        <v>147</v>
      </c>
      <c r="E234" s="473"/>
      <c r="F234" s="473"/>
      <c r="G234" s="473"/>
      <c r="H234" s="473"/>
      <c r="I234" s="463"/>
      <c r="J234" s="654"/>
      <c r="K234" s="652"/>
      <c r="L234" s="652"/>
      <c r="M234" s="653">
        <f>SUM(M235:M236)</f>
        <v>91.008454565691636</v>
      </c>
      <c r="N234" s="653">
        <f>N235+N236</f>
        <v>32.372482525266015</v>
      </c>
      <c r="O234" s="653">
        <f>O235+O236</f>
        <v>19.423489515159609</v>
      </c>
      <c r="P234" s="653">
        <f t="shared" ref="P234:Q234" si="603">P235+P236</f>
        <v>35.792482525266017</v>
      </c>
      <c r="Q234" s="653">
        <f t="shared" si="603"/>
        <v>3.42</v>
      </c>
      <c r="R234" s="653">
        <f t="shared" ref="R234" si="604">R235+R236</f>
        <v>2.0519999999999996</v>
      </c>
      <c r="S234" s="653"/>
      <c r="T234" s="666"/>
      <c r="U234" s="666"/>
      <c r="V234" s="666"/>
      <c r="W234" s="666"/>
      <c r="X234" s="666"/>
      <c r="Y234" s="666"/>
      <c r="Z234" s="638">
        <f t="shared" si="526"/>
        <v>0</v>
      </c>
      <c r="AB234">
        <f>_xlfn.XLOOKUP($H234,'[1]Baumaterialien Matériaux'!$A:$A,'[1]Baumaterialien Matériaux'!AK:AK,0,0)</f>
        <v>0</v>
      </c>
      <c r="AC234" t="str" cm="1">
        <f t="array" ref="AC234">_xlfn.SWITCH(I234,"kg"," ",0," ",_xlfn.XLOOKUP(H234, '[1]Baumaterialien Matériaux'!$A:$A, '[1]Baumaterialien Matériaux'!$AL:$AL, "-", 0, 1))</f>
        <v xml:space="preserve"> </v>
      </c>
      <c r="AD234" s="622" cm="1">
        <f t="array" ref="AD234">IFERROR(_xlfn.SWITCH(I234,"kg",1,"m3",AC234,AC234)*J234/(_xlfn.XLOOKUP(AA234,Métrés!A:A,Métrés!C:C,0)),0)</f>
        <v>0</v>
      </c>
      <c r="AE234" s="1092">
        <f>IFERROR(N234*$G$1/(_xlfn.XLOOKUP($AA234,Métrés!$A:$A,Métrés!$C:$C,0)),0)</f>
        <v>0</v>
      </c>
      <c r="AF234" s="1092">
        <f>IFERROR(O234*$G$1/(_xlfn.XLOOKUP($AA234,Métrés!$A:$A,Métrés!$C:$C,0)),0)</f>
        <v>0</v>
      </c>
      <c r="AG234" s="1092">
        <f>IFERROR(Q234*$G$1/(_xlfn.XLOOKUP($AA234,Métrés!$A:$A,Métrés!$C:$C,0)),0)</f>
        <v>0</v>
      </c>
      <c r="AH234" s="1092">
        <f>IFERROR(R234*$G$1/(_xlfn.XLOOKUP($AA234,Métrés!$A:$A,Métrés!$C:$C,0)),0)</f>
        <v>0</v>
      </c>
      <c r="AI234" s="1092">
        <f>IFERROR(S234*$G$1/(_xlfn.XLOOKUP($AA234,Métrés!$A:$A,Métrés!$C:$C,0)),0)</f>
        <v>0</v>
      </c>
      <c r="AJ234" s="1023"/>
      <c r="AK234" s="666"/>
      <c r="AL234" s="666"/>
      <c r="AM234" s="666"/>
      <c r="AN234" s="1051"/>
      <c r="AO234" s="666"/>
      <c r="AP234" s="666"/>
      <c r="AQ234" s="666"/>
      <c r="AR234" s="1052"/>
      <c r="AS234" s="1051"/>
      <c r="AT234" s="666"/>
      <c r="AU234" s="666"/>
      <c r="AV234" s="666"/>
      <c r="AW234" s="1052"/>
      <c r="AX234" s="1051"/>
      <c r="AY234" s="666"/>
      <c r="AZ234" s="666"/>
      <c r="BA234" s="666"/>
      <c r="BB234" s="1052"/>
      <c r="BC234" s="1051"/>
      <c r="BD234" s="666"/>
      <c r="BE234" s="666"/>
      <c r="BF234" s="1052"/>
      <c r="BG234" s="1051"/>
      <c r="BH234" s="666"/>
      <c r="BI234" s="1052"/>
      <c r="BJ234" s="666"/>
      <c r="BK234" s="1051"/>
      <c r="BL234" s="666"/>
      <c r="BM234" s="1052"/>
      <c r="BN234" s="1039"/>
      <c r="BO234" s="1039"/>
      <c r="BP234" s="1039"/>
      <c r="BQ234" s="1039"/>
      <c r="BR234" s="1037"/>
    </row>
    <row r="235" spans="2:70">
      <c r="B235" s="1105"/>
      <c r="C235" s="1099"/>
      <c r="D235" s="478" t="s">
        <v>147</v>
      </c>
      <c r="E235" s="479" t="str">
        <f>BillQuantities!E38</f>
        <v>Habitation</v>
      </c>
      <c r="F235" s="479"/>
      <c r="G235" s="479" t="str">
        <f>VLOOKUP(H235, 'Gebäudetechnik Technique du bât'!$A$10:$X$78, 24,FALSE)</f>
        <v>Installations électriques, habitation</v>
      </c>
      <c r="H235" s="753" t="s">
        <v>800</v>
      </c>
      <c r="I235" s="459" t="str">
        <f>VLOOKUP(H235, 'Gebäudetechnik Technique du bât'!$A$10:$X$78, 23,FALSE)</f>
        <v>SRE</v>
      </c>
      <c r="J235" s="662">
        <f>$G$1</f>
        <v>898.44</v>
      </c>
      <c r="K235" s="663">
        <v>1</v>
      </c>
      <c r="L235" s="663">
        <v>30</v>
      </c>
      <c r="M235" s="664">
        <f>SUM(N235:Q235)</f>
        <v>31.618000000000002</v>
      </c>
      <c r="N235" s="720">
        <f>IFERROR(($J235*VLOOKUP($H235, 'Gebäudetechnik Technique du bât'!$A$10:$U$78, 21,FALSE)),0)/$G$1</f>
        <v>9.5299999999999994</v>
      </c>
      <c r="O235" s="720">
        <f>N235-(40%*N235)</f>
        <v>5.718</v>
      </c>
      <c r="P235" s="720">
        <f>IFERROR((N235+Q235)*($L$2/L235-1),0)</f>
        <v>12.95</v>
      </c>
      <c r="Q235" s="720">
        <f>IFERROR(($J235*VLOOKUP($H235, 'Gebäudetechnik Technique du bât'!$A$10:$V$78, 22,FALSE)),0)/$G$1</f>
        <v>3.42</v>
      </c>
      <c r="R235" s="720">
        <f>Q235-(40%*Q235)</f>
        <v>2.0519999999999996</v>
      </c>
      <c r="X235" s="638" t="s">
        <v>148</v>
      </c>
      <c r="Z235" s="638">
        <f t="shared" si="526"/>
        <v>30</v>
      </c>
      <c r="AA235" s="1093" t="s">
        <v>3446</v>
      </c>
      <c r="AB235" t="str">
        <f>_xlfn.XLOOKUP($H235,'[1]Baumaterialien Matériaux'!$A:$A,'[1]Baumaterialien Matériaux'!AK:AK,0,0)</f>
        <v>equipment</v>
      </c>
      <c r="AC235" cm="1">
        <f t="array" ref="AC235">_xlfn.SWITCH(I235,"kg"," ",0," ",_xlfn.XLOOKUP(H235, '[1]Baumaterialien Matériaux'!$A:$A, '[1]Baumaterialien Matériaux'!$AL:$AL, "-", 0, 1))</f>
        <v>0</v>
      </c>
      <c r="AD235" s="622" cm="1">
        <f t="array" ref="AD235">IFERROR(_xlfn.SWITCH(I235,"kg",1,"m3",AC235,AC235)*J235/(_xlfn.XLOOKUP(AA235,Métrés!A:A,Métrés!C:C,0)),0)</f>
        <v>0</v>
      </c>
      <c r="AE235" s="1092">
        <f>IFERROR(N235*$G$1/(_xlfn.XLOOKUP($AA235,Métrés!$A:$A,Métrés!$C:$C,0)),0)</f>
        <v>9.5299999999999994</v>
      </c>
      <c r="AF235" s="1092">
        <f>IFERROR(O235*$G$1/(_xlfn.XLOOKUP($AA235,Métrés!$A:$A,Métrés!$C:$C,0)),0)</f>
        <v>5.718</v>
      </c>
      <c r="AG235" s="1092">
        <f>IFERROR(Q235*$G$1/(_xlfn.XLOOKUP($AA235,Métrés!$A:$A,Métrés!$C:$C,0)),0)</f>
        <v>3.42</v>
      </c>
      <c r="AH235" s="1092">
        <f>IFERROR(R235*$G$1/(_xlfn.XLOOKUP($AA235,Métrés!$A:$A,Métrés!$C:$C,0)),0)</f>
        <v>2.0519999999999996</v>
      </c>
      <c r="AI235" s="1092">
        <f>IFERROR(S235*$G$1/(_xlfn.XLOOKUP($AA235,Métrés!$A:$A,Métrés!$C:$C,0)),0)</f>
        <v>0</v>
      </c>
      <c r="AJ235" s="1022"/>
      <c r="AM235" s="638" t="s">
        <v>148</v>
      </c>
      <c r="AN235" s="1036">
        <f>IF(AM235="Structure",N235,0)</f>
        <v>0</v>
      </c>
      <c r="AO235" s="1037">
        <f>IF(AM235="Structure",P235,0)</f>
        <v>0</v>
      </c>
      <c r="AP235" s="1037">
        <f>IF(AM235="Structure",Q235,0)</f>
        <v>0</v>
      </c>
      <c r="AQ235" s="1038">
        <f>IF(AM235="Structure",S235,0)</f>
        <v>0</v>
      </c>
      <c r="AR235" s="1038">
        <f>IF(AM235="Structure",T235,0)</f>
        <v>0</v>
      </c>
      <c r="AS235" s="1036">
        <f>IF(AM235="Insulation",N235,0)</f>
        <v>0</v>
      </c>
      <c r="AT235" s="1037">
        <f>IF(AM235="Insulation",P235,0)</f>
        <v>0</v>
      </c>
      <c r="AU235" s="1037">
        <f>IF(AM235="Insulation",Q235,0)</f>
        <v>0</v>
      </c>
      <c r="AV235" s="1038">
        <f>IF(AM235="Insulation",S235,0)</f>
        <v>0</v>
      </c>
      <c r="AW235" s="1038">
        <f>IF(AM235="Insulation",T235,0)</f>
        <v>0</v>
      </c>
      <c r="AX235" s="1036">
        <f>IF(AM235="Revêtement",N235,0)</f>
        <v>0</v>
      </c>
      <c r="AY235" s="1037">
        <f>IF(AM235="Revêtement",P235,0)</f>
        <v>0</v>
      </c>
      <c r="AZ235" s="1037">
        <f>IF(AM235="Revêtement",Q235,0)</f>
        <v>0</v>
      </c>
      <c r="BA235" s="1037">
        <f>IF(AM235="Revêtement",S235,0)</f>
        <v>0</v>
      </c>
      <c r="BB235" s="1038">
        <f>IF(AM235="Revêtement",T235,0)</f>
        <v>0</v>
      </c>
      <c r="BC235" s="1036">
        <f>IF(AM235="Installation",N235,0)</f>
        <v>9.5299999999999994</v>
      </c>
      <c r="BD235" s="1037">
        <f>IF(AM235="Installation",P235,0)</f>
        <v>12.95</v>
      </c>
      <c r="BE235" s="1037">
        <f>IF(AM235="Installation",Q235,0)</f>
        <v>3.42</v>
      </c>
      <c r="BF235" s="1038"/>
      <c r="BG235" s="1036">
        <f>IF($AM235="Structure", IF($I235="kg",$J235,0), 0)</f>
        <v>0</v>
      </c>
      <c r="BH235" s="1037">
        <f>IF($AM235="Insulation", IF($I235="kg",$J235,0), 0)</f>
        <v>0</v>
      </c>
      <c r="BI235" s="1038">
        <f>IF($AM235="Revêtement", IF($I235="kg",$J235,0), 0)</f>
        <v>0</v>
      </c>
      <c r="BJ235" s="1037" t="str">
        <f>_xlfn.XLOOKUP(H235, 'Baumaterialien Matériaux'!A:A, 'Baumaterialien Matériaux'!E:E, "-", 0, 1)</f>
        <v>-</v>
      </c>
      <c r="BK235" s="1036">
        <f t="shared" si="547"/>
        <v>0</v>
      </c>
      <c r="BL235" s="1037">
        <f t="shared" si="548"/>
        <v>0</v>
      </c>
      <c r="BM235" s="1038">
        <f t="shared" si="549"/>
        <v>0</v>
      </c>
      <c r="BN235" s="1040">
        <f>N235-(40%*N235)</f>
        <v>5.718</v>
      </c>
      <c r="BO235" s="1040">
        <f>BN235+BP235</f>
        <v>7.77</v>
      </c>
      <c r="BP235" s="1040">
        <f>Q235-(40%*Q235)</f>
        <v>2.0519999999999996</v>
      </c>
      <c r="BQ235" s="1040"/>
      <c r="BR235" s="1037">
        <f>IFERROR((N235+Q235)*($L$2/L235-1),0)</f>
        <v>12.95</v>
      </c>
    </row>
    <row r="236" spans="2:70">
      <c r="B236" s="1105"/>
      <c r="C236" s="1098"/>
      <c r="D236" s="478" t="s">
        <v>149</v>
      </c>
      <c r="E236" s="479" t="str">
        <f>BillQuantities!E39</f>
        <v>Installation photovoltaique (1 m2 = 0.14 kWp)</v>
      </c>
      <c r="F236" s="479" t="s">
        <v>3056</v>
      </c>
      <c r="G236" s="479" t="str">
        <f>VLOOKUP(H236, 'Gebäudetechnik Technique du bât'!$A$10:$X$78, 24,FALSE)</f>
        <v>Installations photovoltaïques 1</v>
      </c>
      <c r="H236" s="753" t="s">
        <v>150</v>
      </c>
      <c r="I236" s="459" t="str">
        <f>VLOOKUP(H236, 'Gebäudetechnik Technique du bât'!$A$10:$X$78, 23,FALSE)</f>
        <v>Puissance max.</v>
      </c>
      <c r="J236" s="662">
        <f>137*0.14</f>
        <v>19.180000000000003</v>
      </c>
      <c r="K236" s="663">
        <v>1</v>
      </c>
      <c r="L236" s="663">
        <v>30</v>
      </c>
      <c r="M236" s="664">
        <f>SUM(N236:Q236)</f>
        <v>59.390454565691641</v>
      </c>
      <c r="N236" s="720">
        <f>IFERROR(($J236*VLOOKUP($H236, 'Gebäudetechnik Technique du bât'!$A$10:$U$78, 21,FALSE)),0)/$G$1</f>
        <v>22.842482525266018</v>
      </c>
      <c r="O236" s="720">
        <f>N236-(40%*N236)</f>
        <v>13.705489515159611</v>
      </c>
      <c r="P236" s="720">
        <f>IFERROR((N236+Q236)*($L$2/L236-1),0)</f>
        <v>22.842482525266018</v>
      </c>
      <c r="Q236" s="720">
        <f>IFERROR(($J236*VLOOKUP($H236, 'Gebäudetechnik Technique du bât'!$A$10:$V$78, 22,FALSE)),0)/$G$1</f>
        <v>0</v>
      </c>
      <c r="R236" s="720">
        <f>Q236-(40%*Q236)</f>
        <v>0</v>
      </c>
      <c r="X236" s="638" t="s">
        <v>148</v>
      </c>
      <c r="Z236" s="638">
        <f t="shared" si="526"/>
        <v>30</v>
      </c>
      <c r="AA236" s="1093" t="s">
        <v>3446</v>
      </c>
      <c r="AB236" t="str">
        <f>_xlfn.XLOOKUP($H236,'[1]Baumaterialien Matériaux'!$A:$A,'[1]Baumaterialien Matériaux'!AK:AK,0,0)</f>
        <v>equipment</v>
      </c>
      <c r="AC236" cm="1">
        <f t="array" ref="AC236">_xlfn.SWITCH(I236,"kg"," ",0," ",_xlfn.XLOOKUP(H236, '[1]Baumaterialien Matériaux'!$A:$A, '[1]Baumaterialien Matériaux'!$AL:$AL, "-", 0, 1))</f>
        <v>0</v>
      </c>
      <c r="AD236" s="622" cm="1">
        <f t="array" ref="AD236">IFERROR(_xlfn.SWITCH(I236,"kg",1,"m3",AC236,AC236)*J236/(_xlfn.XLOOKUP(AA236,Métrés!A:A,Métrés!C:C,0)),0)</f>
        <v>0</v>
      </c>
      <c r="AE236" s="1092">
        <f>IFERROR(N236*$G$1/(_xlfn.XLOOKUP($AA236,Métrés!$A:$A,Métrés!$C:$C,0)),0)</f>
        <v>22.842482525266018</v>
      </c>
      <c r="AF236" s="1092">
        <f>IFERROR(O236*$G$1/(_xlfn.XLOOKUP($AA236,Métrés!$A:$A,Métrés!$C:$C,0)),0)</f>
        <v>13.705489515159611</v>
      </c>
      <c r="AG236" s="1092">
        <f>IFERROR(Q236*$G$1/(_xlfn.XLOOKUP($AA236,Métrés!$A:$A,Métrés!$C:$C,0)),0)</f>
        <v>0</v>
      </c>
      <c r="AH236" s="1092">
        <f>IFERROR(R236*$G$1/(_xlfn.XLOOKUP($AA236,Métrés!$A:$A,Métrés!$C:$C,0)),0)</f>
        <v>0</v>
      </c>
      <c r="AI236" s="1092">
        <f>IFERROR(S236*$G$1/(_xlfn.XLOOKUP($AA236,Métrés!$A:$A,Métrés!$C:$C,0)),0)</f>
        <v>0</v>
      </c>
      <c r="AJ236" s="1022"/>
      <c r="AM236" s="638" t="s">
        <v>148</v>
      </c>
      <c r="AN236" s="1036">
        <f>IF(AM236="Structure",N236,0)</f>
        <v>0</v>
      </c>
      <c r="AO236" s="1037">
        <f>IF(AM236="Structure",P236,0)</f>
        <v>0</v>
      </c>
      <c r="AP236" s="1037">
        <f>IF(AM236="Structure",Q236,0)</f>
        <v>0</v>
      </c>
      <c r="AQ236" s="1038">
        <f>IF(AM236="Structure",S236,0)</f>
        <v>0</v>
      </c>
      <c r="AR236" s="1038">
        <f>IF(AM236="Structure",T236,0)</f>
        <v>0</v>
      </c>
      <c r="AS236" s="1036">
        <f>IF(AM236="Insulation",N236,0)</f>
        <v>0</v>
      </c>
      <c r="AT236" s="1037">
        <f>IF(AM236="Insulation",P236,0)</f>
        <v>0</v>
      </c>
      <c r="AU236" s="1037">
        <f>IF(AM236="Insulation",Q236,0)</f>
        <v>0</v>
      </c>
      <c r="AV236" s="1038">
        <f>IF(AM236="Insulation",S236,0)</f>
        <v>0</v>
      </c>
      <c r="AW236" s="1038">
        <f>IF(AM236="Insulation",T236,0)</f>
        <v>0</v>
      </c>
      <c r="AX236" s="1036">
        <f>IF(AM236="Revêtement",N236,0)</f>
        <v>0</v>
      </c>
      <c r="AY236" s="1037">
        <f>IF(AM236="Revêtement",P236,0)</f>
        <v>0</v>
      </c>
      <c r="AZ236" s="1037">
        <f>IF(AM236="Revêtement",Q236,0)</f>
        <v>0</v>
      </c>
      <c r="BA236" s="1037">
        <f>IF(AM236="Revêtement",S236,0)</f>
        <v>0</v>
      </c>
      <c r="BB236" s="1038">
        <f>IF(AM236="Revêtement",T236,0)</f>
        <v>0</v>
      </c>
      <c r="BC236" s="1036">
        <f>IF(AM236="Installation",N236,0)</f>
        <v>22.842482525266018</v>
      </c>
      <c r="BD236" s="1037">
        <f>IF(AM236="Installation",P236,0)</f>
        <v>22.842482525266018</v>
      </c>
      <c r="BE236" s="1037">
        <f>IF(AM236="Installation",Q236,0)</f>
        <v>0</v>
      </c>
      <c r="BF236" s="1038"/>
      <c r="BG236" s="1036">
        <f>IF($AM236="Structure", IF($I236="kg",$J236,0), 0)</f>
        <v>0</v>
      </c>
      <c r="BH236" s="1037">
        <f>IF($AM236="Insulation", IF($I236="kg",$J236,0), 0)</f>
        <v>0</v>
      </c>
      <c r="BI236" s="1038">
        <f>IF($AM236="Revêtement", IF($I236="kg",$J236,0), 0)</f>
        <v>0</v>
      </c>
      <c r="BJ236" s="1037" t="str">
        <f>_xlfn.XLOOKUP(H236, 'Baumaterialien Matériaux'!A:A, 'Baumaterialien Matériaux'!E:E, "-", 0, 1)</f>
        <v>-</v>
      </c>
      <c r="BK236" s="1036">
        <f t="shared" si="547"/>
        <v>0</v>
      </c>
      <c r="BL236" s="1037">
        <f t="shared" si="548"/>
        <v>0</v>
      </c>
      <c r="BM236" s="1038">
        <f t="shared" si="549"/>
        <v>0</v>
      </c>
      <c r="BN236" s="1040">
        <f>N236-(40%*N236)</f>
        <v>13.705489515159611</v>
      </c>
      <c r="BO236" s="1040">
        <f t="shared" ref="BO236:BO247" si="605">BN236+BP236</f>
        <v>13.705489515159611</v>
      </c>
      <c r="BP236" s="1040">
        <f>Q236-(40%*Q236)</f>
        <v>0</v>
      </c>
      <c r="BQ236" s="1040"/>
      <c r="BR236" s="1037">
        <f>IFERROR((N236+Q236)*($L$2/L236-1),0)</f>
        <v>22.842482525266018</v>
      </c>
    </row>
    <row r="237" spans="2:70">
      <c r="B237" s="1105"/>
      <c r="C237" s="1097" t="s">
        <v>152</v>
      </c>
      <c r="D237" s="473" t="s">
        <v>153</v>
      </c>
      <c r="E237" s="473"/>
      <c r="F237" s="473"/>
      <c r="G237" s="473"/>
      <c r="H237" s="473"/>
      <c r="I237" s="463"/>
      <c r="J237" s="654"/>
      <c r="K237" s="652"/>
      <c r="L237" s="652"/>
      <c r="M237" s="653">
        <f>SUM(M238:M242)</f>
        <v>59.315905970348595</v>
      </c>
      <c r="N237" s="653">
        <f>SUM(N238:N242)</f>
        <v>20.840532033302168</v>
      </c>
      <c r="O237" s="653">
        <f>SUM(O238:O242)</f>
        <v>12.5043192199813</v>
      </c>
      <c r="P237" s="653">
        <f t="shared" ref="P237:Q237" si="606">SUM(P238:P242)</f>
        <v>21.120164952584481</v>
      </c>
      <c r="Q237" s="653">
        <f t="shared" si="606"/>
        <v>4.8508897644806552</v>
      </c>
      <c r="R237" s="653">
        <f t="shared" ref="R237" si="607">SUM(R238:R242)</f>
        <v>2.9105338586883929</v>
      </c>
      <c r="S237" s="653"/>
      <c r="T237" s="653"/>
      <c r="X237" s="638">
        <f t="shared" si="459"/>
        <v>0</v>
      </c>
      <c r="Z237" s="638">
        <f t="shared" si="526"/>
        <v>0</v>
      </c>
      <c r="AA237" s="1093"/>
      <c r="AB237">
        <f>_xlfn.XLOOKUP($H237,'[1]Baumaterialien Matériaux'!$A:$A,'[1]Baumaterialien Matériaux'!AK:AK,0,0)</f>
        <v>0</v>
      </c>
      <c r="AC237" t="str" cm="1">
        <f t="array" ref="AC237">_xlfn.SWITCH(I237,"kg"," ",0," ",_xlfn.XLOOKUP(H237, '[1]Baumaterialien Matériaux'!$A:$A, '[1]Baumaterialien Matériaux'!$AL:$AL, "-", 0, 1))</f>
        <v xml:space="preserve"> </v>
      </c>
      <c r="AD237" s="622" cm="1">
        <f t="array" ref="AD237">IFERROR(_xlfn.SWITCH(I237,"kg",1,"m3",AC237,AC237)*J237/(_xlfn.XLOOKUP(AA237,Métrés!A:A,Métrés!C:C,0)),0)</f>
        <v>0</v>
      </c>
      <c r="AE237" s="1092">
        <f>IFERROR(N237*$G$1/(_xlfn.XLOOKUP($AA237,Métrés!$A:$A,Métrés!$C:$C,0)),0)</f>
        <v>0</v>
      </c>
      <c r="AF237" s="1092">
        <f>IFERROR(O237*$G$1/(_xlfn.XLOOKUP($AA237,Métrés!$A:$A,Métrés!$C:$C,0)),0)</f>
        <v>0</v>
      </c>
      <c r="AG237" s="1092">
        <f>IFERROR(Q237*$G$1/(_xlfn.XLOOKUP($AA237,Métrés!$A:$A,Métrés!$C:$C,0)),0)</f>
        <v>0</v>
      </c>
      <c r="AH237" s="1092">
        <f>IFERROR(R237*$G$1/(_xlfn.XLOOKUP($AA237,Métrés!$A:$A,Métrés!$C:$C,0)),0)</f>
        <v>0</v>
      </c>
      <c r="AI237" s="1092">
        <f>IFERROR(S237*$G$1/(_xlfn.XLOOKUP($AA237,Métrés!$A:$A,Métrés!$C:$C,0)),0)</f>
        <v>0</v>
      </c>
      <c r="AJ237" s="653"/>
      <c r="AK237" s="653"/>
      <c r="AL237" s="653"/>
      <c r="AM237" s="1020"/>
      <c r="AN237" s="1060"/>
      <c r="AO237" s="653"/>
      <c r="AP237" s="653"/>
      <c r="AQ237" s="653"/>
      <c r="AR237" s="1056"/>
      <c r="AS237" s="1060"/>
      <c r="AT237" s="653"/>
      <c r="AU237" s="653"/>
      <c r="AV237" s="653"/>
      <c r="AW237" s="1056"/>
      <c r="AX237" s="1060"/>
      <c r="AY237" s="653"/>
      <c r="AZ237" s="653"/>
      <c r="BA237" s="653"/>
      <c r="BB237" s="1056"/>
      <c r="BC237" s="1060"/>
      <c r="BD237" s="653"/>
      <c r="BE237" s="653"/>
      <c r="BF237" s="1056"/>
      <c r="BG237" s="1060"/>
      <c r="BH237" s="653"/>
      <c r="BI237" s="1056"/>
      <c r="BJ237" s="1044"/>
      <c r="BK237" s="1060"/>
      <c r="BL237" s="653"/>
      <c r="BM237" s="1056"/>
      <c r="BN237" s="1040"/>
      <c r="BO237" s="1040"/>
      <c r="BP237" s="1040"/>
      <c r="BQ237" s="1040"/>
      <c r="BR237" s="1037"/>
    </row>
    <row r="238" spans="2:70">
      <c r="B238" s="1105"/>
      <c r="C238" s="1099"/>
      <c r="D238" s="478" t="s">
        <v>154</v>
      </c>
      <c r="E238" s="479" t="str">
        <f>BillQuantities!E41</f>
        <v>Production de chaleur</v>
      </c>
      <c r="F238" s="479"/>
      <c r="G238" s="479" t="str">
        <f>VLOOKUP(H238, 'Gebäudetechnik Technique du bât'!$A$10:$X$78, 24,FALSE)</f>
        <v>Pompe à chaleur saumure-eau 7 kW</v>
      </c>
      <c r="H238" s="753" t="s">
        <v>2207</v>
      </c>
      <c r="I238" s="459" t="str">
        <f>VLOOKUP(H238, 'Gebäudetechnik Technique du bât'!$A$10:$X$78, 23,FALSE)</f>
        <v>appareil</v>
      </c>
      <c r="J238" s="662">
        <v>1</v>
      </c>
      <c r="K238" s="663">
        <v>1</v>
      </c>
      <c r="L238" s="663">
        <v>20</v>
      </c>
      <c r="M238" s="664">
        <f>SUM(N238:Q238)</f>
        <v>9.3128088687057566</v>
      </c>
      <c r="N238" s="720">
        <f>IFERROR(($J238*VLOOKUP($H238, 'Gebäudetechnik Technique du bât'!$A$10:$U$78, 21,FALSE)),0)/$G$1</f>
        <v>2.148167935532701</v>
      </c>
      <c r="O238" s="720">
        <f>N238-(40%*N238)</f>
        <v>1.2889007613196206</v>
      </c>
      <c r="P238" s="720">
        <f>IFERROR((N238+Q238)*($L$2/L238-1),0)</f>
        <v>5.3492720715907573</v>
      </c>
      <c r="Q238" s="720">
        <f>IFERROR(($J238*VLOOKUP($H238, 'Gebäudetechnik Technique du bât'!$A$10:$V$78, 22,FALSE)),0)/$G$1</f>
        <v>0.52646810026267754</v>
      </c>
      <c r="R238" s="720">
        <f>Q238-(40%*Q238)</f>
        <v>0.31588086015760652</v>
      </c>
      <c r="X238" s="638" t="s">
        <v>148</v>
      </c>
      <c r="Z238" s="638">
        <f t="shared" si="526"/>
        <v>20</v>
      </c>
      <c r="AA238" s="1093" t="s">
        <v>3446</v>
      </c>
      <c r="AB238" t="str">
        <f>_xlfn.XLOOKUP($H238,'[1]Baumaterialien Matériaux'!$A:$A,'[1]Baumaterialien Matériaux'!AK:AK,0,0)</f>
        <v>equipment</v>
      </c>
      <c r="AC238" cm="1">
        <f t="array" ref="AC238">_xlfn.SWITCH(I238,"kg"," ",0," ",_xlfn.XLOOKUP(H238, '[1]Baumaterialien Matériaux'!$A:$A, '[1]Baumaterialien Matériaux'!$AL:$AL, "-", 0, 1))</f>
        <v>0</v>
      </c>
      <c r="AD238" s="622" cm="1">
        <f t="array" ref="AD238">IFERROR(_xlfn.SWITCH(I238,"kg",1,"m3",AC238,AC238)*J238/(_xlfn.XLOOKUP(AA238,Métrés!A:A,Métrés!C:C,0)),0)</f>
        <v>0</v>
      </c>
      <c r="AE238" s="1092">
        <f>IFERROR(N238*$G$1/(_xlfn.XLOOKUP($AA238,Métrés!$A:$A,Métrés!$C:$C,0)),0)</f>
        <v>2.148167935532701</v>
      </c>
      <c r="AF238" s="1092">
        <f>IFERROR(O238*$G$1/(_xlfn.XLOOKUP($AA238,Métrés!$A:$A,Métrés!$C:$C,0)),0)</f>
        <v>1.2889007613196206</v>
      </c>
      <c r="AG238" s="1092">
        <f>IFERROR(Q238*$G$1/(_xlfn.XLOOKUP($AA238,Métrés!$A:$A,Métrés!$C:$C,0)),0)</f>
        <v>0.52646810026267754</v>
      </c>
      <c r="AH238" s="1092">
        <f>IFERROR(R238*$G$1/(_xlfn.XLOOKUP($AA238,Métrés!$A:$A,Métrés!$C:$C,0)),0)</f>
        <v>0.31588086015760652</v>
      </c>
      <c r="AI238" s="1092">
        <f>IFERROR(S238*$G$1/(_xlfn.XLOOKUP($AA238,Métrés!$A:$A,Métrés!$C:$C,0)),0)</f>
        <v>0</v>
      </c>
      <c r="AJ238" s="1022"/>
      <c r="AM238" s="638" t="s">
        <v>148</v>
      </c>
      <c r="AN238" s="1036">
        <f>IF(AM238="Structure",N238,0)</f>
        <v>0</v>
      </c>
      <c r="AO238" s="1037">
        <f>IF(AM238="Structure",P238,0)</f>
        <v>0</v>
      </c>
      <c r="AP238" s="1037">
        <f>IF(AM238="Structure",Q238,0)</f>
        <v>0</v>
      </c>
      <c r="AQ238" s="1038">
        <f>IF(AM238="Structure",S238,0)</f>
        <v>0</v>
      </c>
      <c r="AR238" s="1038">
        <f>IF(AM238="Structure",T238,0)</f>
        <v>0</v>
      </c>
      <c r="AS238" s="1036">
        <f>IF(AM238="Insulation",N238,0)</f>
        <v>0</v>
      </c>
      <c r="AT238" s="1037">
        <f>IF(AM238="Insulation",P238,0)</f>
        <v>0</v>
      </c>
      <c r="AU238" s="1037">
        <f>IF(AM238="Insulation",Q238,0)</f>
        <v>0</v>
      </c>
      <c r="AV238" s="1038">
        <f>IF(AM238="Insulation",S238,0)</f>
        <v>0</v>
      </c>
      <c r="AW238" s="1038">
        <f>IF(AM238="Insulation",T238,0)</f>
        <v>0</v>
      </c>
      <c r="AX238" s="1036">
        <f>IF(AM238="Revêtement",N238,0)</f>
        <v>0</v>
      </c>
      <c r="AY238" s="1037">
        <f>IF(AM238="Revêtement",P238,0)</f>
        <v>0</v>
      </c>
      <c r="AZ238" s="1037">
        <f>IF(AM238="Revêtement",Q238,0)</f>
        <v>0</v>
      </c>
      <c r="BA238" s="1037">
        <f>IF(AM238="Revêtement",S238,0)</f>
        <v>0</v>
      </c>
      <c r="BB238" s="1038">
        <f>IF(AM238="Revêtement",T238,0)</f>
        <v>0</v>
      </c>
      <c r="BC238" s="1036">
        <f>IF(AM238="Installation",N238,0)</f>
        <v>2.148167935532701</v>
      </c>
      <c r="BD238" s="1037">
        <f>IF(AM238="Installation",P238,0)</f>
        <v>5.3492720715907573</v>
      </c>
      <c r="BE238" s="1037">
        <f>IF(AM238="Installation",Q238,0)</f>
        <v>0.52646810026267754</v>
      </c>
      <c r="BF238" s="1038"/>
      <c r="BG238" s="1036">
        <f>IF($AM238="Structure", IF($I238="kg",$J238,0), 0)</f>
        <v>0</v>
      </c>
      <c r="BH238" s="1037">
        <f>IF($AM238="Insulation", IF($I238="kg",$J238,0), 0)</f>
        <v>0</v>
      </c>
      <c r="BI238" s="1038">
        <f>IF($AM238="Revêtement", IF($I238="kg",$J238,0), 0)</f>
        <v>0</v>
      </c>
      <c r="BJ238" s="1037" t="str">
        <f>_xlfn.XLOOKUP(H238, 'Baumaterialien Matériaux'!A:A, 'Baumaterialien Matériaux'!E:E, "-", 0, 1)</f>
        <v>-</v>
      </c>
      <c r="BK238" s="1036">
        <f t="shared" si="547"/>
        <v>0</v>
      </c>
      <c r="BL238" s="1037">
        <f t="shared" si="548"/>
        <v>0</v>
      </c>
      <c r="BM238" s="1038">
        <f t="shared" si="549"/>
        <v>0</v>
      </c>
      <c r="BN238" s="1040">
        <f>N238-(40%*N238)</f>
        <v>1.2889007613196206</v>
      </c>
      <c r="BO238" s="1040">
        <f t="shared" si="605"/>
        <v>1.604781621477227</v>
      </c>
      <c r="BP238" s="1040">
        <f>Q238-(40%*Q238)</f>
        <v>0.31588086015760652</v>
      </c>
      <c r="BQ238" s="1040"/>
      <c r="BR238" s="1037">
        <f>IFERROR((N238+Q238)*($L$2/L238-1),0)</f>
        <v>5.3492720715907573</v>
      </c>
    </row>
    <row r="239" spans="2:70">
      <c r="B239" s="1105"/>
      <c r="C239" s="1099"/>
      <c r="D239" s="478" t="s">
        <v>156</v>
      </c>
      <c r="E239" s="479" t="str">
        <f>BillQuantities!E42</f>
        <v>Distribution et émissions de chaleur habitation</v>
      </c>
      <c r="F239" s="479" t="s">
        <v>157</v>
      </c>
      <c r="G239" s="479" t="str">
        <f>VLOOKUP(H239, 'Gebäudetechnik Technique du bât'!$A$10:$X$78, 24,FALSE)</f>
        <v>Distribution de chaleur, bâtiment d'habitation</v>
      </c>
      <c r="H239" s="753" t="s">
        <v>812</v>
      </c>
      <c r="I239" s="459" t="str">
        <f>VLOOKUP(H239, 'Gebäudetechnik Technique du bât'!$A$10:$X$78, 23,FALSE)</f>
        <v>SRE</v>
      </c>
      <c r="J239" s="662">
        <f>$G$1</f>
        <v>898.44</v>
      </c>
      <c r="K239" s="663">
        <v>1</v>
      </c>
      <c r="L239" s="663">
        <v>30</v>
      </c>
      <c r="M239" s="664">
        <f>SUM(N239:Q239)</f>
        <v>8.5920000000000005</v>
      </c>
      <c r="N239" s="720">
        <f>IFERROR(($J239*VLOOKUP($H239, 'Gebäudetechnik Technique du bât'!$A$10:$U$78, 21,FALSE)),0)/$G$1</f>
        <v>2.77</v>
      </c>
      <c r="O239" s="720">
        <f>N239-(40%*N239)</f>
        <v>1.6619999999999999</v>
      </c>
      <c r="P239" s="720">
        <f>IFERROR((N239+Q239)*($L$2/L239-1),0)</f>
        <v>3.4649999999999999</v>
      </c>
      <c r="Q239" s="720">
        <f>IFERROR(($J239*VLOOKUP($H239, 'Gebäudetechnik Technique du bât'!$A$10:$V$78, 22,FALSE)),0)/$G$1</f>
        <v>0.69499999999999995</v>
      </c>
      <c r="R239" s="720">
        <f>Q239-(40%*Q239)</f>
        <v>0.41699999999999998</v>
      </c>
      <c r="X239" s="638" t="s">
        <v>148</v>
      </c>
      <c r="Z239" s="638">
        <f t="shared" si="526"/>
        <v>30</v>
      </c>
      <c r="AA239" s="1093" t="s">
        <v>3446</v>
      </c>
      <c r="AB239" t="str">
        <f>_xlfn.XLOOKUP($H239,'[1]Baumaterialien Matériaux'!$A:$A,'[1]Baumaterialien Matériaux'!AK:AK,0,0)</f>
        <v>equipment</v>
      </c>
      <c r="AC239" cm="1">
        <f t="array" ref="AC239">_xlfn.SWITCH(I239,"kg"," ",0," ",_xlfn.XLOOKUP(H239, '[1]Baumaterialien Matériaux'!$A:$A, '[1]Baumaterialien Matériaux'!$AL:$AL, "-", 0, 1))</f>
        <v>0</v>
      </c>
      <c r="AD239" s="622" cm="1">
        <f t="array" ref="AD239">IFERROR(_xlfn.SWITCH(I239,"kg",1,"m3",AC239,AC239)*J239/(_xlfn.XLOOKUP(AA239,Métrés!A:A,Métrés!C:C,0)),0)</f>
        <v>0</v>
      </c>
      <c r="AE239" s="1092">
        <f>IFERROR(N239*$G$1/(_xlfn.XLOOKUP($AA239,Métrés!$A:$A,Métrés!$C:$C,0)),0)</f>
        <v>2.77</v>
      </c>
      <c r="AF239" s="1092">
        <f>IFERROR(O239*$G$1/(_xlfn.XLOOKUP($AA239,Métrés!$A:$A,Métrés!$C:$C,0)),0)</f>
        <v>1.6619999999999999</v>
      </c>
      <c r="AG239" s="1092">
        <f>IFERROR(Q239*$G$1/(_xlfn.XLOOKUP($AA239,Métrés!$A:$A,Métrés!$C:$C,0)),0)</f>
        <v>0.69499999999999995</v>
      </c>
      <c r="AH239" s="1092">
        <f>IFERROR(R239*$G$1/(_xlfn.XLOOKUP($AA239,Métrés!$A:$A,Métrés!$C:$C,0)),0)</f>
        <v>0.41699999999999998</v>
      </c>
      <c r="AI239" s="1092">
        <f>IFERROR(S239*$G$1/(_xlfn.XLOOKUP($AA239,Métrés!$A:$A,Métrés!$C:$C,0)),0)</f>
        <v>0</v>
      </c>
      <c r="AJ239" s="1022"/>
      <c r="AM239" s="638" t="s">
        <v>148</v>
      </c>
      <c r="AN239" s="1036">
        <f>IF(AM239="Structure",N239,0)</f>
        <v>0</v>
      </c>
      <c r="AO239" s="1037">
        <f>IF(AM239="Structure",P239,0)</f>
        <v>0</v>
      </c>
      <c r="AP239" s="1037">
        <f>IF(AM239="Structure",Q239,0)</f>
        <v>0</v>
      </c>
      <c r="AQ239" s="1038">
        <f>IF(AM239="Structure",S239,0)</f>
        <v>0</v>
      </c>
      <c r="AR239" s="1038">
        <f>IF(AM239="Structure",T239,0)</f>
        <v>0</v>
      </c>
      <c r="AS239" s="1036">
        <f>IF(AM239="Insulation",N239,0)</f>
        <v>0</v>
      </c>
      <c r="AT239" s="1037">
        <f>IF(AM239="Insulation",P239,0)</f>
        <v>0</v>
      </c>
      <c r="AU239" s="1037">
        <f>IF(AM239="Insulation",Q239,0)</f>
        <v>0</v>
      </c>
      <c r="AV239" s="1038">
        <f>IF(AM239="Insulation",S239,0)</f>
        <v>0</v>
      </c>
      <c r="AW239" s="1038">
        <f>IF(AM239="Insulation",T239,0)</f>
        <v>0</v>
      </c>
      <c r="AX239" s="1036">
        <f>IF(AM239="Revêtement",N239,0)</f>
        <v>0</v>
      </c>
      <c r="AY239" s="1037">
        <f>IF(AM239="Revêtement",P239,0)</f>
        <v>0</v>
      </c>
      <c r="AZ239" s="1037">
        <f>IF(AM239="Revêtement",Q239,0)</f>
        <v>0</v>
      </c>
      <c r="BA239" s="1037">
        <f>IF(AM239="Revêtement",S239,0)</f>
        <v>0</v>
      </c>
      <c r="BB239" s="1038">
        <f>IF(AM239="Revêtement",T239,0)</f>
        <v>0</v>
      </c>
      <c r="BC239" s="1036">
        <f>IF(AM239="Installation",N239,0)</f>
        <v>2.77</v>
      </c>
      <c r="BD239" s="1037">
        <f>IF(AM239="Installation",P239,0)</f>
        <v>3.4649999999999999</v>
      </c>
      <c r="BE239" s="1037">
        <f>IF(AM239="Installation",Q239,0)</f>
        <v>0.69499999999999995</v>
      </c>
      <c r="BF239" s="1038"/>
      <c r="BG239" s="1036">
        <f>IF($AM239="Structure", IF($I239="kg",$J239,0), 0)</f>
        <v>0</v>
      </c>
      <c r="BH239" s="1037">
        <f>IF($AM239="Insulation", IF($I239="kg",$J239,0), 0)</f>
        <v>0</v>
      </c>
      <c r="BI239" s="1038">
        <f>IF($AM239="Revêtement", IF($I239="kg",$J239,0), 0)</f>
        <v>0</v>
      </c>
      <c r="BJ239" s="1037" t="str">
        <f>_xlfn.XLOOKUP(H239, 'Baumaterialien Matériaux'!A:A, 'Baumaterialien Matériaux'!E:E, "-", 0, 1)</f>
        <v>-</v>
      </c>
      <c r="BK239" s="1036">
        <f t="shared" si="547"/>
        <v>0</v>
      </c>
      <c r="BL239" s="1037">
        <f t="shared" si="548"/>
        <v>0</v>
      </c>
      <c r="BM239" s="1038">
        <f t="shared" si="549"/>
        <v>0</v>
      </c>
      <c r="BN239" s="1040">
        <f>N239-(40%*N239)</f>
        <v>1.6619999999999999</v>
      </c>
      <c r="BO239" s="1040">
        <f t="shared" si="605"/>
        <v>2.0789999999999997</v>
      </c>
      <c r="BP239" s="1040">
        <f>Q239-(40%*Q239)</f>
        <v>0.41699999999999998</v>
      </c>
      <c r="BQ239" s="1040"/>
      <c r="BR239" s="1037">
        <f>IFERROR((N239+Q239)*($L$2/L239-1),0)</f>
        <v>3.4649999999999999</v>
      </c>
    </row>
    <row r="240" spans="2:70">
      <c r="B240" s="1105"/>
      <c r="C240" s="1099"/>
      <c r="D240" s="478"/>
      <c r="E240" s="479"/>
      <c r="F240" s="479" t="s">
        <v>158</v>
      </c>
      <c r="G240" s="479" t="str">
        <f>VLOOKUP(H240, 'Gebäudetechnik Technique du bât'!$A$10:$X$78, 24,FALSE)</f>
        <v>Diffusion de chaleur par le biais du chauffage au sol</v>
      </c>
      <c r="H240" s="753" t="str">
        <f>Installations!D12</f>
        <v>31.024</v>
      </c>
      <c r="I240" s="459" t="str">
        <f>VLOOKUP(H240, 'Gebäudetechnik Technique du bât'!$A$10:$X$78, 23,FALSE)</f>
        <v>SRE</v>
      </c>
      <c r="J240" s="662">
        <f>$G$1</f>
        <v>898.44</v>
      </c>
      <c r="K240" s="663">
        <v>1</v>
      </c>
      <c r="L240" s="663">
        <v>30</v>
      </c>
      <c r="M240" s="664">
        <f>SUM(N240:Q240)</f>
        <v>11.931999999999999</v>
      </c>
      <c r="N240" s="720">
        <f>IFERROR(($J240*VLOOKUP($H240, 'Gebäudetechnik Technique du bât'!$A$10:$U$78, 21,FALSE)),0)/$G$1</f>
        <v>3.02</v>
      </c>
      <c r="O240" s="720">
        <f>N240-(40%*N240)</f>
        <v>1.8119999999999998</v>
      </c>
      <c r="P240" s="720">
        <f>IFERROR((N240+Q240)*($L$2/L240-1),0)</f>
        <v>5.0600000000000005</v>
      </c>
      <c r="Q240" s="720">
        <f>IFERROR(($J240*VLOOKUP($H240, 'Gebäudetechnik Technique du bât'!$A$10:$V$78, 22,FALSE)),0)/$G$1</f>
        <v>2.04</v>
      </c>
      <c r="R240" s="720">
        <f>Q240-(40%*Q240)</f>
        <v>1.224</v>
      </c>
      <c r="X240" s="638" t="s">
        <v>148</v>
      </c>
      <c r="Z240" s="638">
        <f t="shared" si="526"/>
        <v>30</v>
      </c>
      <c r="AA240" s="1093" t="s">
        <v>3446</v>
      </c>
      <c r="AB240" t="str">
        <f>_xlfn.XLOOKUP($H240,'[1]Baumaterialien Matériaux'!$A:$A,'[1]Baumaterialien Matériaux'!AK:AK,0,0)</f>
        <v>equipment</v>
      </c>
      <c r="AC240" cm="1">
        <f t="array" ref="AC240">_xlfn.SWITCH(I240,"kg"," ",0," ",_xlfn.XLOOKUP(H240, '[1]Baumaterialien Matériaux'!$A:$A, '[1]Baumaterialien Matériaux'!$AL:$AL, "-", 0, 1))</f>
        <v>0</v>
      </c>
      <c r="AD240" s="622" cm="1">
        <f t="array" ref="AD240">IFERROR(_xlfn.SWITCH(I240,"kg",1,"m3",AC240,AC240)*J240/(_xlfn.XLOOKUP(AA240,Métrés!A:A,Métrés!C:C,0)),0)</f>
        <v>0</v>
      </c>
      <c r="AE240" s="1092">
        <f>IFERROR(N240*$G$1/(_xlfn.XLOOKUP($AA240,Métrés!$A:$A,Métrés!$C:$C,0)),0)</f>
        <v>3.02</v>
      </c>
      <c r="AF240" s="1092">
        <f>IFERROR(O240*$G$1/(_xlfn.XLOOKUP($AA240,Métrés!$A:$A,Métrés!$C:$C,0)),0)</f>
        <v>1.8119999999999998</v>
      </c>
      <c r="AG240" s="1092">
        <f>IFERROR(Q240*$G$1/(_xlfn.XLOOKUP($AA240,Métrés!$A:$A,Métrés!$C:$C,0)),0)</f>
        <v>2.04</v>
      </c>
      <c r="AH240" s="1092">
        <f>IFERROR(R240*$G$1/(_xlfn.XLOOKUP($AA240,Métrés!$A:$A,Métrés!$C:$C,0)),0)</f>
        <v>1.224</v>
      </c>
      <c r="AI240" s="1092">
        <f>IFERROR(S240*$G$1/(_xlfn.XLOOKUP($AA240,Métrés!$A:$A,Métrés!$C:$C,0)),0)</f>
        <v>0</v>
      </c>
      <c r="AJ240" s="1022"/>
      <c r="AM240" s="638" t="s">
        <v>148</v>
      </c>
      <c r="AN240" s="1036">
        <f>IF(AM240="Structure",N240,0)</f>
        <v>0</v>
      </c>
      <c r="AO240" s="1037">
        <f>IF(AM240="Structure",P240,0)</f>
        <v>0</v>
      </c>
      <c r="AP240" s="1037">
        <f>IF(AM240="Structure",Q240,0)</f>
        <v>0</v>
      </c>
      <c r="AQ240" s="1038">
        <f>IF(AM240="Structure",S240,0)</f>
        <v>0</v>
      </c>
      <c r="AR240" s="1038">
        <f>IF(AM240="Structure",T240,0)</f>
        <v>0</v>
      </c>
      <c r="AS240" s="1036">
        <f>IF(AM240="Insulation",N240,0)</f>
        <v>0</v>
      </c>
      <c r="AT240" s="1037">
        <f>IF(AM240="Insulation",P240,0)</f>
        <v>0</v>
      </c>
      <c r="AU240" s="1037">
        <f>IF(AM240="Insulation",Q240,0)</f>
        <v>0</v>
      </c>
      <c r="AV240" s="1038">
        <f>IF(AM240="Insulation",S240,0)</f>
        <v>0</v>
      </c>
      <c r="AW240" s="1038">
        <f>IF(AM240="Insulation",T240,0)</f>
        <v>0</v>
      </c>
      <c r="AX240" s="1036">
        <f>IF(AM240="Revêtement",N240,0)</f>
        <v>0</v>
      </c>
      <c r="AY240" s="1037">
        <f>IF(AM240="Revêtement",P240,0)</f>
        <v>0</v>
      </c>
      <c r="AZ240" s="1037">
        <f>IF(AM240="Revêtement",Q240,0)</f>
        <v>0</v>
      </c>
      <c r="BA240" s="1037">
        <f>IF(AM240="Revêtement",S240,0)</f>
        <v>0</v>
      </c>
      <c r="BB240" s="1038">
        <f>IF(AM240="Revêtement",T240,0)</f>
        <v>0</v>
      </c>
      <c r="BC240" s="1036">
        <f>IF(AM240="Installation",N240,0)</f>
        <v>3.02</v>
      </c>
      <c r="BD240" s="1037">
        <f>IF(AM240="Installation",P240,0)</f>
        <v>5.0600000000000005</v>
      </c>
      <c r="BE240" s="1037">
        <f>IF(AM240="Installation",Q240,0)</f>
        <v>2.04</v>
      </c>
      <c r="BF240" s="1038"/>
      <c r="BG240" s="1036">
        <f>IF($AM240="Structure", IF($I240="kg",$J240,0), 0)</f>
        <v>0</v>
      </c>
      <c r="BH240" s="1037">
        <f>IF($AM240="Insulation", IF($I240="kg",$J240,0), 0)</f>
        <v>0</v>
      </c>
      <c r="BI240" s="1038">
        <f>IF($AM240="Revêtement", IF($I240="kg",$J240,0), 0)</f>
        <v>0</v>
      </c>
      <c r="BJ240" s="1037" t="str">
        <f>_xlfn.XLOOKUP(H240, 'Baumaterialien Matériaux'!A:A, 'Baumaterialien Matériaux'!E:E, "-", 0, 1)</f>
        <v>-</v>
      </c>
      <c r="BK240" s="1036">
        <f t="shared" si="547"/>
        <v>0</v>
      </c>
      <c r="BL240" s="1037">
        <f t="shared" si="548"/>
        <v>0</v>
      </c>
      <c r="BM240" s="1038">
        <f t="shared" si="549"/>
        <v>0</v>
      </c>
      <c r="BN240" s="1040">
        <f>N240-(40%*N240)</f>
        <v>1.8119999999999998</v>
      </c>
      <c r="BO240" s="1040">
        <f t="shared" si="605"/>
        <v>3.0359999999999996</v>
      </c>
      <c r="BP240" s="1040">
        <f>Q240-(40%*Q240)</f>
        <v>1.224</v>
      </c>
      <c r="BQ240" s="1040"/>
      <c r="BR240" s="1037">
        <f>IFERROR((N240+Q240)*($L$2/L240-1),0)</f>
        <v>5.0600000000000005</v>
      </c>
    </row>
    <row r="241" spans="2:70">
      <c r="B241" s="1105"/>
      <c r="C241" s="1099"/>
      <c r="D241" s="478" t="s">
        <v>34</v>
      </c>
      <c r="E241" s="479" t="str">
        <f>BillQuantities!E43</f>
        <v>Sondes géothermiques</v>
      </c>
      <c r="F241" s="479"/>
      <c r="G241" s="479" t="str">
        <f>VLOOKUP(H241, 'Gebäudetechnik Technique du bât'!$A$10:$X$78, 24,FALSE)</f>
        <v>Sondes géothermiques, pour la pompe à chaleur saumure-eau</v>
      </c>
      <c r="H241" s="753" t="s">
        <v>159</v>
      </c>
      <c r="I241" s="459" t="str">
        <f>VLOOKUP(H241, 'Gebäudetechnik Technique du bât'!$A$10:$X$78, 23,FALSE)</f>
        <v>longueur</v>
      </c>
      <c r="J241" s="662">
        <f>4*140</f>
        <v>560</v>
      </c>
      <c r="K241" s="663">
        <v>1</v>
      </c>
      <c r="L241" s="663">
        <v>40</v>
      </c>
      <c r="M241" s="664">
        <f>SUM(N241:Q241)</f>
        <v>29.479097101642843</v>
      </c>
      <c r="N241" s="720">
        <f>IFERROR(($J241*VLOOKUP($H241, 'Gebäudetechnik Technique du bât'!$A$10:$U$78, 21,FALSE)),0)/$G$1</f>
        <v>12.902364097769466</v>
      </c>
      <c r="O241" s="720">
        <f>N241-(40%*N241)</f>
        <v>7.7414184586616788</v>
      </c>
      <c r="P241" s="720">
        <f>IFERROR((N241+Q241)*($L$2/L241-1),0)</f>
        <v>7.245892880993722</v>
      </c>
      <c r="Q241" s="720">
        <f>IFERROR(($J241*VLOOKUP($H241, 'Gebäudetechnik Technique du bât'!$A$10:$V$78, 22,FALSE)),0)/$G$1</f>
        <v>1.5894216642179777</v>
      </c>
      <c r="R241" s="720">
        <f>Q241-(40%*Q241)</f>
        <v>0.95365299853078656</v>
      </c>
      <c r="X241" s="638" t="s">
        <v>148</v>
      </c>
      <c r="Z241" s="638">
        <f t="shared" si="526"/>
        <v>40</v>
      </c>
      <c r="AA241" s="1093" t="s">
        <v>3446</v>
      </c>
      <c r="AB241" t="str">
        <f>_xlfn.XLOOKUP($H241,'[1]Baumaterialien Matériaux'!$A:$A,'[1]Baumaterialien Matériaux'!AK:AK,0,0)</f>
        <v>equipment</v>
      </c>
      <c r="AC241" cm="1">
        <f t="array" ref="AC241">_xlfn.SWITCH(I241,"kg"," ",0," ",_xlfn.XLOOKUP(H241, '[1]Baumaterialien Matériaux'!$A:$A, '[1]Baumaterialien Matériaux'!$AL:$AL, "-", 0, 1))</f>
        <v>0</v>
      </c>
      <c r="AD241" s="622" cm="1">
        <f t="array" ref="AD241">IFERROR(_xlfn.SWITCH(I241,"kg",1,"m3",AC241,AC241)*J241/(_xlfn.XLOOKUP(AA241,Métrés!A:A,Métrés!C:C,0)),0)</f>
        <v>0</v>
      </c>
      <c r="AE241" s="1092">
        <f>IFERROR(N241*$G$1/(_xlfn.XLOOKUP($AA241,Métrés!$A:$A,Métrés!$C:$C,0)),0)</f>
        <v>12.902364097769466</v>
      </c>
      <c r="AF241" s="1092">
        <f>IFERROR(O241*$G$1/(_xlfn.XLOOKUP($AA241,Métrés!$A:$A,Métrés!$C:$C,0)),0)</f>
        <v>7.7414184586616788</v>
      </c>
      <c r="AG241" s="1092">
        <f>IFERROR(Q241*$G$1/(_xlfn.XLOOKUP($AA241,Métrés!$A:$A,Métrés!$C:$C,0)),0)</f>
        <v>1.5894216642179777</v>
      </c>
      <c r="AH241" s="1092">
        <f>IFERROR(R241*$G$1/(_xlfn.XLOOKUP($AA241,Métrés!$A:$A,Métrés!$C:$C,0)),0)</f>
        <v>0.95365299853078656</v>
      </c>
      <c r="AI241" s="1092">
        <f>IFERROR(S241*$G$1/(_xlfn.XLOOKUP($AA241,Métrés!$A:$A,Métrés!$C:$C,0)),0)</f>
        <v>0</v>
      </c>
      <c r="AJ241" s="1022"/>
      <c r="AM241" s="638" t="s">
        <v>148</v>
      </c>
      <c r="AN241" s="1036">
        <f>IF(AM241="Structure",N241,0)</f>
        <v>0</v>
      </c>
      <c r="AO241" s="1037">
        <f>IF(AM241="Structure",P241,0)</f>
        <v>0</v>
      </c>
      <c r="AP241" s="1037">
        <f>IF(AM241="Structure",Q241,0)</f>
        <v>0</v>
      </c>
      <c r="AQ241" s="1038">
        <f>IF(AM241="Structure",S241,0)</f>
        <v>0</v>
      </c>
      <c r="AR241" s="1038">
        <f>IF(AM241="Structure",T241,0)</f>
        <v>0</v>
      </c>
      <c r="AS241" s="1036">
        <f>IF(AM241="Insulation",N241,0)</f>
        <v>0</v>
      </c>
      <c r="AT241" s="1037">
        <f>IF(AM241="Insulation",P241,0)</f>
        <v>0</v>
      </c>
      <c r="AU241" s="1037">
        <f>IF(AM241="Insulation",Q241,0)</f>
        <v>0</v>
      </c>
      <c r="AV241" s="1038">
        <f>IF(AM241="Insulation",S241,0)</f>
        <v>0</v>
      </c>
      <c r="AW241" s="1038">
        <f>IF(AM241="Insulation",T241,0)</f>
        <v>0</v>
      </c>
      <c r="AX241" s="1036">
        <f>IF(AM241="Revêtement",N241,0)</f>
        <v>0</v>
      </c>
      <c r="AY241" s="1037">
        <f>IF(AM241="Revêtement",P241,0)</f>
        <v>0</v>
      </c>
      <c r="AZ241" s="1037">
        <f>IF(AM241="Revêtement",Q241,0)</f>
        <v>0</v>
      </c>
      <c r="BA241" s="1037">
        <f>IF(AM241="Revêtement",S241,0)</f>
        <v>0</v>
      </c>
      <c r="BB241" s="1038">
        <f>IF(AM241="Revêtement",T241,0)</f>
        <v>0</v>
      </c>
      <c r="BC241" s="1036">
        <f>IF(AM241="Installation",N241,0)</f>
        <v>12.902364097769466</v>
      </c>
      <c r="BD241" s="1037">
        <f>IF(AM241="Installation",P241,0)</f>
        <v>7.245892880993722</v>
      </c>
      <c r="BE241" s="1037">
        <f>IF(AM241="Installation",Q241,0)</f>
        <v>1.5894216642179777</v>
      </c>
      <c r="BF241" s="1038"/>
      <c r="BG241" s="1036">
        <f>IF($AM241="Structure", IF($I241="kg",$J241,0), 0)</f>
        <v>0</v>
      </c>
      <c r="BH241" s="1037">
        <f>IF($AM241="Insulation", IF($I241="kg",$J241,0), 0)</f>
        <v>0</v>
      </c>
      <c r="BI241" s="1038">
        <f>IF($AM241="Revêtement", IF($I241="kg",$J241,0), 0)</f>
        <v>0</v>
      </c>
      <c r="BJ241" s="1037" t="str">
        <f>_xlfn.XLOOKUP(H241, 'Baumaterialien Matériaux'!A:A, 'Baumaterialien Matériaux'!E:E, "-", 0, 1)</f>
        <v>-</v>
      </c>
      <c r="BK241" s="1036">
        <f t="shared" si="547"/>
        <v>0</v>
      </c>
      <c r="BL241" s="1037">
        <f t="shared" si="548"/>
        <v>0</v>
      </c>
      <c r="BM241" s="1038">
        <f t="shared" si="549"/>
        <v>0</v>
      </c>
      <c r="BN241" s="1040">
        <f>N241-(40%*N241)</f>
        <v>7.7414184586616788</v>
      </c>
      <c r="BO241" s="1040">
        <f t="shared" si="605"/>
        <v>8.6950714571924657</v>
      </c>
      <c r="BP241" s="1040">
        <f>Q241-(40%*Q241)</f>
        <v>0.95365299853078656</v>
      </c>
      <c r="BQ241" s="1040"/>
      <c r="BR241" s="1037"/>
    </row>
    <row r="242" spans="2:70">
      <c r="B242" s="1105"/>
      <c r="C242" s="1098"/>
      <c r="D242" s="478" t="s">
        <v>42</v>
      </c>
      <c r="E242" s="479" t="str">
        <f>BillQuantities!E44</f>
        <v>Capteurs solaires</v>
      </c>
      <c r="F242" s="479"/>
      <c r="G242" s="479" t="str">
        <f>VLOOKUP(H242, 'Gebäudetechnik Technique du bât'!$A$10:$X$78, 24,FALSE)</f>
        <v>Collecteurs solaires plan, eau chaude immeuble locatif</v>
      </c>
      <c r="H242" s="753" t="s">
        <v>161</v>
      </c>
      <c r="I242" s="459" t="str">
        <f>VLOOKUP(H242, 'Gebäudetechnik Technique du bât'!$A$10:$X$78, 23,FALSE)</f>
        <v>Surf. collecteurs</v>
      </c>
      <c r="J242" s="662"/>
      <c r="K242" s="663">
        <v>1</v>
      </c>
      <c r="L242" s="663">
        <v>30</v>
      </c>
      <c r="M242" s="664">
        <f>SUM(N242:Q242)</f>
        <v>0</v>
      </c>
      <c r="N242" s="720">
        <f>IFERROR(($J242*VLOOKUP($H242, 'Gebäudetechnik Technique du bât'!$A$10:$U$78, 21,FALSE)),0)/$G$1</f>
        <v>0</v>
      </c>
      <c r="O242" s="720">
        <f>N242-(40%*N242)</f>
        <v>0</v>
      </c>
      <c r="P242" s="720">
        <f>IFERROR((N242+Q242)*($L$2/L242-1),0)</f>
        <v>0</v>
      </c>
      <c r="Q242" s="720">
        <f>IFERROR(($J242*VLOOKUP($H242, 'Gebäudetechnik Technique du bât'!$A$10:$V$78, 22,FALSE)),0)/$G$1</f>
        <v>0</v>
      </c>
      <c r="R242" s="720">
        <f>Q242-(40%*Q242)</f>
        <v>0</v>
      </c>
      <c r="X242" s="638" t="str">
        <f t="shared" si="459"/>
        <v>Revêtement</v>
      </c>
      <c r="Z242" s="638">
        <f t="shared" si="526"/>
        <v>30</v>
      </c>
      <c r="AA242" s="1093" t="s">
        <v>3446</v>
      </c>
      <c r="AB242" t="str">
        <f>_xlfn.XLOOKUP($H242,'[1]Baumaterialien Matériaux'!$A:$A,'[1]Baumaterialien Matériaux'!AK:AK,0,0)</f>
        <v>equipment</v>
      </c>
      <c r="AC242" cm="1">
        <f t="array" ref="AC242">_xlfn.SWITCH(I242,"kg"," ",0," ",_xlfn.XLOOKUP(H242, '[1]Baumaterialien Matériaux'!$A:$A, '[1]Baumaterialien Matériaux'!$AL:$AL, "-", 0, 1))</f>
        <v>0</v>
      </c>
      <c r="AD242" s="622" cm="1">
        <f t="array" ref="AD242">IFERROR(_xlfn.SWITCH(I242,"kg",1,"m3",AC242,AC242)*J242/(_xlfn.XLOOKUP(AA242,Métrés!A:A,Métrés!C:C,0)),0)</f>
        <v>0</v>
      </c>
      <c r="AE242" s="1092">
        <f>IFERROR(N242*$G$1/(_xlfn.XLOOKUP($AA242,Métrés!$A:$A,Métrés!$C:$C,0)),0)</f>
        <v>0</v>
      </c>
      <c r="AF242" s="1092">
        <f>IFERROR(O242*$G$1/(_xlfn.XLOOKUP($AA242,Métrés!$A:$A,Métrés!$C:$C,0)),0)</f>
        <v>0</v>
      </c>
      <c r="AG242" s="1092">
        <f>IFERROR(Q242*$G$1/(_xlfn.XLOOKUP($AA242,Métrés!$A:$A,Métrés!$C:$C,0)),0)</f>
        <v>0</v>
      </c>
      <c r="AH242" s="1092">
        <f>IFERROR(R242*$G$1/(_xlfn.XLOOKUP($AA242,Métrés!$A:$A,Métrés!$C:$C,0)),0)</f>
        <v>0</v>
      </c>
      <c r="AI242" s="1092">
        <f>IFERROR(S242*$G$1/(_xlfn.XLOOKUP($AA242,Métrés!$A:$A,Métrés!$C:$C,0)),0)</f>
        <v>0</v>
      </c>
      <c r="AJ242" s="1022"/>
      <c r="AM242" s="638" t="s">
        <v>148</v>
      </c>
      <c r="AN242" s="1036">
        <f>IF(AM242="Structure",N242,0)</f>
        <v>0</v>
      </c>
      <c r="AO242" s="1037">
        <f>IF(AM242="Structure",P242,0)</f>
        <v>0</v>
      </c>
      <c r="AP242" s="1037">
        <f>IF(AM242="Structure",Q242,0)</f>
        <v>0</v>
      </c>
      <c r="AQ242" s="1038">
        <f>IF(AM242="Structure",S242,0)</f>
        <v>0</v>
      </c>
      <c r="AR242" s="1038">
        <f>IF(AM242="Structure",T242,0)</f>
        <v>0</v>
      </c>
      <c r="AS242" s="1036">
        <f>IF(AM242="Insulation",N242,0)</f>
        <v>0</v>
      </c>
      <c r="AT242" s="1037">
        <f>IF(AM242="Insulation",P242,0)</f>
        <v>0</v>
      </c>
      <c r="AU242" s="1037">
        <f>IF(AM242="Insulation",Q242,0)</f>
        <v>0</v>
      </c>
      <c r="AV242" s="1038">
        <f>IF(AM242="Insulation",S242,0)</f>
        <v>0</v>
      </c>
      <c r="AW242" s="1038">
        <f>IF(AM242="Insulation",T242,0)</f>
        <v>0</v>
      </c>
      <c r="AX242" s="1036">
        <f>IF(AM242="Revêtement",N242,0)</f>
        <v>0</v>
      </c>
      <c r="AY242" s="1037">
        <f>IF(AM242="Revêtement",P242,0)</f>
        <v>0</v>
      </c>
      <c r="AZ242" s="1037">
        <f>IF(AM242="Revêtement",Q242,0)</f>
        <v>0</v>
      </c>
      <c r="BA242" s="1037">
        <f>IF(AM242="Revêtement",S242,0)</f>
        <v>0</v>
      </c>
      <c r="BB242" s="1038">
        <f>IF(AM242="Revêtement",T242,0)</f>
        <v>0</v>
      </c>
      <c r="BC242" s="1036">
        <f>IF(AM242="Installation",N242,0)</f>
        <v>0</v>
      </c>
      <c r="BD242" s="1037">
        <f>IF(AM242="Installation",P242,0)</f>
        <v>0</v>
      </c>
      <c r="BE242" s="1037">
        <f>IF(AM242="Installation",Q242,0)</f>
        <v>0</v>
      </c>
      <c r="BF242" s="1038"/>
      <c r="BG242" s="1036">
        <f>IF($AM242="Structure", IF($I242="kg",$J242,0), 0)</f>
        <v>0</v>
      </c>
      <c r="BH242" s="1037">
        <f>IF($AM242="Insulation", IF($I242="kg",$J242,0), 0)</f>
        <v>0</v>
      </c>
      <c r="BI242" s="1038">
        <f>IF($AM242="Revêtement", IF($I242="kg",$J242,0), 0)</f>
        <v>0</v>
      </c>
      <c r="BJ242" s="1037" t="str">
        <f>_xlfn.XLOOKUP(H242, 'Baumaterialien Matériaux'!A:A, 'Baumaterialien Matériaux'!E:E, "-", 0, 1)</f>
        <v>-</v>
      </c>
      <c r="BK242" s="1036">
        <f t="shared" si="547"/>
        <v>0</v>
      </c>
      <c r="BL242" s="1037">
        <f t="shared" si="548"/>
        <v>0</v>
      </c>
      <c r="BM242" s="1038">
        <f t="shared" si="549"/>
        <v>0</v>
      </c>
      <c r="BN242" s="1040">
        <f>N242-(40%*N242)</f>
        <v>0</v>
      </c>
      <c r="BO242" s="1040">
        <f t="shared" si="605"/>
        <v>0</v>
      </c>
      <c r="BP242" s="1040">
        <f>Q242-(40%*Q242)</f>
        <v>0</v>
      </c>
      <c r="BQ242" s="1040"/>
      <c r="BR242" s="1037"/>
    </row>
    <row r="243" spans="2:70">
      <c r="B243" s="1105"/>
      <c r="C243" s="1097" t="s">
        <v>162</v>
      </c>
      <c r="D243" s="473" t="s">
        <v>163</v>
      </c>
      <c r="E243" s="473"/>
      <c r="F243" s="473"/>
      <c r="G243" s="473"/>
      <c r="H243" s="473"/>
      <c r="I243" s="463"/>
      <c r="J243" s="654"/>
      <c r="K243" s="652"/>
      <c r="L243" s="652"/>
      <c r="M243" s="653">
        <f>M244+M245</f>
        <v>45.878000000000007</v>
      </c>
      <c r="N243" s="653">
        <f>N244+N245</f>
        <v>17.32</v>
      </c>
      <c r="O243" s="653">
        <f>O244+O245</f>
        <v>10.392000000000001</v>
      </c>
      <c r="P243" s="653">
        <f t="shared" ref="P243:Q243" si="608">P244+P245</f>
        <v>17.743000000000002</v>
      </c>
      <c r="Q243" s="653">
        <f t="shared" si="608"/>
        <v>0.42299999999999999</v>
      </c>
      <c r="R243" s="653">
        <f t="shared" ref="R243" si="609">R244+R245</f>
        <v>0.25379999999999997</v>
      </c>
      <c r="S243" s="653"/>
      <c r="T243" s="653"/>
      <c r="X243" s="638">
        <f t="shared" si="459"/>
        <v>0</v>
      </c>
      <c r="Z243" s="638">
        <f t="shared" si="526"/>
        <v>0</v>
      </c>
      <c r="AA243" s="1093"/>
      <c r="AB243">
        <f>_xlfn.XLOOKUP($H243,'[1]Baumaterialien Matériaux'!$A:$A,'[1]Baumaterialien Matériaux'!AK:AK,0,0)</f>
        <v>0</v>
      </c>
      <c r="AC243" t="str" cm="1">
        <f t="array" ref="AC243">_xlfn.SWITCH(I243,"kg"," ",0," ",_xlfn.XLOOKUP(H243, '[1]Baumaterialien Matériaux'!$A:$A, '[1]Baumaterialien Matériaux'!$AL:$AL, "-", 0, 1))</f>
        <v xml:space="preserve"> </v>
      </c>
      <c r="AD243" s="622" cm="1">
        <f t="array" ref="AD243">IFERROR(_xlfn.SWITCH(I243,"kg",1,"m3",AC243,AC243)*J243/(_xlfn.XLOOKUP(AA243,Métrés!A:A,Métrés!C:C,0)),0)</f>
        <v>0</v>
      </c>
      <c r="AE243" s="1092">
        <f>IFERROR(N243*$G$1/(_xlfn.XLOOKUP($AA243,Métrés!$A:$A,Métrés!$C:$C,0)),0)</f>
        <v>0</v>
      </c>
      <c r="AF243" s="1092">
        <f>IFERROR(O243*$G$1/(_xlfn.XLOOKUP($AA243,Métrés!$A:$A,Métrés!$C:$C,0)),0)</f>
        <v>0</v>
      </c>
      <c r="AG243" s="1092">
        <f>IFERROR(Q243*$G$1/(_xlfn.XLOOKUP($AA243,Métrés!$A:$A,Métrés!$C:$C,0)),0)</f>
        <v>0</v>
      </c>
      <c r="AH243" s="1092">
        <f>IFERROR(R243*$G$1/(_xlfn.XLOOKUP($AA243,Métrés!$A:$A,Métrés!$C:$C,0)),0)</f>
        <v>0</v>
      </c>
      <c r="AI243" s="1092">
        <f>IFERROR(S243*$G$1/(_xlfn.XLOOKUP($AA243,Métrés!$A:$A,Métrés!$C:$C,0)),0)</f>
        <v>0</v>
      </c>
      <c r="AJ243" s="653"/>
      <c r="AK243" s="653"/>
      <c r="AL243" s="653"/>
      <c r="AM243" s="1020"/>
      <c r="AN243" s="1060"/>
      <c r="AO243" s="653"/>
      <c r="AP243" s="653"/>
      <c r="AQ243" s="653"/>
      <c r="AR243" s="1056"/>
      <c r="AS243" s="1060"/>
      <c r="AT243" s="653"/>
      <c r="AU243" s="653"/>
      <c r="AV243" s="653"/>
      <c r="AW243" s="1056"/>
      <c r="AX243" s="1060"/>
      <c r="AY243" s="653"/>
      <c r="AZ243" s="653"/>
      <c r="BA243" s="653"/>
      <c r="BB243" s="1056"/>
      <c r="BC243" s="1060"/>
      <c r="BD243" s="653"/>
      <c r="BE243" s="653"/>
      <c r="BF243" s="1056"/>
      <c r="BG243" s="1060"/>
      <c r="BH243" s="653"/>
      <c r="BI243" s="1056"/>
      <c r="BJ243" s="1044"/>
      <c r="BK243" s="1060"/>
      <c r="BL243" s="653"/>
      <c r="BM243" s="1056"/>
      <c r="BN243" s="1040"/>
      <c r="BO243" s="1040"/>
      <c r="BP243" s="1040"/>
      <c r="BQ243" s="1040"/>
      <c r="BR243" s="1037"/>
    </row>
    <row r="244" spans="2:70">
      <c r="B244" s="1105"/>
      <c r="C244" s="1099"/>
      <c r="D244" s="478" t="s">
        <v>164</v>
      </c>
      <c r="E244" s="479" t="str">
        <f>BillQuantities!E46</f>
        <v>Extraction mécanique cuisine et salle de bain</v>
      </c>
      <c r="F244" s="733"/>
      <c r="G244" s="479" t="str">
        <f>VLOOKUP(H244, 'Gebäudetechnik Technique du bât'!$A$10:$X$78, 24,FALSE)</f>
        <v>Évacuation d'air cuisine et salle de bain</v>
      </c>
      <c r="H244" s="753" t="s">
        <v>165</v>
      </c>
      <c r="I244" s="459" t="str">
        <f>VLOOKUP(H244, 'Gebäudetechnik Technique du bât'!$A$10:$X$78, 23,FALSE)</f>
        <v>SRE</v>
      </c>
      <c r="J244" s="662">
        <f>$G$1</f>
        <v>898.44</v>
      </c>
      <c r="K244" s="663">
        <v>1</v>
      </c>
      <c r="L244" s="663">
        <v>30</v>
      </c>
      <c r="M244" s="664">
        <f>SUM(N244:Q244)</f>
        <v>9.4019999999999992</v>
      </c>
      <c r="N244" s="720">
        <f>IFERROR(($J244*VLOOKUP($H244, 'Gebäudetechnik Technique du bât'!$A$10:$U$78, 21,FALSE)),0)/$G$1</f>
        <v>3.52</v>
      </c>
      <c r="O244" s="720">
        <f>N244-(40%*N244)</f>
        <v>2.1120000000000001</v>
      </c>
      <c r="P244" s="720">
        <f>IFERROR((N244+Q244)*($L$2/L244-1),0)</f>
        <v>3.645</v>
      </c>
      <c r="Q244" s="720">
        <f>IFERROR(($J244*VLOOKUP($H244, 'Gebäudetechnik Technique du bât'!$A$10:$V$78, 22,FALSE)),0)/$G$1</f>
        <v>0.125</v>
      </c>
      <c r="R244" s="720">
        <f>Q244-(40%*Q244)</f>
        <v>7.4999999999999997E-2</v>
      </c>
      <c r="X244" s="638" t="s">
        <v>148</v>
      </c>
      <c r="Z244" s="638">
        <f t="shared" si="526"/>
        <v>30</v>
      </c>
      <c r="AA244" s="1093" t="s">
        <v>3446</v>
      </c>
      <c r="AB244" t="str">
        <f>_xlfn.XLOOKUP($H244,'[1]Baumaterialien Matériaux'!$A:$A,'[1]Baumaterialien Matériaux'!AK:AK,0,0)</f>
        <v>equipment</v>
      </c>
      <c r="AC244" cm="1">
        <f t="array" ref="AC244">_xlfn.SWITCH(I244,"kg"," ",0," ",_xlfn.XLOOKUP(H244, '[1]Baumaterialien Matériaux'!$A:$A, '[1]Baumaterialien Matériaux'!$AL:$AL, "-", 0, 1))</f>
        <v>0</v>
      </c>
      <c r="AD244" s="622" cm="1">
        <f t="array" ref="AD244">IFERROR(_xlfn.SWITCH(I244,"kg",1,"m3",AC244,AC244)*J244/(_xlfn.XLOOKUP(AA244,Métrés!A:A,Métrés!C:C,0)),0)</f>
        <v>0</v>
      </c>
      <c r="AE244" s="1092">
        <f>IFERROR(N244*$G$1/(_xlfn.XLOOKUP($AA244,Métrés!$A:$A,Métrés!$C:$C,0)),0)</f>
        <v>3.52</v>
      </c>
      <c r="AF244" s="1092">
        <f>IFERROR(O244*$G$1/(_xlfn.XLOOKUP($AA244,Métrés!$A:$A,Métrés!$C:$C,0)),0)</f>
        <v>2.1120000000000001</v>
      </c>
      <c r="AG244" s="1092">
        <f>IFERROR(Q244*$G$1/(_xlfn.XLOOKUP($AA244,Métrés!$A:$A,Métrés!$C:$C,0)),0)</f>
        <v>0.125</v>
      </c>
      <c r="AH244" s="1092">
        <f>IFERROR(R244*$G$1/(_xlfn.XLOOKUP($AA244,Métrés!$A:$A,Métrés!$C:$C,0)),0)</f>
        <v>7.4999999999999997E-2</v>
      </c>
      <c r="AI244" s="1092">
        <f>IFERROR(S244*$G$1/(_xlfn.XLOOKUP($AA244,Métrés!$A:$A,Métrés!$C:$C,0)),0)</f>
        <v>0</v>
      </c>
      <c r="AJ244" s="1022"/>
      <c r="AM244" s="638" t="s">
        <v>148</v>
      </c>
      <c r="AN244" s="1036">
        <f>IF(AM244="Structure",N244,0)</f>
        <v>0</v>
      </c>
      <c r="AO244" s="1037">
        <f>IF(AM244="Structure",P244,0)</f>
        <v>0</v>
      </c>
      <c r="AP244" s="1037">
        <f>IF(AM244="Structure",Q244,0)</f>
        <v>0</v>
      </c>
      <c r="AQ244" s="1038">
        <f>IF(AM244="Structure",S244,0)</f>
        <v>0</v>
      </c>
      <c r="AR244" s="1038">
        <f>IF(AM244="Structure",T244,0)</f>
        <v>0</v>
      </c>
      <c r="AS244" s="1036">
        <f>IF(AM244="Insulation",N244,0)</f>
        <v>0</v>
      </c>
      <c r="AT244" s="1037">
        <f>IF(AM244="Insulation",P244,0)</f>
        <v>0</v>
      </c>
      <c r="AU244" s="1037">
        <f>IF(AM244="Insulation",Q244,0)</f>
        <v>0</v>
      </c>
      <c r="AV244" s="1038">
        <f>IF(AM244="Insulation",S244,0)</f>
        <v>0</v>
      </c>
      <c r="AW244" s="1038">
        <f>IF(AM244="Insulation",T244,0)</f>
        <v>0</v>
      </c>
      <c r="AX244" s="1036">
        <f>IF(AM244="Revêtement",N244,0)</f>
        <v>0</v>
      </c>
      <c r="AY244" s="1037">
        <f>IF(AM244="Revêtement",P244,0)</f>
        <v>0</v>
      </c>
      <c r="AZ244" s="1037">
        <f>IF(AM244="Revêtement",Q244,0)</f>
        <v>0</v>
      </c>
      <c r="BA244" s="1037">
        <f>IF(AM244="Revêtement",S244,0)</f>
        <v>0</v>
      </c>
      <c r="BB244" s="1038">
        <f>IF(AM244="Revêtement",T244,0)</f>
        <v>0</v>
      </c>
      <c r="BC244" s="1036">
        <f>IF(AM244="Installation",N244,0)</f>
        <v>3.52</v>
      </c>
      <c r="BD244" s="1037">
        <f>IF(AM244="Installation",P244,0)</f>
        <v>3.645</v>
      </c>
      <c r="BE244" s="1037">
        <f>IF(AM244="Installation",Q244,0)</f>
        <v>0.125</v>
      </c>
      <c r="BF244" s="1038"/>
      <c r="BG244" s="1036">
        <f>IF($AM244="Structure", IF($I244="kg",$J244,0), 0)</f>
        <v>0</v>
      </c>
      <c r="BH244" s="1037">
        <f>IF($AM244="Insulation", IF($I244="kg",$J244,0), 0)</f>
        <v>0</v>
      </c>
      <c r="BI244" s="1038">
        <f>IF($AM244="Revêtement", IF($I244="kg",$J244,0), 0)</f>
        <v>0</v>
      </c>
      <c r="BJ244" s="1037" t="str">
        <f>_xlfn.XLOOKUP(H244, 'Baumaterialien Matériaux'!A:A, 'Baumaterialien Matériaux'!E:E, "-", 0, 1)</f>
        <v>-</v>
      </c>
      <c r="BK244" s="1036">
        <f t="shared" si="547"/>
        <v>0</v>
      </c>
      <c r="BL244" s="1037">
        <f t="shared" si="548"/>
        <v>0</v>
      </c>
      <c r="BM244" s="1038">
        <f t="shared" si="549"/>
        <v>0</v>
      </c>
      <c r="BN244" s="1040">
        <f>N244-(40%*N244)</f>
        <v>2.1120000000000001</v>
      </c>
      <c r="BO244" s="1040">
        <f t="shared" si="605"/>
        <v>2.1870000000000003</v>
      </c>
      <c r="BP244" s="1040">
        <f>Q244-(40%*Q244)</f>
        <v>7.4999999999999997E-2</v>
      </c>
      <c r="BQ244" s="1040"/>
      <c r="BR244" s="1037">
        <f>IFERROR((N244+Q244)*($L$2/L244-1),0)</f>
        <v>3.645</v>
      </c>
    </row>
    <row r="245" spans="2:70">
      <c r="B245" s="1105"/>
      <c r="C245" s="1099"/>
      <c r="D245" s="478" t="s">
        <v>166</v>
      </c>
      <c r="E245" s="479" t="str">
        <f>BillQuantities!E47</f>
        <v>Installations de ventilation habitation</v>
      </c>
      <c r="F245" s="733"/>
      <c r="G245" s="479" t="str">
        <f>VLOOKUP(H245, 'Gebäudetechnik Technique du bât'!$A$10:$X$78, 24,FALSE)</f>
        <v xml:space="preserve">Ventilation habitation, canaux en tôle, évacuation d'air (cuisine) </v>
      </c>
      <c r="H245" s="753" t="s">
        <v>2249</v>
      </c>
      <c r="I245" s="459" t="str">
        <f>VLOOKUP(H245, 'Gebäudetechnik Technique du bât'!$A$10:$X$78, 23,FALSE)</f>
        <v>SRE</v>
      </c>
      <c r="J245" s="662">
        <f>$G$1</f>
        <v>898.44</v>
      </c>
      <c r="K245" s="663">
        <v>1</v>
      </c>
      <c r="L245" s="663">
        <v>30</v>
      </c>
      <c r="M245" s="664">
        <f>SUM(N245:Q245)</f>
        <v>36.476000000000006</v>
      </c>
      <c r="N245" s="720">
        <f>IFERROR(($J245*VLOOKUP($H245, 'Gebäudetechnik Technique du bât'!$A$10:$U$78, 21,FALSE)),0)/$G$1</f>
        <v>13.8</v>
      </c>
      <c r="O245" s="720">
        <f>N245-(40%*N245)</f>
        <v>8.2800000000000011</v>
      </c>
      <c r="P245" s="720">
        <f>IFERROR((N245+Q245)*($L$2/L245-1),0)</f>
        <v>14.098000000000001</v>
      </c>
      <c r="Q245" s="720">
        <f>IFERROR(($J245*VLOOKUP($H245, 'Gebäudetechnik Technique du bât'!$A$10:$V$78, 22,FALSE)),0)/$G$1</f>
        <v>0.29799999999999999</v>
      </c>
      <c r="R245" s="720">
        <f>Q245-(40%*Q245)</f>
        <v>0.17879999999999999</v>
      </c>
      <c r="X245" s="638" t="s">
        <v>148</v>
      </c>
      <c r="Z245" s="638">
        <f t="shared" si="526"/>
        <v>30</v>
      </c>
      <c r="AA245" s="1093" t="s">
        <v>3446</v>
      </c>
      <c r="AB245" t="str">
        <f>_xlfn.XLOOKUP($H245,'[1]Baumaterialien Matériaux'!$A:$A,'[1]Baumaterialien Matériaux'!AK:AK,0,0)</f>
        <v>equipment</v>
      </c>
      <c r="AC245" cm="1">
        <f t="array" ref="AC245">_xlfn.SWITCH(I245,"kg"," ",0," ",_xlfn.XLOOKUP(H245, '[1]Baumaterialien Matériaux'!$A:$A, '[1]Baumaterialien Matériaux'!$AL:$AL, "-", 0, 1))</f>
        <v>0</v>
      </c>
      <c r="AD245" s="622" cm="1">
        <f t="array" ref="AD245">IFERROR(_xlfn.SWITCH(I245,"kg",1,"m3",AC245,AC245)*J245/(_xlfn.XLOOKUP(AA245,Métrés!A:A,Métrés!C:C,0)),0)</f>
        <v>0</v>
      </c>
      <c r="AE245" s="1092">
        <f>IFERROR(N245*$G$1/(_xlfn.XLOOKUP($AA245,Métrés!$A:$A,Métrés!$C:$C,0)),0)</f>
        <v>13.8</v>
      </c>
      <c r="AF245" s="1092">
        <f>IFERROR(O245*$G$1/(_xlfn.XLOOKUP($AA245,Métrés!$A:$A,Métrés!$C:$C,0)),0)</f>
        <v>8.2800000000000011</v>
      </c>
      <c r="AG245" s="1092">
        <f>IFERROR(Q245*$G$1/(_xlfn.XLOOKUP($AA245,Métrés!$A:$A,Métrés!$C:$C,0)),0)</f>
        <v>0.29799999999999999</v>
      </c>
      <c r="AH245" s="1092">
        <f>IFERROR(R245*$G$1/(_xlfn.XLOOKUP($AA245,Métrés!$A:$A,Métrés!$C:$C,0)),0)</f>
        <v>0.17879999999999999</v>
      </c>
      <c r="AI245" s="1092">
        <f>IFERROR(S245*$G$1/(_xlfn.XLOOKUP($AA245,Métrés!$A:$A,Métrés!$C:$C,0)),0)</f>
        <v>0</v>
      </c>
      <c r="AJ245" s="1022"/>
      <c r="AM245" s="638" t="s">
        <v>148</v>
      </c>
      <c r="AN245" s="1036">
        <f>IF(AM245="Structure",N245,0)</f>
        <v>0</v>
      </c>
      <c r="AO245" s="1037">
        <f>IF(AM245="Structure",P245,0)</f>
        <v>0</v>
      </c>
      <c r="AP245" s="1037">
        <f>IF(AM245="Structure",Q245,0)</f>
        <v>0</v>
      </c>
      <c r="AQ245" s="1038">
        <f>IF(AM245="Structure",S245,0)</f>
        <v>0</v>
      </c>
      <c r="AR245" s="1038">
        <f>IF(AM245="Structure",T245,0)</f>
        <v>0</v>
      </c>
      <c r="AS245" s="1036">
        <f>IF(AM245="Insulation",N245,0)</f>
        <v>0</v>
      </c>
      <c r="AT245" s="1037">
        <f>IF(AM245="Insulation",P245,0)</f>
        <v>0</v>
      </c>
      <c r="AU245" s="1037">
        <f>IF(AM245="Insulation",Q245,0)</f>
        <v>0</v>
      </c>
      <c r="AV245" s="1038">
        <f>IF(AM245="Insulation",S245,0)</f>
        <v>0</v>
      </c>
      <c r="AW245" s="1038">
        <f>IF(AM245="Insulation",T245,0)</f>
        <v>0</v>
      </c>
      <c r="AX245" s="1036">
        <f>IF(AM245="Revêtement",N245,0)</f>
        <v>0</v>
      </c>
      <c r="AY245" s="1037">
        <f>IF(AM245="Revêtement",P245,0)</f>
        <v>0</v>
      </c>
      <c r="AZ245" s="1037">
        <f>IF(AM245="Revêtement",Q245,0)</f>
        <v>0</v>
      </c>
      <c r="BA245" s="1037">
        <f>IF(AM245="Revêtement",S245,0)</f>
        <v>0</v>
      </c>
      <c r="BB245" s="1038">
        <f>IF(AM245="Revêtement",T245,0)</f>
        <v>0</v>
      </c>
      <c r="BC245" s="1036">
        <f>IF(AM245="Installation",N245,0)</f>
        <v>13.8</v>
      </c>
      <c r="BD245" s="1037">
        <f>IF(AM245="Installation",P245,0)</f>
        <v>14.098000000000001</v>
      </c>
      <c r="BE245" s="1037">
        <f>IF(AM245="Installation",Q245,0)</f>
        <v>0.29799999999999999</v>
      </c>
      <c r="BF245" s="1038"/>
      <c r="BG245" s="1036">
        <f>IF($AM245="Structure", IF($I245="kg",$J245,0), 0)</f>
        <v>0</v>
      </c>
      <c r="BH245" s="1037">
        <f>IF($AM245="Insulation", IF($I245="kg",$J245,0), 0)</f>
        <v>0</v>
      </c>
      <c r="BI245" s="1038">
        <f>IF($AM245="Revêtement", IF($I245="kg",$J245,0), 0)</f>
        <v>0</v>
      </c>
      <c r="BJ245" s="1037" t="str">
        <f>_xlfn.XLOOKUP(H245, 'Baumaterialien Matériaux'!A:A, 'Baumaterialien Matériaux'!E:E, "-", 0, 1)</f>
        <v>-</v>
      </c>
      <c r="BK245" s="1036">
        <f t="shared" si="547"/>
        <v>0</v>
      </c>
      <c r="BL245" s="1037">
        <f t="shared" si="548"/>
        <v>0</v>
      </c>
      <c r="BM245" s="1038">
        <f t="shared" si="549"/>
        <v>0</v>
      </c>
      <c r="BN245" s="1040">
        <f>N245-(40%*N245)</f>
        <v>8.2800000000000011</v>
      </c>
      <c r="BO245" s="1040">
        <f t="shared" si="605"/>
        <v>8.4588000000000019</v>
      </c>
      <c r="BP245" s="1040">
        <f>Q245-(40%*Q245)</f>
        <v>0.17879999999999999</v>
      </c>
      <c r="BQ245" s="1040"/>
      <c r="BR245" s="1037">
        <f>IFERROR((N245+Q245)*($L$2/L245-1),0)</f>
        <v>14.098000000000001</v>
      </c>
    </row>
    <row r="246" spans="2:70">
      <c r="B246" s="1105"/>
      <c r="C246" s="1106" t="s">
        <v>167</v>
      </c>
      <c r="D246" s="473" t="s">
        <v>168</v>
      </c>
      <c r="E246" s="473"/>
      <c r="F246" s="473"/>
      <c r="G246" s="473"/>
      <c r="H246" s="473"/>
      <c r="I246" s="463"/>
      <c r="J246" s="654"/>
      <c r="K246" s="652"/>
      <c r="L246" s="652"/>
      <c r="M246" s="653">
        <f>M247</f>
        <v>31.68</v>
      </c>
      <c r="N246" s="653">
        <f>N247</f>
        <v>11</v>
      </c>
      <c r="O246" s="653">
        <f>O247</f>
        <v>6.6</v>
      </c>
      <c r="P246" s="653">
        <f t="shared" ref="P246:R246" si="610">P247</f>
        <v>12.54</v>
      </c>
      <c r="Q246" s="653">
        <f t="shared" si="610"/>
        <v>1.54</v>
      </c>
      <c r="R246" s="653">
        <f t="shared" si="610"/>
        <v>0.92399999999999993</v>
      </c>
      <c r="S246" s="653"/>
      <c r="T246" s="653"/>
      <c r="X246" s="638">
        <f t="shared" si="459"/>
        <v>0</v>
      </c>
      <c r="Z246" s="638">
        <f t="shared" si="526"/>
        <v>0</v>
      </c>
      <c r="AA246" s="1093"/>
      <c r="AB246">
        <f>_xlfn.XLOOKUP($H246,'[1]Baumaterialien Matériaux'!$A:$A,'[1]Baumaterialien Matériaux'!AK:AK,0,0)</f>
        <v>0</v>
      </c>
      <c r="AC246" t="str" cm="1">
        <f t="array" ref="AC246">_xlfn.SWITCH(I246,"kg"," ",0," ",_xlfn.XLOOKUP(H246, '[1]Baumaterialien Matériaux'!$A:$A, '[1]Baumaterialien Matériaux'!$AL:$AL, "-", 0, 1))</f>
        <v xml:space="preserve"> </v>
      </c>
      <c r="AD246" s="622" cm="1">
        <f t="array" ref="AD246">IFERROR(_xlfn.SWITCH(I246,"kg",1,"m3",AC246,AC246)*J246/(_xlfn.XLOOKUP(AA246,Métrés!A:A,Métrés!C:C,0)),0)</f>
        <v>0</v>
      </c>
      <c r="AE246" s="1092">
        <f>IFERROR(N246*$G$1/(_xlfn.XLOOKUP($AA246,Métrés!$A:$A,Métrés!$C:$C,0)),0)</f>
        <v>0</v>
      </c>
      <c r="AF246" s="1092">
        <f>IFERROR(O246*$G$1/(_xlfn.XLOOKUP($AA246,Métrés!$A:$A,Métrés!$C:$C,0)),0)</f>
        <v>0</v>
      </c>
      <c r="AG246" s="1092">
        <f>IFERROR(Q246*$G$1/(_xlfn.XLOOKUP($AA246,Métrés!$A:$A,Métrés!$C:$C,0)),0)</f>
        <v>0</v>
      </c>
      <c r="AH246" s="1092">
        <f>IFERROR(R246*$G$1/(_xlfn.XLOOKUP($AA246,Métrés!$A:$A,Métrés!$C:$C,0)),0)</f>
        <v>0</v>
      </c>
      <c r="AI246" s="1092">
        <f>IFERROR(S246*$G$1/(_xlfn.XLOOKUP($AA246,Métrés!$A:$A,Métrés!$C:$C,0)),0)</f>
        <v>0</v>
      </c>
      <c r="AJ246" s="653"/>
      <c r="AK246" s="653"/>
      <c r="AL246" s="653"/>
      <c r="AM246" s="1020"/>
      <c r="AN246" s="1060"/>
      <c r="AO246" s="653"/>
      <c r="AP246" s="653"/>
      <c r="AQ246" s="653"/>
      <c r="AR246" s="1056"/>
      <c r="AS246" s="1060"/>
      <c r="AT246" s="653"/>
      <c r="AU246" s="653"/>
      <c r="AV246" s="653"/>
      <c r="AW246" s="1056"/>
      <c r="AX246" s="1060"/>
      <c r="AY246" s="653"/>
      <c r="AZ246" s="653"/>
      <c r="BA246" s="653"/>
      <c r="BB246" s="1056"/>
      <c r="BC246" s="1060"/>
      <c r="BD246" s="653"/>
      <c r="BE246" s="653"/>
      <c r="BF246" s="1056"/>
      <c r="BG246" s="1060"/>
      <c r="BH246" s="653"/>
      <c r="BI246" s="1056"/>
      <c r="BJ246" s="1044"/>
      <c r="BK246" s="1060"/>
      <c r="BL246" s="653"/>
      <c r="BM246" s="1056"/>
      <c r="BN246" s="1040"/>
      <c r="BO246" s="1040"/>
      <c r="BP246" s="1040"/>
      <c r="BQ246" s="1040"/>
      <c r="BR246" s="1037"/>
    </row>
    <row r="247" spans="2:70">
      <c r="B247" s="1105"/>
      <c r="C247" s="1106"/>
      <c r="D247" s="478" t="s">
        <v>169</v>
      </c>
      <c r="E247" s="479" t="str">
        <f>BillQuantities!E49</f>
        <v>Installation sanitaire habitation</v>
      </c>
      <c r="F247" s="479"/>
      <c r="G247" s="479" t="str">
        <f>VLOOKUP(H247, 'Gebäudetechnik Technique du bât'!$A$10:$X$78, 24,FALSE)</f>
        <v>Habitation, appareils et conduites compris</v>
      </c>
      <c r="H247" s="753" t="s">
        <v>831</v>
      </c>
      <c r="I247" s="459" t="str">
        <f>VLOOKUP(H247, 'Gebäudetechnik Technique du bât'!$A$10:$X$78, 23,FALSE)</f>
        <v>SRE</v>
      </c>
      <c r="J247" s="662">
        <f>$G$1</f>
        <v>898.44</v>
      </c>
      <c r="K247" s="663">
        <v>1</v>
      </c>
      <c r="L247" s="663">
        <v>30</v>
      </c>
      <c r="M247" s="664">
        <f>SUM(N247:Q247)</f>
        <v>31.68</v>
      </c>
      <c r="N247" s="720">
        <f>IFERROR(($J247*VLOOKUP($H247, 'Gebäudetechnik Technique du bât'!$A$10:$U$78, 21,FALSE)),0)/$G$1</f>
        <v>11</v>
      </c>
      <c r="O247" s="720">
        <f>N247-(40%*N247)</f>
        <v>6.6</v>
      </c>
      <c r="P247" s="720">
        <f>IFERROR((N247+Q247)*($L$2/L247-1),0)</f>
        <v>12.54</v>
      </c>
      <c r="Q247" s="720">
        <f>IFERROR(($J247*VLOOKUP($H247, 'Gebäudetechnik Technique du bât'!$A$10:$V$78, 22,FALSE)),0)/$G$1</f>
        <v>1.54</v>
      </c>
      <c r="R247" s="720">
        <f>Q247-(40%*Q247)</f>
        <v>0.92399999999999993</v>
      </c>
      <c r="X247" s="638" t="s">
        <v>148</v>
      </c>
      <c r="Z247" s="638">
        <f t="shared" si="526"/>
        <v>30</v>
      </c>
      <c r="AA247" s="1094" t="s">
        <v>3446</v>
      </c>
      <c r="AB247" t="str">
        <f>_xlfn.XLOOKUP($H247,'[1]Baumaterialien Matériaux'!$A:$A,'[1]Baumaterialien Matériaux'!AK:AK,0,0)</f>
        <v>equipment</v>
      </c>
      <c r="AC247" cm="1">
        <f t="array" ref="AC247">_xlfn.SWITCH(I247,"kg"," ",0," ",_xlfn.XLOOKUP(H247, '[1]Baumaterialien Matériaux'!$A:$A, '[1]Baumaterialien Matériaux'!$AL:$AL, "-", 0, 1))</f>
        <v>0</v>
      </c>
      <c r="AD247" s="622" cm="1">
        <f t="array" ref="AD247">IFERROR(_xlfn.SWITCH(I247,"kg",1,"m3",AC247,AC247)*J247/(_xlfn.XLOOKUP(AA247,Métrés!A:A,Métrés!C:C,0)),0)</f>
        <v>0</v>
      </c>
      <c r="AE247" s="1092">
        <f>IFERROR(N247*$G$1/(_xlfn.XLOOKUP($AA247,Métrés!$A:$A,Métrés!$C:$C,0)),0)</f>
        <v>11</v>
      </c>
      <c r="AF247" s="1092">
        <f>IFERROR(O247*$G$1/(_xlfn.XLOOKUP($AA247,Métrés!$A:$A,Métrés!$C:$C,0)),0)</f>
        <v>6.6</v>
      </c>
      <c r="AG247" s="1092">
        <f>IFERROR(Q247*$G$1/(_xlfn.XLOOKUP($AA247,Métrés!$A:$A,Métrés!$C:$C,0)),0)</f>
        <v>1.54</v>
      </c>
      <c r="AH247" s="1092">
        <f>IFERROR(R247*$G$1/(_xlfn.XLOOKUP($AA247,Métrés!$A:$A,Métrés!$C:$C,0)),0)</f>
        <v>0.92399999999999993</v>
      </c>
      <c r="AI247" s="1092">
        <f>IFERROR(S247*$G$1/(_xlfn.XLOOKUP($AA247,Métrés!$A:$A,Métrés!$C:$C,0)),0)</f>
        <v>0</v>
      </c>
      <c r="AJ247" s="1022"/>
      <c r="AM247" s="638" t="s">
        <v>148</v>
      </c>
      <c r="AN247" s="1036">
        <f>IF(AM247="Structure",N247,0)</f>
        <v>0</v>
      </c>
      <c r="AO247" s="1037">
        <f>IF(AM247="Structure",P247,0)</f>
        <v>0</v>
      </c>
      <c r="AP247" s="1037">
        <f>IF(AM247="Structure",Q247,0)</f>
        <v>0</v>
      </c>
      <c r="AQ247" s="1038">
        <f>IF(AM247="Structure",S247,0)</f>
        <v>0</v>
      </c>
      <c r="AR247" s="1038">
        <f>IF(AM247="Structure",T247,0)</f>
        <v>0</v>
      </c>
      <c r="AS247" s="1036">
        <f>IF(AM247="Insulation",N247,0)</f>
        <v>0</v>
      </c>
      <c r="AT247" s="1037">
        <f>IF(AM247="Insulation",P247,0)</f>
        <v>0</v>
      </c>
      <c r="AU247" s="1037">
        <f>IF(AM247="Insulation",Q247,0)</f>
        <v>0</v>
      </c>
      <c r="AV247" s="1038">
        <f>IF(AM247="Insulation",S247,0)</f>
        <v>0</v>
      </c>
      <c r="AW247" s="1038">
        <f>IF(AM247="Insulation",T247,0)</f>
        <v>0</v>
      </c>
      <c r="AX247" s="1036">
        <f>IF(AM247="Revêtement",N247,0)</f>
        <v>0</v>
      </c>
      <c r="AY247" s="1037">
        <f>IF(AM247="Revêtement",P247,0)</f>
        <v>0</v>
      </c>
      <c r="AZ247" s="1037">
        <f>IF(AM247="Revêtement",Q247,0)</f>
        <v>0</v>
      </c>
      <c r="BA247" s="1037">
        <f>IF(AM247="Revêtement",S247,0)</f>
        <v>0</v>
      </c>
      <c r="BB247" s="1038">
        <f>IF(AM247="Revêtement",T247,0)</f>
        <v>0</v>
      </c>
      <c r="BC247" s="1036">
        <f>IF(AM247="Installation",N247,0)</f>
        <v>11</v>
      </c>
      <c r="BD247" s="1037">
        <f>IF(AM247="Installation",P247,0)</f>
        <v>12.54</v>
      </c>
      <c r="BE247" s="1037">
        <f>IF(AM247="Installation",Q247,0)</f>
        <v>1.54</v>
      </c>
      <c r="BF247" s="1038"/>
      <c r="BG247" s="1036">
        <f>IF($AM247="Structure", IF($I247="kg",$J247,0), 0)</f>
        <v>0</v>
      </c>
      <c r="BH247" s="1037">
        <f>IF($AM247="Insulation", IF($I247="kg",$J247,0), 0)</f>
        <v>0</v>
      </c>
      <c r="BI247" s="1038">
        <f>IF($AM247="Revêtement", IF($I247="kg",$J247,0), 0)</f>
        <v>0</v>
      </c>
      <c r="BJ247" s="1037" t="str">
        <f>_xlfn.XLOOKUP(H247, 'Baumaterialien Matériaux'!A:A, 'Baumaterialien Matériaux'!E:E, "-", 0, 1)</f>
        <v>-</v>
      </c>
      <c r="BK247" s="1036">
        <f t="shared" si="547"/>
        <v>0</v>
      </c>
      <c r="BL247" s="1037">
        <f t="shared" si="548"/>
        <v>0</v>
      </c>
      <c r="BM247" s="1038">
        <f t="shared" si="549"/>
        <v>0</v>
      </c>
      <c r="BN247" s="1040">
        <f>N247-(40%*N247)</f>
        <v>6.6</v>
      </c>
      <c r="BO247" s="1040">
        <f t="shared" si="605"/>
        <v>7.5239999999999991</v>
      </c>
      <c r="BP247" s="1040">
        <f>Q247-(40%*Q247)</f>
        <v>0.92399999999999993</v>
      </c>
      <c r="BQ247" s="1040"/>
      <c r="BR247" s="1037">
        <f>IFERROR((N247+Q247)*($L$2/L247-1),0)</f>
        <v>12.54</v>
      </c>
    </row>
    <row r="248" spans="2:70">
      <c r="E248" s="454"/>
      <c r="J248" s="645"/>
      <c r="AA248" s="638"/>
      <c r="AD248" s="622">
        <f t="shared" ref="AD248" si="611">K248</f>
        <v>0</v>
      </c>
      <c r="AE248" s="1092">
        <f>IFERROR(N248*$G$1/(_xlfn.XLOOKUP($AA248,Métrés!$A:$A,Métrés!$C:$C,0)),0)</f>
        <v>0</v>
      </c>
      <c r="AF248" s="1092">
        <f>IFERROR(O248*$G$1/(_xlfn.XLOOKUP($AA248,Métrés!$A:$A,Métrés!$C:$C,0)),0)</f>
        <v>0</v>
      </c>
      <c r="AG248" s="1092">
        <f>IFERROR(Q248*$G$1/(_xlfn.XLOOKUP($AA248,Métrés!$A:$A,Métrés!$C:$C,0)),0)</f>
        <v>0</v>
      </c>
      <c r="AH248" s="1092">
        <f>IFERROR(R248*$G$1/(_xlfn.XLOOKUP($AA248,Métrés!$A:$A,Métrés!$C:$C,0)),0)</f>
        <v>0</v>
      </c>
      <c r="AI248" s="1092">
        <f>IFERROR(S248*$G$1/(_xlfn.XLOOKUP($AA248,Métrés!$A:$A,Métrés!$C:$C,0)),0)</f>
        <v>0</v>
      </c>
      <c r="AJ248" s="1022"/>
      <c r="AN248" s="1036"/>
      <c r="AO248" s="1037"/>
      <c r="AP248" s="1037"/>
      <c r="AQ248" s="1038"/>
      <c r="AR248" s="1038"/>
      <c r="AS248" s="1036"/>
      <c r="AT248" s="1037"/>
      <c r="AU248" s="1037"/>
      <c r="AV248" s="1038"/>
      <c r="AW248" s="1038"/>
      <c r="AX248" s="1036"/>
      <c r="AY248" s="1037"/>
      <c r="AZ248" s="1037"/>
      <c r="BA248" s="1037"/>
      <c r="BB248" s="1038"/>
      <c r="BC248" s="1036"/>
      <c r="BD248" s="1037"/>
      <c r="BE248" s="1037"/>
      <c r="BF248" s="1038"/>
      <c r="BG248" s="1036"/>
      <c r="BH248" s="1037"/>
      <c r="BI248" s="1038"/>
      <c r="BJ248" s="1037"/>
      <c r="BK248" s="1036"/>
      <c r="BL248" s="1037"/>
      <c r="BM248" s="1038"/>
      <c r="BN248" s="1037"/>
      <c r="BO248" s="1037"/>
      <c r="BP248" s="1037"/>
      <c r="BQ248" s="1037"/>
      <c r="BR248" s="1037"/>
    </row>
    <row r="249" spans="2:70" ht="16.5" thickBot="1">
      <c r="E249" s="454"/>
      <c r="J249" s="645"/>
      <c r="M249" s="666">
        <f t="shared" ref="M249:R249" ca="1" si="612">M4+M11+M22+M33+M45+M62+M81+M90+M100+M112+M147+M175+M203+M219+M234+M237+M243+M246</f>
        <v>1106.8803884765978</v>
      </c>
      <c r="N249" s="666">
        <f t="shared" si="612"/>
        <v>614.60369066281544</v>
      </c>
      <c r="O249" s="666">
        <f t="shared" si="612"/>
        <v>200.47680662435258</v>
      </c>
      <c r="P249" s="666">
        <f t="shared" ca="1" si="612"/>
        <v>235.63192129822312</v>
      </c>
      <c r="Q249" s="666">
        <f t="shared" si="612"/>
        <v>88.859500250050758</v>
      </c>
      <c r="R249" s="666">
        <f t="shared" si="612"/>
        <v>34.31139145174761</v>
      </c>
      <c r="S249" s="666">
        <f>-(S4+S11+S22+S33+S45+S62+S81+S90+S100+S112+S147+S175+S203+S219+S234+S237+S243+S246)</f>
        <v>-13.003921856699758</v>
      </c>
      <c r="T249" s="666">
        <f>(T4+T11+T22+T33+T45+T62+T81+T90+T100+T112+T147+T175+T203+T219+T234+T237+T243+T246)</f>
        <v>2.6848815867503661E-2</v>
      </c>
      <c r="U249" s="666"/>
      <c r="V249" s="666">
        <f ca="1">SUM(V4:V246)</f>
        <v>0.13698945547022251</v>
      </c>
      <c r="W249" s="666">
        <f ca="1">-SUM(W4:W246)</f>
        <v>-24.046248014632774</v>
      </c>
      <c r="AA249" s="638"/>
      <c r="AJ249" s="1024"/>
      <c r="AK249" s="666">
        <f ca="1">SUM(AK4:AK246)</f>
        <v>8.2018673249929494E-2</v>
      </c>
      <c r="AL249" s="666">
        <f ca="1">-SUM(AL4:AL246)</f>
        <v>-13.003921856699758</v>
      </c>
      <c r="AN249" s="1041">
        <f ca="1">SUM(AN4:AN247)</f>
        <v>422.22867648145683</v>
      </c>
      <c r="AO249" s="1041">
        <f t="shared" ref="AO249:BM249" ca="1" si="613">SUM(AO4:AO247)</f>
        <v>0</v>
      </c>
      <c r="AP249" s="1041">
        <f t="shared" ca="1" si="613"/>
        <v>40.551974295890652</v>
      </c>
      <c r="AQ249" s="1041">
        <f ca="1">-SUM(AQ4:AQ247)</f>
        <v>0</v>
      </c>
      <c r="AR249" s="1041">
        <f t="shared" ca="1" si="613"/>
        <v>0</v>
      </c>
      <c r="AS249" s="1041">
        <f ca="1">SUM(AS4:AS247)</f>
        <v>33.891226410222167</v>
      </c>
      <c r="AT249" s="1041">
        <f t="shared" ca="1" si="613"/>
        <v>55.846438945550055</v>
      </c>
      <c r="AU249" s="1041">
        <f t="shared" ca="1" si="613"/>
        <v>21.95521253532791</v>
      </c>
      <c r="AV249" s="1041">
        <f ca="1">-SUM(AV4:AV247)</f>
        <v>0</v>
      </c>
      <c r="AW249" s="1041">
        <f t="shared" ca="1" si="613"/>
        <v>0</v>
      </c>
      <c r="AX249" s="1041">
        <f ca="1">SUM(AX4:AX247)</f>
        <v>76.95077321256845</v>
      </c>
      <c r="AY249" s="1041">
        <f t="shared" ca="1" si="613"/>
        <v>92.589834874822557</v>
      </c>
      <c r="AZ249" s="1041">
        <f t="shared" ca="1" si="613"/>
        <v>16.118423654351545</v>
      </c>
      <c r="BA249" s="1041">
        <f ca="1">-SUM(BA4:BA247)</f>
        <v>-13.003921856699758</v>
      </c>
      <c r="BB249" s="1041">
        <f t="shared" ca="1" si="613"/>
        <v>2.6848815867503661E-2</v>
      </c>
      <c r="BC249" s="1041">
        <f>SUM(BC4:BC247)</f>
        <v>81.533014558568198</v>
      </c>
      <c r="BD249" s="1041">
        <f t="shared" si="613"/>
        <v>87.195647477850514</v>
      </c>
      <c r="BE249" s="1041">
        <f t="shared" si="613"/>
        <v>10.233889764480654</v>
      </c>
      <c r="BF249" s="1061"/>
      <c r="BG249" s="1041">
        <f t="shared" ca="1" si="613"/>
        <v>2508696.7575999997</v>
      </c>
      <c r="BH249" s="1041">
        <f t="shared" ca="1" si="613"/>
        <v>7037.7843999999996</v>
      </c>
      <c r="BI249" s="1041">
        <f t="shared" ca="1" si="613"/>
        <v>174060.59664000003</v>
      </c>
      <c r="BJ249" s="1039"/>
      <c r="BK249" s="1041">
        <f t="shared" ca="1" si="613"/>
        <v>1088.2421017679314</v>
      </c>
      <c r="BL249" s="1041">
        <f t="shared" ca="1" si="613"/>
        <v>356.68032000000022</v>
      </c>
      <c r="BM249" s="1041">
        <f t="shared" ca="1" si="613"/>
        <v>111.23749099249514</v>
      </c>
      <c r="BN249" s="1039">
        <f>SUM(BN6:BN247)</f>
        <v>197.67861642801208</v>
      </c>
      <c r="BO249" s="1039" t="e">
        <f t="shared" ref="BO249:BP249" si="614">SUM(BO6:BO247)</f>
        <v>#DIV/0!</v>
      </c>
      <c r="BP249" s="1039">
        <f t="shared" si="614"/>
        <v>34.042174408873301</v>
      </c>
      <c r="BQ249" s="1039"/>
      <c r="BR249" s="1039">
        <f ca="1">SUM(BR6:BR247)</f>
        <v>210.07645624579891</v>
      </c>
    </row>
    <row r="250" spans="2:70">
      <c r="E250" s="454"/>
      <c r="J250" s="645"/>
      <c r="AA250" s="638"/>
    </row>
    <row r="251" spans="2:70">
      <c r="E251" s="454"/>
      <c r="J251" s="645"/>
      <c r="T251" s="638" t="s">
        <v>3426</v>
      </c>
      <c r="AA251" s="638"/>
      <c r="AN251" s="1030">
        <f ca="1">SUM(AN249:AP249)</f>
        <v>462.78065077734749</v>
      </c>
      <c r="AS251" s="1030">
        <f ca="1">SUM(AS249:AU249)</f>
        <v>111.69287789110012</v>
      </c>
      <c r="AX251" s="1030">
        <f ca="1">SUM(AX249:AZ249)</f>
        <v>185.65903174174255</v>
      </c>
      <c r="BC251" s="1030">
        <f>SUM(BC249:BE249)</f>
        <v>178.96255180089938</v>
      </c>
    </row>
    <row r="252" spans="2:70">
      <c r="E252" s="454"/>
      <c r="J252" s="645"/>
      <c r="K252" s="1081" t="s">
        <v>3427</v>
      </c>
      <c r="N252" s="720">
        <f ca="1">SUM(N249:Q249)</f>
        <v>1139.5719188354419</v>
      </c>
      <c r="O252" s="720">
        <f ca="1">SUM(O249:R249)</f>
        <v>559.27961962437394</v>
      </c>
      <c r="S252" s="720">
        <f ca="1">S249-(AQ249+AV249+BA249)</f>
        <v>0</v>
      </c>
      <c r="T252" s="720">
        <f ca="1">T249-(AR249+AW249+BB249)</f>
        <v>0</v>
      </c>
      <c r="AA252" s="638"/>
      <c r="AN252" s="1030">
        <f ca="1">AN251+AS251+AX251+BC251</f>
        <v>939.0951122110896</v>
      </c>
    </row>
    <row r="253" spans="2:70">
      <c r="E253" s="454"/>
      <c r="J253" s="645"/>
      <c r="N253" s="720">
        <f ca="1">$M$249-N252</f>
        <v>-32.691530358844147</v>
      </c>
      <c r="O253" s="720">
        <f ca="1">$M$249-O252</f>
        <v>547.60076885222384</v>
      </c>
      <c r="AA253" s="638"/>
      <c r="AN253" s="720">
        <f ca="1">$M$249-AN252</f>
        <v>167.78527626550817</v>
      </c>
    </row>
    <row r="254" spans="2:70">
      <c r="AA254" s="638"/>
    </row>
    <row r="255" spans="2:70">
      <c r="C255" s="1097"/>
      <c r="D255" s="473" t="s">
        <v>3396</v>
      </c>
      <c r="E255" s="473"/>
      <c r="F255" s="473"/>
      <c r="G255" s="473"/>
      <c r="H255" s="473"/>
      <c r="I255" s="463"/>
      <c r="J255" s="654"/>
      <c r="K255" s="652"/>
      <c r="L255" s="652"/>
      <c r="M255" s="653">
        <f>M256</f>
        <v>2.0991982035528253E-2</v>
      </c>
      <c r="N255" s="653">
        <f>N256</f>
        <v>8.8140810738613611E-3</v>
      </c>
      <c r="O255" s="653">
        <f>O256</f>
        <v>3.1952551088553498E-3</v>
      </c>
      <c r="P255" s="653">
        <f t="shared" ref="P255:R255" si="615">P256</f>
        <v>8.898363463336452E-3</v>
      </c>
      <c r="Q255" s="653">
        <f t="shared" si="615"/>
        <v>8.4282389475090163E-5</v>
      </c>
      <c r="R255" s="653">
        <f t="shared" si="615"/>
        <v>0</v>
      </c>
      <c r="S255" s="653">
        <f>S256</f>
        <v>0</v>
      </c>
      <c r="AA255" s="638"/>
    </row>
    <row r="256" spans="2:70">
      <c r="C256" s="1098"/>
      <c r="D256" s="478"/>
      <c r="E256" s="479">
        <f>BillQuantities!E81</f>
        <v>0</v>
      </c>
      <c r="F256" s="479" t="s">
        <v>3397</v>
      </c>
      <c r="G256" s="479"/>
      <c r="H256" s="479"/>
      <c r="I256" s="459" t="s">
        <v>39</v>
      </c>
      <c r="J256" s="662"/>
      <c r="K256" s="663"/>
      <c r="L256" s="663"/>
      <c r="M256" s="664">
        <f>SUM(M257:M261)</f>
        <v>2.0991982035528253E-2</v>
      </c>
      <c r="N256" s="664">
        <f t="shared" ref="N256:S256" si="616">SUM(N257:N261)</f>
        <v>8.8140810738613611E-3</v>
      </c>
      <c r="O256" s="664">
        <f t="shared" ref="O256" si="617">SUM(O257:O261)</f>
        <v>3.1952551088553498E-3</v>
      </c>
      <c r="P256" s="664">
        <f t="shared" si="616"/>
        <v>8.898363463336452E-3</v>
      </c>
      <c r="Q256" s="664">
        <f t="shared" si="616"/>
        <v>8.4282389475090163E-5</v>
      </c>
      <c r="R256" s="664">
        <f t="shared" ref="R256" si="618">SUM(R257:R261)</f>
        <v>0</v>
      </c>
      <c r="S256" s="664">
        <f t="shared" si="616"/>
        <v>0</v>
      </c>
      <c r="AA256" s="638"/>
    </row>
    <row r="257" spans="3:27">
      <c r="C257" s="1099"/>
      <c r="D257" s="478"/>
      <c r="E257" s="478"/>
      <c r="F257" s="478" t="s">
        <v>3398</v>
      </c>
      <c r="G257" s="478" t="str">
        <f>_xlfn.XLOOKUP(H257, 'Baumaterialien Matériaux'!A:A, 'Baumaterialien Matériaux'!AD:AD, "-", 0, 1)</f>
        <v>Profil en acier, nu</v>
      </c>
      <c r="H257" s="891" t="s">
        <v>681</v>
      </c>
      <c r="I257" s="641" t="str">
        <f>_xlfn.XLOOKUP(H257, 'Baumaterialien Matériaux'!A:A, 'Baumaterialien Matériaux'!F:F, "-", 0, 1)</f>
        <v>kg</v>
      </c>
      <c r="J257" s="649">
        <f>7850*(27.6*0.005*0.01)</f>
        <v>10.833000000000002</v>
      </c>
      <c r="K257" s="893"/>
      <c r="L257" s="647">
        <v>30</v>
      </c>
      <c r="M257" s="648">
        <f t="shared" ref="M257" si="619">SUM(N257:Q257)</f>
        <v>2.0991982035528253E-2</v>
      </c>
      <c r="N257" s="720">
        <f>IFERROR(($J257*VLOOKUP($H257, 'Baumaterialien Matériaux'!$A$11:$AD$318, 26,FALSE)),0)/$G$1</f>
        <v>8.8140810738613611E-3</v>
      </c>
      <c r="O257" s="720">
        <f>IFERROR(($J257*VLOOKUP($H257, 'Baumaterialien Matériaux'!$A$11:$AH$318, 33,FALSE)),0)/$G$1</f>
        <v>3.1952551088553498E-3</v>
      </c>
      <c r="P257" s="720">
        <f t="shared" ref="P257" si="620">IFERROR((N257+Q257)*($L$2/L257-1),0)</f>
        <v>8.898363463336452E-3</v>
      </c>
      <c r="Q257" s="720">
        <f>IFERROR(($J257*VLOOKUP($H257, 'Baumaterialien Matériaux'!$A$11:$AD$318, 27,FALSE)),0)/$G$1</f>
        <v>8.4282389475090163E-5</v>
      </c>
      <c r="R257" s="720">
        <f>IFERROR(($J257*VLOOKUP($H257, 'Baumaterialien Matériaux'!$A$11:$AH$318, 34,FALSE)),0)/$G$1</f>
        <v>0</v>
      </c>
      <c r="S257" s="720">
        <f>IFERROR((J257*VLOOKUP(H257, 'Baumaterialien Matériaux'!$A$11:$AD$318, 29,FALSE)),0)/$G$1</f>
        <v>0</v>
      </c>
      <c r="AA257" s="638"/>
    </row>
    <row r="258" spans="3:27">
      <c r="AA258" s="638"/>
    </row>
    <row r="259" spans="3:27">
      <c r="AA259" s="638"/>
    </row>
    <row r="260" spans="3:27">
      <c r="AA260" s="638"/>
    </row>
    <row r="261" spans="3:27">
      <c r="AA261" s="638"/>
    </row>
    <row r="262" spans="3:27">
      <c r="AA262" s="638"/>
    </row>
    <row r="263" spans="3:27">
      <c r="AA263" s="638"/>
    </row>
    <row r="264" spans="3:27">
      <c r="AA264" s="638"/>
    </row>
    <row r="265" spans="3:27">
      <c r="AA265" s="638"/>
    </row>
    <row r="266" spans="3:27">
      <c r="AA266" s="638"/>
    </row>
    <row r="267" spans="3:27">
      <c r="AA267" s="638"/>
    </row>
    <row r="268" spans="3:27">
      <c r="AA268" s="638"/>
    </row>
    <row r="269" spans="3:27">
      <c r="AA269" s="638"/>
    </row>
    <row r="270" spans="3:27">
      <c r="AA270" s="638"/>
    </row>
    <row r="271" spans="3:27">
      <c r="AA271" s="638"/>
    </row>
    <row r="272" spans="3:2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  <row r="994" spans="27:27">
      <c r="AA994" s="638"/>
    </row>
    <row r="995" spans="27:27">
      <c r="AA995" s="638"/>
    </row>
    <row r="996" spans="27:27">
      <c r="AA996" s="638"/>
    </row>
    <row r="997" spans="27:27">
      <c r="AA997" s="638"/>
    </row>
    <row r="998" spans="27:27">
      <c r="AA998" s="638"/>
    </row>
    <row r="999" spans="27:27">
      <c r="AA999" s="638"/>
    </row>
    <row r="1000" spans="27:27">
      <c r="AA1000" s="638"/>
    </row>
    <row r="1001" spans="27:27">
      <c r="AA1001" s="638"/>
    </row>
    <row r="1002" spans="27:27">
      <c r="AA1002" s="638"/>
    </row>
    <row r="1003" spans="27:27">
      <c r="AA1003" s="638"/>
    </row>
    <row r="1004" spans="27:27">
      <c r="AA1004" s="638"/>
    </row>
    <row r="1005" spans="27:27">
      <c r="AA1005" s="638"/>
    </row>
    <row r="1006" spans="27:27">
      <c r="AA1006" s="638"/>
    </row>
    <row r="1007" spans="27:27">
      <c r="AA1007" s="638"/>
    </row>
    <row r="1008" spans="27:27">
      <c r="AA1008" s="638"/>
    </row>
    <row r="1009" spans="27:27">
      <c r="AA1009" s="638"/>
    </row>
    <row r="1010" spans="27:27">
      <c r="AA1010" s="638"/>
    </row>
    <row r="1011" spans="27:27">
      <c r="AA1011" s="638"/>
    </row>
    <row r="1012" spans="27:27">
      <c r="AA1012" s="638"/>
    </row>
    <row r="1013" spans="27:27">
      <c r="AA1013" s="638"/>
    </row>
    <row r="1014" spans="27:27">
      <c r="AA1014" s="638"/>
    </row>
    <row r="1015" spans="27:27">
      <c r="AA1015" s="638"/>
    </row>
    <row r="1016" spans="27:27">
      <c r="AA1016" s="638"/>
    </row>
    <row r="1017" spans="27:27">
      <c r="AA1017" s="638"/>
    </row>
    <row r="1018" spans="27:27">
      <c r="AA1018" s="638"/>
    </row>
    <row r="1019" spans="27:27">
      <c r="AA1019" s="638"/>
    </row>
    <row r="1020" spans="27:27">
      <c r="AA1020" s="638"/>
    </row>
    <row r="1021" spans="27:27">
      <c r="AA1021" s="638"/>
    </row>
    <row r="1022" spans="27:27">
      <c r="AA1022" s="638"/>
    </row>
    <row r="1023" spans="27:27">
      <c r="AA1023" s="638"/>
    </row>
    <row r="1024" spans="27:27">
      <c r="AA1024" s="638"/>
    </row>
    <row r="1025" spans="27:27">
      <c r="AA1025" s="638"/>
    </row>
    <row r="1026" spans="27:27">
      <c r="AA1026" s="638"/>
    </row>
    <row r="1027" spans="27:27">
      <c r="AA1027" s="638"/>
    </row>
    <row r="1028" spans="27:27">
      <c r="AA1028" s="638"/>
    </row>
    <row r="1029" spans="27:27">
      <c r="AA1029" s="638"/>
    </row>
    <row r="1030" spans="27:27">
      <c r="AA1030" s="638"/>
    </row>
    <row r="1031" spans="27:27">
      <c r="AA1031" s="638"/>
    </row>
    <row r="1032" spans="27:27">
      <c r="AA1032" s="638"/>
    </row>
    <row r="1033" spans="27:27">
      <c r="AA1033" s="638"/>
    </row>
    <row r="1034" spans="27:27">
      <c r="AA1034" s="638"/>
    </row>
    <row r="1035" spans="27:27">
      <c r="AA1035" s="638"/>
    </row>
    <row r="1036" spans="27:27">
      <c r="AA1036" s="638"/>
    </row>
    <row r="1037" spans="27:27">
      <c r="AA1037" s="638"/>
    </row>
    <row r="1038" spans="27:27">
      <c r="AA1038" s="638"/>
    </row>
    <row r="1039" spans="27:27">
      <c r="AA1039" s="638"/>
    </row>
    <row r="1040" spans="27:27">
      <c r="AA1040" s="638"/>
    </row>
  </sheetData>
  <customSheetViews>
    <customSheetView guid="{B32447E2-AB5B-4CBB-881B-FF11349CA4D6}" hiddenColumns="1">
      <selection activeCell="N18" sqref="N18"/>
      <pageMargins left="0" right="0" top="0" bottom="0" header="0" footer="0"/>
      <pageSetup paperSize="9" orientation="portrait" r:id="rId1"/>
    </customSheetView>
    <customSheetView guid="{9FA74287-E657-475B-BF4B-3C8C757714AE}" hiddenColumns="1">
      <selection activeCell="N18" sqref="N18"/>
      <pageMargins left="0" right="0" top="0" bottom="0" header="0" footer="0"/>
      <pageSetup paperSize="9" orientation="portrait" r:id="rId2"/>
    </customSheetView>
  </customSheetViews>
  <phoneticPr fontId="86" type="noConversion"/>
  <conditionalFormatting sqref="AC1:AC1048576">
    <cfRule type="cellIs" dxfId="388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EEE8-FBC2-4269-953D-CCAA230768BE}">
  <sheetPr>
    <pageSetUpPr autoPageBreaks="0"/>
  </sheetPr>
  <dimension ref="A1:S37"/>
  <sheetViews>
    <sheetView zoomScale="55" zoomScaleNormal="55" workbookViewId="0">
      <selection activeCell="N59" sqref="N59"/>
    </sheetView>
  </sheetViews>
  <sheetFormatPr baseColWidth="10" defaultColWidth="11" defaultRowHeight="15.75" outlineLevelRow="1"/>
  <cols>
    <col min="2" max="2" width="19.5" bestFit="1" customWidth="1"/>
    <col min="3" max="3" width="43.875" bestFit="1" customWidth="1"/>
  </cols>
  <sheetData>
    <row r="1" spans="1:19" ht="16.5" thickBot="1"/>
    <row r="2" spans="1:19" hidden="1" outlineLevel="1">
      <c r="B2" t="s">
        <v>170</v>
      </c>
      <c r="F2" t="s">
        <v>171</v>
      </c>
    </row>
    <row r="3" spans="1:19" hidden="1" outlineLevel="1">
      <c r="B3" s="458" t="s">
        <v>172</v>
      </c>
      <c r="C3" s="418">
        <f>Inputs!C6/Inputs!C5</f>
        <v>364</v>
      </c>
      <c r="F3" s="410" t="s">
        <v>173</v>
      </c>
      <c r="G3" s="410" t="s">
        <v>28</v>
      </c>
      <c r="H3" s="410" t="s">
        <v>32</v>
      </c>
      <c r="I3" s="410" t="s">
        <v>40</v>
      </c>
      <c r="J3" s="410"/>
      <c r="K3" s="410"/>
      <c r="L3" s="410" t="s">
        <v>174</v>
      </c>
      <c r="M3" s="410"/>
      <c r="N3" s="410" t="s">
        <v>26</v>
      </c>
      <c r="O3" s="410"/>
      <c r="P3" s="410" t="s">
        <v>34</v>
      </c>
      <c r="Q3" s="410"/>
      <c r="R3" t="s">
        <v>175</v>
      </c>
    </row>
    <row r="4" spans="1:19" hidden="1" outlineLevel="1">
      <c r="B4" s="410" t="s">
        <v>176</v>
      </c>
      <c r="C4" s="410">
        <f>C6*Inputs!C8</f>
        <v>436.8</v>
      </c>
      <c r="F4" s="410" t="s">
        <v>58</v>
      </c>
      <c r="G4" s="410" t="s">
        <v>46</v>
      </c>
      <c r="H4" s="410" t="s">
        <v>33</v>
      </c>
      <c r="I4" s="410" t="s">
        <v>177</v>
      </c>
      <c r="J4" s="410"/>
      <c r="K4" s="410"/>
      <c r="L4" s="410" t="s">
        <v>66</v>
      </c>
      <c r="M4" s="410"/>
      <c r="N4" s="410" t="s">
        <v>27</v>
      </c>
      <c r="O4" s="410"/>
      <c r="P4" s="410" t="s">
        <v>178</v>
      </c>
      <c r="Q4" s="410"/>
      <c r="R4" t="s">
        <v>48</v>
      </c>
    </row>
    <row r="5" spans="1:19" hidden="1" outlineLevel="1">
      <c r="B5" s="410" t="s">
        <v>179</v>
      </c>
      <c r="C5" s="410">
        <f>IF(Inputs!C10=0, 0, Inputs!C9/Inputs!C10)</f>
        <v>364</v>
      </c>
      <c r="F5" s="410" t="s">
        <v>180</v>
      </c>
      <c r="G5" s="410" t="s">
        <v>181</v>
      </c>
      <c r="H5" s="410" t="s">
        <v>182</v>
      </c>
      <c r="I5" s="410" t="s">
        <v>41</v>
      </c>
      <c r="J5" s="410"/>
      <c r="K5" s="410"/>
      <c r="L5" s="410" t="s">
        <v>183</v>
      </c>
      <c r="M5" s="410"/>
      <c r="N5" s="410" t="s">
        <v>184</v>
      </c>
      <c r="O5" s="410"/>
      <c r="P5" s="410" t="s">
        <v>35</v>
      </c>
      <c r="Q5" s="410"/>
      <c r="R5" t="s">
        <v>185</v>
      </c>
    </row>
    <row r="6" spans="1:19" hidden="1" outlineLevel="1">
      <c r="B6" s="415" t="s">
        <v>186</v>
      </c>
      <c r="C6" s="424">
        <f>(Inputs!C7*Inputs!C6)-2*(C3)</f>
        <v>1456</v>
      </c>
      <c r="F6" s="410"/>
      <c r="G6" s="410"/>
      <c r="H6" s="410"/>
      <c r="I6" s="410"/>
      <c r="J6" s="410"/>
      <c r="K6" s="410"/>
      <c r="L6" s="410"/>
      <c r="M6" s="410"/>
      <c r="N6" s="410"/>
      <c r="O6" s="410"/>
      <c r="P6" s="410"/>
      <c r="Q6" s="410"/>
    </row>
    <row r="7" spans="1:19" hidden="1" outlineLevel="1">
      <c r="F7" s="410"/>
      <c r="G7" s="410"/>
      <c r="H7" s="410"/>
      <c r="I7" s="410"/>
      <c r="J7" s="410"/>
      <c r="K7" s="410"/>
      <c r="L7" s="410" t="s">
        <v>187</v>
      </c>
      <c r="M7" s="410"/>
      <c r="N7" s="410"/>
      <c r="O7" s="410"/>
      <c r="P7" s="410"/>
      <c r="Q7" s="410"/>
    </row>
    <row r="8" spans="1:19" hidden="1" outlineLevel="1">
      <c r="F8" s="410"/>
      <c r="G8" s="410"/>
      <c r="H8" s="410"/>
      <c r="I8" s="410"/>
      <c r="J8" s="410"/>
      <c r="K8" s="410"/>
      <c r="L8" s="410" t="s">
        <v>69</v>
      </c>
      <c r="M8" s="410"/>
      <c r="N8" s="410"/>
      <c r="O8" s="410"/>
      <c r="P8" s="410"/>
      <c r="Q8" s="410"/>
    </row>
    <row r="9" spans="1:19" hidden="1" outlineLevel="1">
      <c r="F9" s="410"/>
      <c r="G9" s="410"/>
      <c r="H9" s="410"/>
      <c r="I9" s="410"/>
      <c r="J9" s="410"/>
      <c r="K9" s="410"/>
      <c r="L9" s="410" t="s">
        <v>188</v>
      </c>
      <c r="M9" s="410"/>
      <c r="N9" s="410"/>
      <c r="O9" s="410"/>
      <c r="P9" s="410"/>
      <c r="Q9" s="410"/>
    </row>
    <row r="10" spans="1:19" hidden="1" outlineLevel="1"/>
    <row r="11" spans="1:19" ht="16.5" collapsed="1" thickBot="1">
      <c r="B11" t="str">
        <f>Standard!B3</f>
        <v>Partie de batiment</v>
      </c>
      <c r="C11" t="str">
        <f>Standard!C3</f>
        <v>eCCC-Bat</v>
      </c>
      <c r="D11" t="s">
        <v>189</v>
      </c>
      <c r="E11" t="s">
        <v>20</v>
      </c>
      <c r="F11" s="617" t="s">
        <v>21</v>
      </c>
      <c r="G11" s="510" t="s">
        <v>190</v>
      </c>
      <c r="H11" t="s">
        <v>191</v>
      </c>
    </row>
    <row r="12" spans="1:19" ht="30">
      <c r="A12" s="813" t="s">
        <v>17</v>
      </c>
      <c r="B12" s="814" t="s">
        <v>95</v>
      </c>
      <c r="C12" s="463" t="s">
        <v>192</v>
      </c>
      <c r="D12" s="805">
        <f>Standard!M4</f>
        <v>1.8899853078669697</v>
      </c>
      <c r="E12" s="806">
        <f>D12</f>
        <v>1.8899853078669697</v>
      </c>
      <c r="F12" s="617"/>
      <c r="G12" s="510"/>
      <c r="H12" s="689">
        <f>-Standard!S4</f>
        <v>0</v>
      </c>
      <c r="J12" s="410"/>
      <c r="S12" t="s">
        <v>193</v>
      </c>
    </row>
    <row r="13" spans="1:19">
      <c r="A13" s="813" t="s">
        <v>102</v>
      </c>
      <c r="B13" s="1120" t="s">
        <v>101</v>
      </c>
      <c r="C13" s="463" t="s">
        <v>194</v>
      </c>
      <c r="D13" s="807">
        <f>Standard!M11</f>
        <v>81.989980811183841</v>
      </c>
      <c r="E13" s="615">
        <f>D13+D14+D15</f>
        <v>169.82493335158719</v>
      </c>
      <c r="F13" s="619"/>
      <c r="G13" s="419"/>
      <c r="H13" s="676">
        <f>-Standard!S11-Standard!S22-Standard!S33</f>
        <v>0</v>
      </c>
      <c r="J13" s="410"/>
      <c r="Q13" t="s">
        <v>20</v>
      </c>
      <c r="R13">
        <f>'Calcul ACV'!AC103</f>
        <v>16.271850042234366</v>
      </c>
      <c r="S13">
        <v>9</v>
      </c>
    </row>
    <row r="14" spans="1:19" ht="30">
      <c r="A14" s="813" t="s">
        <v>108</v>
      </c>
      <c r="B14" s="1121"/>
      <c r="C14" s="463" t="s">
        <v>109</v>
      </c>
      <c r="D14" s="807">
        <f>Standard!M22</f>
        <v>36.727719122478966</v>
      </c>
      <c r="E14" s="615"/>
      <c r="F14" s="619"/>
      <c r="G14" s="419"/>
      <c r="H14" s="676"/>
      <c r="J14" s="410" t="s">
        <v>195</v>
      </c>
      <c r="Q14" t="s">
        <v>21</v>
      </c>
      <c r="R14" s="615">
        <f>Exploitation!M22</f>
        <v>3.1153525641025639</v>
      </c>
      <c r="S14">
        <v>3</v>
      </c>
    </row>
    <row r="15" spans="1:19" ht="30">
      <c r="A15" s="813" t="s">
        <v>111</v>
      </c>
      <c r="B15" s="1121"/>
      <c r="C15" s="463" t="s">
        <v>112</v>
      </c>
      <c r="D15" s="807">
        <f>Standard!M33</f>
        <v>51.107233417924398</v>
      </c>
      <c r="E15" s="615"/>
      <c r="F15" s="619"/>
      <c r="G15" s="419"/>
      <c r="H15" s="676"/>
      <c r="J15" s="410"/>
      <c r="Q15" t="s">
        <v>196</v>
      </c>
    </row>
    <row r="16" spans="1:19">
      <c r="A16" s="813" t="s">
        <v>114</v>
      </c>
      <c r="B16" s="1123" t="s">
        <v>113</v>
      </c>
      <c r="C16" s="463" t="s">
        <v>115</v>
      </c>
      <c r="D16" s="807">
        <f>Standard!M45</f>
        <v>78.20317618984015</v>
      </c>
      <c r="E16" s="615">
        <f ca="1">SUM(D16:D20)</f>
        <v>335.79120744548698</v>
      </c>
      <c r="F16" s="619"/>
      <c r="G16" s="419"/>
      <c r="H16" s="679">
        <f>-Standard!S22-Standard!S62-Standard!S81-Standard!S90-Standard!S100</f>
        <v>-6.5727832316756443</v>
      </c>
      <c r="J16" s="410"/>
    </row>
    <row r="17" spans="1:12">
      <c r="A17" s="813" t="s">
        <v>116</v>
      </c>
      <c r="B17" s="1123"/>
      <c r="C17" s="463" t="s">
        <v>117</v>
      </c>
      <c r="D17" s="807">
        <f ca="1">Standard!M62</f>
        <v>60.722547446407098</v>
      </c>
      <c r="E17" s="615"/>
      <c r="F17" s="619"/>
      <c r="G17" s="419"/>
      <c r="H17" s="676"/>
    </row>
    <row r="18" spans="1:12">
      <c r="A18" s="813" t="s">
        <v>120</v>
      </c>
      <c r="B18" s="1123"/>
      <c r="C18" s="463" t="s">
        <v>121</v>
      </c>
      <c r="D18" s="807">
        <f ca="1">Standard!M81</f>
        <v>84.670493991065982</v>
      </c>
      <c r="E18" s="615"/>
      <c r="F18" s="619"/>
      <c r="G18" s="419"/>
      <c r="H18" s="676"/>
    </row>
    <row r="19" spans="1:12" ht="30">
      <c r="A19" s="813" t="s">
        <v>124</v>
      </c>
      <c r="B19" s="1123"/>
      <c r="C19" s="463" t="s">
        <v>125</v>
      </c>
      <c r="D19" s="807">
        <f ca="1">Standard!M90</f>
        <v>43.407855304750456</v>
      </c>
      <c r="E19" s="615"/>
      <c r="F19" s="619"/>
      <c r="G19" s="419"/>
      <c r="H19" s="676"/>
    </row>
    <row r="20" spans="1:12" ht="30">
      <c r="A20" s="813" t="s">
        <v>126</v>
      </c>
      <c r="B20" s="1123"/>
      <c r="C20" s="463" t="s">
        <v>127</v>
      </c>
      <c r="D20" s="807">
        <f>Standard!M100</f>
        <v>68.787134513423268</v>
      </c>
      <c r="E20" s="615"/>
      <c r="F20" s="619"/>
      <c r="G20" s="419"/>
      <c r="H20" s="676"/>
      <c r="J20" s="410" t="s">
        <v>193</v>
      </c>
      <c r="K20" s="410" t="s">
        <v>197</v>
      </c>
      <c r="L20" s="410"/>
    </row>
    <row r="21" spans="1:12" ht="30">
      <c r="A21" s="813" t="s">
        <v>132</v>
      </c>
      <c r="B21" s="1120" t="s">
        <v>131</v>
      </c>
      <c r="C21" s="463" t="s">
        <v>133</v>
      </c>
      <c r="D21" s="807">
        <f>Standard!M112</f>
        <v>120.82001139158005</v>
      </c>
      <c r="E21" s="615">
        <f ca="1">SUM(D21:D24)</f>
        <v>363.10145878766662</v>
      </c>
      <c r="F21" s="619"/>
      <c r="G21" s="419"/>
      <c r="H21" s="676">
        <f>-Standard!S112-Standard!S147-Standard!S175-Standard!S203</f>
        <v>-6.0754090270542997</v>
      </c>
      <c r="J21" s="410">
        <v>9</v>
      </c>
      <c r="K21" s="410">
        <v>374.1</v>
      </c>
      <c r="L21" s="410"/>
    </row>
    <row r="22" spans="1:12">
      <c r="A22" s="813" t="s">
        <v>136</v>
      </c>
      <c r="B22" s="1121"/>
      <c r="C22" s="463" t="s">
        <v>137</v>
      </c>
      <c r="D22" s="807">
        <f ca="1">Standard!M147</f>
        <v>128.72895996616359</v>
      </c>
      <c r="E22" s="615"/>
      <c r="F22" s="619"/>
      <c r="G22" s="419"/>
      <c r="H22" s="676"/>
      <c r="J22" s="410"/>
      <c r="K22" s="410">
        <f>16.7+5+0.1</f>
        <v>21.8</v>
      </c>
      <c r="L22" s="410"/>
    </row>
    <row r="23" spans="1:12">
      <c r="A23" s="813" t="s">
        <v>139</v>
      </c>
      <c r="B23" s="1121"/>
      <c r="C23" s="463" t="s">
        <v>140</v>
      </c>
      <c r="D23" s="807">
        <f>Standard!M175</f>
        <v>94.589042166421791</v>
      </c>
      <c r="E23" s="615"/>
      <c r="F23" s="619"/>
      <c r="G23" s="419"/>
      <c r="H23" s="676"/>
      <c r="J23" s="410"/>
      <c r="K23" s="410">
        <v>0</v>
      </c>
      <c r="L23" s="410"/>
    </row>
    <row r="24" spans="1:12">
      <c r="A24" s="813" t="s">
        <v>142</v>
      </c>
      <c r="B24" s="1121"/>
      <c r="C24" s="463" t="s">
        <v>143</v>
      </c>
      <c r="D24" s="807">
        <f ca="1">Standard!M203</f>
        <v>18.963445263501178</v>
      </c>
      <c r="E24" s="615"/>
      <c r="F24" s="619"/>
      <c r="G24" s="419"/>
      <c r="H24" s="676"/>
    </row>
    <row r="25" spans="1:12">
      <c r="A25" s="815" t="s">
        <v>146</v>
      </c>
      <c r="B25" s="1122" t="s">
        <v>145</v>
      </c>
      <c r="C25" s="463" t="s">
        <v>147</v>
      </c>
      <c r="D25" s="807">
        <f>Standard!M234</f>
        <v>91.008454565691636</v>
      </c>
      <c r="E25" s="615">
        <f>SUM(D25:D28)</f>
        <v>227.88236053604024</v>
      </c>
      <c r="F25" s="619"/>
      <c r="G25" s="419"/>
      <c r="H25" s="676"/>
    </row>
    <row r="26" spans="1:12">
      <c r="A26" s="815" t="s">
        <v>152</v>
      </c>
      <c r="B26" s="1122"/>
      <c r="C26" s="463" t="s">
        <v>153</v>
      </c>
      <c r="D26" s="807">
        <f>Standard!M237</f>
        <v>59.315905970348595</v>
      </c>
      <c r="E26" s="615"/>
      <c r="F26" s="619"/>
      <c r="G26" s="419"/>
      <c r="H26" s="676"/>
    </row>
    <row r="27" spans="1:12">
      <c r="A27" s="815" t="s">
        <v>162</v>
      </c>
      <c r="B27" s="1122"/>
      <c r="C27" s="463" t="s">
        <v>163</v>
      </c>
      <c r="D27" s="807">
        <f>Standard!M243</f>
        <v>45.878000000000007</v>
      </c>
      <c r="E27" s="615"/>
      <c r="F27" s="619"/>
      <c r="G27" s="419"/>
      <c r="H27" s="676"/>
    </row>
    <row r="28" spans="1:12" ht="16.5" thickBot="1">
      <c r="A28" s="817" t="s">
        <v>167</v>
      </c>
      <c r="B28" s="1122"/>
      <c r="C28" s="463" t="s">
        <v>168</v>
      </c>
      <c r="D28" s="807">
        <f>Standard!M246</f>
        <v>31.68</v>
      </c>
      <c r="E28" s="615"/>
      <c r="F28" s="619"/>
      <c r="G28" s="419"/>
      <c r="H28" s="676"/>
    </row>
    <row r="29" spans="1:12" ht="16.5" thickBot="1">
      <c r="B29" s="1124" t="s">
        <v>21</v>
      </c>
      <c r="C29" s="682" t="str">
        <f>Exploitation!F10</f>
        <v>Chauffage PAC</v>
      </c>
      <c r="D29" s="805">
        <f>F29</f>
        <v>1.1666666666666667</v>
      </c>
      <c r="E29" s="509"/>
      <c r="F29" s="805">
        <f>Exploitation!N10</f>
        <v>1.1666666666666667</v>
      </c>
      <c r="G29" s="510"/>
      <c r="H29" s="510"/>
    </row>
    <row r="30" spans="1:12" ht="16.5" thickBot="1">
      <c r="B30" s="1125"/>
      <c r="C30" s="683" t="str">
        <f>Exploitation!F11</f>
        <v>Eau chaude sanitaire PAC</v>
      </c>
      <c r="D30" s="805">
        <f t="shared" ref="D30:D35" si="0">F30</f>
        <v>0.93750000000000011</v>
      </c>
      <c r="F30" s="807">
        <f>Exploitation!N11</f>
        <v>0.93750000000000011</v>
      </c>
      <c r="G30" s="419"/>
      <c r="H30" s="419"/>
    </row>
    <row r="31" spans="1:12" ht="16.5" thickBot="1">
      <c r="B31" s="1125"/>
      <c r="C31" s="683" t="str">
        <f>Exploitation!F12</f>
        <v>Climatisation</v>
      </c>
      <c r="D31" s="805">
        <f t="shared" si="0"/>
        <v>0.47619047619047616</v>
      </c>
      <c r="F31" s="807">
        <f>Exploitation!N12</f>
        <v>0.47619047619047616</v>
      </c>
      <c r="G31" s="419"/>
      <c r="H31" s="419"/>
    </row>
    <row r="32" spans="1:12" ht="16.5" thickBot="1">
      <c r="B32" s="1125"/>
      <c r="C32" s="683" t="str">
        <f>Exploitation!F13</f>
        <v>Eclairage</v>
      </c>
      <c r="D32" s="805">
        <f t="shared" si="0"/>
        <v>0.14652014652014647</v>
      </c>
      <c r="F32" s="807">
        <f>Exploitation!N13</f>
        <v>0.14652014652014647</v>
      </c>
      <c r="G32" s="419"/>
      <c r="H32" s="419"/>
    </row>
    <row r="33" spans="2:8" ht="16.5" thickBot="1">
      <c r="B33" s="1125"/>
      <c r="C33" s="683" t="str">
        <f>Exploitation!F14</f>
        <v>Ventilation</v>
      </c>
      <c r="D33" s="805">
        <f t="shared" si="0"/>
        <v>5.1282051282051273E-2</v>
      </c>
      <c r="F33" s="807">
        <f>Exploitation!N14</f>
        <v>5.1282051282051273E-2</v>
      </c>
      <c r="G33" s="419"/>
      <c r="H33" s="419"/>
    </row>
    <row r="34" spans="2:8" ht="16.5" thickBot="1">
      <c r="B34" s="1125"/>
      <c r="C34" s="683" t="str">
        <f>Exploitation!F15</f>
        <v>Appareils</v>
      </c>
      <c r="D34" s="805">
        <f t="shared" si="0"/>
        <v>0.51282051282051277</v>
      </c>
      <c r="F34" s="807">
        <f>Exploitation!N15</f>
        <v>0.51282051282051277</v>
      </c>
      <c r="G34" s="419"/>
      <c r="H34" s="419"/>
    </row>
    <row r="35" spans="2:8">
      <c r="B35" s="1125"/>
      <c r="C35" s="683" t="str">
        <f>Exploitation!F16</f>
        <v>Installation techniques</v>
      </c>
      <c r="D35" s="805">
        <f t="shared" si="0"/>
        <v>0.14652014652014647</v>
      </c>
      <c r="F35" s="807">
        <f>Exploitation!N16</f>
        <v>0.14652014652014647</v>
      </c>
      <c r="G35" s="679"/>
      <c r="H35" s="419"/>
    </row>
    <row r="36" spans="2:8">
      <c r="B36" s="1125"/>
      <c r="C36" s="683" t="s">
        <v>198</v>
      </c>
      <c r="D36" s="619"/>
      <c r="F36" s="619"/>
      <c r="G36" s="679">
        <f>-Exploitation!O17</f>
        <v>0.38060897435897439</v>
      </c>
      <c r="H36" s="419"/>
    </row>
    <row r="37" spans="2:8" ht="16.5" thickBot="1">
      <c r="B37" s="1125"/>
      <c r="C37" s="808" t="s">
        <v>199</v>
      </c>
      <c r="D37" s="620"/>
      <c r="E37" s="506"/>
      <c r="F37" s="620"/>
      <c r="G37" s="678">
        <f>Exploitation!P17</f>
        <v>-0.32214743589743605</v>
      </c>
      <c r="H37" s="507"/>
    </row>
  </sheetData>
  <customSheetViews>
    <customSheetView guid="{B32447E2-AB5B-4CBB-881B-FF11349CA4D6}">
      <selection activeCell="I13" sqref="I13"/>
      <pageMargins left="0" right="0" top="0" bottom="0" header="0" footer="0"/>
    </customSheetView>
    <customSheetView guid="{9FA74287-E657-475B-BF4B-3C8C757714AE}">
      <selection activeCell="I13" sqref="I13"/>
      <pageMargins left="0" right="0" top="0" bottom="0" header="0" footer="0"/>
    </customSheetView>
  </customSheetViews>
  <mergeCells count="5">
    <mergeCell ref="B21:B24"/>
    <mergeCell ref="B25:B28"/>
    <mergeCell ref="B16:B20"/>
    <mergeCell ref="B13:B15"/>
    <mergeCell ref="B29:B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3BC5-FBFE-44DF-A78C-A4590DB0391F}">
  <dimension ref="A2:D51"/>
  <sheetViews>
    <sheetView zoomScale="70" zoomScaleNormal="70" workbookViewId="0">
      <selection activeCell="E4" sqref="E4"/>
    </sheetView>
  </sheetViews>
  <sheetFormatPr baseColWidth="10" defaultColWidth="11" defaultRowHeight="15.75"/>
  <cols>
    <col min="2" max="2" width="62.875" bestFit="1" customWidth="1"/>
  </cols>
  <sheetData>
    <row r="2" spans="1:4">
      <c r="A2" t="s">
        <v>200</v>
      </c>
      <c r="B2" s="410" t="s">
        <v>201</v>
      </c>
      <c r="C2" t="s">
        <v>202</v>
      </c>
    </row>
    <row r="3" spans="1:4">
      <c r="B3" s="624">
        <f t="array" ref="B3">INDEX(Standard!G5:G247,MATCH(0,COUNTIF($B$2:B2,Standard!G5:G247),0))</f>
        <v>0</v>
      </c>
    </row>
    <row r="4" spans="1:4">
      <c r="A4" s="615" cm="1">
        <f t="array" aca="1" ref="A4" ca="1">IFERROR(SUM((Standard!$G$4:$G$247='List of materials_st'!B4)*Standard!$M$4:$M$247),0)</f>
        <v>1.8899853078669697</v>
      </c>
      <c r="B4" s="624" t="str" cm="1">
        <f t="array" ref="B4">INDEX(Standard!G6:G248,MATCH(0,COUNTIF($B$2:B3,Standard!G6:G248),0))</f>
        <v>Excavations mécaniques, en moyenne</v>
      </c>
      <c r="C4" s="422" cm="1">
        <f t="array" ref="C4">IFERROR(SUM((Standard!$G$4:$G$247='List of materials_st'!B4)*Standard!$J$4:$J$247),0)</f>
        <v>2423</v>
      </c>
      <c r="D4" t="str">
        <f>_xlfn.XLOOKUP(B4, 'Baumaterialien Matériaux'!AD:AD, 'Baumaterialien Matériaux'!F:F, "-", 0, 1)</f>
        <v>-</v>
      </c>
    </row>
    <row r="5" spans="1:4">
      <c r="A5" s="615" cm="1">
        <f t="array" aca="1" ref="A5" ca="1">IFERROR(SUM((Standard!$G$4:$G$247='List of materials_st'!B5)*Standard!$M$4:$M$247),0)</f>
        <v>0</v>
      </c>
      <c r="B5" s="624" t="str">
        <f t="array" ref="B5">INDEX(Standard!G7:G249,MATCH(0,COUNTIF($B$2:B4,Standard!G7:G249),0))</f>
        <v>Fondations profondes, pieu en béton préfabriqué</v>
      </c>
      <c r="C5" s="422" cm="1">
        <f t="array" ref="C5">IFERROR(SUM((Standard!$G$4:$G$247='List of materials_st'!B5)*Standard!$J$4:$J$247),0)</f>
        <v>0</v>
      </c>
      <c r="D5" t="str">
        <f>_xlfn.XLOOKUP(B5, 'Baumaterialien Matériaux'!AD:AD, 'Baumaterialien Matériaux'!F:F, "-", 0, 1)</f>
        <v>m</v>
      </c>
    </row>
    <row r="6" spans="1:4">
      <c r="A6" s="615" cm="1">
        <f t="array" aca="1" ref="A6" ca="1">IFERROR(SUM((Standard!$G$4:$G$247='List of materials_st'!B6)*Standard!$M$4:$M$247),0)</f>
        <v>254.92230663817287</v>
      </c>
      <c r="B6" s="624" t="str">
        <f t="array" ref="B6">INDEX(Standard!G9:G250,MATCH(0,COUNTIF($B$2:B5,Standard!G9:G250),0))</f>
        <v>Béton pour bâtiment (sans armature)</v>
      </c>
      <c r="C6" s="422" cm="1">
        <f t="array" ref="C6">IFERROR(SUM((Standard!$G$4:$G$247='List of materials_st'!B6)*Standard!$J$4:$J$247),0)</f>
        <v>1984784.08</v>
      </c>
      <c r="D6" t="str">
        <f>_xlfn.XLOOKUP(B6, 'Baumaterialien Matériaux'!AD:AD, 'Baumaterialien Matériaux'!F:F, "-", 0, 1)</f>
        <v>kg</v>
      </c>
    </row>
    <row r="7" spans="1:4">
      <c r="A7" s="615" cm="1">
        <f t="array" aca="1" ref="A7" ca="1">IFERROR(SUM((Standard!$G$4:$G$247='List of materials_st'!B7)*Standard!$M$4:$M$247),0)</f>
        <v>241.65927822225191</v>
      </c>
      <c r="B7" s="624" t="str">
        <f t="array" ref="B7">INDEX(Standard!G11:G251,MATCH(0,COUNTIF($B$2:B6,Standard!G11:G251),0))</f>
        <v>Acier d'armature</v>
      </c>
      <c r="C7" s="422" cm="1">
        <f t="array" ref="C7">IFERROR(SUM((Standard!$G$4:$G$247='List of materials_st'!B7)*Standard!$J$4:$J$247),0)</f>
        <v>127327.58999999998</v>
      </c>
      <c r="D7" t="str">
        <f>_xlfn.XLOOKUP(B7, 'Baumaterialien Matériaux'!AD:AD, 'Baumaterialien Matériaux'!F:F, "-", 0, 1)</f>
        <v>kg</v>
      </c>
    </row>
    <row r="8" spans="1:4">
      <c r="A8" s="615" cm="1">
        <f t="array" aca="1" ref="A8" ca="1">IFERROR(SUM((Standard!$G$4:$G$247='List of materials_st'!B8)*Standard!$M$4:$M$247),0)</f>
        <v>6.2272566114598629</v>
      </c>
      <c r="B8" s="624" t="str">
        <f t="array" ref="B8">INDEX(Standard!G12:G252,MATCH(0,COUNTIF($B$2:B7,Standard!G12:G252),0))</f>
        <v>Béton maigre (sans armature)</v>
      </c>
      <c r="C8" s="422" cm="1">
        <f t="array" ref="C8">IFERROR(SUM((Standard!$G$4:$G$247='List of materials_st'!B8)*Standard!$J$4:$J$247),0)</f>
        <v>88806.61</v>
      </c>
      <c r="D8" t="str">
        <f>_xlfn.XLOOKUP(B8, 'Baumaterialien Matériaux'!AD:AD, 'Baumaterialien Matériaux'!F:F, "-", 0, 1)</f>
        <v>kg</v>
      </c>
    </row>
    <row r="9" spans="1:4">
      <c r="A9" s="615" cm="1">
        <f t="array" aca="1" ref="A9" ca="1">IFERROR(SUM((Standard!$G$4:$G$247='List of materials_st'!B9)*Standard!$M$4:$M$247),0)</f>
        <v>4.6883153020791593</v>
      </c>
      <c r="B9" s="624" t="str">
        <f t="array" ref="B9">INDEX(Standard!G13:G253,MATCH(0,COUNTIF($B$2:B8,Standard!G13:G253),0))</f>
        <v>Gravier rond</v>
      </c>
      <c r="C9" s="422" cm="1">
        <f t="array" ref="C9">IFERROR(SUM((Standard!$G$4:$G$247='List of materials_st'!B9)*Standard!$J$4:$J$247),0)</f>
        <v>265250</v>
      </c>
      <c r="D9" t="str">
        <f>_xlfn.XLOOKUP(B9, 'Baumaterialien Matériaux'!AD:AD, 'Baumaterialien Matériaux'!F:F, "-", 0, 1)</f>
        <v>kg</v>
      </c>
    </row>
    <row r="10" spans="1:4">
      <c r="A10" s="615" cm="1">
        <f t="array" aca="1" ref="A10" ca="1">IFERROR(SUM((Standard!$G$4:$G$247='List of materials_st'!B10)*Standard!$M$4:$M$247),0)</f>
        <v>5.3531491919326832</v>
      </c>
      <c r="B10" s="624" t="str">
        <f t="array" ref="B10">INDEX(Standard!G14:G254,MATCH(0,COUNTIF($B$2:B9,Standard!G14:G254),0))</f>
        <v>Polystyrène extrudé (XPS)</v>
      </c>
      <c r="C10" s="422" cm="1">
        <f t="array" ref="C10">IFERROR(SUM((Standard!$G$4:$G$247='List of materials_st'!B10)*Standard!$J$4:$J$247),0)</f>
        <v>334.22399999999999</v>
      </c>
      <c r="D10" t="str">
        <f>_xlfn.XLOOKUP(B10, 'Baumaterialien Matériaux'!AD:AD, 'Baumaterialien Matériaux'!F:F, "-", 0, 1)</f>
        <v>kg</v>
      </c>
    </row>
    <row r="11" spans="1:4">
      <c r="A11" s="615" cm="1">
        <f t="array" aca="1" ref="A11" ca="1">IFERROR(SUM((Standard!$G$4:$G$247='List of materials_st'!B11)*Standard!$M$4:$M$247),0)</f>
        <v>2.9884896420462135</v>
      </c>
      <c r="B11" s="624" t="str">
        <f t="array" ref="B11">INDEX(Standard!G15:G255,MATCH(0,COUNTIF($B$2:B10,Standard!G15:G255),0))</f>
        <v>Feuille de polyéthylène (PE)</v>
      </c>
      <c r="C11" s="422" cm="1">
        <f t="array" ref="C11">IFERROR(SUM((Standard!$G$4:$G$247='List of materials_st'!B11)*Standard!$J$4:$J$247),0)</f>
        <v>305.67070000000007</v>
      </c>
      <c r="D11" t="str">
        <f>_xlfn.XLOOKUP(B11, 'Baumaterialien Matériaux'!AD:AD, 'Baumaterialien Matériaux'!F:F, "-", 0, 1)</f>
        <v>kg</v>
      </c>
    </row>
    <row r="12" spans="1:4">
      <c r="A12" s="615" cm="1">
        <f t="array" aca="1" ref="A12" ca="1">IFERROR(SUM((Standard!$G$4:$G$247='List of materials_st'!B12)*Standard!$M$4:$M$247),0)</f>
        <v>1.4557567335381327</v>
      </c>
      <c r="B12" s="624" t="str">
        <f t="array" ref="B12">INDEX(Standard!G16:G256,MATCH(0,COUNTIF($B$2:B11,Standard!G16:G256),0))</f>
        <v>Laine de verre</v>
      </c>
      <c r="C12" s="422" cm="1">
        <f t="array" ref="C12">IFERROR(SUM((Standard!$G$4:$G$247='List of materials_st'!B12)*Standard!$J$4:$J$247),0)</f>
        <v>525.45839999999998</v>
      </c>
      <c r="D12" t="str">
        <f>_xlfn.XLOOKUP(B12, 'Baumaterialien Matériaux'!AD:AD, 'Baumaterialien Matériaux'!F:F, "-", 0, 1)</f>
        <v>kg</v>
      </c>
    </row>
    <row r="13" spans="1:4">
      <c r="A13" s="615" cm="1">
        <f t="array" aca="1" ref="A13" ca="1">IFERROR(SUM((Standard!$G$4:$G$247='List of materials_st'!B13)*Standard!$M$4:$M$247),0)</f>
        <v>1.736860578335782</v>
      </c>
      <c r="B13" s="624" t="str">
        <f t="array" ref="B13">INDEX(Standard!G17:G257,MATCH(0,COUNTIF($B$2:B12,Standard!G17:G257),0))</f>
        <v>Sable</v>
      </c>
      <c r="C13" s="422" cm="1">
        <f t="array" ref="C13">IFERROR(SUM((Standard!$G$4:$G$247='List of materials_st'!B13)*Standard!$J$4:$J$247),0)</f>
        <v>68551.100000000006</v>
      </c>
      <c r="D13" t="str">
        <f>_xlfn.XLOOKUP(B13, 'Baumaterialien Matériaux'!AD:AD, 'Baumaterialien Matériaux'!F:F, "-", 0, 1)</f>
        <v>kg</v>
      </c>
    </row>
    <row r="14" spans="1:4">
      <c r="A14" s="615" cm="1">
        <f t="array" aca="1" ref="A14" ca="1">IFERROR(SUM((Standard!$G$4:$G$247='List of materials_st'!B14)*Standard!$M$4:$M$247),0)</f>
        <v>19.835487471172254</v>
      </c>
      <c r="B14" s="624" t="str">
        <f t="array" ref="B14">INDEX(Standard!G19:G258,MATCH(0,COUNTIF($B$2:B13,Standard!G19:G258),0))</f>
        <v>Lé d'étanchéité bitumineux</v>
      </c>
      <c r="C14" s="422" cm="1">
        <f t="array" ref="C14">IFERROR(SUM((Standard!$G$4:$G$247='List of materials_st'!B14)*Standard!$J$4:$J$247),0)</f>
        <v>3227.4528</v>
      </c>
      <c r="D14" t="str">
        <f>_xlfn.XLOOKUP(B14, 'Baumaterialien Matériaux'!AD:AD, 'Baumaterialien Matériaux'!F:F, "-", 0, 1)</f>
        <v>kg</v>
      </c>
    </row>
    <row r="15" spans="1:4">
      <c r="A15" s="615" cm="1">
        <f t="array" aca="1" ref="A15" ca="1">IFERROR(SUM((Standard!$G$4:$G$247='List of materials_st'!B15)*Standard!$M$4:$M$247),0)</f>
        <v>18.58189404968612</v>
      </c>
      <c r="B15" s="624" t="str">
        <f t="array" ref="B15">INDEX(Standard!G20:G259,MATCH(0,COUNTIF($B$2:B14,Standard!G20:G259),0))</f>
        <v>Plaque de plâtre cartonnée</v>
      </c>
      <c r="C15" s="422" cm="1">
        <f t="array" ref="C15">IFERROR(SUM((Standard!$G$4:$G$247='List of materials_st'!B15)*Standard!$J$4:$J$247),0)</f>
        <v>21326.924999999999</v>
      </c>
      <c r="D15" t="str">
        <f>_xlfn.XLOOKUP(B15, 'Baumaterialien Matériaux'!AD:AD, 'Baumaterialien Matériaux'!F:F, "-", 0, 1)</f>
        <v>kg</v>
      </c>
    </row>
    <row r="16" spans="1:4">
      <c r="A16" s="615" cm="1">
        <f t="array" aca="1" ref="A16" ca="1">IFERROR(SUM((Standard!$G$4:$G$247='List of materials_st'!B16)*Standard!$M$4:$M$247),0)</f>
        <v>9.6344446148323755</v>
      </c>
      <c r="B16" s="624" t="str">
        <f t="array" ref="B16">INDEX(Standard!G21:G260,MATCH(0,COUNTIF($B$2:B15,Standard!G21:G260),0))</f>
        <v>Enduit de ciment</v>
      </c>
      <c r="C16" s="422" cm="1">
        <f t="array" ref="C16">IFERROR(SUM((Standard!$G$4:$G$247='List of materials_st'!B16)*Standard!$J$4:$J$247),0)</f>
        <v>14022.307499999999</v>
      </c>
      <c r="D16" t="str">
        <f>_xlfn.XLOOKUP(B16, 'Baumaterialien Matériaux'!AD:AD, 'Baumaterialien Matériaux'!F:F, "-", 0, 1)</f>
        <v>kg</v>
      </c>
    </row>
    <row r="17" spans="1:4">
      <c r="A17" s="615" cm="1">
        <f t="array" aca="1" ref="A17" ca="1">IFERROR(SUM((Standard!$G$4:$G$247='List of materials_st'!B17)*Standard!$M$4:$M$247),0)</f>
        <v>100.80896834513156</v>
      </c>
      <c r="B17" s="624" t="str">
        <f t="array" ref="B17">INDEX(Standard!G22:G261,MATCH(0,COUNTIF($B$2:B16,Standard!G22:G261),0))</f>
        <v>Polystyrène expansé (EPS)</v>
      </c>
      <c r="C17" s="422" cm="1">
        <f t="array" ref="C17">IFERROR(SUM((Standard!$G$4:$G$247='List of materials_st'!B17)*Standard!$J$4:$J$247),0)</f>
        <v>5268.808</v>
      </c>
      <c r="D17" t="str">
        <f>_xlfn.XLOOKUP(B17, 'Baumaterialien Matériaux'!AD:AD, 'Baumaterialien Matériaux'!F:F, "-", 0, 1)</f>
        <v>kg</v>
      </c>
    </row>
    <row r="18" spans="1:4">
      <c r="A18" s="615" cm="1">
        <f t="array" aca="1" ref="A18" ca="1">IFERROR(SUM((Standard!$G$4:$G$247='List of materials_st'!B18)*Standard!$M$4:$M$247),0)</f>
        <v>31.697822893014553</v>
      </c>
      <c r="B18" s="624" t="str">
        <f t="array" ref="B18">INDEX(Standard!G23:G262,MATCH(0,COUNTIF($B$2:B17,Standard!G23:G262),0))</f>
        <v>Cadre en matière synthétique (PVC) 2</v>
      </c>
      <c r="C18" s="422" cm="1">
        <f t="array" ref="C18">IFERROR(SUM((Standard!$G$4:$G$247='List of materials_st'!B18)*Standard!$J$4:$J$247),0)</f>
        <v>134.07999999999998</v>
      </c>
      <c r="D18" t="str">
        <f>_xlfn.XLOOKUP(B18, 'Baumaterialien Matériaux'!AD:AD, 'Baumaterialien Matériaux'!F:F, "-", 0, 1)</f>
        <v>m2</v>
      </c>
    </row>
    <row r="19" spans="1:4">
      <c r="A19" s="615" cm="1">
        <f t="array" aca="1" ref="A19" ca="1">IFERROR(SUM((Standard!$G$4:$G$247='List of materials_st'!B19)*Standard!$M$4:$M$247),0)</f>
        <v>17.707442553759851</v>
      </c>
      <c r="B19" s="624" t="str">
        <f t="array" ref="B19">INDEX(Standard!G24:G263,MATCH(0,COUNTIF($B$2:B18,Standard!G24:G263),0))</f>
        <v>Triple vitrage, U&lt;0.6 W/m2K, épaisseur 40 mm 3</v>
      </c>
      <c r="C19" s="422" cm="1">
        <f t="array" ref="C19">IFERROR(SUM((Standard!$G$4:$G$247='List of materials_st'!B19)*Standard!$J$4:$J$247),0)</f>
        <v>104.58239999999999</v>
      </c>
      <c r="D19" t="str">
        <f>_xlfn.XLOOKUP(B19, 'Baumaterialien Matériaux'!AD:AD, 'Baumaterialien Matériaux'!F:F, "-", 0, 1)</f>
        <v>m2</v>
      </c>
    </row>
    <row r="20" spans="1:4">
      <c r="A20" s="615" cm="1">
        <f t="array" aca="1" ref="A20" ca="1">IFERROR(SUM((Standard!$G$4:$G$247='List of materials_st'!B20)*Standard!$M$4:$M$247),0)</f>
        <v>19.87308668358488</v>
      </c>
      <c r="B20" s="624" t="str">
        <f t="array" ref="B20">INDEX(Standard!G25:G264,MATCH(0,COUNTIF($B$2:B19,Standard!G25:G264),0))</f>
        <v>Protection solaire, stores vénitiens avec moteur 4</v>
      </c>
      <c r="C20" s="422" cm="1">
        <f t="array" ref="C20">IFERROR(SUM((Standard!$G$4:$G$247='List of materials_st'!B20)*Standard!$J$4:$J$247),0)</f>
        <v>117.9</v>
      </c>
      <c r="D20" t="str">
        <f>_xlfn.XLOOKUP(B20, 'Baumaterialien Matériaux'!AD:AD, 'Baumaterialien Matériaux'!F:F, "-", 0, 1)</f>
        <v>m2</v>
      </c>
    </row>
    <row r="21" spans="1:4">
      <c r="A21" s="615" cm="1">
        <f t="array" aca="1" ref="A21" ca="1">IFERROR(SUM((Standard!$G$4:$G$247='List of materials_st'!B21)*Standard!$M$4:$M$247),0)</f>
        <v>9.683571078758737</v>
      </c>
      <c r="B21" s="624" t="str">
        <f t="array" ref="B21">INDEX(Standard!G26:G265,MATCH(0,COUNTIF($B$2:B20,Standard!G26:G265),0))</f>
        <v>Porte intérieure, porte fonctionnelle, bois, cadre en bois</v>
      </c>
      <c r="C21" s="422" cm="1">
        <f t="array" ref="C21">IFERROR(SUM((Standard!$G$4:$G$247='List of materials_st'!B21)*Standard!$J$4:$J$247),0)</f>
        <v>78.14</v>
      </c>
      <c r="D21" t="str">
        <f>_xlfn.XLOOKUP(B21, 'Baumaterialien Matériaux'!AD:AD, 'Baumaterialien Matériaux'!F:F, "-", 0, 1)</f>
        <v>m2</v>
      </c>
    </row>
    <row r="22" spans="1:4">
      <c r="A22" s="615" cm="1">
        <f t="array" aca="1" ref="A22" ca="1">IFERROR(SUM((Standard!$G$4:$G$247='List of materials_st'!B22)*Standard!$M$4:$M$247),0)</f>
        <v>5.7085707819479676</v>
      </c>
      <c r="B22" s="624" t="str">
        <f t="array" ref="B22">INDEX(Standard!G27:G266,MATCH(0,COUNTIF($B$2:B21,Standard!G27:G266),0))</f>
        <v>Portes extérieures aluminium, avec panneau</v>
      </c>
      <c r="C22" s="422" cm="1">
        <f t="array" ref="C22">IFERROR(SUM((Standard!$G$4:$G$247='List of materials_st'!B22)*Standard!$J$4:$J$247),0)</f>
        <v>11.5</v>
      </c>
      <c r="D22" t="str">
        <f>_xlfn.XLOOKUP(B22, 'Baumaterialien Matériaux'!AD:AD, 'Baumaterialien Matériaux'!F:F, "-", 0, 1)</f>
        <v>m2</v>
      </c>
    </row>
    <row r="23" spans="1:4">
      <c r="A23" s="615" cm="1">
        <f t="array" aca="1" ref="A23" ca="1">IFERROR(SUM((Standard!$G$4:$G$247='List of materials_st'!B23)*Standard!$M$4:$M$247),0)</f>
        <v>0.72183984232669951</v>
      </c>
      <c r="B23" s="624" t="str">
        <f t="array" ref="B23">INDEX(Standard!G28:G267,MATCH(0,COUNTIF($B$2:B22,Standard!G28:G267),0))</f>
        <v>Bois massif épicéa / sapin / mélèze, séché en cellule, raboté</v>
      </c>
      <c r="C23" s="422" cm="1">
        <f t="array" ref="C23">IFERROR(SUM((Standard!$G$4:$G$247='List of materials_st'!B23)*Standard!$J$4:$J$247),0)</f>
        <v>1799.1407999999999</v>
      </c>
      <c r="D23" t="str">
        <f>_xlfn.XLOOKUP(B23, 'Baumaterialien Matériaux'!AD:AD, 'Baumaterialien Matériaux'!F:F, "-", 0, 1)</f>
        <v>kg</v>
      </c>
    </row>
    <row r="24" spans="1:4">
      <c r="A24" s="615" cm="1">
        <f t="array" aca="1" ref="A24" ca="1">IFERROR(SUM((Standard!$G$4:$G$247='List of materials_st'!B24)*Standard!$M$4:$M$247),0)</f>
        <v>5.208660010685187</v>
      </c>
      <c r="B24" s="624" t="str">
        <f t="array" ref="B24">INDEX(Standard!G29:G268,MATCH(0,COUNTIF($B$2:B23,Standard!G29:G268),0))</f>
        <v>Lé d'étanchéité polyoléfine (FPO)</v>
      </c>
      <c r="C24" s="422" cm="1">
        <f t="array" ref="C24">IFERROR(SUM((Standard!$G$4:$G$247='List of materials_st'!B24)*Standard!$J$4:$J$247),0)</f>
        <v>362.76499999999999</v>
      </c>
      <c r="D24" t="str">
        <f>_xlfn.XLOOKUP(B24, 'Baumaterialien Matériaux'!AD:AD, 'Baumaterialien Matériaux'!F:F, "-", 0, 1)</f>
        <v>kg</v>
      </c>
    </row>
    <row r="25" spans="1:4">
      <c r="A25" s="615" cm="1">
        <f t="array" aca="1" ref="A25" ca="1">IFERROR(SUM((Standard!$G$4:$G$247='List of materials_st'!B25)*Standard!$M$4:$M$247),0)</f>
        <v>2.3581532656604782</v>
      </c>
      <c r="B25" s="624" t="str">
        <f t="array" ref="B25">INDEX(Standard!G30:G269,MATCH(0,COUNTIF($B$2:B24,Standard!G30:G269),0))</f>
        <v>Voile de polyéthylène (PE)</v>
      </c>
      <c r="C25" s="422" cm="1">
        <f t="array" ref="C25">IFERROR(SUM((Standard!$G$4:$G$247='List of materials_st'!B25)*Standard!$J$4:$J$247),0)</f>
        <v>150.68700000000001</v>
      </c>
      <c r="D25" t="str">
        <f>_xlfn.XLOOKUP(B25, 'Baumaterialien Matériaux'!AD:AD, 'Baumaterialien Matériaux'!F:F, "-", 0, 1)</f>
        <v>kg</v>
      </c>
    </row>
    <row r="26" spans="1:4">
      <c r="A26" s="615" cm="1">
        <f t="array" aca="1" ref="A26" ca="1">IFERROR(SUM((Standard!$G$4:$G$247='List of materials_st'!B26)*Standard!$M$4:$M$247),0)</f>
        <v>0.18566750033391211</v>
      </c>
      <c r="B26" s="624" t="str">
        <f t="array" ref="B26">INDEX(Standard!G31:G270,MATCH(0,COUNTIF($B$2:B25,Standard!G31:G270),0))</f>
        <v>Émulsion de bitume, 1 couche</v>
      </c>
      <c r="C26" s="422" cm="1">
        <f t="array" ref="C26">IFERROR(SUM((Standard!$G$4:$G$247='List of materials_st'!B26)*Standard!$J$4:$J$247),0)</f>
        <v>393.56000000000006</v>
      </c>
      <c r="D26" t="str">
        <f>_xlfn.XLOOKUP(B26, 'Baumaterialien Matériaux'!AD:AD, 'Baumaterialien Matériaux'!F:F, "-", 0, 1)</f>
        <v>m2</v>
      </c>
    </row>
    <row r="27" spans="1:4">
      <c r="A27" s="615" cm="1">
        <f t="array" aca="1" ref="A27" ca="1">IFERROR(SUM((Standard!$G$4:$G$247='List of materials_st'!B27)*Standard!$M$4:$M$247),0)</f>
        <v>1.7131172191799118</v>
      </c>
      <c r="B27" s="624" t="str">
        <f t="array" ref="B27">INDEX(Standard!G32:G271,MATCH(0,COUNTIF($B$2:B26,Standard!G32:G271),0))</f>
        <v>Tôle de cuivre, nue</v>
      </c>
      <c r="C27" s="422" cm="1">
        <f t="array" ref="C27">IFERROR(SUM((Standard!$G$4:$G$247='List of materials_st'!B27)*Standard!$J$4:$J$247),0)</f>
        <v>312.39</v>
      </c>
      <c r="D27" t="str">
        <f>_xlfn.XLOOKUP(B27, 'Baumaterialien Matériaux'!AD:AD, 'Baumaterialien Matériaux'!F:F, "-", 0, 1)</f>
        <v>kg</v>
      </c>
    </row>
    <row r="28" spans="1:4">
      <c r="A28" s="615" cm="1">
        <f t="array" aca="1" ref="A28" ca="1">IFERROR(SUM((Standard!$G$4:$G$247='List of materials_st'!B28)*Standard!$M$4:$M$247),0)</f>
        <v>15.356977731636171</v>
      </c>
      <c r="B28" s="624" t="str">
        <f t="array" ref="B28">INDEX(Standard!G33:G272,MATCH(0,COUNTIF($B$2:B27,Standard!G33:G272),0))</f>
        <v>Tôle d'acier, zinguée</v>
      </c>
      <c r="C28" s="422" cm="1">
        <f t="array" ref="C28">IFERROR(SUM((Standard!$G$4:$G$247='List of materials_st'!B28)*Standard!$J$4:$J$247),0)</f>
        <v>1285.38744</v>
      </c>
      <c r="D28" t="str">
        <f>_xlfn.XLOOKUP(B28, 'Baumaterialien Matériaux'!AD:AD, 'Baumaterialien Matériaux'!F:F, "-", 0, 1)</f>
        <v>kg</v>
      </c>
    </row>
    <row r="29" spans="1:4">
      <c r="A29" s="615" cm="1">
        <f t="array" aca="1" ref="A29" ca="1">IFERROR(SUM((Standard!$G$4:$G$247='List of materials_st'!B29)*Standard!$M$4:$M$247),0)</f>
        <v>38.761406437825563</v>
      </c>
      <c r="B29" s="624" t="str">
        <f t="array" ref="B29">INDEX(Standard!G34:G273,MATCH(0,COUNTIF($B$2:B28,Standard!G34:G273),0))</f>
        <v>Dalle en céramique/grès, 9 mm</v>
      </c>
      <c r="C29" s="422" cm="1">
        <f t="array" ref="C29">IFERROR(SUM((Standard!$G$4:$G$247='List of materials_st'!B29)*Standard!$J$4:$J$247),0)</f>
        <v>739.38</v>
      </c>
      <c r="D29" t="str">
        <f>_xlfn.XLOOKUP(B29, 'Baumaterialien Matériaux'!AD:AD, 'Baumaterialien Matériaux'!F:F, "-", 0, 1)</f>
        <v>m2</v>
      </c>
    </row>
    <row r="30" spans="1:4">
      <c r="A30" s="615" cm="1">
        <f t="array" aca="1" ref="A30" ca="1">IFERROR(SUM((Standard!$G$4:$G$247='List of materials_st'!B30)*Standard!$M$4:$M$247),0)</f>
        <v>31.070710876630606</v>
      </c>
      <c r="B30" s="624" t="str">
        <f t="array" ref="B30">INDEX(Standard!G35:G274,MATCH(0,COUNTIF($B$2:B29,Standard!G35:G274),0))</f>
        <v>Chape de ciment, 85 mm</v>
      </c>
      <c r="C30" s="422" cm="1">
        <f t="array" ref="C30">IFERROR(SUM((Standard!$G$4:$G$247='List of materials_st'!B30)*Standard!$J$4:$J$247),0)</f>
        <v>104865.40000000001</v>
      </c>
      <c r="D30" t="str">
        <f>_xlfn.XLOOKUP(B30, 'Baumaterialien Matériaux'!AD:AD, 'Baumaterialien Matériaux'!F:F, "-", 0, 1)</f>
        <v>kg</v>
      </c>
    </row>
    <row r="31" spans="1:4">
      <c r="A31" s="615" cm="1">
        <f t="array" aca="1" ref="A31" ca="1">IFERROR(SUM((Standard!$G$4:$G$247='List of materials_st'!B31)*Standard!$M$4:$M$247),0)</f>
        <v>24.091418659008944</v>
      </c>
      <c r="B31" s="624" t="str">
        <f t="array" ref="B31">INDEX(Standard!G36:G275,MATCH(0,COUNTIF($B$2:B30,Standard!G36:G275),0))</f>
        <v>Polyuréthane (PUR/PIR)</v>
      </c>
      <c r="C31" s="422" cm="1">
        <f t="array" ref="C31">IFERROR(SUM((Standard!$G$4:$G$247='List of materials_st'!B31)*Standard!$J$4:$J$247),0)</f>
        <v>1289.1419999999998</v>
      </c>
      <c r="D31" t="str">
        <f>_xlfn.XLOOKUP(B31, 'Baumaterialien Matériaux'!AD:AD, 'Baumaterialien Matériaux'!F:F, "-", 0, 1)</f>
        <v>kg</v>
      </c>
    </row>
    <row r="32" spans="1:4">
      <c r="A32" s="615" cm="1">
        <f t="array" aca="1" ref="A32" ca="1">IFERROR(SUM((Standard!$G$4:$G$247='List of materials_st'!B32)*Standard!$M$4:$M$247),0)</f>
        <v>4.9791416232580916</v>
      </c>
      <c r="B32" s="624" t="str">
        <f t="array" ref="B32">INDEX(Standard!G37:G276,MATCH(0,COUNTIF($B$2:B31,Standard!G37:G276),0))</f>
        <v>Parquet, 2 plis, vitrifié d'usine, 11 mm</v>
      </c>
      <c r="C32" s="422" cm="1">
        <f t="array" ref="C32">IFERROR(SUM((Standard!$G$4:$G$247='List of materials_st'!B32)*Standard!$J$4:$J$247),0)</f>
        <v>235</v>
      </c>
      <c r="D32" t="str">
        <f>_xlfn.XLOOKUP(B32, 'Baumaterialien Matériaux'!AD:AD, 'Baumaterialien Matériaux'!F:F, "-", 0, 1)</f>
        <v>m2</v>
      </c>
    </row>
    <row r="33" spans="1:4">
      <c r="A33" s="615" cm="1">
        <f t="array" aca="1" ref="A33" ca="1">IFERROR(SUM((Standard!$G$4:$G$247='List of materials_st'!B33)*Standard!$M$4:$M$247),0)</f>
        <v>9.8248074440140692E-2</v>
      </c>
      <c r="B33" s="624" t="str">
        <f t="array" ref="B33">INDEX(Standard!G38:G277,MATCH(0,COUNTIF($B$2:B32,Standard!G38:G277),0))</f>
        <v>Moquette en fibres naturelles</v>
      </c>
      <c r="C33" s="422" cm="1">
        <f t="array" ref="C33">IFERROR(SUM((Standard!$G$4:$G$247='List of materials_st'!B33)*Standard!$J$4:$J$247),0)</f>
        <v>7</v>
      </c>
      <c r="D33" t="str">
        <f>_xlfn.XLOOKUP(B33, 'Baumaterialien Matériaux'!AD:AD, 'Baumaterialien Matériaux'!F:F, "-", 0, 1)</f>
        <v>m2</v>
      </c>
    </row>
    <row r="34" spans="1:4">
      <c r="A34" s="615" cm="1">
        <f t="array" aca="1" ref="A34" ca="1">IFERROR(SUM((Standard!$G$4:$G$247='List of materials_st'!B34)*Standard!$M$4:$M$247),0)</f>
        <v>0</v>
      </c>
      <c r="B34" s="624" t="str">
        <f t="array" ref="B34">INDEX(Standard!G39:G278,MATCH(0,COUNTIF($B$2:B33,Standard!G39:G278),0))</f>
        <v>Données écobilans dans la construction</v>
      </c>
      <c r="C34" s="422" cm="1">
        <f t="array" ref="C34">IFERROR(SUM((Standard!$G$4:$G$247='List of materials_st'!B34)*Standard!$J$4:$J$247),0)</f>
        <v>0</v>
      </c>
      <c r="D34">
        <f>_xlfn.XLOOKUP(B34, 'Baumaterialien Matériaux'!AD:AD, 'Baumaterialien Matériaux'!F:F, "-", 0, 1)</f>
        <v>0</v>
      </c>
    </row>
    <row r="35" spans="1:4">
      <c r="A35" s="615" cm="1">
        <f t="array" aca="1" ref="A35" ca="1">IFERROR(SUM((Standard!$G$4:$G$247='List of materials_st'!B35)*Standard!$M$4:$M$247),0)</f>
        <v>31.618000000000002</v>
      </c>
      <c r="B35" s="624" t="str">
        <f t="array" ref="B35">INDEX(Standard!G40:G279,MATCH(0,COUNTIF($B$2:B34,Standard!G40:G279),0))</f>
        <v>Installations électriques, habitation</v>
      </c>
      <c r="C35" s="422" cm="1">
        <f t="array" ref="C35">IFERROR(SUM((Standard!$G$4:$G$247='List of materials_st'!B35)*Standard!$J$4:$J$247),0)</f>
        <v>898.44</v>
      </c>
      <c r="D35" t="str">
        <f>_xlfn.XLOOKUP(B35, 'Baumaterialien Matériaux'!AD:AD, 'Baumaterialien Matériaux'!F:F, "-", 0, 1)</f>
        <v>-</v>
      </c>
    </row>
    <row r="36" spans="1:4">
      <c r="A36" s="615" cm="1">
        <f t="array" aca="1" ref="A36" ca="1">IFERROR(SUM((Standard!$G$4:$G$247='List of materials_st'!B36)*Standard!$M$4:$M$247),0)</f>
        <v>59.390454565691641</v>
      </c>
      <c r="B36" s="624" t="str">
        <f t="array" ref="B36">INDEX(Standard!G41:G280,MATCH(0,COUNTIF($B$2:B35,Standard!G41:G280),0))</f>
        <v>Installations photovoltaïques 1</v>
      </c>
      <c r="C36" s="422" cm="1">
        <f t="array" ref="C36">IFERROR(SUM((Standard!$G$4:$G$247='List of materials_st'!B36)*Standard!$J$4:$J$247),0)</f>
        <v>19.180000000000003</v>
      </c>
      <c r="D36" t="str">
        <f>_xlfn.XLOOKUP(B36, 'Baumaterialien Matériaux'!AD:AD, 'Baumaterialien Matériaux'!F:F, "-", 0, 1)</f>
        <v>-</v>
      </c>
    </row>
    <row r="37" spans="1:4">
      <c r="A37" s="615" cm="1">
        <f t="array" aca="1" ref="A37" ca="1">IFERROR(SUM((Standard!$G$4:$G$247='List of materials_st'!B37)*Standard!$M$4:$M$247),0)</f>
        <v>9.3128088687057566</v>
      </c>
      <c r="B37" s="624" t="str">
        <f t="array" ref="B37">INDEX(Standard!G42:G281,MATCH(0,COUNTIF($B$2:B36,Standard!G42:G281),0))</f>
        <v>Pompe à chaleur saumure-eau 7 kW</v>
      </c>
      <c r="C37" s="422" cm="1">
        <f t="array" ref="C37">IFERROR(SUM((Standard!$G$4:$G$247='List of materials_st'!B37)*Standard!$J$4:$J$247),0)</f>
        <v>1</v>
      </c>
      <c r="D37" t="str">
        <f>_xlfn.XLOOKUP(B37, 'Baumaterialien Matériaux'!AD:AD, 'Baumaterialien Matériaux'!F:F, "-", 0, 1)</f>
        <v>-</v>
      </c>
    </row>
    <row r="38" spans="1:4">
      <c r="A38" s="615" cm="1">
        <f t="array" aca="1" ref="A38" ca="1">IFERROR(SUM((Standard!$G$4:$G$247='List of materials_st'!B38)*Standard!$M$4:$M$247),0)</f>
        <v>8.5920000000000005</v>
      </c>
      <c r="B38" s="624" t="str">
        <f t="array" ref="B38">INDEX(Standard!G44:G282,MATCH(0,COUNTIF($B$2:B37,Standard!G44:G282),0))</f>
        <v>Distribution de chaleur, bâtiment d'habitation</v>
      </c>
      <c r="C38" s="422" cm="1">
        <f t="array" ref="C38">IFERROR(SUM((Standard!$G$4:$G$247='List of materials_st'!B38)*Standard!$J$4:$J$247),0)</f>
        <v>898.44</v>
      </c>
      <c r="D38" t="str">
        <f>_xlfn.XLOOKUP(B38, 'Baumaterialien Matériaux'!AD:AD, 'Baumaterialien Matériaux'!F:F, "-", 0, 1)</f>
        <v>-</v>
      </c>
    </row>
    <row r="39" spans="1:4">
      <c r="A39" s="615" cm="1">
        <f t="array" aca="1" ref="A39" ca="1">IFERROR(SUM((Standard!$G$4:$G$247='List of materials_st'!B39)*Standard!$M$4:$M$247),0)</f>
        <v>11.931999999999999</v>
      </c>
      <c r="B39" s="624" t="str">
        <f t="array" ref="B39">INDEX(Standard!G45:G283,MATCH(0,COUNTIF($B$2:B38,Standard!G45:G283),0))</f>
        <v>Diffusion de chaleur par le biais du chauffage au sol</v>
      </c>
      <c r="C39" s="422" cm="1">
        <f t="array" ref="C39">IFERROR(SUM((Standard!$G$4:$G$247='List of materials_st'!B39)*Standard!$J$4:$J$247),0)</f>
        <v>898.44</v>
      </c>
      <c r="D39" t="str">
        <f>_xlfn.XLOOKUP(B39, 'Baumaterialien Matériaux'!AD:AD, 'Baumaterialien Matériaux'!F:F, "-", 0, 1)</f>
        <v>-</v>
      </c>
    </row>
    <row r="40" spans="1:4">
      <c r="A40" s="615" cm="1">
        <f t="array" aca="1" ref="A40" ca="1">IFERROR(SUM((Standard!$G$4:$G$247='List of materials_st'!B40)*Standard!$M$4:$M$247),0)</f>
        <v>29.479097101642843</v>
      </c>
      <c r="B40" s="624" t="str">
        <f t="array" ref="B40">INDEX(Standard!G46:G284,MATCH(0,COUNTIF($B$2:B39,Standard!G46:G284),0))</f>
        <v>Sondes géothermiques, pour la pompe à chaleur saumure-eau</v>
      </c>
      <c r="C40" s="422" cm="1">
        <f t="array" ref="C40">IFERROR(SUM((Standard!$G$4:$G$247='List of materials_st'!B40)*Standard!$J$4:$J$247),0)</f>
        <v>560</v>
      </c>
      <c r="D40" t="str">
        <f>_xlfn.XLOOKUP(B40, 'Baumaterialien Matériaux'!AD:AD, 'Baumaterialien Matériaux'!F:F, "-", 0, 1)</f>
        <v>-</v>
      </c>
    </row>
    <row r="41" spans="1:4">
      <c r="A41" s="615" cm="1">
        <f t="array" aca="1" ref="A41" ca="1">IFERROR(SUM((Standard!$G$4:$G$247='List of materials_st'!B41)*Standard!$M$4:$M$247),0)</f>
        <v>0</v>
      </c>
      <c r="B41" s="624" t="str">
        <f t="array" ref="B41">INDEX(Standard!G47:G285,MATCH(0,COUNTIF($B$2:B40,Standard!G47:G285),0))</f>
        <v>Collecteurs solaires plan, eau chaude immeuble locatif</v>
      </c>
      <c r="C41" s="422" cm="1">
        <f t="array" ref="C41">IFERROR(SUM((Standard!$G$4:$G$247='List of materials_st'!B41)*Standard!$J$4:$J$247),0)</f>
        <v>0</v>
      </c>
      <c r="D41" t="str">
        <f>_xlfn.XLOOKUP(B41, 'Baumaterialien Matériaux'!AD:AD, 'Baumaterialien Matériaux'!F:F, "-", 0, 1)</f>
        <v>-</v>
      </c>
    </row>
    <row r="42" spans="1:4">
      <c r="A42" s="615" cm="1">
        <f t="array" aca="1" ref="A42" ca="1">IFERROR(SUM((Standard!$G$4:$G$247='List of materials_st'!B42)*Standard!$M$4:$M$247),0)</f>
        <v>9.4019999999999992</v>
      </c>
      <c r="B42" s="624" t="str">
        <f t="array" ref="B42">INDEX(Standard!G48:G286,MATCH(0,COUNTIF($B$2:B41,Standard!G48:G286),0))</f>
        <v>Évacuation d'air cuisine et salle de bain</v>
      </c>
      <c r="C42" s="422" cm="1">
        <f t="array" ref="C42">IFERROR(SUM((Standard!$G$4:$G$247='List of materials_st'!B42)*Standard!$J$4:$J$247),0)</f>
        <v>898.44</v>
      </c>
      <c r="D42" t="str">
        <f>_xlfn.XLOOKUP(B42, 'Baumaterialien Matériaux'!AD:AD, 'Baumaterialien Matériaux'!F:F, "-", 0, 1)</f>
        <v>-</v>
      </c>
    </row>
    <row r="43" spans="1:4">
      <c r="A43" s="615" cm="1">
        <f t="array" aca="1" ref="A43" ca="1">IFERROR(SUM((Standard!$G$4:$G$247='List of materials_st'!B43)*Standard!$M$4:$M$247),0)</f>
        <v>36.476000000000006</v>
      </c>
      <c r="B43" s="624" t="str">
        <f t="array" ref="B43">INDEX(Standard!G49:G287,MATCH(0,COUNTIF($B$2:B42,Standard!G49:G287),0))</f>
        <v xml:space="preserve">Ventilation habitation, canaux en tôle, évacuation d'air (cuisine) </v>
      </c>
      <c r="C43" s="422" cm="1">
        <f t="array" ref="C43">IFERROR(SUM((Standard!$G$4:$G$247='List of materials_st'!B43)*Standard!$J$4:$J$247),0)</f>
        <v>898.44</v>
      </c>
      <c r="D43" t="str">
        <f>_xlfn.XLOOKUP(B43, 'Baumaterialien Matériaux'!AD:AD, 'Baumaterialien Matériaux'!F:F, "-", 0, 1)</f>
        <v>-</v>
      </c>
    </row>
    <row r="44" spans="1:4">
      <c r="A44" s="615" cm="1">
        <f t="array" aca="1" ref="A44" ca="1">IFERROR(SUM((Standard!$G$4:$G$247='List of materials_st'!B44)*Standard!$M$4:$M$247),0)</f>
        <v>31.68</v>
      </c>
      <c r="B44" s="624" t="str">
        <f t="array" ref="B44">INDEX(Standard!G50:G288,MATCH(0,COUNTIF($B$2:B43,Standard!G50:G288),0))</f>
        <v>Habitation, appareils et conduites compris</v>
      </c>
      <c r="C44" s="422" cm="1">
        <f t="array" ref="C44">IFERROR(SUM((Standard!$G$4:$G$247='List of materials_st'!B44)*Standard!$J$4:$J$247),0)</f>
        <v>898.44</v>
      </c>
      <c r="D44" t="str">
        <f>_xlfn.XLOOKUP(B44, 'Baumaterialien Matériaux'!AD:AD, 'Baumaterialien Matériaux'!F:F, "-", 0, 1)</f>
        <v>-</v>
      </c>
    </row>
    <row r="45" spans="1:4">
      <c r="B45" s="624" t="str">
        <f t="array" ref="B45">INDEX(Standard!G51:G289,MATCH(0,COUNTIF($B$2:B44,Standard!G51:G289),0))</f>
        <v>Profil en acier, nu</v>
      </c>
      <c r="C45" s="422" cm="1">
        <f t="array" ref="C45">IFERROR(SUM((Standard!$G$4:$G$247='List of materials_st'!B45)*Standard!$J$4:$J$247),0)</f>
        <v>0</v>
      </c>
      <c r="D45" t="str">
        <f>_xlfn.XLOOKUP(B45, 'Baumaterialien Matériaux'!AD:AD, 'Baumaterialien Matériaux'!F:F, "-", 0, 1)</f>
        <v>kg</v>
      </c>
    </row>
    <row r="46" spans="1:4">
      <c r="B46" s="624" t="e">
        <f t="array" ref="B46">INDEX(Standard!G52:G290,MATCH(0,COUNTIF($B$2:B45,Standard!G52:G290),0))</f>
        <v>#N/A</v>
      </c>
      <c r="C46" s="422" cm="1">
        <f t="array" ref="C46">IFERROR(SUM((Standard!$G$4:$G$247='List of materials_st'!B46)*Standard!$J$4:$J$247),0)</f>
        <v>0</v>
      </c>
      <c r="D46" t="e">
        <f>_xlfn.XLOOKUP(B46, 'Baumaterialien Matériaux'!AD:AD, 'Baumaterialien Matériaux'!F:F, "-", 0, 1)</f>
        <v>#N/A</v>
      </c>
    </row>
    <row r="47" spans="1:4">
      <c r="B47" s="624" t="e">
        <f t="array" ref="B47">INDEX(Standard!G53:G291,MATCH(0,COUNTIF($B$2:B46,Standard!G53:G291),0))</f>
        <v>#N/A</v>
      </c>
      <c r="D47" t="e">
        <f>_xlfn.XLOOKUP(B47, 'Baumaterialien Matériaux'!AD:AD, 'Baumaterialien Matériaux'!F:F, "-", 0, 1)</f>
        <v>#N/A</v>
      </c>
    </row>
    <row r="48" spans="1:4">
      <c r="B48">
        <v>0</v>
      </c>
    </row>
    <row r="49" spans="1:2">
      <c r="A49" s="615" cm="1">
        <f t="array" aca="1" ref="A49" ca="1">IFERROR(SUM((Standard!$AM$4:$AM$247='List of materials_st'!B49)*Standard!$M$4:$M$247),0)</f>
        <v>521.50431876408004</v>
      </c>
      <c r="B49" t="str" cm="1">
        <f t="array" ref="B49">INDEX(Standard!AM6:AM248,MATCH(0,COUNTIF($B$47:B48,Standard!AM6:AM248),0))</f>
        <v>Structure</v>
      </c>
    </row>
    <row r="50" spans="1:2">
      <c r="A50" s="615" cm="1">
        <f t="array" aca="1" ref="A50" ca="1">IFERROR(SUM((Standard!$AM$4:$AM$247='List of materials_st'!B50)*Standard!$M$4:$M$247),0)</f>
        <v>231.19340461603943</v>
      </c>
      <c r="B50" t="str" cm="1">
        <f t="array" ref="B50">INDEX(Standard!AM7:AM249,MATCH(0,COUNTIF($B$47:B49,Standard!AM7:AM249),0))</f>
        <v>Revêtement</v>
      </c>
    </row>
    <row r="51" spans="1:2">
      <c r="A51" s="615" cm="1">
        <f t="array" aca="1" ref="A51" ca="1">IFERROR(SUM((Standard!$AM$4:$AM$247='List of materials_st'!B51)*Standard!$M$4:$M$247),0)</f>
        <v>126.30030456043808</v>
      </c>
      <c r="B51" t="str" cm="1">
        <f t="array" aca="1" ref="B51" ca="1">INDEX(Standard!AM8:AM250,MATCH(0,COUNTIF($B$47:B50,Standard!AM8:AM250),0))</f>
        <v>Insulation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2567-E3B1-4DBB-A885-62952C4D161A}">
  <sheetPr>
    <pageSetUpPr autoPageBreaks="0"/>
  </sheetPr>
  <dimension ref="B1:J49"/>
  <sheetViews>
    <sheetView topLeftCell="B3" zoomScale="85" zoomScaleNormal="85" workbookViewId="0">
      <selection activeCell="J3" sqref="J3"/>
    </sheetView>
  </sheetViews>
  <sheetFormatPr baseColWidth="10" defaultColWidth="11.25" defaultRowHeight="15.75" outlineLevelCol="1"/>
  <cols>
    <col min="1" max="1" width="11.25" style="410"/>
    <col min="2" max="2" width="29" style="410" bestFit="1" customWidth="1"/>
    <col min="3" max="3" width="14.375" style="410" bestFit="1" customWidth="1"/>
    <col min="4" max="4" width="34" style="410" bestFit="1" customWidth="1"/>
    <col min="5" max="5" width="41.375" style="410" bestFit="1" customWidth="1"/>
    <col min="6" max="7" width="41.375" style="410" customWidth="1" outlineLevel="1"/>
    <col min="8" max="8" width="11" style="410" customWidth="1"/>
    <col min="9" max="9" width="5.125" style="410" customWidth="1"/>
    <col min="10" max="10" width="11.25" style="410" customWidth="1"/>
    <col min="11" max="16384" width="11.25" style="410"/>
  </cols>
  <sheetData>
    <row r="1" spans="2:10" ht="16.5" thickBot="1">
      <c r="J1" s="410" t="s">
        <v>203</v>
      </c>
    </row>
    <row r="2" spans="2:10" ht="60">
      <c r="B2" s="818" t="s">
        <v>82</v>
      </c>
      <c r="C2" s="818" t="s">
        <v>204</v>
      </c>
      <c r="D2" s="627" t="s">
        <v>84</v>
      </c>
      <c r="E2" s="631" t="s">
        <v>205</v>
      </c>
      <c r="F2" s="628" t="s">
        <v>206</v>
      </c>
      <c r="G2" s="819" t="s">
        <v>207</v>
      </c>
      <c r="H2" s="818" t="s">
        <v>208</v>
      </c>
      <c r="I2" s="495" t="s">
        <v>89</v>
      </c>
      <c r="J2" s="496" t="s">
        <v>90</v>
      </c>
    </row>
    <row r="3" spans="2:10">
      <c r="B3" s="1120" t="s">
        <v>209</v>
      </c>
      <c r="C3" s="1127" t="s">
        <v>17</v>
      </c>
      <c r="D3" s="463" t="s">
        <v>192</v>
      </c>
      <c r="E3" s="632"/>
      <c r="F3" s="629"/>
      <c r="G3" s="473"/>
      <c r="H3" s="468"/>
      <c r="I3" s="462"/>
      <c r="J3" s="820"/>
    </row>
    <row r="4" spans="2:10">
      <c r="B4" s="1121"/>
      <c r="C4" s="1128"/>
      <c r="D4" s="459" t="s">
        <v>97</v>
      </c>
      <c r="E4" s="633"/>
      <c r="F4" s="630"/>
      <c r="G4" s="479"/>
      <c r="H4" s="821" t="s">
        <v>210</v>
      </c>
      <c r="I4" s="459" t="s">
        <v>98</v>
      </c>
      <c r="J4" s="477">
        <f>(Graphes_Background!C5*Imprimer!D4*Inputs!C10)+((Graphes_Background!C5*Imprimer!D4*Inputs!C10)*20%)+(J6*0.5)</f>
        <v>2802.8</v>
      </c>
    </row>
    <row r="5" spans="2:10">
      <c r="B5" s="1121"/>
      <c r="C5" s="1128"/>
      <c r="D5" s="459" t="s">
        <v>99</v>
      </c>
      <c r="E5" s="633" t="str">
        <f>IF(G5=0, F5, G5)</f>
        <v>Blindage de fouille, paroi berlinoise, étayé</v>
      </c>
      <c r="F5" s="630" t="str">
        <f>IF(Inputs!I5=Graphes_Background!H4, 'Calcul ACV'!C6, 0)</f>
        <v>Blindage de fouille, paroi berlinoise, étayé</v>
      </c>
      <c r="G5" s="478"/>
      <c r="H5" s="821" t="s">
        <v>211</v>
      </c>
      <c r="I5" s="459" t="s">
        <v>39</v>
      </c>
      <c r="J5" s="477">
        <f>(SQRT(Graphes_Background!C5)*4*Inputs!C10*Imprimer!D4)+((SQRT(Graphes_Background!C5)*4*Inputs!C10*Imprimer!D4)*20%)</f>
        <v>549.46898001616069</v>
      </c>
    </row>
    <row r="6" spans="2:10">
      <c r="B6" s="1126"/>
      <c r="C6" s="1128"/>
      <c r="D6" s="459" t="s">
        <v>100</v>
      </c>
      <c r="E6" s="633" t="str">
        <f>IF(G6=0, F6, G6)</f>
        <v>Fondations profondes, pieu en béton préfabriqué</v>
      </c>
      <c r="F6" s="630" t="str">
        <f>IF(Inputs!I6=Graphes_Background!I5, 'Calcul ACV'!C11, 0)</f>
        <v>Fondations profondes, pieu en béton préfabriqué</v>
      </c>
      <c r="G6" s="478"/>
      <c r="H6" s="816" t="s">
        <v>212</v>
      </c>
      <c r="I6" s="459" t="s">
        <v>39</v>
      </c>
      <c r="J6" s="477">
        <f>IF(Inputs!C10=0, Graphes_Background!C3, Graphes_Background!C5)</f>
        <v>364</v>
      </c>
    </row>
    <row r="7" spans="2:10">
      <c r="B7" s="1120" t="s">
        <v>213</v>
      </c>
      <c r="C7" s="1127" t="s">
        <v>102</v>
      </c>
      <c r="D7" s="463" t="s">
        <v>194</v>
      </c>
      <c r="E7" s="632"/>
      <c r="F7" s="629"/>
      <c r="G7" s="473"/>
      <c r="H7" s="468"/>
      <c r="I7" s="463"/>
      <c r="J7" s="822"/>
    </row>
    <row r="8" spans="2:10">
      <c r="B8" s="1121"/>
      <c r="C8" s="1129"/>
      <c r="D8" s="459"/>
      <c r="E8" s="633" t="str">
        <f>IF(G8=0, F8, G8)</f>
        <v>non-isolés</v>
      </c>
      <c r="F8" s="630" t="str">
        <f>Inputs!$I$7</f>
        <v>non-isolés</v>
      </c>
      <c r="G8" s="478"/>
      <c r="H8" s="821" t="s">
        <v>211</v>
      </c>
      <c r="I8" s="459" t="s">
        <v>39</v>
      </c>
      <c r="J8" s="477">
        <f>IF(Inputs!C10=0, 0, Graphes_Background!C5)</f>
        <v>364</v>
      </c>
    </row>
    <row r="9" spans="2:10">
      <c r="B9" s="1121"/>
      <c r="C9" s="1127" t="s">
        <v>108</v>
      </c>
      <c r="D9" s="463" t="s">
        <v>109</v>
      </c>
      <c r="E9" s="632"/>
      <c r="F9" s="629"/>
      <c r="G9" s="473"/>
      <c r="H9" s="468"/>
      <c r="I9" s="463"/>
      <c r="J9" s="822"/>
    </row>
    <row r="10" spans="2:10">
      <c r="B10" s="1121"/>
      <c r="C10" s="1129"/>
      <c r="D10" s="459"/>
      <c r="E10" s="633" t="str">
        <f>IF(G10=0, F10, G10)</f>
        <v>non-isolés</v>
      </c>
      <c r="F10" s="630" t="str">
        <f>Inputs!$I$7</f>
        <v>non-isolés</v>
      </c>
      <c r="G10" s="478"/>
      <c r="H10" s="821" t="s">
        <v>211</v>
      </c>
      <c r="I10" s="459" t="s">
        <v>39</v>
      </c>
      <c r="J10" s="477">
        <f>SQRT(Graphes_Background!C5)*4*Inputs!C10*Imprimer!D4</f>
        <v>457.89081668013387</v>
      </c>
    </row>
    <row r="11" spans="2:10">
      <c r="B11" s="1121"/>
      <c r="C11" s="1127" t="s">
        <v>111</v>
      </c>
      <c r="D11" s="463" t="s">
        <v>112</v>
      </c>
      <c r="E11" s="632"/>
      <c r="F11" s="629"/>
      <c r="G11" s="473"/>
      <c r="H11" s="468"/>
      <c r="I11" s="463"/>
      <c r="J11" s="822"/>
    </row>
    <row r="12" spans="2:10">
      <c r="B12" s="1126"/>
      <c r="C12" s="1129"/>
      <c r="D12" s="459"/>
      <c r="E12" s="633" t="str">
        <f>IF(G12=0, F12, G12)</f>
        <v>non-isolés</v>
      </c>
      <c r="F12" s="630" t="str">
        <f>Inputs!$I$7</f>
        <v>non-isolés</v>
      </c>
      <c r="G12" s="478"/>
      <c r="H12" s="821" t="s">
        <v>211</v>
      </c>
      <c r="I12" s="459" t="s">
        <v>39</v>
      </c>
      <c r="J12" s="477">
        <f>IF((Graphes_Background!C5-BillQuantities!J27)&gt;0,Graphes_Background!C5-BillQuantities!J27, 0)</f>
        <v>0</v>
      </c>
    </row>
    <row r="13" spans="2:10">
      <c r="B13" s="1123" t="s">
        <v>214</v>
      </c>
      <c r="C13" s="1127" t="s">
        <v>114</v>
      </c>
      <c r="D13" s="463" t="s">
        <v>115</v>
      </c>
      <c r="E13" s="632"/>
      <c r="F13" s="629"/>
      <c r="G13" s="473"/>
      <c r="H13" s="468"/>
      <c r="I13" s="463"/>
      <c r="J13" s="822"/>
    </row>
    <row r="14" spans="2:10">
      <c r="B14" s="1123"/>
      <c r="C14" s="1128"/>
      <c r="D14" s="459"/>
      <c r="E14" s="633" t="str">
        <f>IF(G14=0, F14, G14)</f>
        <v>Paroi en béton (avec enduit intérieur)</v>
      </c>
      <c r="F14" s="630" t="str">
        <f>IF(Inputs!$I$10=Graphes_Background!$F$4, 'Calcul ACV'!C25, IF(Inputs!$I$10=Graphes_Background!$F$5, 'Calcul ACV'!C27, 0))</f>
        <v>Paroi en béton (avec enduit intérieur)</v>
      </c>
      <c r="G14" s="478"/>
      <c r="H14" s="821" t="s">
        <v>211</v>
      </c>
      <c r="I14" s="459" t="s">
        <v>39</v>
      </c>
      <c r="J14" s="477">
        <f>Graphes_Background!C6-Graphes_Background!C4</f>
        <v>1019.2</v>
      </c>
    </row>
    <row r="15" spans="2:10">
      <c r="B15" s="1123"/>
      <c r="C15" s="1127" t="s">
        <v>116</v>
      </c>
      <c r="D15" s="463" t="s">
        <v>117</v>
      </c>
      <c r="E15" s="632"/>
      <c r="F15" s="629"/>
      <c r="G15" s="473"/>
      <c r="H15" s="468"/>
      <c r="I15" s="463"/>
      <c r="J15" s="822"/>
    </row>
    <row r="16" spans="2:10">
      <c r="B16" s="1123"/>
      <c r="C16" s="1128"/>
      <c r="D16" s="459"/>
      <c r="E16" s="633" t="str">
        <f>IF(G16=0, F16, G16)</f>
        <v>Isolation thermique extérieure, enduit</v>
      </c>
      <c r="F16" s="630" t="str">
        <f>IF(Inputs!$I$10=Graphes_Background!$F$4, 'Calcul ACV'!C32, IF(Inputs!$I$10=Graphes_Background!$F$5, 'Calcul ACV'!C33, 0))</f>
        <v>Isolation thermique extérieure, enduit</v>
      </c>
      <c r="G16" s="478"/>
      <c r="H16" s="821" t="s">
        <v>211</v>
      </c>
      <c r="I16" s="459" t="s">
        <v>39</v>
      </c>
      <c r="J16" s="477">
        <f>J14</f>
        <v>1019.2</v>
      </c>
    </row>
    <row r="17" spans="2:10">
      <c r="B17" s="1123"/>
      <c r="C17" s="1127" t="s">
        <v>120</v>
      </c>
      <c r="D17" s="463" t="s">
        <v>121</v>
      </c>
      <c r="E17" s="632"/>
      <c r="F17" s="629"/>
      <c r="G17" s="473"/>
      <c r="H17" s="468"/>
      <c r="I17" s="463"/>
      <c r="J17" s="822"/>
    </row>
    <row r="18" spans="2:10">
      <c r="B18" s="1123"/>
      <c r="C18" s="1129"/>
      <c r="D18" s="459"/>
      <c r="E18" s="633" t="str">
        <f>IF(G18=0, F18, G18)</f>
        <v>Valeur moyenne triple vitrage isolant, y c. protection solaire</v>
      </c>
      <c r="F18" s="630" t="str">
        <f>'Calcul ACV'!C39</f>
        <v>Valeur moyenne triple vitrage isolant, y c. protection solaire</v>
      </c>
      <c r="G18" s="479"/>
      <c r="H18" s="821" t="s">
        <v>211</v>
      </c>
      <c r="I18" s="459" t="s">
        <v>39</v>
      </c>
      <c r="J18" s="477">
        <f>Graphes_Background!C4</f>
        <v>436.8</v>
      </c>
    </row>
    <row r="19" spans="2:10">
      <c r="B19" s="1123"/>
      <c r="C19" s="1127" t="s">
        <v>124</v>
      </c>
      <c r="D19" s="463" t="s">
        <v>125</v>
      </c>
      <c r="E19" s="632"/>
      <c r="F19" s="629"/>
      <c r="G19" s="473"/>
      <c r="H19" s="468"/>
      <c r="I19" s="463"/>
      <c r="J19" s="822"/>
    </row>
    <row r="20" spans="2:10">
      <c r="B20" s="1123"/>
      <c r="C20" s="1128"/>
      <c r="D20" s="459"/>
      <c r="E20" s="633" t="str">
        <f>IF(G20=0, F20, G20)</f>
        <v>Dalle en béton 25cm (avec enduit intérieur)</v>
      </c>
      <c r="F20" s="630" t="str">
        <f>IF(Inputs!$I$10=Graphes_Background!$F$4, 'Calcul ACV'!C41, IF(Inputs!$I$10=Graphes_Background!$F$5, 'Calcul ACV'!C44, 0))</f>
        <v>Dalle en béton 25cm (avec enduit intérieur)</v>
      </c>
      <c r="G20" s="478"/>
      <c r="H20" s="821" t="s">
        <v>211</v>
      </c>
      <c r="I20" s="459" t="s">
        <v>39</v>
      </c>
      <c r="J20" s="477">
        <f>Graphes_Background!C3</f>
        <v>364</v>
      </c>
    </row>
    <row r="21" spans="2:10">
      <c r="B21" s="1123"/>
      <c r="C21" s="1127" t="s">
        <v>126</v>
      </c>
      <c r="D21" s="463" t="s">
        <v>127</v>
      </c>
      <c r="E21" s="632"/>
      <c r="F21" s="629"/>
      <c r="G21" s="473"/>
      <c r="H21" s="468"/>
      <c r="I21" s="463"/>
      <c r="J21" s="822"/>
    </row>
    <row r="22" spans="2:10">
      <c r="B22" s="1123"/>
      <c r="C22" s="1128"/>
      <c r="D22" s="459"/>
      <c r="E22" s="633" t="str">
        <f>IF(G22=0, F22, G22)</f>
        <v>Toiture plate isolée</v>
      </c>
      <c r="F22" s="630" t="str">
        <f>IF(Inputs!$I$10=Graphes_Background!$F$4, 'Calcul ACV'!C47, IF(Inputs!$I$10=Graphes_Background!$F$5, 'Calcul ACV'!C49, 0))</f>
        <v>Toiture plate isolée</v>
      </c>
      <c r="G22" s="478"/>
      <c r="H22" s="821" t="s">
        <v>211</v>
      </c>
      <c r="I22" s="459" t="s">
        <v>39</v>
      </c>
      <c r="J22" s="477">
        <f>J20</f>
        <v>364</v>
      </c>
    </row>
    <row r="23" spans="2:10">
      <c r="B23" s="1120" t="s">
        <v>215</v>
      </c>
      <c r="C23" s="1127" t="s">
        <v>132</v>
      </c>
      <c r="D23" s="463" t="s">
        <v>133</v>
      </c>
      <c r="E23" s="632"/>
      <c r="F23" s="629"/>
      <c r="G23" s="473"/>
      <c r="H23" s="468"/>
      <c r="I23" s="463"/>
      <c r="J23" s="822"/>
    </row>
    <row r="24" spans="2:10">
      <c r="B24" s="1121"/>
      <c r="C24" s="1128"/>
      <c r="D24" s="459" t="s">
        <v>134</v>
      </c>
      <c r="E24" s="633" t="str">
        <f>IF(G24=0, F24, G24)</f>
        <v>Porteuse (moyenne) (avec enduit intérieur)</v>
      </c>
      <c r="F24" s="630" t="str">
        <f>'Calcul ACV'!C53</f>
        <v>Porteuse (moyenne) (avec enduit intérieur)</v>
      </c>
      <c r="G24" s="478"/>
      <c r="H24" s="823" t="s">
        <v>211</v>
      </c>
      <c r="I24" s="460" t="s">
        <v>39</v>
      </c>
      <c r="J24" s="824">
        <f>Imprimer!D6*Inputs!C6</f>
        <v>582.4</v>
      </c>
    </row>
    <row r="25" spans="2:10">
      <c r="B25" s="1121"/>
      <c r="C25" s="1128"/>
      <c r="D25" s="459" t="s">
        <v>135</v>
      </c>
      <c r="E25" s="633" t="str">
        <f>IF(G25=0, F25, G25)</f>
        <v>Non porteuse (moyenne) (avec enduit intérieur)</v>
      </c>
      <c r="F25" s="630" t="str">
        <f>'Calcul ACV'!C54</f>
        <v>Non porteuse (moyenne) (avec enduit intérieur)</v>
      </c>
      <c r="G25" s="478"/>
      <c r="H25" s="823" t="s">
        <v>211</v>
      </c>
      <c r="I25" s="460" t="s">
        <v>39</v>
      </c>
      <c r="J25" s="824">
        <f>Imprimer!D7*Inputs!C6</f>
        <v>582.4</v>
      </c>
    </row>
    <row r="26" spans="2:10">
      <c r="B26" s="1121"/>
      <c r="C26" s="1127" t="s">
        <v>136</v>
      </c>
      <c r="D26" s="463" t="s">
        <v>137</v>
      </c>
      <c r="E26" s="632"/>
      <c r="F26" s="629"/>
      <c r="G26" s="473"/>
      <c r="H26" s="468"/>
      <c r="I26" s="463"/>
      <c r="J26" s="822"/>
    </row>
    <row r="27" spans="2:10">
      <c r="B27" s="1121"/>
      <c r="C27" s="1128"/>
      <c r="D27" s="459" t="s">
        <v>138</v>
      </c>
      <c r="E27" s="633" t="str">
        <f>IF(G27=0, F27, G27)</f>
        <v>Dalle en béton 25cm (avec enduit intérieur)</v>
      </c>
      <c r="F27" s="630" t="str">
        <f>IF(Inputs!C10=0, 'Calcul ACV'!C56, IF(Inputs!$I$10=Graphes_Background!$F$4,'Calcul ACV'!C56, IF(Inputs!$I$10=Graphes_Background!$F$5, 'Calcul ACV'!C57, 0)))</f>
        <v>Dalle en béton 25cm (avec enduit intérieur)</v>
      </c>
      <c r="G27" s="478"/>
      <c r="H27" s="821" t="s">
        <v>211</v>
      </c>
      <c r="I27" s="459" t="s">
        <v>39</v>
      </c>
      <c r="J27" s="477">
        <f>Graphes_Background!C3</f>
        <v>364</v>
      </c>
    </row>
    <row r="28" spans="2:10">
      <c r="B28" s="1121"/>
      <c r="C28" s="1128"/>
      <c r="D28" s="459" t="s">
        <v>54</v>
      </c>
      <c r="E28" s="633" t="str">
        <f>IF(G28=0, F28, G28)</f>
        <v>Dalle en béton 25cm (avec enduit intérieur)</v>
      </c>
      <c r="F28" s="630" t="str">
        <f>IF(Inputs!$I$10=Graphes_Background!$F$4,'Calcul ACV'!C56, IF(Inputs!$I$10=Graphes_Background!$F$5, 'Calcul ACV'!C57, 0))</f>
        <v>Dalle en béton 25cm (avec enduit intérieur)</v>
      </c>
      <c r="G28" s="478"/>
      <c r="H28" s="821" t="s">
        <v>211</v>
      </c>
      <c r="I28" s="459" t="s">
        <v>39</v>
      </c>
      <c r="J28" s="477">
        <f>Graphes_Background!C3*(Inputs!C5-1)</f>
        <v>1092</v>
      </c>
    </row>
    <row r="29" spans="2:10">
      <c r="B29" s="1121"/>
      <c r="C29" s="1129"/>
      <c r="D29" s="459" t="s">
        <v>28</v>
      </c>
      <c r="E29" s="633" t="str">
        <f>IF(G29=0, F29, G29)</f>
        <v>Dalle en béton 25cm (avec enduit intérieur)</v>
      </c>
      <c r="F29" s="630" t="str">
        <f>IF(Inputs!$I$10=Graphes_Background!$F$4,'Calcul ACV'!C56, IF(Inputs!$I$10=Graphes_Background!$F$5, 'Calcul ACV'!C57, 0))</f>
        <v>Dalle en béton 25cm (avec enduit intérieur)</v>
      </c>
      <c r="G29" s="478"/>
      <c r="H29" s="821" t="s">
        <v>211</v>
      </c>
      <c r="I29" s="459" t="s">
        <v>39</v>
      </c>
      <c r="J29" s="477">
        <f>IF(Inputs!C10&gt;1, Graphes_Background!C5*(Inputs!C10-1), 0)</f>
        <v>364</v>
      </c>
    </row>
    <row r="30" spans="2:10">
      <c r="B30" s="1121"/>
      <c r="C30" s="1127" t="s">
        <v>139</v>
      </c>
      <c r="D30" s="463" t="s">
        <v>140</v>
      </c>
      <c r="E30" s="632"/>
      <c r="F30" s="629"/>
      <c r="G30" s="473"/>
      <c r="H30" s="468"/>
      <c r="I30" s="463"/>
      <c r="J30" s="822"/>
    </row>
    <row r="31" spans="2:10">
      <c r="B31" s="1121"/>
      <c r="C31" s="1128"/>
      <c r="D31" s="459" t="s">
        <v>138</v>
      </c>
      <c r="E31" s="633" t="str">
        <f>IF(G31=0, F31, G31)</f>
        <v>Supports et revêtement de sol</v>
      </c>
      <c r="F31" s="630" t="str">
        <f>'Calcul ACV'!C69</f>
        <v>Supports et revêtement de sol</v>
      </c>
      <c r="G31" s="478"/>
      <c r="H31" s="821" t="s">
        <v>211</v>
      </c>
      <c r="I31" s="459" t="s">
        <v>39</v>
      </c>
      <c r="J31" s="477">
        <f>IF(Inputs!C10=0, 0, Graphes_Background!C3)</f>
        <v>364</v>
      </c>
    </row>
    <row r="32" spans="2:10">
      <c r="B32" s="1121"/>
      <c r="C32" s="1128"/>
      <c r="D32" s="459" t="s">
        <v>141</v>
      </c>
      <c r="E32" s="633" t="str">
        <f>IF(G32=0, F32, G32)</f>
        <v>Isolation contre non chauffé</v>
      </c>
      <c r="F32" s="630" t="str">
        <f>'Calcul ACV'!C75</f>
        <v>Isolation contre non chauffé</v>
      </c>
      <c r="G32" s="478"/>
      <c r="H32" s="821" t="s">
        <v>211</v>
      </c>
      <c r="I32" s="459" t="s">
        <v>39</v>
      </c>
      <c r="J32" s="477">
        <f>J27</f>
        <v>364</v>
      </c>
    </row>
    <row r="33" spans="2:10">
      <c r="B33" s="1121"/>
      <c r="C33" s="1128"/>
      <c r="D33" s="459" t="s">
        <v>54</v>
      </c>
      <c r="E33" s="633" t="str">
        <f t="shared" ref="E33:E36" si="0">IF(G33=0, F33, G33)</f>
        <v>Supports et revêtement de sol</v>
      </c>
      <c r="F33" s="630" t="str">
        <f>'Calcul ACV'!C74</f>
        <v>Supports et revêtement de sol</v>
      </c>
      <c r="G33" s="478"/>
      <c r="H33" s="821" t="s">
        <v>211</v>
      </c>
      <c r="I33" s="459" t="s">
        <v>39</v>
      </c>
      <c r="J33" s="477">
        <f t="shared" ref="J33:J34" si="1">J28</f>
        <v>1092</v>
      </c>
    </row>
    <row r="34" spans="2:10">
      <c r="B34" s="1121"/>
      <c r="C34" s="1128"/>
      <c r="D34" s="459" t="s">
        <v>28</v>
      </c>
      <c r="E34" s="633" t="str">
        <f t="shared" si="0"/>
        <v>Supports et revêtement de sol</v>
      </c>
      <c r="F34" s="630" t="str">
        <f>'Calcul ACV'!C79</f>
        <v>Supports et revêtement de sol</v>
      </c>
      <c r="G34" s="478"/>
      <c r="H34" s="821" t="s">
        <v>211</v>
      </c>
      <c r="I34" s="459" t="s">
        <v>39</v>
      </c>
      <c r="J34" s="477">
        <f t="shared" si="1"/>
        <v>364</v>
      </c>
    </row>
    <row r="35" spans="2:10">
      <c r="B35" s="1121"/>
      <c r="C35" s="1127" t="s">
        <v>142</v>
      </c>
      <c r="D35" s="463" t="s">
        <v>143</v>
      </c>
      <c r="E35" s="632"/>
      <c r="F35" s="629"/>
      <c r="G35" s="473"/>
      <c r="H35" s="468"/>
      <c r="I35" s="463"/>
      <c r="J35" s="822"/>
    </row>
    <row r="36" spans="2:10">
      <c r="B36" s="1126"/>
      <c r="C36" s="1129"/>
      <c r="D36" s="459" t="s">
        <v>144</v>
      </c>
      <c r="E36" s="633" t="str">
        <f t="shared" si="0"/>
        <v>Balcons y c. dispositifs antichute</v>
      </c>
      <c r="F36" s="630" t="str">
        <f>'Calcul ACV'!C83</f>
        <v>Balcons y c. dispositifs antichute</v>
      </c>
      <c r="G36" s="479"/>
      <c r="H36" s="821" t="s">
        <v>211</v>
      </c>
      <c r="I36" s="459" t="s">
        <v>39</v>
      </c>
      <c r="J36" s="477">
        <f>Imprimer!$D$8*Inputs!C6</f>
        <v>291.2</v>
      </c>
    </row>
    <row r="37" spans="2:10">
      <c r="B37" s="1122" t="s">
        <v>216</v>
      </c>
      <c r="C37" s="1130" t="s">
        <v>146</v>
      </c>
      <c r="D37" s="463" t="s">
        <v>147</v>
      </c>
      <c r="E37" s="632"/>
      <c r="F37" s="629"/>
      <c r="G37" s="473"/>
      <c r="H37" s="468"/>
      <c r="I37" s="463"/>
      <c r="J37" s="822"/>
    </row>
    <row r="38" spans="2:10">
      <c r="B38" s="1122"/>
      <c r="C38" s="1131"/>
      <c r="D38" s="459" t="s">
        <v>147</v>
      </c>
      <c r="E38" s="633" t="str">
        <f>IF(G38=0, F38, G38)</f>
        <v>Habitation</v>
      </c>
      <c r="F38" s="630" t="str">
        <f>IF(Inputs!$C$4=Graphes_Background!$N$4, 'Calcul ACV'!C86, 'Calcul ACV'!C87)</f>
        <v>Habitation</v>
      </c>
      <c r="G38" s="478"/>
      <c r="H38" s="479" t="s">
        <v>217</v>
      </c>
      <c r="I38" s="459" t="s">
        <v>39</v>
      </c>
      <c r="J38" s="477">
        <f>Inputs!$C$6</f>
        <v>1456</v>
      </c>
    </row>
    <row r="39" spans="2:10">
      <c r="B39" s="1122"/>
      <c r="C39" s="1132"/>
      <c r="D39" s="459" t="s">
        <v>149</v>
      </c>
      <c r="E39" s="633" t="str">
        <f>IF(G39=0, F39, G39)</f>
        <v>Installation photovoltaique (1 m2 = 0.14 kWp)</v>
      </c>
      <c r="F39" s="630" t="str">
        <f>'Calcul ACV'!C88</f>
        <v>Installation photovoltaique (1 m2 = 0.14 kWp)</v>
      </c>
      <c r="G39" s="479"/>
      <c r="H39" s="479" t="s">
        <v>218</v>
      </c>
      <c r="I39" s="459" t="s">
        <v>151</v>
      </c>
      <c r="J39" s="477">
        <f>Inputs!N4</f>
        <v>14.000000000000002</v>
      </c>
    </row>
    <row r="40" spans="2:10">
      <c r="B40" s="1122"/>
      <c r="C40" s="1130" t="s">
        <v>152</v>
      </c>
      <c r="D40" s="463" t="s">
        <v>153</v>
      </c>
      <c r="E40" s="632"/>
      <c r="F40" s="629"/>
      <c r="G40" s="473"/>
      <c r="H40" s="468"/>
      <c r="I40" s="463"/>
      <c r="J40" s="822"/>
    </row>
    <row r="41" spans="2:10">
      <c r="B41" s="1122"/>
      <c r="C41" s="1131"/>
      <c r="D41" s="459" t="s">
        <v>154</v>
      </c>
      <c r="E41" s="633" t="str">
        <f>IF(G41=0, F41, G41)</f>
        <v>Production de chaleur</v>
      </c>
      <c r="F41" s="630" t="str">
        <f>'Calcul ACV'!C90</f>
        <v>Production de chaleur</v>
      </c>
      <c r="G41" s="479"/>
      <c r="H41" s="821" t="s">
        <v>217</v>
      </c>
      <c r="I41" s="459" t="s">
        <v>39</v>
      </c>
      <c r="J41" s="477">
        <f>Inputs!$C$6</f>
        <v>1456</v>
      </c>
    </row>
    <row r="42" spans="2:10">
      <c r="B42" s="1122"/>
      <c r="C42" s="1131"/>
      <c r="D42" s="459" t="s">
        <v>156</v>
      </c>
      <c r="E42" s="633" t="str">
        <f>IF(G42=0, F42, G42)</f>
        <v>Distribution et émissions de chaleur habitation</v>
      </c>
      <c r="F42" s="630" t="str">
        <f>IF(Inputs!$C$4=Graphes_Background!$N$4, 'Calcul ACV'!C91,'Calcul ACV'!C92)</f>
        <v>Distribution et émissions de chaleur habitation</v>
      </c>
      <c r="G42" s="478"/>
      <c r="H42" s="479" t="s">
        <v>217</v>
      </c>
      <c r="I42" s="459" t="s">
        <v>39</v>
      </c>
      <c r="J42" s="477">
        <f>Inputs!$C$6</f>
        <v>1456</v>
      </c>
    </row>
    <row r="43" spans="2:10">
      <c r="B43" s="1122"/>
      <c r="C43" s="1131"/>
      <c r="D43" s="459" t="s">
        <v>34</v>
      </c>
      <c r="E43" s="633" t="str">
        <f>IF(G43=0, F43, G43)</f>
        <v>Sondes géothermiques</v>
      </c>
      <c r="F43" s="630" t="str">
        <f>'Calcul ACV'!C93</f>
        <v>Sondes géothermiques</v>
      </c>
      <c r="G43" s="479"/>
      <c r="H43" s="821" t="s">
        <v>217</v>
      </c>
      <c r="I43" s="459" t="s">
        <v>39</v>
      </c>
      <c r="J43" s="477">
        <f>IF(Inputs!M5=Graphes_Background!P4, Inputs!N5, 0)</f>
        <v>0</v>
      </c>
    </row>
    <row r="44" spans="2:10">
      <c r="B44" s="1122"/>
      <c r="C44" s="1132"/>
      <c r="D44" s="459" t="s">
        <v>42</v>
      </c>
      <c r="E44" s="633" t="str">
        <f>IF(G44=0, F44, G44)</f>
        <v>Capteurs solaires</v>
      </c>
      <c r="F44" s="630" t="str">
        <f>'Calcul ACV'!C94</f>
        <v>Capteurs solaires</v>
      </c>
      <c r="G44" s="479"/>
      <c r="H44" s="479" t="s">
        <v>211</v>
      </c>
      <c r="I44" s="459" t="s">
        <v>39</v>
      </c>
      <c r="J44" s="477">
        <f>Inputs!M6</f>
        <v>0</v>
      </c>
    </row>
    <row r="45" spans="2:10">
      <c r="B45" s="1122"/>
      <c r="C45" s="1130" t="s">
        <v>162</v>
      </c>
      <c r="D45" s="463" t="s">
        <v>163</v>
      </c>
      <c r="E45" s="632"/>
      <c r="F45" s="629"/>
      <c r="G45" s="473"/>
      <c r="H45" s="468"/>
      <c r="I45" s="463"/>
      <c r="J45" s="822"/>
    </row>
    <row r="46" spans="2:10">
      <c r="B46" s="1122"/>
      <c r="C46" s="1131"/>
      <c r="D46" s="459" t="s">
        <v>164</v>
      </c>
      <c r="E46" s="633" t="str">
        <f>IF(G46=0, F46, G46)</f>
        <v>Extraction mécanique cuisine et salle de bain</v>
      </c>
      <c r="F46" s="630" t="str">
        <f>'Calcul ACV'!C96</f>
        <v>Extraction mécanique cuisine et salle de bain</v>
      </c>
      <c r="G46" s="479"/>
      <c r="H46" s="479" t="s">
        <v>217</v>
      </c>
      <c r="I46" s="459" t="s">
        <v>39</v>
      </c>
      <c r="J46" s="477">
        <f>Inputs!$C$6</f>
        <v>1456</v>
      </c>
    </row>
    <row r="47" spans="2:10">
      <c r="B47" s="1122"/>
      <c r="C47" s="1131"/>
      <c r="D47" s="459" t="s">
        <v>166</v>
      </c>
      <c r="E47" s="633" t="str">
        <f>IF(G47=0, F47, G47)</f>
        <v>Installations de ventilation habitation</v>
      </c>
      <c r="F47" s="630" t="str">
        <f>IF(Inputs!$C$4=Graphes_Background!$N$4, 'Calcul ACV'!C97,'Calcul ACV'!C98)</f>
        <v>Installations de ventilation habitation</v>
      </c>
      <c r="G47" s="478"/>
      <c r="H47" s="479" t="s">
        <v>217</v>
      </c>
      <c r="I47" s="459" t="s">
        <v>39</v>
      </c>
      <c r="J47" s="477">
        <f>Inputs!$C$6</f>
        <v>1456</v>
      </c>
    </row>
    <row r="48" spans="2:10">
      <c r="B48" s="1122"/>
      <c r="C48" s="1133" t="s">
        <v>167</v>
      </c>
      <c r="D48" s="463" t="s">
        <v>168</v>
      </c>
      <c r="E48" s="632"/>
      <c r="F48" s="629"/>
      <c r="G48" s="473"/>
      <c r="H48" s="468"/>
      <c r="I48" s="463"/>
      <c r="J48" s="822"/>
    </row>
    <row r="49" spans="2:10" ht="16.5" thickBot="1">
      <c r="B49" s="1122"/>
      <c r="C49" s="1133"/>
      <c r="D49" s="459" t="s">
        <v>169</v>
      </c>
      <c r="E49" s="634" t="str">
        <f>IF(G49=0, F49, G49)</f>
        <v>Installation sanitaire habitation</v>
      </c>
      <c r="F49" s="630" t="str">
        <f>IF(Inputs!$C$4=Graphes_Background!$N$4, 'Calcul ACV'!C100,'Calcul ACV'!C101)</f>
        <v>Installation sanitaire habitation</v>
      </c>
      <c r="G49" s="478"/>
      <c r="H49" s="479" t="s">
        <v>217</v>
      </c>
      <c r="I49" s="459" t="s">
        <v>39</v>
      </c>
      <c r="J49" s="461">
        <f>Inputs!$C$6</f>
        <v>1456</v>
      </c>
    </row>
  </sheetData>
  <customSheetViews>
    <customSheetView guid="{B32447E2-AB5B-4CBB-881B-FF11349CA4D6}" scale="55">
      <selection activeCell="B3" sqref="B3:D49"/>
      <pageMargins left="0" right="0" top="0" bottom="0" header="0" footer="0"/>
    </customSheetView>
    <customSheetView guid="{9FA74287-E657-475B-BF4B-3C8C757714AE}" scale="55">
      <selection activeCell="B3" sqref="B3:D49"/>
      <pageMargins left="0" right="0" top="0" bottom="0" header="0" footer="0"/>
    </customSheetView>
  </customSheetViews>
  <mergeCells count="22">
    <mergeCell ref="B23:B36"/>
    <mergeCell ref="C23:C25"/>
    <mergeCell ref="C26:C29"/>
    <mergeCell ref="C30:C34"/>
    <mergeCell ref="C35:C36"/>
    <mergeCell ref="B37:B49"/>
    <mergeCell ref="C37:C39"/>
    <mergeCell ref="C40:C44"/>
    <mergeCell ref="C45:C47"/>
    <mergeCell ref="C48:C49"/>
    <mergeCell ref="B13:B22"/>
    <mergeCell ref="C13:C14"/>
    <mergeCell ref="C15:C16"/>
    <mergeCell ref="C17:C18"/>
    <mergeCell ref="C19:C20"/>
    <mergeCell ref="C21:C22"/>
    <mergeCell ref="B3:B6"/>
    <mergeCell ref="C3:C6"/>
    <mergeCell ref="B7:B12"/>
    <mergeCell ref="C7:C8"/>
    <mergeCell ref="C9:C10"/>
    <mergeCell ref="C11:C12"/>
  </mergeCells>
  <dataValidations disablePrompts="1" count="1">
    <dataValidation allowBlank="1" showInputMessage="1" sqref="F14" xr:uid="{BFFF6045-745F-466D-9C2A-C7DBB287E8B8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30">
        <x14:dataValidation type="list" allowBlank="1" showInputMessage="1" showErrorMessage="1" xr:uid="{8B0F6B27-889C-47B4-A7CD-CE8690D31EB0}">
          <x14:formula1>
            <xm:f>'Calcul ACV'!$C$14:$C$15</xm:f>
          </x14:formula1>
          <xm:sqref>G8 F12 D8 F10</xm:sqref>
        </x14:dataValidation>
        <x14:dataValidation type="list" allowBlank="1" showInputMessage="1" showErrorMessage="1" xr:uid="{1CCFEBA2-E422-4E86-964A-FA029BB34976}">
          <x14:formula1>
            <xm:f>'Calcul ACV'!$C$17:$C$18</xm:f>
          </x14:formula1>
          <xm:sqref>D10 G10</xm:sqref>
        </x14:dataValidation>
        <x14:dataValidation type="list" allowBlank="1" showInputMessage="1" showErrorMessage="1" xr:uid="{5202412D-F452-4AA7-83A9-7D810914D773}">
          <x14:formula1>
            <xm:f>'Calcul ACV'!$C$21:$C$22</xm:f>
          </x14:formula1>
          <xm:sqref>D12</xm:sqref>
        </x14:dataValidation>
        <x14:dataValidation type="list" allowBlank="1" showInputMessage="1" showErrorMessage="1" xr:uid="{6BB21EE9-6FBB-4D3C-AE73-06EC122D6FE1}">
          <x14:formula1>
            <xm:f>'Calcul ACV'!$C$25:$C$29</xm:f>
          </x14:formula1>
          <xm:sqref>D14</xm:sqref>
        </x14:dataValidation>
        <x14:dataValidation type="list" allowBlank="1" showInputMessage="1" showErrorMessage="1" xr:uid="{AAE4A1DE-8A7C-48A3-8E11-96FA91BBCE60}">
          <x14:formula1>
            <xm:f>'Calcul ACV'!$C$31:$C$37</xm:f>
          </x14:formula1>
          <xm:sqref>D16 G16</xm:sqref>
        </x14:dataValidation>
        <x14:dataValidation type="list" allowBlank="1" showInputMessage="1" showErrorMessage="1" xr:uid="{9A249916-3B92-49DC-921F-174319CF59CA}">
          <x14:formula1>
            <xm:f>'Calcul ACV'!$C$39</xm:f>
          </x14:formula1>
          <xm:sqref>G18 D18</xm:sqref>
        </x14:dataValidation>
        <x14:dataValidation type="list" allowBlank="1" showInputMessage="1" showErrorMessage="1" xr:uid="{7FD684B9-5E75-40D2-A36A-500812D4F81A}">
          <x14:formula1>
            <xm:f>'Calcul ACV'!$C$41:$C$45</xm:f>
          </x14:formula1>
          <xm:sqref>D20 G20</xm:sqref>
        </x14:dataValidation>
        <x14:dataValidation type="list" allowBlank="1" showInputMessage="1" showErrorMessage="1" xr:uid="{A78FD21E-56EF-40E0-81FC-258E3D35819A}">
          <x14:formula1>
            <xm:f>'Calcul ACV'!$C$47:$C$50</xm:f>
          </x14:formula1>
          <xm:sqref>D22 G22</xm:sqref>
        </x14:dataValidation>
        <x14:dataValidation type="list" allowBlank="1" showInputMessage="1" showErrorMessage="1" xr:uid="{37FB1D6C-9E84-45B3-849F-7083D1832860}">
          <x14:formula1>
            <xm:f>'Calcul ACV'!$C$53</xm:f>
          </x14:formula1>
          <xm:sqref>G24</xm:sqref>
        </x14:dataValidation>
        <x14:dataValidation type="list" allowBlank="1" showInputMessage="1" showErrorMessage="1" xr:uid="{FC454298-0F39-4DE5-86BD-D56135B06D7D}">
          <x14:formula1>
            <xm:f>'Calcul ACV'!$C$54</xm:f>
          </x14:formula1>
          <xm:sqref>G25</xm:sqref>
        </x14:dataValidation>
        <x14:dataValidation type="list" allowBlank="1" showInputMessage="1" showErrorMessage="1" xr:uid="{B57103E2-4D95-480A-B73A-EDAFE9F1B36B}">
          <x14:formula1>
            <xm:f>'Calcul ACV'!$C$83</xm:f>
          </x14:formula1>
          <xm:sqref>G36</xm:sqref>
        </x14:dataValidation>
        <x14:dataValidation type="list" allowBlank="1" showInputMessage="1" showErrorMessage="1" xr:uid="{727512B4-FAF6-4F92-9242-BDE993294C27}">
          <x14:formula1>
            <xm:f>'Calcul ACV'!$C$100:$C$101</xm:f>
          </x14:formula1>
          <xm:sqref>G49</xm:sqref>
        </x14:dataValidation>
        <x14:dataValidation type="list" allowBlank="1" showInputMessage="1" showErrorMessage="1" xr:uid="{B17F44F9-64B9-4E41-BF0C-85F23FE28699}">
          <x14:formula1>
            <xm:f>'Calcul ACV'!$C$86:$C$87</xm:f>
          </x14:formula1>
          <xm:sqref>G38</xm:sqref>
        </x14:dataValidation>
        <x14:dataValidation type="list" allowBlank="1" showInputMessage="1" showErrorMessage="1" xr:uid="{D9A96DE2-5090-40CE-B14D-6B5031F28FF5}">
          <x14:formula1>
            <xm:f>'Calcul ACV'!$C$88</xm:f>
          </x14:formula1>
          <xm:sqref>G39</xm:sqref>
        </x14:dataValidation>
        <x14:dataValidation type="list" allowBlank="1" showInputMessage="1" showErrorMessage="1" xr:uid="{614B74BB-4760-46EB-AC55-99480D8A41A8}">
          <x14:formula1>
            <xm:f>'Calcul ACV'!$C$90</xm:f>
          </x14:formula1>
          <xm:sqref>G41</xm:sqref>
        </x14:dataValidation>
        <x14:dataValidation type="list" allowBlank="1" showInputMessage="1" showErrorMessage="1" xr:uid="{794574E2-0083-4AE6-8546-874E6348FE25}">
          <x14:formula1>
            <xm:f>'Calcul ACV'!$C$91:$C$92</xm:f>
          </x14:formula1>
          <xm:sqref>G42</xm:sqref>
        </x14:dataValidation>
        <x14:dataValidation type="list" allowBlank="1" showInputMessage="1" showErrorMessage="1" xr:uid="{CDCE5F03-B21D-4D6B-B92B-448F1EDF3D3B}">
          <x14:formula1>
            <xm:f>'Calcul ACV'!$C$93</xm:f>
          </x14:formula1>
          <xm:sqref>G43</xm:sqref>
        </x14:dataValidation>
        <x14:dataValidation type="list" allowBlank="1" showInputMessage="1" showErrorMessage="1" xr:uid="{4D49837A-94B0-41ED-A258-A2E1AA7567CC}">
          <x14:formula1>
            <xm:f>'Calcul ACV'!$C$94</xm:f>
          </x14:formula1>
          <xm:sqref>G44</xm:sqref>
        </x14:dataValidation>
        <x14:dataValidation type="list" allowBlank="1" showInputMessage="1" showErrorMessage="1" xr:uid="{743BCB0A-97AD-4B2B-A778-521833D9EB4F}">
          <x14:formula1>
            <xm:f>'Calcul ACV'!$D$96</xm:f>
          </x14:formula1>
          <xm:sqref>G46</xm:sqref>
        </x14:dataValidation>
        <x14:dataValidation type="list" allowBlank="1" showInputMessage="1" showErrorMessage="1" xr:uid="{6D309590-7C7D-4A38-A678-F9043593CB19}">
          <x14:formula1>
            <xm:f>'Calcul ACV'!$C$97:$C$98</xm:f>
          </x14:formula1>
          <xm:sqref>G47</xm:sqref>
        </x14:dataValidation>
        <x14:dataValidation type="list" allowBlank="1" showInputMessage="1" showErrorMessage="1" xr:uid="{20FB85B4-2E92-42F8-BDFC-A1176CEED503}">
          <x14:formula1>
            <xm:f>'Calcul ACV'!$C$6:$C$8</xm:f>
          </x14:formula1>
          <xm:sqref>G5</xm:sqref>
        </x14:dataValidation>
        <x14:dataValidation type="list" allowBlank="1" showInputMessage="1" showErrorMessage="1" xr:uid="{ADBF8D8F-4E70-462B-994A-8CF0B563E4C7}">
          <x14:formula1>
            <xm:f>'Calcul ACV'!$C$9:$C$11</xm:f>
          </x14:formula1>
          <xm:sqref>G6</xm:sqref>
        </x14:dataValidation>
        <x14:dataValidation type="list" allowBlank="1" showInputMessage="1" xr:uid="{DB14EC50-2722-45B3-930B-A049E57D64F7}">
          <x14:formula1>
            <xm:f>'Calcul ACV'!$C$25:$C$29</xm:f>
          </x14:formula1>
          <xm:sqref>G14</xm:sqref>
        </x14:dataValidation>
        <x14:dataValidation type="list" allowBlank="1" showInputMessage="1" showErrorMessage="1" xr:uid="{2917518C-479E-4B94-B08F-5220FF4CA3CA}">
          <x14:formula1>
            <xm:f>'Calcul ACV'!$C$56:$C$58</xm:f>
          </x14:formula1>
          <xm:sqref>G27</xm:sqref>
        </x14:dataValidation>
        <x14:dataValidation type="list" allowBlank="1" showInputMessage="1" showErrorMessage="1" xr:uid="{AA0A74A7-7843-4075-8B37-65395283820D}">
          <x14:formula1>
            <xm:f>'Calcul ACV'!$C$60:$C$62</xm:f>
          </x14:formula1>
          <xm:sqref>G28</xm:sqref>
        </x14:dataValidation>
        <x14:dataValidation type="list" allowBlank="1" showInputMessage="1" showErrorMessage="1" xr:uid="{34D57AC8-68EA-405A-947C-1C21ACB8BF32}">
          <x14:formula1>
            <xm:f>'Calcul ACV'!$C$64:$C$66</xm:f>
          </x14:formula1>
          <xm:sqref>G29</xm:sqref>
        </x14:dataValidation>
        <x14:dataValidation type="list" allowBlank="1" showInputMessage="1" showErrorMessage="1" xr:uid="{FDBE2AEF-B21D-408E-8B1A-6837370DDAE2}">
          <x14:formula1>
            <xm:f>'Calcul ACV'!$C$68:$C$71</xm:f>
          </x14:formula1>
          <xm:sqref>G31:G32</xm:sqref>
        </x14:dataValidation>
        <x14:dataValidation type="list" allowBlank="1" showInputMessage="1" showErrorMessage="1" xr:uid="{114E97FD-78C7-4711-9C43-E604ABA21D51}">
          <x14:formula1>
            <xm:f>'Calcul ACV'!$C$73:$C$76</xm:f>
          </x14:formula1>
          <xm:sqref>G33</xm:sqref>
        </x14:dataValidation>
        <x14:dataValidation type="list" allowBlank="1" showInputMessage="1" showErrorMessage="1" xr:uid="{2A8E34A9-9DE2-463A-ADC4-F5AF98CD0334}">
          <x14:formula1>
            <xm:f>'Calcul ACV'!$C$78:$C$81</xm:f>
          </x14:formula1>
          <xm:sqref>G34</xm:sqref>
        </x14:dataValidation>
        <x14:dataValidation type="list" allowBlank="1" showInputMessage="1" showErrorMessage="1" xr:uid="{B25AE0C3-86B1-4477-86DC-1D2B4766E444}">
          <x14:formula1>
            <xm:f>'Calcul ACV'!$C$20:$C$22</xm:f>
          </x14:formula1>
          <xm:sqref>G12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7529-318E-456C-9722-99EF4D278577}">
  <dimension ref="A2:V85"/>
  <sheetViews>
    <sheetView zoomScale="70" zoomScaleNormal="70" workbookViewId="0">
      <selection activeCell="J3" sqref="J3"/>
    </sheetView>
  </sheetViews>
  <sheetFormatPr baseColWidth="10" defaultColWidth="11" defaultRowHeight="15.75"/>
  <cols>
    <col min="2" max="2" width="14.125" bestFit="1" customWidth="1"/>
    <col min="6" max="6" width="46.625" bestFit="1" customWidth="1"/>
    <col min="20" max="20" width="40.375" bestFit="1" customWidth="1"/>
  </cols>
  <sheetData>
    <row r="2" spans="6:22">
      <c r="F2" s="1138"/>
      <c r="G2" s="1134" t="s">
        <v>219</v>
      </c>
      <c r="H2" s="1139" t="s">
        <v>220</v>
      </c>
      <c r="I2" s="1134" t="s">
        <v>221</v>
      </c>
      <c r="J2" s="1135" t="s">
        <v>222</v>
      </c>
      <c r="K2" s="1136"/>
      <c r="L2" s="1137"/>
      <c r="M2" s="1134" t="s">
        <v>223</v>
      </c>
      <c r="N2" s="1134" t="s">
        <v>224</v>
      </c>
      <c r="T2" t="s">
        <v>225</v>
      </c>
    </row>
    <row r="3" spans="6:22">
      <c r="F3" s="1138"/>
      <c r="G3" s="1134"/>
      <c r="H3" s="1139"/>
      <c r="I3" s="1134"/>
      <c r="J3" s="1139" t="s">
        <v>226</v>
      </c>
      <c r="K3" s="1134" t="s">
        <v>227</v>
      </c>
      <c r="L3" s="1134" t="s">
        <v>228</v>
      </c>
      <c r="M3" s="1134"/>
      <c r="N3" s="1134"/>
      <c r="T3" t="s">
        <v>229</v>
      </c>
    </row>
    <row r="4" spans="6:22">
      <c r="F4" s="1138"/>
      <c r="G4" s="1134"/>
      <c r="H4" s="1139"/>
      <c r="I4" s="1134"/>
      <c r="J4" s="1139"/>
      <c r="K4" s="1134"/>
      <c r="L4" s="1134"/>
      <c r="M4" s="1134"/>
      <c r="N4" s="1134"/>
      <c r="T4" t="s">
        <v>230</v>
      </c>
    </row>
    <row r="5" spans="6:22">
      <c r="F5" s="1138"/>
      <c r="G5" s="1134"/>
      <c r="H5" s="1139"/>
      <c r="I5" s="1134"/>
      <c r="J5" s="1139"/>
      <c r="K5" s="1134"/>
      <c r="L5" s="1134"/>
      <c r="M5" s="1134"/>
      <c r="N5" s="1134"/>
      <c r="T5" t="s">
        <v>231</v>
      </c>
      <c r="U5">
        <v>1.012</v>
      </c>
      <c r="V5" t="s">
        <v>232</v>
      </c>
    </row>
    <row r="6" spans="6:22">
      <c r="F6" s="1138"/>
      <c r="G6" s="1134"/>
      <c r="H6" s="1139"/>
      <c r="I6" s="1134"/>
      <c r="J6" s="1139"/>
      <c r="K6" s="1134"/>
      <c r="L6" s="1134"/>
      <c r="M6" s="1134"/>
      <c r="N6" s="1134"/>
      <c r="T6" t="s">
        <v>233</v>
      </c>
      <c r="U6">
        <v>0.45</v>
      </c>
    </row>
    <row r="7" spans="6:22">
      <c r="F7" s="1138"/>
      <c r="G7" s="1134"/>
      <c r="H7" s="1139"/>
      <c r="I7" s="1134"/>
      <c r="J7" s="1139"/>
      <c r="K7" s="1134"/>
      <c r="L7" s="1134"/>
      <c r="M7" s="1134"/>
      <c r="N7" s="1134"/>
    </row>
    <row r="8" spans="6:22">
      <c r="F8" s="1138"/>
      <c r="G8" s="1134"/>
      <c r="H8" s="1139"/>
      <c r="I8" s="1134"/>
      <c r="J8" s="1139"/>
      <c r="K8" s="1134"/>
      <c r="L8" s="1134"/>
      <c r="M8" s="1134"/>
      <c r="N8" s="1134"/>
    </row>
    <row r="9" spans="6:22">
      <c r="F9" s="1138"/>
      <c r="G9" s="1134"/>
      <c r="H9" s="1139"/>
      <c r="I9" s="1134"/>
      <c r="J9" s="1139"/>
      <c r="K9" s="1134"/>
      <c r="L9" s="1134"/>
      <c r="M9" s="1134"/>
      <c r="N9" s="1134"/>
      <c r="T9" t="s">
        <v>234</v>
      </c>
    </row>
    <row r="10" spans="6:22">
      <c r="F10" s="527" t="s">
        <v>235</v>
      </c>
      <c r="G10" s="527"/>
      <c r="H10" s="527"/>
      <c r="I10" s="527"/>
      <c r="J10" s="527"/>
      <c r="K10" s="527">
        <f>IF(Inputs!$M$7=Graphes_Background!$R$4, B52, Exploitation!C52)*$G$21</f>
        <v>13589.333333333334</v>
      </c>
      <c r="L10" s="527"/>
      <c r="M10" s="528">
        <f>K10*$K$19</f>
        <v>1698.6666666666667</v>
      </c>
      <c r="N10" s="530">
        <f>M10/$G$21</f>
        <v>1.1666666666666667</v>
      </c>
      <c r="T10" t="s">
        <v>236</v>
      </c>
      <c r="U10">
        <v>0.14699999999999999</v>
      </c>
    </row>
    <row r="11" spans="6:22">
      <c r="F11" s="527" t="s">
        <v>237</v>
      </c>
      <c r="G11" s="527"/>
      <c r="H11" s="527"/>
      <c r="I11" s="527"/>
      <c r="J11" s="527"/>
      <c r="K11" s="527">
        <f>IF(Inputs!$M$7=Graphes_Background!$R$4, B53, Exploitation!C53)*$G$21</f>
        <v>10920.000000000002</v>
      </c>
      <c r="L11" s="527"/>
      <c r="M11" s="528">
        <f t="shared" ref="M11:M16" si="0">K11*$K$19</f>
        <v>1365.0000000000002</v>
      </c>
      <c r="N11" s="530">
        <f t="shared" ref="N11:N17" si="1">M11/$G$21</f>
        <v>0.93750000000000011</v>
      </c>
      <c r="T11" t="s">
        <v>238</v>
      </c>
      <c r="U11">
        <v>0.127</v>
      </c>
    </row>
    <row r="12" spans="6:22">
      <c r="F12" s="527" t="s">
        <v>239</v>
      </c>
      <c r="G12" s="527"/>
      <c r="H12" s="527"/>
      <c r="I12" s="527"/>
      <c r="J12" s="527"/>
      <c r="K12" s="527">
        <f>IF(Inputs!$M$7=Graphes_Background!$R$4, B47, Exploitation!C47)*$G$21</f>
        <v>5546.6666666666661</v>
      </c>
      <c r="L12" s="527"/>
      <c r="M12" s="528">
        <f t="shared" si="0"/>
        <v>693.33333333333326</v>
      </c>
      <c r="N12" s="530">
        <f t="shared" si="1"/>
        <v>0.47619047619047616</v>
      </c>
      <c r="T12" t="s">
        <v>61</v>
      </c>
      <c r="U12">
        <v>0.22800000000000001</v>
      </c>
    </row>
    <row r="13" spans="6:22">
      <c r="F13" s="527" t="s">
        <v>240</v>
      </c>
      <c r="G13" s="527"/>
      <c r="H13" s="527"/>
      <c r="I13" s="527"/>
      <c r="J13" s="527"/>
      <c r="K13" s="527">
        <f>IF(Inputs!$M$7=Graphes_Background!$R$4, B48, Exploitation!C48)*$G$21</f>
        <v>1706.6666666666661</v>
      </c>
      <c r="L13" s="527"/>
      <c r="M13" s="528">
        <f t="shared" si="0"/>
        <v>213.33333333333326</v>
      </c>
      <c r="N13" s="530">
        <f t="shared" si="1"/>
        <v>0.14652014652014647</v>
      </c>
    </row>
    <row r="14" spans="6:22">
      <c r="F14" s="527" t="s">
        <v>241</v>
      </c>
      <c r="G14" s="527"/>
      <c r="H14" s="527"/>
      <c r="I14" s="527"/>
      <c r="J14" s="527"/>
      <c r="K14" s="527">
        <f>IF(Inputs!$M$7=Graphes_Background!$R$4, B46, Exploitation!C46)*$G$21</f>
        <v>597.33333333333326</v>
      </c>
      <c r="L14" s="527"/>
      <c r="M14" s="528">
        <f t="shared" si="0"/>
        <v>74.666666666666657</v>
      </c>
      <c r="N14" s="530">
        <f t="shared" si="1"/>
        <v>5.1282051282051273E-2</v>
      </c>
    </row>
    <row r="15" spans="6:22">
      <c r="F15" s="527" t="s">
        <v>242</v>
      </c>
      <c r="G15" s="527"/>
      <c r="H15" s="527"/>
      <c r="I15" s="527"/>
      <c r="J15" s="527"/>
      <c r="K15" s="527">
        <f>IF(Inputs!$M$7=Graphes_Background!$R$4, B49, Exploitation!C49)*$G$21</f>
        <v>5973.333333333333</v>
      </c>
      <c r="L15" s="527"/>
      <c r="M15" s="528">
        <f t="shared" si="0"/>
        <v>746.66666666666663</v>
      </c>
      <c r="N15" s="530">
        <f t="shared" si="1"/>
        <v>0.51282051282051277</v>
      </c>
    </row>
    <row r="16" spans="6:22">
      <c r="F16" s="527" t="s">
        <v>243</v>
      </c>
      <c r="G16" s="527"/>
      <c r="H16" s="527"/>
      <c r="I16" s="527"/>
      <c r="J16" s="527"/>
      <c r="K16" s="527">
        <f>IF(Inputs!$M$7=Graphes_Background!$R$4, B50, Exploitation!C50)*$G$21</f>
        <v>1706.6666666666661</v>
      </c>
      <c r="L16" s="527"/>
      <c r="M16" s="528">
        <f t="shared" si="0"/>
        <v>213.33333333333326</v>
      </c>
      <c r="N16" s="530">
        <f t="shared" si="1"/>
        <v>0.14652014652014647</v>
      </c>
      <c r="O16" t="s">
        <v>244</v>
      </c>
      <c r="P16" t="s">
        <v>245</v>
      </c>
    </row>
    <row r="17" spans="1:16">
      <c r="F17" s="527" t="s">
        <v>246</v>
      </c>
      <c r="G17" s="529">
        <f>1/3</f>
        <v>0.33333333333333331</v>
      </c>
      <c r="H17" s="527">
        <f>-L71*Inputs!N4</f>
        <v>-13300.000000000002</v>
      </c>
      <c r="I17" s="527"/>
      <c r="J17" s="527"/>
      <c r="K17" s="527">
        <f>H17*G17</f>
        <v>-4433.3333333333339</v>
      </c>
      <c r="L17" s="527">
        <f>(H17*G18)</f>
        <v>-8866.6666666666697</v>
      </c>
      <c r="M17" s="528">
        <f>(K17*K19)+(L17*L19)</f>
        <v>-1023.2133333333336</v>
      </c>
      <c r="N17" s="530">
        <f t="shared" si="1"/>
        <v>-0.70275641025641045</v>
      </c>
      <c r="O17">
        <f>(K17*K19)/$G$21</f>
        <v>-0.38060897435897439</v>
      </c>
      <c r="P17">
        <f>(L17*L19)/$G$21</f>
        <v>-0.32214743589743605</v>
      </c>
    </row>
    <row r="18" spans="1:16">
      <c r="F18" s="527" t="s">
        <v>247</v>
      </c>
      <c r="G18" s="529">
        <f>100%-G17</f>
        <v>0.66666666666666674</v>
      </c>
      <c r="H18" s="527"/>
      <c r="I18" s="527"/>
      <c r="J18" s="527"/>
      <c r="K18" s="527">
        <f>(B52+B53+B59)*G21</f>
        <v>40040</v>
      </c>
      <c r="L18" s="527">
        <f>SUM(L10:L17)</f>
        <v>-8866.6666666666697</v>
      </c>
      <c r="M18" s="528"/>
      <c r="N18" s="527"/>
    </row>
    <row r="19" spans="1:16">
      <c r="F19" s="527" t="s">
        <v>248</v>
      </c>
      <c r="G19" s="527"/>
      <c r="H19" s="527"/>
      <c r="I19" s="527"/>
      <c r="J19" s="527"/>
      <c r="K19" s="611">
        <f>'Energie Energie'!K99</f>
        <v>0.125</v>
      </c>
      <c r="L19" s="611">
        <f>'Energie Energie'!K89</f>
        <v>5.2900000000000003E-2</v>
      </c>
      <c r="M19" s="528"/>
      <c r="N19" s="527"/>
    </row>
    <row r="20" spans="1:16">
      <c r="F20" s="527" t="s">
        <v>249</v>
      </c>
      <c r="G20" s="527"/>
      <c r="H20" s="527"/>
      <c r="I20" s="527"/>
      <c r="J20" s="527"/>
      <c r="K20" s="527">
        <f>K19*K18</f>
        <v>5005</v>
      </c>
      <c r="L20" s="527">
        <f>L19*L18</f>
        <v>-469.04666666666685</v>
      </c>
      <c r="M20" s="528">
        <f>J20+K20+L20</f>
        <v>4535.9533333333329</v>
      </c>
      <c r="N20" s="527"/>
    </row>
    <row r="21" spans="1:16">
      <c r="F21" s="527" t="s">
        <v>250</v>
      </c>
      <c r="G21" s="612">
        <f>Inputs!C6</f>
        <v>1456</v>
      </c>
      <c r="H21" s="527"/>
      <c r="I21" s="527"/>
      <c r="J21" s="527"/>
      <c r="K21" s="527"/>
      <c r="L21" s="527"/>
      <c r="M21" s="528"/>
      <c r="N21" s="527"/>
    </row>
    <row r="22" spans="1:16">
      <c r="F22" s="527" t="s">
        <v>251</v>
      </c>
      <c r="G22" s="527"/>
      <c r="H22" s="527"/>
      <c r="I22" s="527"/>
      <c r="J22" s="527"/>
      <c r="K22" s="527"/>
      <c r="L22" s="527"/>
      <c r="M22" s="530">
        <f>M20/G21</f>
        <v>3.1153525641025639</v>
      </c>
      <c r="N22" s="527"/>
    </row>
    <row r="24" spans="1:16">
      <c r="O24">
        <f>950*K19*G17</f>
        <v>39.583333333333329</v>
      </c>
      <c r="P24">
        <f>950*L19*G18</f>
        <v>33.503333333333337</v>
      </c>
    </row>
    <row r="26" spans="1:16">
      <c r="A26" t="s">
        <v>252</v>
      </c>
    </row>
    <row r="27" spans="1:16">
      <c r="A27" t="s">
        <v>253</v>
      </c>
      <c r="H27" t="s">
        <v>254</v>
      </c>
    </row>
    <row r="28" spans="1:16">
      <c r="A28" t="s">
        <v>255</v>
      </c>
      <c r="B28" t="s">
        <v>256</v>
      </c>
      <c r="C28" t="s">
        <v>257</v>
      </c>
      <c r="D28" t="s">
        <v>258</v>
      </c>
      <c r="E28" t="s">
        <v>259</v>
      </c>
      <c r="H28" t="s">
        <v>260</v>
      </c>
      <c r="I28">
        <v>2</v>
      </c>
    </row>
    <row r="29" spans="1:16">
      <c r="A29" t="s">
        <v>261</v>
      </c>
      <c r="B29">
        <v>13</v>
      </c>
      <c r="C29">
        <v>15</v>
      </c>
      <c r="D29">
        <v>20</v>
      </c>
      <c r="E29">
        <v>35</v>
      </c>
      <c r="H29" t="s">
        <v>262</v>
      </c>
      <c r="I29">
        <v>1</v>
      </c>
    </row>
    <row r="30" spans="1:16">
      <c r="A30" t="s">
        <v>263</v>
      </c>
      <c r="B30">
        <v>16</v>
      </c>
      <c r="C30">
        <v>15</v>
      </c>
      <c r="D30">
        <v>25</v>
      </c>
      <c r="E30">
        <v>35</v>
      </c>
      <c r="H30" t="s">
        <v>264</v>
      </c>
      <c r="I30">
        <v>0.5</v>
      </c>
    </row>
    <row r="31" spans="1:16">
      <c r="A31" t="s">
        <v>265</v>
      </c>
      <c r="B31">
        <v>13</v>
      </c>
      <c r="C31">
        <v>15</v>
      </c>
      <c r="D31">
        <v>25</v>
      </c>
      <c r="E31">
        <v>40</v>
      </c>
      <c r="H31" t="s">
        <v>266</v>
      </c>
      <c r="I31">
        <v>0.6</v>
      </c>
      <c r="J31" s="668">
        <v>0.5</v>
      </c>
      <c r="K31">
        <v>0.4</v>
      </c>
      <c r="L31">
        <v>1</v>
      </c>
    </row>
    <row r="32" spans="1:16">
      <c r="H32" t="s">
        <v>267</v>
      </c>
      <c r="I32">
        <v>0</v>
      </c>
    </row>
    <row r="33" spans="1:14">
      <c r="B33" t="s">
        <v>253</v>
      </c>
    </row>
    <row r="34" spans="1:14">
      <c r="A34" t="s">
        <v>48</v>
      </c>
      <c r="B34">
        <f>IF(Inputs!$C$4=Graphes_Background!$N$4, 100%*($B$29+$C$29), (Exploitation!$B$31+Exploitation!$C$31))</f>
        <v>28</v>
      </c>
    </row>
    <row r="35" spans="1:14">
      <c r="A35" t="s">
        <v>185</v>
      </c>
      <c r="B35">
        <f>IF(Inputs!$C$4=Graphes_Background!$N$4, 70%*($B$29+$C$29), 70%*(Exploitation!$B$31+Exploitation!$C$31))</f>
        <v>19.599999999999998</v>
      </c>
    </row>
    <row r="36" spans="1:14">
      <c r="A36" t="s">
        <v>268</v>
      </c>
      <c r="B36">
        <f>IF(Inputs!$C$4=Graphes_Background!$N$4, 100%*($B$29+$C$29), (Exploitation!$B$31+Exploitation!$C$31))</f>
        <v>28</v>
      </c>
    </row>
    <row r="37" spans="1:14" ht="16.5" thickBot="1"/>
    <row r="38" spans="1:14" ht="16.5" thickBot="1">
      <c r="A38" s="617"/>
      <c r="B38" s="509" t="s">
        <v>269</v>
      </c>
      <c r="C38" s="509"/>
      <c r="D38" s="510"/>
      <c r="L38" s="617" t="s">
        <v>270</v>
      </c>
      <c r="M38" s="509"/>
      <c r="N38" s="510"/>
    </row>
    <row r="39" spans="1:14">
      <c r="A39" s="617" t="s">
        <v>271</v>
      </c>
      <c r="B39" s="509" t="str">
        <f>A34</f>
        <v>Minergie</v>
      </c>
      <c r="C39" s="509" t="str">
        <f>A35</f>
        <v>Minergie-P</v>
      </c>
      <c r="D39" s="510" t="str">
        <f>A36</f>
        <v>Minergie-A</v>
      </c>
      <c r="L39" s="619" t="s">
        <v>272</v>
      </c>
      <c r="M39">
        <v>450</v>
      </c>
      <c r="N39" s="419" t="s">
        <v>273</v>
      </c>
    </row>
    <row r="40" spans="1:14">
      <c r="A40" s="619" t="s">
        <v>261</v>
      </c>
      <c r="B40" s="674">
        <v>55</v>
      </c>
      <c r="C40" s="674">
        <v>50</v>
      </c>
      <c r="D40" s="419">
        <v>35</v>
      </c>
      <c r="G40">
        <f>C66/G52</f>
        <v>6.333333333333333</v>
      </c>
      <c r="L40" s="619"/>
      <c r="N40" s="419"/>
    </row>
    <row r="41" spans="1:14">
      <c r="A41" s="619" t="s">
        <v>263</v>
      </c>
      <c r="B41" s="674">
        <v>55</v>
      </c>
      <c r="C41" s="674">
        <v>50</v>
      </c>
      <c r="D41" s="419">
        <v>35</v>
      </c>
      <c r="G41">
        <f>C67/G53</f>
        <v>7.5000000000000009</v>
      </c>
      <c r="L41" s="619" t="s">
        <v>274</v>
      </c>
      <c r="M41">
        <f>M39*Inputs!M6</f>
        <v>0</v>
      </c>
      <c r="N41" s="419" t="s">
        <v>275</v>
      </c>
    </row>
    <row r="42" spans="1:14" ht="16.5" thickBot="1">
      <c r="A42" s="620" t="s">
        <v>265</v>
      </c>
      <c r="B42" s="681">
        <v>80</v>
      </c>
      <c r="C42" s="681">
        <v>75</v>
      </c>
      <c r="D42" s="507">
        <v>35</v>
      </c>
      <c r="L42" s="620">
        <f>60%*B45</f>
        <v>12.6</v>
      </c>
      <c r="M42" s="506">
        <f>M41/Inputs!C6</f>
        <v>0</v>
      </c>
      <c r="N42" s="507" t="s">
        <v>276</v>
      </c>
    </row>
    <row r="43" spans="1:14">
      <c r="A43" s="619"/>
      <c r="D43" s="419"/>
      <c r="G43">
        <f>G40*I28</f>
        <v>12.666666666666666</v>
      </c>
      <c r="H43">
        <f>C64*I28</f>
        <v>2.4</v>
      </c>
    </row>
    <row r="44" spans="1:14">
      <c r="A44" s="619" t="s">
        <v>277</v>
      </c>
      <c r="B44">
        <f>B34</f>
        <v>28</v>
      </c>
      <c r="C44">
        <f>B35</f>
        <v>19.599999999999998</v>
      </c>
      <c r="D44" s="419">
        <f>B36</f>
        <v>28</v>
      </c>
      <c r="G44">
        <f>G41*I28</f>
        <v>15.000000000000002</v>
      </c>
      <c r="H44">
        <f>C65*I28</f>
        <v>13.2</v>
      </c>
      <c r="I44">
        <f>G43+G44+H43+H44+(C63*I28)+(C68*I28)+(C69*I28)</f>
        <v>83.266666666666666</v>
      </c>
      <c r="L44" t="s">
        <v>34</v>
      </c>
    </row>
    <row r="45" spans="1:14">
      <c r="A45" s="619" t="s">
        <v>278</v>
      </c>
      <c r="B45">
        <f>IF(Inputs!$C$4=Graphes_Background!$N$4, $D$67, $D$78)</f>
        <v>21</v>
      </c>
      <c r="C45">
        <f>IF(Inputs!$C$4=Graphes_Background!$N$4, $D$67, $D$78)</f>
        <v>21</v>
      </c>
      <c r="D45" s="419">
        <v>21</v>
      </c>
      <c r="L45">
        <v>0.5</v>
      </c>
      <c r="M45" t="s">
        <v>279</v>
      </c>
    </row>
    <row r="46" spans="1:14">
      <c r="A46" s="619" t="s">
        <v>241</v>
      </c>
      <c r="B46" s="675">
        <f>B59*IF(Inputs!$C$4=Graphes_Background!$N$4, $H$64,$H$75)</f>
        <v>0.41025641025641019</v>
      </c>
      <c r="C46" s="675">
        <f>C59*IF(Inputs!$C$4=Graphes_Background!$N$4, $H$64,$H$75)</f>
        <v>0.42179487179487191</v>
      </c>
      <c r="D46" s="679">
        <f>D59*$H$64</f>
        <v>2.5641025641025585E-2</v>
      </c>
      <c r="F46" t="s">
        <v>280</v>
      </c>
      <c r="L46">
        <f>L45*Inputs!C6</f>
        <v>728</v>
      </c>
      <c r="M46" t="s">
        <v>160</v>
      </c>
    </row>
    <row r="47" spans="1:14">
      <c r="A47" s="619" t="s">
        <v>239</v>
      </c>
      <c r="B47" s="675">
        <f>B59*IF(Inputs!$C$4=Graphes_Background!$N$4, $H$65,$H$76)</f>
        <v>3.8095238095238089</v>
      </c>
      <c r="C47" s="675">
        <f>C59*IF(Inputs!$C$4=Graphes_Background!$N$4, $H$65,$H$76)</f>
        <v>3.9166666666666674</v>
      </c>
      <c r="D47" s="679">
        <f>D59*$H$65</f>
        <v>0.23809523809523758</v>
      </c>
      <c r="F47" t="s">
        <v>280</v>
      </c>
      <c r="G47" s="726" t="s">
        <v>281</v>
      </c>
      <c r="M47" s="622"/>
    </row>
    <row r="48" spans="1:14">
      <c r="A48" s="619" t="s">
        <v>240</v>
      </c>
      <c r="B48" s="675">
        <f>B59*IF(Inputs!$C$4=Graphes_Background!$N$4, $H$63,$H$74)</f>
        <v>1.1721611721611718</v>
      </c>
      <c r="C48" s="675">
        <f>C59*IF(Inputs!$C$4=Graphes_Background!$N$4, $H$63,$H$74)</f>
        <v>1.2051282051282053</v>
      </c>
      <c r="D48" s="679">
        <f>D59*$H$63</f>
        <v>7.3260073260073097E-2</v>
      </c>
      <c r="F48" t="s">
        <v>280</v>
      </c>
      <c r="K48" s="672"/>
      <c r="L48" s="672"/>
      <c r="M48" s="622"/>
    </row>
    <row r="49" spans="1:13">
      <c r="A49" s="619" t="s">
        <v>282</v>
      </c>
      <c r="B49" s="675">
        <f>B59*IF(Inputs!$C$4=Graphes_Background!$N$4, $H$68,$H$79)</f>
        <v>4.1025641025641022</v>
      </c>
      <c r="C49" s="675">
        <f>C59*IF(Inputs!$C$4=Graphes_Background!$N$4, $H$68,$H$79)</f>
        <v>4.217948717948719</v>
      </c>
      <c r="D49" s="679">
        <f>D59*$H$68</f>
        <v>0.25641025641025583</v>
      </c>
      <c r="F49" t="s">
        <v>280</v>
      </c>
      <c r="M49" s="622"/>
    </row>
    <row r="50" spans="1:13">
      <c r="A50" s="619" t="s">
        <v>283</v>
      </c>
      <c r="B50" s="675">
        <f>B59*IF(Inputs!$C$4=Graphes_Background!$N$4, $H$69,$H$80)</f>
        <v>1.1721611721611718</v>
      </c>
      <c r="C50" s="675">
        <f>C59*IF(Inputs!$C$4=Graphes_Background!$N$4, $H$69,$H$80)</f>
        <v>1.2051282051282053</v>
      </c>
      <c r="D50" s="679">
        <f>D59*$H$69</f>
        <v>7.3260073260073097E-2</v>
      </c>
      <c r="F50" t="s">
        <v>280</v>
      </c>
      <c r="G50" s="673"/>
    </row>
    <row r="51" spans="1:13" ht="16.5" thickBot="1">
      <c r="A51" s="619"/>
      <c r="D51" s="419"/>
      <c r="M51" s="615"/>
    </row>
    <row r="52" spans="1:13">
      <c r="A52" s="617" t="s">
        <v>284</v>
      </c>
      <c r="B52" s="688">
        <f>B44/$G$52</f>
        <v>9.3333333333333339</v>
      </c>
      <c r="C52" s="688">
        <f>C44/$G$52</f>
        <v>6.5333333333333323</v>
      </c>
      <c r="D52" s="689">
        <f>D44/$G$52</f>
        <v>9.3333333333333339</v>
      </c>
      <c r="F52" t="s">
        <v>285</v>
      </c>
      <c r="G52">
        <f>IF(Inputs!$M$5=Graphes_Background!$P$4, 4, 3)</f>
        <v>3</v>
      </c>
    </row>
    <row r="53" spans="1:13" ht="16.5" thickBot="1">
      <c r="A53" s="620" t="s">
        <v>286</v>
      </c>
      <c r="B53" s="694">
        <f>(B45-$M$42)/$G$53</f>
        <v>7.5000000000000009</v>
      </c>
      <c r="C53" s="694">
        <f>(C45-$M$42)/$G$53</f>
        <v>7.5000000000000009</v>
      </c>
      <c r="D53" s="507">
        <f>D45/$G$53</f>
        <v>7.5000000000000009</v>
      </c>
      <c r="F53" t="s">
        <v>287</v>
      </c>
      <c r="G53">
        <f>IF(Inputs!$M$5=Graphes_Background!$P$4, 3.8, 2.8)</f>
        <v>2.8</v>
      </c>
    </row>
    <row r="54" spans="1:13">
      <c r="A54" s="619"/>
      <c r="D54" s="419"/>
    </row>
    <row r="55" spans="1:13">
      <c r="A55" s="619" t="s">
        <v>288</v>
      </c>
      <c r="B55" s="622">
        <f>B52*$I$28</f>
        <v>18.666666666666668</v>
      </c>
      <c r="C55" s="622">
        <f t="shared" ref="C55:D56" si="2">C52*$I$28</f>
        <v>13.066666666666665</v>
      </c>
      <c r="D55" s="676">
        <f t="shared" si="2"/>
        <v>18.666666666666668</v>
      </c>
      <c r="F55" t="s">
        <v>260</v>
      </c>
      <c r="G55" s="615">
        <v>18.666666666666668</v>
      </c>
      <c r="H55" s="615">
        <v>13.066666666666665</v>
      </c>
    </row>
    <row r="56" spans="1:13">
      <c r="A56" s="619"/>
      <c r="B56" s="622">
        <f>B53*$I$28</f>
        <v>15.000000000000002</v>
      </c>
      <c r="C56" s="622">
        <f t="shared" si="2"/>
        <v>15.000000000000002</v>
      </c>
      <c r="D56" s="419">
        <f t="shared" si="2"/>
        <v>15.000000000000002</v>
      </c>
      <c r="F56" t="s">
        <v>260</v>
      </c>
      <c r="G56" s="615">
        <v>15.000000000000002</v>
      </c>
      <c r="H56" s="615">
        <v>15.000000000000002</v>
      </c>
    </row>
    <row r="57" spans="1:13">
      <c r="A57" s="619"/>
      <c r="D57" s="419"/>
    </row>
    <row r="58" spans="1:13">
      <c r="A58" s="619" t="s">
        <v>289</v>
      </c>
      <c r="B58" s="622">
        <f>IF(Inputs!$C$4=Graphes_Background!$N$4, B40, B42)-G55-G56</f>
        <v>21.333333333333329</v>
      </c>
      <c r="C58" s="622">
        <f>IF(Inputs!$C$4=Graphes_Background!$N$4, C40, C42)-H55-H56</f>
        <v>21.933333333333337</v>
      </c>
      <c r="D58" s="676">
        <f t="shared" ref="D58" si="3">D40-D55-D56</f>
        <v>1.3333333333333304</v>
      </c>
    </row>
    <row r="59" spans="1:13" ht="16.5" thickBot="1">
      <c r="A59" s="620" t="s">
        <v>290</v>
      </c>
      <c r="B59" s="677">
        <f>B58/$I$28</f>
        <v>10.666666666666664</v>
      </c>
      <c r="C59" s="677">
        <f t="shared" ref="C59:D59" si="4">C58/$I$28</f>
        <v>10.966666666666669</v>
      </c>
      <c r="D59" s="678">
        <f t="shared" si="4"/>
        <v>0.66666666666666519</v>
      </c>
      <c r="F59" t="s">
        <v>260</v>
      </c>
    </row>
    <row r="61" spans="1:13" ht="16.5" thickBot="1"/>
    <row r="62" spans="1:13">
      <c r="A62" t="s">
        <v>291</v>
      </c>
      <c r="B62" t="s">
        <v>292</v>
      </c>
      <c r="C62" t="s">
        <v>293</v>
      </c>
      <c r="D62" s="682" t="s">
        <v>294</v>
      </c>
      <c r="E62" t="s">
        <v>295</v>
      </c>
    </row>
    <row r="63" spans="1:13">
      <c r="B63" t="s">
        <v>240</v>
      </c>
      <c r="C63">
        <v>4</v>
      </c>
      <c r="D63" s="683">
        <v>2</v>
      </c>
      <c r="E63">
        <v>4</v>
      </c>
      <c r="F63" t="s">
        <v>296</v>
      </c>
      <c r="G63" t="s">
        <v>297</v>
      </c>
      <c r="H63" s="671">
        <f t="shared" ref="H63:H69" si="5">D63/$D$70</f>
        <v>0.10989010989010989</v>
      </c>
      <c r="I63" s="680"/>
    </row>
    <row r="64" spans="1:13">
      <c r="B64" s="669" t="s">
        <v>241</v>
      </c>
      <c r="C64">
        <v>1.2</v>
      </c>
      <c r="D64" s="683">
        <v>0.7</v>
      </c>
      <c r="F64" t="s">
        <v>298</v>
      </c>
      <c r="G64" t="s">
        <v>297</v>
      </c>
      <c r="H64" s="671">
        <f t="shared" si="5"/>
        <v>3.8461538461538464E-2</v>
      </c>
      <c r="I64" s="680"/>
    </row>
    <row r="65" spans="1:13">
      <c r="B65" s="669" t="s">
        <v>239</v>
      </c>
      <c r="C65">
        <v>6.6</v>
      </c>
      <c r="D65" s="683">
        <v>6.5</v>
      </c>
      <c r="E65">
        <v>1.6</v>
      </c>
      <c r="F65" t="s">
        <v>299</v>
      </c>
      <c r="G65" t="s">
        <v>297</v>
      </c>
      <c r="H65" s="671">
        <f t="shared" si="5"/>
        <v>0.35714285714285715</v>
      </c>
      <c r="I65" s="680"/>
    </row>
    <row r="66" spans="1:13">
      <c r="B66" s="669" t="s">
        <v>277</v>
      </c>
      <c r="C66">
        <v>19</v>
      </c>
      <c r="D66" s="683">
        <v>11.2</v>
      </c>
      <c r="E66">
        <v>112.9</v>
      </c>
      <c r="F66" t="s">
        <v>300</v>
      </c>
      <c r="G66" t="s">
        <v>297</v>
      </c>
      <c r="H66" s="670">
        <f t="shared" si="5"/>
        <v>0.61538461538461542</v>
      </c>
      <c r="I66" s="680"/>
    </row>
    <row r="67" spans="1:13">
      <c r="B67" s="669" t="s">
        <v>301</v>
      </c>
      <c r="C67">
        <v>21</v>
      </c>
      <c r="D67" s="683">
        <v>21</v>
      </c>
      <c r="E67">
        <v>19.8</v>
      </c>
      <c r="F67" t="s">
        <v>302</v>
      </c>
      <c r="G67" t="s">
        <v>297</v>
      </c>
      <c r="H67" s="670">
        <f t="shared" si="5"/>
        <v>1.153846153846154</v>
      </c>
      <c r="I67" s="680"/>
    </row>
    <row r="68" spans="1:13">
      <c r="B68" t="s">
        <v>242</v>
      </c>
      <c r="C68">
        <v>14</v>
      </c>
      <c r="D68" s="683">
        <v>7</v>
      </c>
      <c r="E68">
        <v>18</v>
      </c>
      <c r="F68" t="s">
        <v>303</v>
      </c>
      <c r="H68" s="671">
        <f t="shared" si="5"/>
        <v>0.38461538461538464</v>
      </c>
      <c r="I68" s="680"/>
    </row>
    <row r="69" spans="1:13">
      <c r="B69" t="s">
        <v>304</v>
      </c>
      <c r="C69">
        <v>2</v>
      </c>
      <c r="D69" s="684">
        <v>2</v>
      </c>
      <c r="H69" s="671">
        <f t="shared" si="5"/>
        <v>0.10989010989010989</v>
      </c>
      <c r="I69" s="680"/>
    </row>
    <row r="70" spans="1:13">
      <c r="C70">
        <f>C63+C68+C69+C64+C65</f>
        <v>27.799999999999997</v>
      </c>
      <c r="D70" s="683">
        <f>D63+D68+D69+D64+D65</f>
        <v>18.2</v>
      </c>
      <c r="K70" s="613" t="s">
        <v>305</v>
      </c>
      <c r="L70" s="614">
        <f>140/1000</f>
        <v>0.14000000000000001</v>
      </c>
      <c r="M70" s="527" t="s">
        <v>306</v>
      </c>
    </row>
    <row r="71" spans="1:13">
      <c r="D71" s="683"/>
      <c r="K71" s="613" t="s">
        <v>307</v>
      </c>
      <c r="L71" s="614">
        <v>950</v>
      </c>
      <c r="M71" s="527" t="s">
        <v>308</v>
      </c>
    </row>
    <row r="72" spans="1:13">
      <c r="D72" s="683"/>
    </row>
    <row r="73" spans="1:13">
      <c r="A73" t="s">
        <v>291</v>
      </c>
      <c r="B73" t="s">
        <v>309</v>
      </c>
      <c r="C73" t="s">
        <v>293</v>
      </c>
      <c r="D73" s="683" t="s">
        <v>294</v>
      </c>
      <c r="E73" t="s">
        <v>295</v>
      </c>
    </row>
    <row r="74" spans="1:13">
      <c r="B74" t="s">
        <v>240</v>
      </c>
      <c r="D74" s="683">
        <v>5</v>
      </c>
      <c r="F74" t="s">
        <v>296</v>
      </c>
      <c r="G74" t="s">
        <v>297</v>
      </c>
      <c r="H74" s="671">
        <f>D74/$D$81</f>
        <v>0.19920318725099601</v>
      </c>
      <c r="I74" s="680"/>
    </row>
    <row r="75" spans="1:13">
      <c r="B75" s="669" t="s">
        <v>241</v>
      </c>
      <c r="D75" s="683">
        <v>1.3</v>
      </c>
      <c r="F75" t="s">
        <v>298</v>
      </c>
      <c r="G75" t="s">
        <v>297</v>
      </c>
      <c r="H75" s="671">
        <f t="shared" ref="H75:H80" si="6">D75/$D$81</f>
        <v>5.179282868525896E-2</v>
      </c>
      <c r="I75" s="680"/>
    </row>
    <row r="76" spans="1:13">
      <c r="B76" s="669" t="s">
        <v>239</v>
      </c>
      <c r="D76" s="683">
        <v>10.8</v>
      </c>
      <c r="F76" t="s">
        <v>299</v>
      </c>
      <c r="G76" t="s">
        <v>297</v>
      </c>
      <c r="H76" s="671">
        <f t="shared" si="6"/>
        <v>0.4302788844621514</v>
      </c>
      <c r="I76" s="680"/>
    </row>
    <row r="77" spans="1:13">
      <c r="B77" s="669" t="s">
        <v>277</v>
      </c>
      <c r="D77" s="683">
        <v>17.2</v>
      </c>
      <c r="F77" t="s">
        <v>300</v>
      </c>
      <c r="G77" t="s">
        <v>297</v>
      </c>
      <c r="H77" s="687">
        <f t="shared" si="6"/>
        <v>0.68525896414342624</v>
      </c>
      <c r="I77" s="680"/>
    </row>
    <row r="78" spans="1:13">
      <c r="B78" s="669" t="s">
        <v>301</v>
      </c>
      <c r="C78" s="669"/>
      <c r="D78" s="685">
        <v>7</v>
      </c>
      <c r="F78" t="s">
        <v>302</v>
      </c>
      <c r="G78" t="s">
        <v>297</v>
      </c>
      <c r="H78" s="687">
        <f t="shared" si="6"/>
        <v>0.2788844621513944</v>
      </c>
      <c r="I78" s="680"/>
    </row>
    <row r="79" spans="1:13">
      <c r="B79" t="s">
        <v>242</v>
      </c>
      <c r="D79" s="683">
        <v>6</v>
      </c>
      <c r="F79" t="s">
        <v>303</v>
      </c>
      <c r="H79" s="671">
        <f t="shared" si="6"/>
        <v>0.2390438247011952</v>
      </c>
      <c r="I79" s="680"/>
    </row>
    <row r="80" spans="1:13" ht="16.5" thickBot="1">
      <c r="B80" t="s">
        <v>304</v>
      </c>
      <c r="D80" s="686">
        <v>2</v>
      </c>
      <c r="H80" s="671">
        <f t="shared" si="6"/>
        <v>7.9681274900398405E-2</v>
      </c>
      <c r="I80" s="680"/>
    </row>
    <row r="81" spans="1:4">
      <c r="D81" s="683">
        <f>D74+D79+D80+D75+D76</f>
        <v>25.1</v>
      </c>
    </row>
    <row r="82" spans="1:4">
      <c r="A82" t="s">
        <v>310</v>
      </c>
      <c r="B82" t="s">
        <v>311</v>
      </c>
    </row>
    <row r="83" spans="1:4">
      <c r="A83" t="s">
        <v>312</v>
      </c>
      <c r="B83">
        <v>21</v>
      </c>
      <c r="C83" t="s">
        <v>313</v>
      </c>
    </row>
    <row r="84" spans="1:4">
      <c r="A84" t="s">
        <v>263</v>
      </c>
      <c r="B84">
        <v>14</v>
      </c>
      <c r="C84" t="s">
        <v>313</v>
      </c>
    </row>
    <row r="85" spans="1:4">
      <c r="A85" t="s">
        <v>314</v>
      </c>
      <c r="B85">
        <v>7</v>
      </c>
      <c r="C85" t="s">
        <v>313</v>
      </c>
    </row>
  </sheetData>
  <mergeCells count="10">
    <mergeCell ref="N2:N9"/>
    <mergeCell ref="J2:L2"/>
    <mergeCell ref="M2:M9"/>
    <mergeCell ref="L3:L9"/>
    <mergeCell ref="F2:F9"/>
    <mergeCell ref="G2:G9"/>
    <mergeCell ref="H2:H9"/>
    <mergeCell ref="J3:J9"/>
    <mergeCell ref="K3:K9"/>
    <mergeCell ref="I2:I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F117"/>
  <sheetViews>
    <sheetView topLeftCell="C1" zoomScale="55" zoomScaleNormal="55" zoomScalePageLayoutView="81" workbookViewId="0">
      <pane ySplit="2" topLeftCell="A60" activePane="bottomLeft" state="frozen"/>
      <selection pane="bottomLeft" activeCell="Z86" sqref="Z86"/>
    </sheetView>
  </sheetViews>
  <sheetFormatPr baseColWidth="10" defaultColWidth="10.875" defaultRowHeight="14.25"/>
  <cols>
    <col min="1" max="2" width="17.375" style="2" customWidth="1"/>
    <col min="3" max="3" width="42.875" style="3" customWidth="1"/>
    <col min="4" max="4" width="73.5" style="2" customWidth="1"/>
    <col min="5" max="5" width="14.375" style="2" customWidth="1"/>
    <col min="6" max="6" width="7.375" style="3" customWidth="1"/>
    <col min="7" max="7" width="17.625" style="3" hidden="1" customWidth="1"/>
    <col min="8" max="9" width="17.625" style="3" customWidth="1"/>
    <col min="10" max="11" width="16.75" style="3" bestFit="1" customWidth="1"/>
    <col min="12" max="12" width="5" style="3" customWidth="1"/>
    <col min="13" max="13" width="13.625" style="3" bestFit="1" customWidth="1"/>
    <col min="14" max="14" width="13.625" style="3" customWidth="1"/>
    <col min="15" max="16" width="14.125" style="3" bestFit="1" customWidth="1"/>
    <col min="17" max="17" width="4.625" style="3" customWidth="1"/>
    <col min="18" max="18" width="10.875" style="3"/>
    <col min="19" max="19" width="9.375" style="3" customWidth="1"/>
    <col min="20" max="20" width="10.875" style="3"/>
    <col min="21" max="21" width="10.875" style="454"/>
    <col min="22" max="22" width="17.625" style="3" customWidth="1"/>
    <col min="23" max="24" width="16.75" style="3" bestFit="1" customWidth="1"/>
    <col min="25" max="25" width="2.75" style="3" customWidth="1"/>
    <col min="26" max="16384" width="10.875" style="3"/>
  </cols>
  <sheetData>
    <row r="1" spans="1:32" ht="27.6" customHeight="1" thickBot="1">
      <c r="G1" s="825" t="s">
        <v>315</v>
      </c>
      <c r="H1" s="1143" t="s">
        <v>316</v>
      </c>
      <c r="I1" s="1158"/>
      <c r="J1" s="1144"/>
      <c r="K1" s="665"/>
      <c r="M1" s="1143" t="s">
        <v>317</v>
      </c>
      <c r="N1" s="1158"/>
      <c r="O1" s="1144"/>
      <c r="P1" s="665"/>
      <c r="R1" s="1143" t="s">
        <v>318</v>
      </c>
      <c r="S1" s="1158"/>
      <c r="T1" s="1144"/>
      <c r="V1" s="1143" t="s">
        <v>319</v>
      </c>
      <c r="W1" s="1144"/>
      <c r="X1" s="665"/>
      <c r="Z1" s="1155" t="s">
        <v>320</v>
      </c>
      <c r="AA1" s="1156"/>
      <c r="AB1" s="1157"/>
      <c r="AC1" s="1157"/>
      <c r="AF1" s="3" t="s">
        <v>321</v>
      </c>
    </row>
    <row r="2" spans="1:32" s="1" customFormat="1" ht="64.5" thickBot="1">
      <c r="A2" s="826" t="s">
        <v>322</v>
      </c>
      <c r="B2" s="826" t="s">
        <v>323</v>
      </c>
      <c r="C2" s="827" t="s">
        <v>324</v>
      </c>
      <c r="D2" s="826" t="s">
        <v>325</v>
      </c>
      <c r="E2" s="490" t="s">
        <v>326</v>
      </c>
      <c r="F2" s="490" t="s">
        <v>327</v>
      </c>
      <c r="G2" s="490" t="s">
        <v>328</v>
      </c>
      <c r="H2" s="490" t="s">
        <v>329</v>
      </c>
      <c r="I2" s="490" t="s">
        <v>330</v>
      </c>
      <c r="J2" s="490" t="s">
        <v>331</v>
      </c>
      <c r="K2" s="490"/>
      <c r="M2" s="490" t="s">
        <v>332</v>
      </c>
      <c r="N2" s="490" t="s">
        <v>330</v>
      </c>
      <c r="O2" s="490" t="s">
        <v>333</v>
      </c>
      <c r="P2" s="490" t="s">
        <v>334</v>
      </c>
      <c r="R2" s="490" t="s">
        <v>335</v>
      </c>
      <c r="S2" s="490" t="s">
        <v>336</v>
      </c>
      <c r="T2" s="490" t="s">
        <v>337</v>
      </c>
      <c r="U2" s="455"/>
      <c r="V2" s="490" t="s">
        <v>338</v>
      </c>
      <c r="W2" s="490" t="s">
        <v>339</v>
      </c>
      <c r="X2" s="490" t="s">
        <v>340</v>
      </c>
      <c r="Z2" s="490" t="s">
        <v>341</v>
      </c>
      <c r="AA2" s="448" t="s">
        <v>342</v>
      </c>
      <c r="AB2" s="490" t="s">
        <v>340</v>
      </c>
      <c r="AC2" s="449" t="s">
        <v>343</v>
      </c>
      <c r="AD2" s="449" t="s">
        <v>343</v>
      </c>
      <c r="AE2" s="449" t="s">
        <v>343</v>
      </c>
      <c r="AF2" s="449" t="s">
        <v>343</v>
      </c>
    </row>
    <row r="3" spans="1:32" s="1" customFormat="1" ht="15.6" customHeight="1" thickBot="1">
      <c r="A3" s="1140" t="s">
        <v>95</v>
      </c>
      <c r="B3" s="430"/>
      <c r="C3" s="431"/>
      <c r="D3" s="432"/>
      <c r="E3" s="433"/>
      <c r="F3" s="433"/>
      <c r="G3" s="433"/>
      <c r="H3" s="433"/>
      <c r="I3" s="434"/>
      <c r="J3" s="434"/>
      <c r="K3" s="434"/>
      <c r="L3" s="435"/>
      <c r="M3" s="434"/>
      <c r="N3" s="434"/>
      <c r="O3" s="434"/>
      <c r="P3" s="434"/>
      <c r="Q3" s="435"/>
      <c r="R3" s="470">
        <f>R4</f>
        <v>82.996420125679748</v>
      </c>
      <c r="S3" s="470">
        <f t="shared" ref="S3:T3" si="0">S4</f>
        <v>0</v>
      </c>
      <c r="T3" s="470">
        <f t="shared" si="0"/>
        <v>3.1473703937738877</v>
      </c>
      <c r="U3" s="450">
        <f>(R3+S3+T3)/60</f>
        <v>1.4357298419908939</v>
      </c>
      <c r="V3" s="434"/>
      <c r="W3" s="434"/>
      <c r="X3" s="434"/>
      <c r="Y3" s="435"/>
      <c r="Z3" s="476">
        <f>Z4/Inputs!$C$6</f>
        <v>1.3832736687613294</v>
      </c>
      <c r="AA3" s="425">
        <f>AA4/Inputs!$C$6</f>
        <v>5.2456173229564786E-2</v>
      </c>
      <c r="AB3" s="425"/>
      <c r="AC3" s="450">
        <f>Z3+AA3</f>
        <v>1.4357298419908942</v>
      </c>
      <c r="AF3" s="409">
        <f>-AB3</f>
        <v>0</v>
      </c>
    </row>
    <row r="4" spans="1:32" s="1" customFormat="1" ht="15" customHeight="1">
      <c r="A4" s="1141"/>
      <c r="B4" s="1145" t="s">
        <v>17</v>
      </c>
      <c r="C4" s="473" t="s">
        <v>32</v>
      </c>
      <c r="D4" s="828"/>
      <c r="E4" s="468"/>
      <c r="F4" s="468"/>
      <c r="G4" s="468"/>
      <c r="H4" s="468"/>
      <c r="I4" s="474"/>
      <c r="J4" s="426"/>
      <c r="K4" s="426"/>
      <c r="L4" s="426"/>
      <c r="M4" s="427">
        <f>SUM(M5:M11)</f>
        <v>120842.78770298972</v>
      </c>
      <c r="N4" s="427">
        <f>SUM(N5:N11)</f>
        <v>0</v>
      </c>
      <c r="O4" s="427">
        <f>SUM(O5:O11)</f>
        <v>4582.5712933347804</v>
      </c>
      <c r="P4" s="427"/>
      <c r="Q4" s="427"/>
      <c r="R4" s="475">
        <f>M4/Inputs!$C$6</f>
        <v>82.996420125679748</v>
      </c>
      <c r="S4" s="475">
        <f>N4/Inputs!$C$6</f>
        <v>0</v>
      </c>
      <c r="T4" s="475">
        <f>O4/Inputs!$C$6</f>
        <v>3.1473703937738877</v>
      </c>
      <c r="U4" s="455"/>
      <c r="V4" s="427"/>
      <c r="W4" s="426"/>
      <c r="X4" s="426"/>
      <c r="Z4" s="427">
        <f>SUM(Z5:Z11)</f>
        <v>2014.0464617164957</v>
      </c>
      <c r="AA4" s="427">
        <f>SUM(AA5:AA11)</f>
        <v>76.376188222246327</v>
      </c>
      <c r="AB4" s="427"/>
      <c r="AC4" s="451"/>
      <c r="AD4" s="623">
        <f>(Z4+AA4)/Inputs!$C$6</f>
        <v>1.4357298419908942</v>
      </c>
    </row>
    <row r="5" spans="1:32" ht="15">
      <c r="A5" s="1141"/>
      <c r="B5" s="1146"/>
      <c r="C5" s="483" t="s">
        <v>344</v>
      </c>
      <c r="D5" s="829" t="str">
        <f>'Transporte Transports'!Z22</f>
        <v>Excavations mécaniques, en moyenne</v>
      </c>
      <c r="E5" s="482" t="s">
        <v>210</v>
      </c>
      <c r="F5" s="483" t="s">
        <v>98</v>
      </c>
      <c r="G5" s="484">
        <f>'Travaux préparatoires'!L3+'Travaux préparatoires'!M3</f>
        <v>2.7333333333333331E-2</v>
      </c>
      <c r="H5" s="484">
        <f>'Travaux préparatoires'!I3</f>
        <v>0.438</v>
      </c>
      <c r="I5" s="484"/>
      <c r="J5" s="484">
        <f>'Travaux préparatoires'!J3</f>
        <v>0</v>
      </c>
      <c r="K5" s="484"/>
      <c r="M5" s="409">
        <f>H5*BillQuantities!$J$4</f>
        <v>1227.6264000000001</v>
      </c>
      <c r="N5" s="409"/>
      <c r="O5" s="409">
        <f>J5*BillQuantities!$J$4</f>
        <v>0</v>
      </c>
      <c r="P5" s="409"/>
      <c r="Q5" s="409"/>
      <c r="R5" s="409"/>
      <c r="S5" s="409"/>
      <c r="T5" s="409"/>
      <c r="V5" s="484">
        <f>'Travaux préparatoires'!N3</f>
        <v>7.3000000000000001E-3</v>
      </c>
      <c r="W5" s="484">
        <f>'Travaux préparatoires'!O3</f>
        <v>0</v>
      </c>
      <c r="X5" s="484"/>
      <c r="Z5" s="409">
        <f>V5*BillQuantities!$J$4</f>
        <v>20.460440000000002</v>
      </c>
      <c r="AA5" s="409">
        <f>W5*BillQuantities!$J$4</f>
        <v>0</v>
      </c>
      <c r="AB5" s="409"/>
      <c r="AC5" s="452"/>
      <c r="AE5" s="637">
        <f>(Z5+AA5)/Inputs!$C$6</f>
        <v>1.4052500000000001E-2</v>
      </c>
    </row>
    <row r="6" spans="1:32" ht="15">
      <c r="A6" s="1141"/>
      <c r="B6" s="1146"/>
      <c r="C6" s="483" t="str">
        <f>'Travaux préparatoires'!B8</f>
        <v>Blindage de fouille, paroi berlinoise, étayé</v>
      </c>
      <c r="D6" s="482" t="str">
        <f>'Baumaterialien Matériaux'!AD16</f>
        <v>Blindage de fouille, paroi berlinoise, étayé</v>
      </c>
      <c r="E6" s="482" t="s">
        <v>211</v>
      </c>
      <c r="F6" s="483" t="s">
        <v>39</v>
      </c>
      <c r="G6" s="484">
        <f>'Travaux préparatoires'!L8+'Travaux préparatoires'!M8</f>
        <v>10.848333333333333</v>
      </c>
      <c r="H6" s="484">
        <f>'Travaux préparatoires'!I8</f>
        <v>185</v>
      </c>
      <c r="I6" s="484"/>
      <c r="J6" s="484">
        <f>'Travaux préparatoires'!J8</f>
        <v>8.34</v>
      </c>
      <c r="K6" s="484"/>
      <c r="M6" s="409">
        <f>IF($C6=BillQuantities!$E$5, BillQuantities!$J$5*'Calcul ACV'!H6, 0)</f>
        <v>101651.76130298973</v>
      </c>
      <c r="N6" s="409"/>
      <c r="O6" s="409">
        <f>IF($C6=BillQuantities!$E$5, BillQuantities!$J$5*'Calcul ACV'!J6, 0)</f>
        <v>4582.5712933347804</v>
      </c>
      <c r="P6" s="409"/>
      <c r="Q6" s="409"/>
      <c r="R6" s="409"/>
      <c r="S6" s="409"/>
      <c r="T6" s="409"/>
      <c r="V6" s="484">
        <f>'Travaux préparatoires'!N8</f>
        <v>3.0833333333333335</v>
      </c>
      <c r="W6" s="484">
        <f>'Travaux préparatoires'!O8</f>
        <v>0.13899999999999998</v>
      </c>
      <c r="X6" s="484"/>
      <c r="Z6" s="409">
        <f>IF($C6=BillQuantities!$E$5, BillQuantities!$J$5*'Calcul ACV'!V6, 0)</f>
        <v>1694.1960217164956</v>
      </c>
      <c r="AA6" s="409">
        <f>IF($C6=BillQuantities!$E$5, BillQuantities!$J$5*'Calcul ACV'!W6, 0)</f>
        <v>76.376188222246327</v>
      </c>
      <c r="AB6" s="409"/>
      <c r="AC6" s="452"/>
      <c r="AE6" s="637">
        <f>(Z6+AA6)/Inputs!$C$6</f>
        <v>1.2160523419908942</v>
      </c>
    </row>
    <row r="7" spans="1:32" ht="15" hidden="1">
      <c r="A7" s="1141"/>
      <c r="B7" s="1146"/>
      <c r="C7" s="830" t="str">
        <f>'Travaux préparatoires'!B10</f>
        <v>Blindage de fouille, paroi moulée, 400 mm</v>
      </c>
      <c r="D7" s="831" t="str">
        <f>'Baumaterialien Matériaux'!AD18</f>
        <v>Blindage de fouille, paroi moulée, 400 mm</v>
      </c>
      <c r="E7" s="831" t="s">
        <v>211</v>
      </c>
      <c r="F7" s="830" t="s">
        <v>39</v>
      </c>
      <c r="G7" s="489">
        <f>'Travaux préparatoires'!L10+'Travaux préparatoires'!M10</f>
        <v>21.916666666666664</v>
      </c>
      <c r="H7" s="489">
        <f>'Travaux préparatoires'!I10</f>
        <v>467</v>
      </c>
      <c r="I7" s="489"/>
      <c r="J7" s="489">
        <f>'Travaux préparatoires'!J10</f>
        <v>30.6</v>
      </c>
      <c r="K7" s="489"/>
      <c r="M7" s="409">
        <f>IF($C7=BillQuantities!$E$5, BillQuantities!$J$5*'Calcul ACV'!H7, 0)</f>
        <v>0</v>
      </c>
      <c r="N7" s="409"/>
      <c r="O7" s="409">
        <f>IF($C7=BillQuantities!$E$5, BillQuantities!$J$5*'Calcul ACV'!J7, 0)</f>
        <v>0</v>
      </c>
      <c r="P7" s="409"/>
      <c r="Q7" s="409"/>
      <c r="R7" s="409"/>
      <c r="S7" s="409"/>
      <c r="T7" s="409"/>
      <c r="V7" s="489">
        <f>'Travaux préparatoires'!N10</f>
        <v>7.7833333333333332</v>
      </c>
      <c r="W7" s="489">
        <f>'Travaux préparatoires'!O10</f>
        <v>0.51</v>
      </c>
      <c r="X7" s="489"/>
      <c r="Z7" s="409">
        <f>IF($C7=BillQuantities!$E$5, BillQuantities!$J$5*'Calcul ACV'!V7, 0)</f>
        <v>0</v>
      </c>
      <c r="AA7" s="409">
        <f>IF($C7=BillQuantities!$E$5, BillQuantities!$J$5*'Calcul ACV'!W7, 0)</f>
        <v>0</v>
      </c>
      <c r="AB7" s="409"/>
      <c r="AC7" s="452"/>
      <c r="AE7" s="637">
        <f>(Z7+AA7)/Inputs!$C$6</f>
        <v>0</v>
      </c>
    </row>
    <row r="8" spans="1:32" ht="15.95" hidden="1" customHeight="1">
      <c r="A8" s="1141"/>
      <c r="B8" s="1146"/>
      <c r="C8" s="830" t="str">
        <f>'Travaux préparatoires'!B12</f>
        <v>Blindage de fouille, paroi de palplanche, en porte-à-faux</v>
      </c>
      <c r="D8" s="831" t="str">
        <f>'Baumaterialien Matériaux'!AD20</f>
        <v>Blindage de fouille, paroi de palplanche, en porte-à-faux</v>
      </c>
      <c r="E8" s="831" t="s">
        <v>211</v>
      </c>
      <c r="F8" s="830" t="s">
        <v>39</v>
      </c>
      <c r="G8" s="489">
        <f>'Travaux préparatoires'!L12+'Travaux préparatoires'!M12</f>
        <v>12.219666666666667</v>
      </c>
      <c r="H8" s="489">
        <f>'Travaux préparatoires'!I12</f>
        <v>169</v>
      </c>
      <c r="I8" s="489"/>
      <c r="J8" s="489">
        <f>'Travaux préparatoires'!J12</f>
        <v>1.07</v>
      </c>
      <c r="K8" s="489"/>
      <c r="M8" s="409">
        <f>IF($C8=BillQuantities!$E$5, BillQuantities!$J$5*'Calcul ACV'!H8, 0)</f>
        <v>0</v>
      </c>
      <c r="N8" s="409"/>
      <c r="O8" s="409">
        <f>IF($C8=BillQuantities!$E$5, BillQuantities!$J$5*'Calcul ACV'!J8, 0)</f>
        <v>0</v>
      </c>
      <c r="P8" s="409"/>
      <c r="Q8" s="409"/>
      <c r="R8" s="409"/>
      <c r="S8" s="409"/>
      <c r="T8" s="409"/>
      <c r="V8" s="489">
        <f>'Travaux préparatoires'!N12</f>
        <v>2.8166666666666669</v>
      </c>
      <c r="W8" s="489">
        <f>'Travaux préparatoires'!O12</f>
        <v>1.7833333333333333E-2</v>
      </c>
      <c r="X8" s="489"/>
      <c r="Z8" s="409">
        <f>IF($C8=BillQuantities!$E$5, BillQuantities!$J$5*'Calcul ACV'!V8, 0)</f>
        <v>0</v>
      </c>
      <c r="AA8" s="409">
        <f>IF($C8=BillQuantities!$E$5, BillQuantities!$J$5*'Calcul ACV'!W8, 0)</f>
        <v>0</v>
      </c>
      <c r="AB8" s="409"/>
      <c r="AC8" s="452"/>
      <c r="AE8" s="637">
        <f>(Z8+AA8)/Inputs!$C$6</f>
        <v>0</v>
      </c>
    </row>
    <row r="9" spans="1:32" ht="15.95" hidden="1" customHeight="1">
      <c r="A9" s="1141"/>
      <c r="B9" s="1146"/>
      <c r="C9" s="484" t="str">
        <f>'Travaux préparatoires'!C16</f>
        <v xml:space="preserve">Fondations profondes, micropieu </v>
      </c>
      <c r="D9" s="482" t="str">
        <f>'Travaux préparatoires'!B16</f>
        <v>Mikrobohrpfahl (Annahme 1.5 m Pfählung pro m2 Bodenplatte)</v>
      </c>
      <c r="E9" s="832" t="s">
        <v>212</v>
      </c>
      <c r="F9" s="483" t="s">
        <v>39</v>
      </c>
      <c r="G9" s="484">
        <f>'Travaux préparatoires'!L16+'Travaux préparatoires'!M16</f>
        <v>2.95</v>
      </c>
      <c r="H9" s="484">
        <f>'Travaux préparatoires'!I16</f>
        <v>53.099999999999994</v>
      </c>
      <c r="I9" s="484"/>
      <c r="J9" s="484">
        <f>'Travaux préparatoires'!J16</f>
        <v>0</v>
      </c>
      <c r="K9" s="484"/>
      <c r="M9" s="409">
        <f>IF($C9=BillQuantities!$E$6, BillQuantities!$J$6*'Calcul ACV'!H9, 0)</f>
        <v>0</v>
      </c>
      <c r="N9" s="409"/>
      <c r="O9" s="409">
        <f>IF($C9=BillQuantities!$E$6, BillQuantities!$J$6*'Calcul ACV'!J9, 0)</f>
        <v>0</v>
      </c>
      <c r="P9" s="409"/>
      <c r="Q9" s="409"/>
      <c r="R9" s="409"/>
      <c r="S9" s="409"/>
      <c r="T9" s="409"/>
      <c r="V9" s="484">
        <f>'Travaux préparatoires'!N16</f>
        <v>0.8849999999999999</v>
      </c>
      <c r="W9" s="484">
        <f>'Travaux préparatoires'!O16</f>
        <v>0</v>
      </c>
      <c r="X9" s="484"/>
      <c r="Z9" s="409">
        <f>IF($C9=BillQuantities!$E$6, BillQuantities!$J$6*'Calcul ACV'!V9, 0)</f>
        <v>0</v>
      </c>
      <c r="AA9" s="409">
        <f>IF($C9=BillQuantities!$E$6, BillQuantities!$J$6*'Calcul ACV'!W9, 0)</f>
        <v>0</v>
      </c>
      <c r="AB9" s="409"/>
      <c r="AC9" s="452"/>
      <c r="AE9" s="637">
        <f>(Z9+AA9)/Inputs!$C$6</f>
        <v>0</v>
      </c>
    </row>
    <row r="10" spans="1:32" ht="15.95" hidden="1" customHeight="1">
      <c r="A10" s="1141"/>
      <c r="B10" s="1146"/>
      <c r="C10" s="489" t="str">
        <f>'Travaux préparatoires'!C18</f>
        <v>Fondations profondes, pieux forés vissés, 660/580 mm</v>
      </c>
      <c r="D10" s="831" t="str">
        <f>'Travaux préparatoires'!B18</f>
        <v>Ortbetonverdrängungspfahl (Annahme 1.5 m Pfählung pro m2 Bodenplatte)</v>
      </c>
      <c r="E10" s="833" t="s">
        <v>212</v>
      </c>
      <c r="F10" s="830" t="s">
        <v>39</v>
      </c>
      <c r="G10" s="489">
        <f>'Travaux préparatoires'!L18+'Travaux préparatoires'!M18</f>
        <v>7.4</v>
      </c>
      <c r="H10" s="489">
        <f>'Travaux préparatoires'!I18</f>
        <v>172.5</v>
      </c>
      <c r="I10" s="489"/>
      <c r="J10" s="489">
        <f>'Travaux préparatoires'!J18</f>
        <v>0</v>
      </c>
      <c r="K10" s="489"/>
      <c r="M10" s="409">
        <f>IF($C10=BillQuantities!$E$6, BillQuantities!$J$6*'Calcul ACV'!H10, 0)</f>
        <v>0</v>
      </c>
      <c r="N10" s="409"/>
      <c r="O10" s="409">
        <f>IF($C10=BillQuantities!$E$6, BillQuantities!$J$6*'Calcul ACV'!J10, 0)</f>
        <v>0</v>
      </c>
      <c r="P10" s="409"/>
      <c r="Q10" s="409"/>
      <c r="R10" s="409"/>
      <c r="S10" s="409"/>
      <c r="T10" s="409"/>
      <c r="V10" s="489">
        <f>'Travaux préparatoires'!N18</f>
        <v>2.875</v>
      </c>
      <c r="W10" s="489">
        <f>'Travaux préparatoires'!O18</f>
        <v>0</v>
      </c>
      <c r="X10" s="489"/>
      <c r="Z10" s="409">
        <f>IF($C10=BillQuantities!$E$6, BillQuantities!$J$6*'Calcul ACV'!V10, 0)</f>
        <v>0</v>
      </c>
      <c r="AA10" s="409">
        <f>IF($C10=BillQuantities!$E$6, BillQuantities!$J$6*'Calcul ACV'!W10, 0)</f>
        <v>0</v>
      </c>
      <c r="AB10" s="409"/>
      <c r="AC10" s="452"/>
      <c r="AE10" s="637">
        <f>(Z10+AA10)/Inputs!$C$6</f>
        <v>0</v>
      </c>
    </row>
    <row r="11" spans="1:32" s="366" customFormat="1" ht="15.75" thickBot="1">
      <c r="A11" s="1142"/>
      <c r="B11" s="1148"/>
      <c r="C11" s="734" t="str">
        <f>'Travaux préparatoires'!C20</f>
        <v>Fondations profondes, pieu en béton préfabriqué</v>
      </c>
      <c r="D11" s="735" t="str">
        <f>'Travaux préparatoires'!B20</f>
        <v>Vorgefertigter Betonpfahl (Annahme 1.5 m Pfählung pro m2 Bodenplatte)</v>
      </c>
      <c r="E11" s="736" t="s">
        <v>212</v>
      </c>
      <c r="F11" s="737" t="s">
        <v>39</v>
      </c>
      <c r="G11" s="734">
        <f>'Travaux préparatoires'!L20+'Travaux préparatoires'!M20</f>
        <v>1.6625000000000001</v>
      </c>
      <c r="H11" s="734">
        <f>'Travaux préparatoires'!I20</f>
        <v>49.349999999999994</v>
      </c>
      <c r="I11" s="734"/>
      <c r="J11" s="734">
        <f>'Travaux préparatoires'!J20</f>
        <v>0</v>
      </c>
      <c r="K11" s="734"/>
      <c r="L11" s="738"/>
      <c r="M11" s="739">
        <f>IF($C11=BillQuantities!$E$6, BillQuantities!$J$6*'Calcul ACV'!H11, 0)</f>
        <v>17963.399999999998</v>
      </c>
      <c r="N11" s="739"/>
      <c r="O11" s="739">
        <f>IF($C11=BillQuantities!$E$6, BillQuantities!$J$6*'Calcul ACV'!J11, 0)</f>
        <v>0</v>
      </c>
      <c r="P11" s="739"/>
      <c r="Q11" s="739"/>
      <c r="R11" s="739"/>
      <c r="S11" s="739"/>
      <c r="T11" s="739"/>
      <c r="U11" s="740"/>
      <c r="V11" s="734">
        <f>'Travaux préparatoires'!N20</f>
        <v>0.8224999999999999</v>
      </c>
      <c r="W11" s="734">
        <f>'Travaux préparatoires'!O20</f>
        <v>0</v>
      </c>
      <c r="X11" s="734"/>
      <c r="Y11" s="738"/>
      <c r="Z11" s="739">
        <f>IF($C11=BillQuantities!$E$6, BillQuantities!$J$6*'Calcul ACV'!V11, 0)</f>
        <v>299.39</v>
      </c>
      <c r="AA11" s="739">
        <f>IF($C11=BillQuantities!$E$6, BillQuantities!$J$6*'Calcul ACV'!W11, 0)</f>
        <v>0</v>
      </c>
      <c r="AB11" s="739"/>
      <c r="AC11" s="741"/>
      <c r="AE11" s="742">
        <f>(Z11+AA11)/Inputs!$C$6</f>
        <v>0.205625</v>
      </c>
    </row>
    <row r="12" spans="1:32" ht="15.6" customHeight="1" thickBot="1">
      <c r="A12" s="1140" t="s">
        <v>101</v>
      </c>
      <c r="B12" s="436"/>
      <c r="C12" s="437"/>
      <c r="D12" s="438"/>
      <c r="E12" s="439"/>
      <c r="F12" s="437"/>
      <c r="G12" s="440"/>
      <c r="H12" s="440"/>
      <c r="I12" s="440"/>
      <c r="J12" s="440"/>
      <c r="K12" s="440"/>
      <c r="L12" s="441"/>
      <c r="M12" s="442"/>
      <c r="N12" s="442"/>
      <c r="O12" s="442"/>
      <c r="P12" s="442"/>
      <c r="Q12" s="442"/>
      <c r="R12" s="442">
        <f>R13+R16+R19</f>
        <v>58.740447497757131</v>
      </c>
      <c r="S12" s="442">
        <f t="shared" ref="S12:T12" si="1">S13+S16+S19</f>
        <v>0</v>
      </c>
      <c r="T12" s="442">
        <f t="shared" si="1"/>
        <v>7.0785520931967278</v>
      </c>
      <c r="U12" s="450">
        <f>(R12+S12+T12)/60</f>
        <v>1.0969833265158977</v>
      </c>
      <c r="V12" s="440"/>
      <c r="W12" s="440"/>
      <c r="X12" s="440"/>
      <c r="Y12" s="441"/>
      <c r="Z12" s="442">
        <f>(Z13+Z16+Z19)/Inputs!$C$6</f>
        <v>0.97900745829595226</v>
      </c>
      <c r="AA12" s="442">
        <f>(AA13+AA16+AA19)/Inputs!$C$6</f>
        <v>0.11797586821994546</v>
      </c>
      <c r="AB12" s="442"/>
      <c r="AC12" s="450">
        <f>Z12+AA12</f>
        <v>1.0969833265158977</v>
      </c>
      <c r="AF12" s="409">
        <f>-AB12</f>
        <v>0</v>
      </c>
    </row>
    <row r="13" spans="1:32" ht="13.9" customHeight="1">
      <c r="A13" s="1141"/>
      <c r="B13" s="1145" t="s">
        <v>102</v>
      </c>
      <c r="C13" s="473" t="s">
        <v>194</v>
      </c>
      <c r="D13" s="468"/>
      <c r="E13" s="468"/>
      <c r="F13" s="473"/>
      <c r="G13" s="473"/>
      <c r="H13" s="473"/>
      <c r="I13" s="473"/>
      <c r="J13" s="473"/>
      <c r="K13" s="473"/>
      <c r="L13" s="473"/>
      <c r="M13" s="427">
        <f>SUM(M14:M15)</f>
        <v>41953.74391082803</v>
      </c>
      <c r="N13" s="427"/>
      <c r="O13" s="427">
        <f>SUM(O14:O15)</f>
        <v>3990.4547949044586</v>
      </c>
      <c r="P13" s="427"/>
      <c r="Q13" s="475"/>
      <c r="R13" s="475">
        <f>M13/Inputs!$C$6</f>
        <v>28.81438455414013</v>
      </c>
      <c r="S13" s="475"/>
      <c r="T13" s="475">
        <f>O13/Inputs!$C$6</f>
        <v>2.7406969745222929</v>
      </c>
      <c r="V13" s="473"/>
      <c r="W13" s="473"/>
      <c r="X13" s="473"/>
      <c r="Z13" s="427">
        <f>SUM(Z14:Z15)</f>
        <v>699.22906518046716</v>
      </c>
      <c r="AA13" s="427">
        <f>SUM(AA14:AA15)</f>
        <v>66.507579915074302</v>
      </c>
      <c r="AB13" s="427"/>
      <c r="AC13" s="452"/>
      <c r="AD13" s="450">
        <f>(Z13+AA13)/Inputs!$C$6</f>
        <v>0.52591802547770705</v>
      </c>
    </row>
    <row r="14" spans="1:32">
      <c r="A14" s="1141"/>
      <c r="B14" s="1146"/>
      <c r="C14" s="483" t="s">
        <v>46</v>
      </c>
      <c r="D14" s="482" t="s">
        <v>345</v>
      </c>
      <c r="E14" s="482" t="s">
        <v>211</v>
      </c>
      <c r="F14" s="483" t="s">
        <v>39</v>
      </c>
      <c r="G14" s="484">
        <f>'Enveloppe du bâtiment sout.'!N6+'Enveloppe du bâtiment sout.'!O6</f>
        <v>4.9353814171974522</v>
      </c>
      <c r="H14" s="484">
        <f>'Enveloppe du bâtiment sout.'!K6</f>
        <v>115.25753821656052</v>
      </c>
      <c r="I14" s="484"/>
      <c r="J14" s="484">
        <f>'Enveloppe du bâtiment sout.'!L6</f>
        <v>10.962787898089172</v>
      </c>
      <c r="K14" s="484"/>
      <c r="M14" s="409">
        <f>IF($C14=BillQuantities!$E$8, BillQuantities!$J$8*'Calcul ACV'!H14, 0)</f>
        <v>41953.74391082803</v>
      </c>
      <c r="N14" s="409"/>
      <c r="O14" s="409">
        <f>IF($C14=BillQuantities!$E$8, BillQuantities!$J$8*'Calcul ACV'!J14, 0)</f>
        <v>3990.4547949044586</v>
      </c>
      <c r="P14" s="409"/>
      <c r="Q14" s="409"/>
      <c r="R14" s="409"/>
      <c r="S14" s="409"/>
      <c r="T14" s="409"/>
      <c r="V14" s="484">
        <f>'Enveloppe du bâtiment sout.'!P6</f>
        <v>1.9209589702760086</v>
      </c>
      <c r="W14" s="484">
        <f>'Enveloppe du bâtiment sout.'!Q6</f>
        <v>0.18271313163481953</v>
      </c>
      <c r="X14" s="484"/>
      <c r="Z14" s="409">
        <f>IF($C14=BillQuantities!$E$8, BillQuantities!$J$8*'Calcul ACV'!V14, 0)</f>
        <v>699.22906518046716</v>
      </c>
      <c r="AA14" s="409">
        <f>IF($C14=BillQuantities!$E$8, BillQuantities!$J$8*'Calcul ACV'!W14, 0)</f>
        <v>66.507579915074302</v>
      </c>
      <c r="AB14" s="409"/>
      <c r="AC14" s="452"/>
    </row>
    <row r="15" spans="1:32" ht="15" thickBot="1">
      <c r="A15" s="1141"/>
      <c r="B15" s="1147"/>
      <c r="C15" s="483" t="s">
        <v>181</v>
      </c>
      <c r="D15" s="482" t="s">
        <v>346</v>
      </c>
      <c r="E15" s="482" t="s">
        <v>211</v>
      </c>
      <c r="F15" s="483" t="s">
        <v>39</v>
      </c>
      <c r="G15" s="484">
        <f>'Enveloppe du bâtiment sout.'!N22+'Enveloppe du bâtiment sout.'!O22</f>
        <v>7.7918870421974518</v>
      </c>
      <c r="H15" s="484">
        <f>'Enveloppe du bâtiment sout.'!K22</f>
        <v>169.51003821656053</v>
      </c>
      <c r="I15" s="484"/>
      <c r="J15" s="484">
        <f>'Enveloppe du bâtiment sout.'!L22</f>
        <v>21.343787898089172</v>
      </c>
      <c r="K15" s="484"/>
      <c r="M15" s="409">
        <f>IF($C15=BillQuantities!$E$8, BillQuantities!$J$8*'Calcul ACV'!H15, 0)</f>
        <v>0</v>
      </c>
      <c r="N15" s="409"/>
      <c r="O15" s="409">
        <f>IF($C15=BillQuantities!$E$8, BillQuantities!$J$8*'Calcul ACV'!J15, 0)</f>
        <v>0</v>
      </c>
      <c r="P15" s="409"/>
      <c r="Q15" s="409"/>
      <c r="R15" s="409"/>
      <c r="S15" s="409"/>
      <c r="T15" s="409"/>
      <c r="V15" s="834">
        <f>IF(Inputs!$J$13=Graphes_Background!$L$4, 'Enveloppe du bâtiment sout.'!P13, 'Enveloppe du bâtiment sout.'!P20)</f>
        <v>3.1639589702760085</v>
      </c>
      <c r="W15" s="834">
        <f>IF(Inputs!$J$13=Graphes_Background!$L$4, 'Enveloppe du bâtiment sout.'!Q13, 'Enveloppe du bâtiment sout.'!Q20)</f>
        <v>0.52261313163481959</v>
      </c>
      <c r="X15" s="834"/>
      <c r="Z15" s="409">
        <f>IF($C15=BillQuantities!$E$8, BillQuantities!$J$8*'Calcul ACV'!V15, 0)</f>
        <v>0</v>
      </c>
      <c r="AA15" s="409">
        <f>IF($C15=BillQuantities!$E$8, BillQuantities!$J$8*'Calcul ACV'!W15, 0)</f>
        <v>0</v>
      </c>
      <c r="AB15" s="409"/>
      <c r="AC15" s="452"/>
    </row>
    <row r="16" spans="1:32" ht="15">
      <c r="A16" s="1141"/>
      <c r="B16" s="1145" t="s">
        <v>108</v>
      </c>
      <c r="C16" s="473" t="s">
        <v>109</v>
      </c>
      <c r="D16" s="468"/>
      <c r="E16" s="468"/>
      <c r="F16" s="473"/>
      <c r="G16" s="473"/>
      <c r="H16" s="473"/>
      <c r="I16" s="473"/>
      <c r="J16" s="473"/>
      <c r="K16" s="473"/>
      <c r="L16" s="473"/>
      <c r="M16" s="427">
        <f>SUM(M17:M18)</f>
        <v>43572.34764590636</v>
      </c>
      <c r="N16" s="427"/>
      <c r="O16" s="427">
        <f>SUM(O17:O18)</f>
        <v>6315.9170527899778</v>
      </c>
      <c r="P16" s="427"/>
      <c r="Q16" s="475"/>
      <c r="R16" s="475">
        <f>M16/Inputs!$C$6</f>
        <v>29.926062943617005</v>
      </c>
      <c r="S16" s="475"/>
      <c r="T16" s="475">
        <f>O16/Inputs!$C$6</f>
        <v>4.337855118674435</v>
      </c>
      <c r="V16" s="473"/>
      <c r="W16" s="473"/>
      <c r="X16" s="473"/>
      <c r="Z16" s="427">
        <f>SUM(Z17:Z18)</f>
        <v>726.20579409843936</v>
      </c>
      <c r="AA16" s="427">
        <f>SUM(AA17:AA18)</f>
        <v>105.26528421316628</v>
      </c>
      <c r="AB16" s="427"/>
      <c r="AC16" s="452"/>
      <c r="AD16" s="450">
        <f>(Z16+AA16)/Inputs!$C$6</f>
        <v>0.57106530103819064</v>
      </c>
    </row>
    <row r="17" spans="1:32">
      <c r="A17" s="1141"/>
      <c r="B17" s="1146"/>
      <c r="C17" s="483" t="s">
        <v>46</v>
      </c>
      <c r="D17" s="482" t="s">
        <v>347</v>
      </c>
      <c r="E17" s="482" t="s">
        <v>211</v>
      </c>
      <c r="F17" s="483" t="s">
        <v>39</v>
      </c>
      <c r="G17" s="484">
        <f>'Enveloppe du bâtiment sout.'!N31+'Enveloppe du bâtiment sout.'!O31</f>
        <v>4.8893059002123138</v>
      </c>
      <c r="H17" s="484">
        <f>'Enveloppe du bâtiment sout.'!K31</f>
        <v>95.158815286624204</v>
      </c>
      <c r="I17" s="484"/>
      <c r="J17" s="484">
        <f>'Enveloppe du bâtiment sout.'!L31</f>
        <v>13.79350015923567</v>
      </c>
      <c r="K17" s="484"/>
      <c r="M17" s="409">
        <f>IF($C17=BillQuantities!$E$10, BillQuantities!$J$10*'Calcul ACV'!H17, 0)</f>
        <v>43572.34764590636</v>
      </c>
      <c r="N17" s="409"/>
      <c r="O17" s="409">
        <f>IF($C17=BillQuantities!$E$10, BillQuantities!$J$10*'Calcul ACV'!J17, 0)</f>
        <v>6315.9170527899778</v>
      </c>
      <c r="P17" s="409"/>
      <c r="Q17" s="409"/>
      <c r="R17" s="409"/>
      <c r="S17" s="409"/>
      <c r="T17" s="409"/>
      <c r="V17" s="484">
        <f>'Enveloppe du bâtiment sout.'!P31</f>
        <v>1.5859802547770701</v>
      </c>
      <c r="W17" s="484">
        <f>'Enveloppe du bâtiment sout.'!Q31</f>
        <v>0.22989166932059449</v>
      </c>
      <c r="X17" s="484"/>
      <c r="Z17" s="409">
        <f>IF($C17=BillQuantities!$E$10, BillQuantities!$J$10*'Calcul ACV'!V17, 0)</f>
        <v>726.20579409843936</v>
      </c>
      <c r="AA17" s="409">
        <f>IF($C17=BillQuantities!$E$10, BillQuantities!$J$10*'Calcul ACV'!W17, 0)</f>
        <v>105.26528421316628</v>
      </c>
      <c r="AB17" s="409"/>
      <c r="AC17" s="452"/>
    </row>
    <row r="18" spans="1:32" ht="29.25" thickBot="1">
      <c r="A18" s="1141"/>
      <c r="B18" s="1147"/>
      <c r="C18" s="483" t="s">
        <v>181</v>
      </c>
      <c r="D18" s="482" t="s">
        <v>348</v>
      </c>
      <c r="E18" s="482" t="s">
        <v>211</v>
      </c>
      <c r="F18" s="483" t="s">
        <v>39</v>
      </c>
      <c r="G18" s="484">
        <f>'Enveloppe du bâtiment sout.'!N47+'Enveloppe du bâtiment sout.'!O47</f>
        <v>8.4936165252123139</v>
      </c>
      <c r="H18" s="484">
        <f>'Enveloppe du bâtiment sout.'!K47</f>
        <v>152.14431528662422</v>
      </c>
      <c r="I18" s="484"/>
      <c r="J18" s="484">
        <f>'Enveloppe du bâtiment sout.'!L47</f>
        <v>24.73550015923567</v>
      </c>
      <c r="K18" s="484"/>
      <c r="M18" s="409">
        <f>IF($C18=BillQuantities!$E$10, BillQuantities!$J$10*'Calcul ACV'!H18, 0)</f>
        <v>0</v>
      </c>
      <c r="N18" s="409"/>
      <c r="O18" s="409">
        <f>IF($C18=BillQuantities!$E$10, BillQuantities!$J$10*'Calcul ACV'!J18, 0)</f>
        <v>0</v>
      </c>
      <c r="P18" s="409"/>
      <c r="Q18" s="409"/>
      <c r="R18" s="409"/>
      <c r="S18" s="409"/>
      <c r="T18" s="409"/>
      <c r="V18" s="834">
        <f>IF(Inputs!$J$13=Graphes_Background!$L$4, 'Enveloppe du bâtiment sout.'!P40, 'Enveloppe du bâtiment sout.'!P45)</f>
        <v>2.8745302547770706</v>
      </c>
      <c r="W18" s="834">
        <f>IF(Inputs!$J$13=Graphes_Background!$L$4, 'Enveloppe du bâtiment sout.'!Q40, 'Enveloppe du bâtiment sout.'!Q45)</f>
        <v>0.57914166932059452</v>
      </c>
      <c r="X18" s="834"/>
      <c r="Z18" s="409">
        <f>IF($C18=BillQuantities!$E$10, BillQuantities!$J$10*'Calcul ACV'!V18, 0)</f>
        <v>0</v>
      </c>
      <c r="AA18" s="409">
        <f>IF($C18=BillQuantities!$E$10, BillQuantities!$J$10*'Calcul ACV'!W18, 0)</f>
        <v>0</v>
      </c>
      <c r="AB18" s="409"/>
      <c r="AC18" s="452"/>
    </row>
    <row r="19" spans="1:32" ht="15">
      <c r="A19" s="1141"/>
      <c r="B19" s="1145" t="s">
        <v>111</v>
      </c>
      <c r="C19" s="473" t="s">
        <v>112</v>
      </c>
      <c r="D19" s="468"/>
      <c r="E19" s="468"/>
      <c r="F19" s="473"/>
      <c r="G19" s="473"/>
      <c r="H19" s="473"/>
      <c r="I19" s="473"/>
      <c r="J19" s="473"/>
      <c r="K19" s="473"/>
      <c r="L19" s="473"/>
      <c r="M19" s="427">
        <f>SUM(M21:M22)</f>
        <v>0</v>
      </c>
      <c r="N19" s="427"/>
      <c r="O19" s="427">
        <f>SUM(O21:O22)</f>
        <v>0</v>
      </c>
      <c r="P19" s="427"/>
      <c r="Q19" s="475"/>
      <c r="R19" s="475">
        <f>M19/Inputs!$C$6</f>
        <v>0</v>
      </c>
      <c r="S19" s="475"/>
      <c r="T19" s="475">
        <f>O19/Inputs!$C$6</f>
        <v>0</v>
      </c>
      <c r="V19" s="473"/>
      <c r="W19" s="473"/>
      <c r="X19" s="473"/>
      <c r="Z19" s="427">
        <f>SUM(Z21:Z22)</f>
        <v>0</v>
      </c>
      <c r="AA19" s="427">
        <f>SUM(AA21:AA22)</f>
        <v>0</v>
      </c>
      <c r="AB19" s="427"/>
      <c r="AC19" s="452"/>
      <c r="AD19" s="450">
        <f>(Z19+AA19)/Inputs!$C$6</f>
        <v>0</v>
      </c>
    </row>
    <row r="20" spans="1:32" hidden="1">
      <c r="A20" s="1141"/>
      <c r="B20" s="1146"/>
      <c r="C20" s="483" t="s">
        <v>349</v>
      </c>
      <c r="D20" s="482"/>
      <c r="E20" s="482" t="s">
        <v>211</v>
      </c>
      <c r="F20" s="483" t="s">
        <v>39</v>
      </c>
      <c r="G20" s="484"/>
      <c r="H20" s="484">
        <f>'Enveloppe du bâtiment sout.'!K57</f>
        <v>119.82449808917197</v>
      </c>
      <c r="I20" s="484"/>
      <c r="J20" s="484">
        <f>'Enveloppe du bâtiment sout.'!L57</f>
        <v>24.94656560509554</v>
      </c>
      <c r="K20" s="484"/>
      <c r="M20" s="409">
        <f>IF($C20=BillQuantities!$E$12, BillQuantities!$J$12*'Calcul ACV'!H20, 0)</f>
        <v>0</v>
      </c>
      <c r="N20" s="409"/>
      <c r="O20" s="409">
        <f>IF($C20=BillQuantities!$E$12, BillQuantities!$J$12*'Calcul ACV'!J20, 0)</f>
        <v>0</v>
      </c>
      <c r="P20" s="409"/>
      <c r="Q20" s="409"/>
      <c r="R20" s="409"/>
      <c r="S20" s="409"/>
      <c r="T20" s="409"/>
      <c r="V20" s="484">
        <f>'Enveloppe du bâtiment sout.'!P57</f>
        <v>1.9970749681528661</v>
      </c>
      <c r="W20" s="484">
        <f>'Enveloppe du bâtiment sout.'!Q57</f>
        <v>0.415776093418259</v>
      </c>
      <c r="X20" s="484"/>
      <c r="Z20" s="409">
        <f>IF($C20=BillQuantities!$E$12, BillQuantities!$J$12*'Calcul ACV'!V20, 0)</f>
        <v>0</v>
      </c>
      <c r="AA20" s="409">
        <f>IF($C20=BillQuantities!$E$12, BillQuantities!$J$12*'Calcul ACV'!W20, 0)</f>
        <v>0</v>
      </c>
      <c r="AB20" s="409"/>
      <c r="AC20" s="452"/>
    </row>
    <row r="21" spans="1:32">
      <c r="A21" s="1141"/>
      <c r="B21" s="1146"/>
      <c r="C21" s="483" t="s">
        <v>46</v>
      </c>
      <c r="D21" s="482" t="s">
        <v>350</v>
      </c>
      <c r="E21" s="482" t="s">
        <v>211</v>
      </c>
      <c r="F21" s="483" t="s">
        <v>39</v>
      </c>
      <c r="G21" s="484">
        <f>'Enveloppe du bâtiment sout.'!N66+'Enveloppe du bâtiment sout.'!O66</f>
        <v>6.2505827208067934</v>
      </c>
      <c r="H21" s="484">
        <f>'Enveloppe du bâtiment sout.'!K66</f>
        <v>119.82449808917197</v>
      </c>
      <c r="I21" s="484"/>
      <c r="J21" s="484">
        <f>'Enveloppe du bâtiment sout.'!L66</f>
        <v>24.94656560509554</v>
      </c>
      <c r="K21" s="484"/>
      <c r="M21" s="409">
        <f>IF($C21=BillQuantities!$E$12, BillQuantities!$J$12*'Calcul ACV'!H21, 0)</f>
        <v>0</v>
      </c>
      <c r="N21" s="409"/>
      <c r="O21" s="409">
        <f>IF($C21=BillQuantities!$E$12, BillQuantities!$J$12*'Calcul ACV'!J21, 0)</f>
        <v>0</v>
      </c>
      <c r="P21" s="409"/>
      <c r="Q21" s="409"/>
      <c r="R21" s="409"/>
      <c r="S21" s="409"/>
      <c r="T21" s="409"/>
      <c r="V21" s="484">
        <f>'Enveloppe du bâtiment sout.'!P66</f>
        <v>1.9970749681528661</v>
      </c>
      <c r="W21" s="484">
        <f>'Enveloppe du bâtiment sout.'!Q66</f>
        <v>0.415776093418259</v>
      </c>
      <c r="X21" s="484"/>
      <c r="Z21" s="409">
        <f>IF($C21=BillQuantities!$E$12, BillQuantities!$J$12*'Calcul ACV'!V21, 0)</f>
        <v>0</v>
      </c>
      <c r="AA21" s="409">
        <f>IF($C21=BillQuantities!$E$12, BillQuantities!$J$12*'Calcul ACV'!W21, 0)</f>
        <v>0</v>
      </c>
      <c r="AB21" s="409"/>
      <c r="AC21" s="452"/>
    </row>
    <row r="22" spans="1:32" ht="29.25" thickBot="1">
      <c r="A22" s="1142"/>
      <c r="B22" s="1148"/>
      <c r="C22" s="443" t="s">
        <v>181</v>
      </c>
      <c r="D22" s="444" t="s">
        <v>351</v>
      </c>
      <c r="E22" s="444" t="s">
        <v>211</v>
      </c>
      <c r="F22" s="443" t="s">
        <v>39</v>
      </c>
      <c r="G22" s="445">
        <f>'Enveloppe du bâtiment sout.'!N91+'Enveloppe du bâtiment sout.'!O91</f>
        <v>11.754132512473461</v>
      </c>
      <c r="H22" s="445">
        <f>'Enveloppe du bâtiment sout.'!K91</f>
        <v>185.440498089172</v>
      </c>
      <c r="I22" s="445"/>
      <c r="J22" s="445">
        <f>'Enveloppe du bâtiment sout.'!L91</f>
        <v>50.523065605095539</v>
      </c>
      <c r="K22" s="445"/>
      <c r="L22" s="428"/>
      <c r="M22" s="429">
        <f>IF($C22=BillQuantities!$E$12, BillQuantities!$J$12*'Calcul ACV'!H22, 0)</f>
        <v>0</v>
      </c>
      <c r="N22" s="429"/>
      <c r="O22" s="429">
        <f>IF($C22=BillQuantities!$E$12, BillQuantities!$J$12*'Calcul ACV'!J22, 0)</f>
        <v>0</v>
      </c>
      <c r="P22" s="429"/>
      <c r="Q22" s="429"/>
      <c r="R22" s="429"/>
      <c r="S22" s="429"/>
      <c r="T22" s="429"/>
      <c r="U22" s="456"/>
      <c r="V22" s="481">
        <f>IF(Inputs!$J$13=Graphes_Background!$L$4, 'Enveloppe du bâtiment sout.'!P77, 'Enveloppe du bâtiment sout.'!P89)</f>
        <v>3.3307749681528667</v>
      </c>
      <c r="W22" s="481">
        <f>IF(Inputs!$J$13=Graphes_Background!$L$4, 'Enveloppe du bâtiment sout.'!Q77, 'Enveloppe du bâtiment sout.'!Q89)</f>
        <v>0.98867609341825902</v>
      </c>
      <c r="X22" s="481"/>
      <c r="Y22" s="428"/>
      <c r="Z22" s="429">
        <f>IF($C22=BillQuantities!$E$12, BillQuantities!$J$12*'Calcul ACV'!V22, 0)</f>
        <v>0</v>
      </c>
      <c r="AA22" s="429">
        <f>IF($C22=BillQuantities!$E$12, BillQuantities!$J$12*'Calcul ACV'!W22, 0)</f>
        <v>0</v>
      </c>
      <c r="AB22" s="429"/>
      <c r="AC22" s="453"/>
    </row>
    <row r="23" spans="1:32" ht="15.6" customHeight="1" thickBot="1">
      <c r="A23" s="1140" t="s">
        <v>113</v>
      </c>
      <c r="B23" s="436"/>
      <c r="C23" s="446"/>
      <c r="D23" s="433"/>
      <c r="E23" s="433"/>
      <c r="F23" s="446"/>
      <c r="G23" s="447"/>
      <c r="H23" s="447"/>
      <c r="I23" s="447"/>
      <c r="J23" s="447"/>
      <c r="K23" s="447"/>
      <c r="L23" s="441"/>
      <c r="M23" s="442"/>
      <c r="N23" s="442"/>
      <c r="O23" s="442"/>
      <c r="P23" s="442"/>
      <c r="Q23" s="442"/>
      <c r="R23" s="442">
        <f>(R24+R30+R38+R40+R46)</f>
        <v>147.25192374203823</v>
      </c>
      <c r="S23" s="442">
        <f t="shared" ref="S23:T23" si="2">(S24+S30+S38+S40+S46)</f>
        <v>94.210424750000016</v>
      </c>
      <c r="T23" s="442">
        <f t="shared" si="2"/>
        <v>24.911202106687902</v>
      </c>
      <c r="U23" s="450">
        <f>(R23+S23+T23)/60</f>
        <v>4.4395591766454352</v>
      </c>
      <c r="V23" s="447"/>
      <c r="W23" s="447"/>
      <c r="X23" s="447"/>
      <c r="Y23" s="441"/>
      <c r="Z23" s="442">
        <f>(Z24+Z30+Z38+Z40+Z46)/Inputs!$C$6</f>
        <v>3.6268361040339707</v>
      </c>
      <c r="AA23" s="442">
        <f>(AA24+AA30+AA38+AA40+AA46)/Inputs!$C$6</f>
        <v>0.638001472611465</v>
      </c>
      <c r="AB23" s="442">
        <f>(AB24+AB30+AB38+AB40+AB46)/Inputs!$C$6</f>
        <v>8.1508472222222225E-2</v>
      </c>
      <c r="AC23" s="450">
        <f>Z23+AA23</f>
        <v>4.2648375766454354</v>
      </c>
      <c r="AF23" s="409">
        <f>-AB23</f>
        <v>-8.1508472222222225E-2</v>
      </c>
    </row>
    <row r="24" spans="1:32" ht="13.9" customHeight="1">
      <c r="A24" s="1141"/>
      <c r="B24" s="1145" t="s">
        <v>114</v>
      </c>
      <c r="C24" s="473" t="s">
        <v>115</v>
      </c>
      <c r="D24" s="468"/>
      <c r="E24" s="468"/>
      <c r="F24" s="473"/>
      <c r="G24" s="473"/>
      <c r="H24" s="473"/>
      <c r="I24" s="473"/>
      <c r="J24" s="473"/>
      <c r="K24" s="473"/>
      <c r="L24" s="473"/>
      <c r="M24" s="427">
        <f>SUM(M25:M29)</f>
        <v>78670.164752101933</v>
      </c>
      <c r="N24" s="427">
        <f>SUM(N25:N29)</f>
        <v>6095.3765599999988</v>
      </c>
      <c r="O24" s="427">
        <f>SUM(O25:O29)</f>
        <v>6732.468417834395</v>
      </c>
      <c r="P24" s="427">
        <f>SUM(P25:P29)</f>
        <v>0</v>
      </c>
      <c r="Q24" s="475"/>
      <c r="R24" s="475">
        <f>M24/Inputs!$C$6</f>
        <v>54.031706560509569</v>
      </c>
      <c r="S24" s="475">
        <f>N24/Inputs!$C$6</f>
        <v>4.1863849999999996</v>
      </c>
      <c r="T24" s="475">
        <f>O24/Inputs!$C$6</f>
        <v>4.6239480891719742</v>
      </c>
      <c r="V24" s="473"/>
      <c r="W24" s="473"/>
      <c r="X24" s="473"/>
      <c r="Z24" s="427">
        <f>SUM(Z25:Z29)</f>
        <v>1407.0931192016985</v>
      </c>
      <c r="AA24" s="427">
        <f>SUM(AA25:AA29)</f>
        <v>117.87370963057327</v>
      </c>
      <c r="AB24" s="427">
        <f>SUM(AB25:AB29)</f>
        <v>0</v>
      </c>
      <c r="AC24" s="452"/>
      <c r="AD24" s="623">
        <f>(Z24+AA24)/Inputs!$C$6</f>
        <v>1.0473673274946922</v>
      </c>
    </row>
    <row r="25" spans="1:32" ht="14.1" customHeight="1">
      <c r="A25" s="1141"/>
      <c r="B25" s="1146"/>
      <c r="C25" s="483" t="s">
        <v>352</v>
      </c>
      <c r="D25" s="482" t="s">
        <v>353</v>
      </c>
      <c r="E25" s="482" t="s">
        <v>211</v>
      </c>
      <c r="F25" s="483" t="s">
        <v>39</v>
      </c>
      <c r="G25" s="484">
        <f>'Enveloppe du bâtiment hors terr'!O9+'Enveloppe du bâtiment hors terr'!P9</f>
        <v>3.7702620201698522</v>
      </c>
      <c r="H25" s="484">
        <f>'Enveloppe du bâtiment hors terr'!K9</f>
        <v>77.188152229299376</v>
      </c>
      <c r="I25" s="484">
        <f>(SUM('Enveloppe du bâtiment hors terr'!K6:L8)*(60/'Enveloppe du bâtiment hors terr'!N6-1))</f>
        <v>5.9805499999999983</v>
      </c>
      <c r="J25" s="484">
        <f>'Enveloppe du bâtiment hors terr'!L9</f>
        <v>6.6056401273885346</v>
      </c>
      <c r="K25" s="484">
        <f>'Enveloppe du bâtiment hors terr'!M9</f>
        <v>0</v>
      </c>
      <c r="M25" s="409">
        <f>IF($C25=BillQuantities!$E$14, BillQuantities!$J$14*'Calcul ACV'!H25, 0)</f>
        <v>78670.164752101933</v>
      </c>
      <c r="N25" s="409">
        <f>IF($C25=BillQuantities!$E$14, BillQuantities!$J$14*'Calcul ACV'!I25, 0)</f>
        <v>6095.3765599999988</v>
      </c>
      <c r="O25" s="409">
        <f>IF($C25=BillQuantities!$E$14, BillQuantities!$J$14*'Calcul ACV'!J25, 0)</f>
        <v>6732.468417834395</v>
      </c>
      <c r="P25" s="409">
        <f>IF($C25=BillQuantities!$E$14, BillQuantities!$J$14*'Calcul ACV'!K25, 0)</f>
        <v>0</v>
      </c>
      <c r="Q25" s="409"/>
      <c r="R25" s="409"/>
      <c r="S25" s="409"/>
      <c r="T25" s="409"/>
      <c r="V25" s="484">
        <f>'Enveloppe du bâtiment hors terr'!Q9</f>
        <v>1.3805858704883227</v>
      </c>
      <c r="W25" s="484">
        <f>'Enveloppe du bâtiment hors terr'!R9</f>
        <v>0.11565316878980894</v>
      </c>
      <c r="X25" s="484">
        <f>'Enveloppe du bâtiment hors terr'!S9</f>
        <v>0</v>
      </c>
      <c r="Z25" s="409">
        <f>IF($C25=BillQuantities!$E$14, BillQuantities!$J$14*'Calcul ACV'!V25, 0)</f>
        <v>1407.0931192016985</v>
      </c>
      <c r="AA25" s="409">
        <f>IF($C25=BillQuantities!$E$14, BillQuantities!$J$14*'Calcul ACV'!W25, 0)</f>
        <v>117.87370963057327</v>
      </c>
      <c r="AB25" s="409">
        <f>IF($C25=BillQuantities!$E$14, BillQuantities!$J$14*'Calcul ACV'!X25, 0)</f>
        <v>0</v>
      </c>
      <c r="AC25" s="452"/>
    </row>
    <row r="26" spans="1:32">
      <c r="A26" s="1141"/>
      <c r="B26" s="1146"/>
      <c r="C26" s="483" t="s">
        <v>354</v>
      </c>
      <c r="D26" s="835" t="s">
        <v>355</v>
      </c>
      <c r="E26" s="835" t="s">
        <v>211</v>
      </c>
      <c r="F26" s="836" t="s">
        <v>39</v>
      </c>
      <c r="G26" s="472">
        <f>'Enveloppe du bâtiment hors terr'!O16+'Enveloppe du bâtiment hors terr'!P16</f>
        <v>3.1800951666666664</v>
      </c>
      <c r="H26" s="472">
        <f>'Enveloppe du bâtiment hors terr'!K16</f>
        <v>50.924999999999997</v>
      </c>
      <c r="I26" s="484">
        <f>(SUM('Enveloppe du bâtiment hors terr'!K13:L15)*(60/'Enveloppe du bâtiment hors terr'!N13-1))</f>
        <v>5.9805499999999983</v>
      </c>
      <c r="J26" s="472">
        <f>'Enveloppe du bâtiment hors terr'!L16</f>
        <v>2.58432</v>
      </c>
      <c r="K26" s="472">
        <f>'Enveloppe du bâtiment hors terr'!M16</f>
        <v>0</v>
      </c>
      <c r="M26" s="409">
        <f>IF($C26=BillQuantities!$E$14, BillQuantities!$J$14*'Calcul ACV'!H26, 0)</f>
        <v>0</v>
      </c>
      <c r="N26" s="409"/>
      <c r="O26" s="409">
        <f>IF($C26=BillQuantities!$E$14, BillQuantities!$J$14*'Calcul ACV'!J26, 0)</f>
        <v>0</v>
      </c>
      <c r="P26" s="409">
        <f>IF($C26=BillQuantities!$E$14, BillQuantities!$J$14*'Calcul ACV'!K26, 0)</f>
        <v>0</v>
      </c>
      <c r="Q26" s="409"/>
      <c r="R26" s="409"/>
      <c r="S26" s="409"/>
      <c r="T26" s="409"/>
      <c r="V26" s="472">
        <f>'Enveloppe du bâtiment hors terr'!Q16</f>
        <v>1.0369833333333334</v>
      </c>
      <c r="W26" s="472">
        <f>'Enveloppe du bâtiment hors terr'!R16</f>
        <v>5.4190333333333333E-2</v>
      </c>
      <c r="X26" s="472">
        <f>'Enveloppe du bâtiment hors terr'!S16</f>
        <v>0</v>
      </c>
      <c r="Z26" s="409">
        <f>IF($C26=BillQuantities!$E$14, BillQuantities!$J$14*'Calcul ACV'!V26, 0)</f>
        <v>0</v>
      </c>
      <c r="AA26" s="409">
        <f>IF($C26=BillQuantities!$E$14, BillQuantities!$J$14*'Calcul ACV'!W26, 0)</f>
        <v>0</v>
      </c>
      <c r="AB26" s="409">
        <f>IF($C26=BillQuantities!$E$14, BillQuantities!$J$14*'Calcul ACV'!X26, 0)</f>
        <v>0</v>
      </c>
      <c r="AC26" s="452"/>
    </row>
    <row r="27" spans="1:32">
      <c r="A27" s="1141"/>
      <c r="B27" s="1146"/>
      <c r="C27" s="483" t="s">
        <v>356</v>
      </c>
      <c r="D27" s="482" t="s">
        <v>357</v>
      </c>
      <c r="E27" s="482" t="s">
        <v>211</v>
      </c>
      <c r="F27" s="483" t="s">
        <v>39</v>
      </c>
      <c r="G27" s="484">
        <f>'Enveloppe du bâtiment hors terr'!O23+'Enveloppe du bâtiment hors terr'!P23</f>
        <v>1.1841877666666669</v>
      </c>
      <c r="H27" s="484">
        <f>'Enveloppe du bâtiment hors terr'!K23</f>
        <v>9.0498709999999996</v>
      </c>
      <c r="I27" s="484">
        <f>(SUM('Enveloppe du bâtiment hors terr'!K19:L22)*(60/'Enveloppe du bâtiment hors terr'!N19-1))</f>
        <v>5.046521499999999</v>
      </c>
      <c r="J27" s="484">
        <f>'Enveloppe du bâtiment hors terr'!L23</f>
        <v>2.3065004999999998</v>
      </c>
      <c r="K27" s="484">
        <f>'Enveloppe du bâtiment hors terr'!M23</f>
        <v>77.084223333333313</v>
      </c>
      <c r="M27" s="409">
        <f>IF($C27=BillQuantities!$E$14, BillQuantities!$J$14*'Calcul ACV'!H27, 0)</f>
        <v>0</v>
      </c>
      <c r="N27" s="409">
        <f>IF($C27=BillQuantities!$E$14, BillQuantities!$J$14*'Calcul ACV'!I27, 0)</f>
        <v>0</v>
      </c>
      <c r="O27" s="409">
        <f>IF($C27=BillQuantities!$E$14, BillQuantities!$J$14*'Calcul ACV'!J27, 0)</f>
        <v>0</v>
      </c>
      <c r="P27" s="409">
        <f>IF($C27=BillQuantities!$E$14, BillQuantities!$J$14*'Calcul ACV'!K27, 0)</f>
        <v>0</v>
      </c>
      <c r="Q27" s="409"/>
      <c r="R27" s="409"/>
      <c r="S27" s="409"/>
      <c r="T27" s="409"/>
      <c r="V27" s="484">
        <f>'Enveloppe du bâtiment hors terr'!Q23</f>
        <v>0.22818486666666665</v>
      </c>
      <c r="W27" s="484">
        <f>'Enveloppe du bâtiment hors terr'!R23</f>
        <v>4.5196683333333335E-2</v>
      </c>
      <c r="X27" s="484">
        <f>'Enveloppe du bâtiment hors terr'!S23</f>
        <v>1.3453879999999996</v>
      </c>
      <c r="Z27" s="409">
        <f>IF($C27=BillQuantities!$E$14, BillQuantities!$J$14*'Calcul ACV'!V27, 0)</f>
        <v>0</v>
      </c>
      <c r="AA27" s="409">
        <f>IF($C27=BillQuantities!$E$14, BillQuantities!$J$14*'Calcul ACV'!W27, 0)</f>
        <v>0</v>
      </c>
      <c r="AB27" s="409">
        <f>IF($C27=BillQuantities!$E$14, BillQuantities!$J$14*'Calcul ACV'!X27, 0)</f>
        <v>0</v>
      </c>
      <c r="AC27" s="452"/>
    </row>
    <row r="28" spans="1:32">
      <c r="A28" s="1141"/>
      <c r="B28" s="1146"/>
      <c r="C28" s="483" t="s">
        <v>358</v>
      </c>
      <c r="D28" s="482" t="s">
        <v>359</v>
      </c>
      <c r="E28" s="482" t="s">
        <v>211</v>
      </c>
      <c r="F28" s="483" t="s">
        <v>39</v>
      </c>
      <c r="G28" s="484" t="e">
        <f>'Enveloppe du bâtiment hors terr'!#REF!+'Enveloppe du bâtiment hors terr'!#REF!</f>
        <v>#REF!</v>
      </c>
      <c r="H28" s="484">
        <f>'Enveloppe du bâtiment hors terr'!K45</f>
        <v>111.86852999999999</v>
      </c>
      <c r="I28" s="484">
        <f>(SUM('Enveloppe du bâtiment hors terr'!K42:L44)*(60/'Enveloppe du bâtiment hors terr'!N42-1))</f>
        <v>5.9805499999999983</v>
      </c>
      <c r="J28" s="484">
        <f>'Enveloppe du bâtiment hors terr'!L45</f>
        <v>4.1479229999999987</v>
      </c>
      <c r="K28" s="484">
        <f>'Enveloppe du bâtiment hors terr'!M45</f>
        <v>0</v>
      </c>
      <c r="M28" s="409">
        <f>IF($C28=BillQuantities!$E$14, BillQuantities!$J$14*'Calcul ACV'!H28, 0)</f>
        <v>0</v>
      </c>
      <c r="N28" s="409"/>
      <c r="O28" s="409">
        <f>IF($C28=BillQuantities!$E$14, BillQuantities!$J$14*'Calcul ACV'!J28, 0)</f>
        <v>0</v>
      </c>
      <c r="P28" s="409">
        <f>IF($C28=BillQuantities!$E$14, BillQuantities!$J$14*'Calcul ACV'!K28, 0)</f>
        <v>0</v>
      </c>
      <c r="Q28" s="409"/>
      <c r="R28" s="409"/>
      <c r="S28" s="409"/>
      <c r="T28" s="409"/>
      <c r="V28" s="484">
        <f>'Enveloppe du bâtiment hors terr'!Q45</f>
        <v>1.9585921666666664</v>
      </c>
      <c r="W28" s="484">
        <f>'Enveloppe du bâtiment hors terr'!R45</f>
        <v>7.4691216666666643E-2</v>
      </c>
      <c r="X28" s="484">
        <f>'Enveloppe du bâtiment hors terr'!S45</f>
        <v>0</v>
      </c>
      <c r="Z28" s="409">
        <f>IF($C28=BillQuantities!$E$14, BillQuantities!$J$14*'Calcul ACV'!V28, 0)</f>
        <v>0</v>
      </c>
      <c r="AA28" s="409">
        <f>IF($C28=BillQuantities!$E$14, BillQuantities!$J$14*'Calcul ACV'!W28, 0)</f>
        <v>0</v>
      </c>
      <c r="AB28" s="409">
        <f>IF($C28=BillQuantities!$E$14, BillQuantities!$J$14*'Calcul ACV'!X28, 0)</f>
        <v>0</v>
      </c>
      <c r="AC28" s="452"/>
    </row>
    <row r="29" spans="1:32" ht="29.25" thickBot="1">
      <c r="A29" s="1141"/>
      <c r="B29" s="1146"/>
      <c r="C29" s="483" t="s">
        <v>360</v>
      </c>
      <c r="D29" s="482" t="s">
        <v>361</v>
      </c>
      <c r="E29" s="482" t="s">
        <v>362</v>
      </c>
      <c r="F29" s="483" t="s">
        <v>39</v>
      </c>
      <c r="G29" s="484">
        <f>'Enveloppe du bâtiment hors terr'!O36+'Enveloppe du bâtiment hors terr'!P36</f>
        <v>0.67569629978768586</v>
      </c>
      <c r="H29" s="484">
        <f>'Enveloppe du bâtiment hors terr'!K36</f>
        <v>13.276584288747348</v>
      </c>
      <c r="I29" s="484"/>
      <c r="J29" s="484">
        <f>'Enveloppe du bâtiment hors terr'!L36</f>
        <v>0.49022904458598737</v>
      </c>
      <c r="K29" s="484">
        <f>'Enveloppe du bâtiment hors terr'!M36</f>
        <v>0</v>
      </c>
      <c r="M29" s="409">
        <f>IF($C29=BillQuantities!$E$14, BillQuantities!$J$14*'Calcul ACV'!H29, 0)</f>
        <v>0</v>
      </c>
      <c r="N29" s="409"/>
      <c r="O29" s="409">
        <f>IF($C29=BillQuantities!$E$14, BillQuantities!$J$14*'Calcul ACV'!J29, 0)</f>
        <v>0</v>
      </c>
      <c r="P29" s="409">
        <f>IF($C29=BillQuantities!$E$14, BillQuantities!$J$14*'Calcul ACV'!K29, 0)</f>
        <v>0</v>
      </c>
      <c r="Q29" s="409"/>
      <c r="R29" s="409"/>
      <c r="S29" s="409"/>
      <c r="T29" s="409"/>
      <c r="V29" s="484">
        <f>'Enveloppe du bâtiment hors terr'!Q36</f>
        <v>0.22127640481245581</v>
      </c>
      <c r="W29" s="484">
        <f>'Enveloppe du bâtiment hors terr'!R36</f>
        <v>8.1704840764331224E-3</v>
      </c>
      <c r="X29" s="484">
        <f>'Enveloppe du bâtiment hors terr'!S36</f>
        <v>0</v>
      </c>
      <c r="Z29" s="409">
        <f>IF($C29=BillQuantities!$E$14, BillQuantities!$J$14*'Calcul ACV'!V29, 0)</f>
        <v>0</v>
      </c>
      <c r="AA29" s="409">
        <f>IF($C29=BillQuantities!$E$14, BillQuantities!$J$14*'Calcul ACV'!W29, 0)</f>
        <v>0</v>
      </c>
      <c r="AB29" s="409">
        <f>IF($C29=BillQuantities!$E$14, BillQuantities!$J$14*'Calcul ACV'!X29, 0)</f>
        <v>0</v>
      </c>
      <c r="AC29" s="452"/>
    </row>
    <row r="30" spans="1:32" ht="15">
      <c r="A30" s="1141"/>
      <c r="B30" s="1145" t="s">
        <v>116</v>
      </c>
      <c r="C30" s="473" t="s">
        <v>363</v>
      </c>
      <c r="D30" s="468"/>
      <c r="E30" s="468"/>
      <c r="F30" s="473"/>
      <c r="G30" s="473"/>
      <c r="H30" s="473"/>
      <c r="I30" s="473"/>
      <c r="J30" s="473"/>
      <c r="K30" s="473"/>
      <c r="L30" s="473"/>
      <c r="M30" s="427">
        <f>SUM(M31:M37)</f>
        <v>25765.656279999999</v>
      </c>
      <c r="N30" s="427">
        <f>SUM(N31:N37)</f>
        <v>36909.122796000003</v>
      </c>
      <c r="O30" s="427">
        <f>SUM(O31:O37)</f>
        <v>11143.466516000002</v>
      </c>
      <c r="P30" s="427">
        <f>SUM(P31:P37)</f>
        <v>0</v>
      </c>
      <c r="Q30" s="475"/>
      <c r="R30" s="475">
        <f>M30/Inputs!$C$6</f>
        <v>17.696192499999999</v>
      </c>
      <c r="S30" s="475">
        <f>N30/Inputs!$C$6</f>
        <v>25.349672250000001</v>
      </c>
      <c r="T30" s="475">
        <f>O30/Inputs!$C$6</f>
        <v>7.6534797500000016</v>
      </c>
      <c r="V30" s="473"/>
      <c r="W30" s="473"/>
      <c r="X30" s="473"/>
      <c r="Z30" s="427">
        <f>SUM(Z31:Z37)</f>
        <v>1044.213716</v>
      </c>
      <c r="AA30" s="427">
        <f>SUM(AA31:AA37)</f>
        <v>71.157231600000017</v>
      </c>
      <c r="AB30" s="427">
        <f>SUM(AB31:AB37)</f>
        <v>0</v>
      </c>
      <c r="AC30" s="452"/>
      <c r="AD30" s="450">
        <f>(Z30+AA30)/Inputs!$C$6</f>
        <v>0.76605147499999993</v>
      </c>
    </row>
    <row r="31" spans="1:32">
      <c r="A31" s="1141"/>
      <c r="B31" s="1146"/>
      <c r="C31" s="483" t="s">
        <v>364</v>
      </c>
      <c r="D31" s="482" t="s">
        <v>365</v>
      </c>
      <c r="E31" s="482" t="s">
        <v>211</v>
      </c>
      <c r="F31" s="483" t="s">
        <v>39</v>
      </c>
      <c r="G31" s="484">
        <f>'Enveloppe du bâtiment hors terr'!O52+'Enveloppe du bâtiment hors terr'!P52</f>
        <v>0.53262175</v>
      </c>
      <c r="H31" s="484">
        <f>'Enveloppe du bâtiment hors terr'!K52</f>
        <v>5.0890750000000002</v>
      </c>
      <c r="I31" s="484"/>
      <c r="J31" s="484">
        <f>'Enveloppe du bâtiment hors terr'!L52</f>
        <v>0.28614249999999997</v>
      </c>
      <c r="K31" s="484">
        <f>'Enveloppe du bâtiment hors terr'!M52</f>
        <v>0</v>
      </c>
      <c r="M31" s="409">
        <f>IF($C31=BillQuantities!$E$16, BillQuantities!$J$16*'Calcul ACV'!H31, 0)</f>
        <v>0</v>
      </c>
      <c r="N31" s="409"/>
      <c r="O31" s="409">
        <f>IF($C31=BillQuantities!$E$16, BillQuantities!$J$16*'Calcul ACV'!J31, 0)</f>
        <v>0</v>
      </c>
      <c r="P31" s="409">
        <f>IF($C31=BillQuantities!$E$16, BillQuantities!$J$16*'Calcul ACV'!K31, 0)</f>
        <v>0</v>
      </c>
      <c r="Q31" s="409"/>
      <c r="R31" s="409"/>
      <c r="S31" s="409"/>
      <c r="T31" s="409"/>
      <c r="V31" s="484">
        <f>'Enveloppe du bâtiment hors terr'!Q52</f>
        <v>0.16963583333333335</v>
      </c>
      <c r="W31" s="484">
        <f>'Enveloppe du bâtiment hors terr'!R52</f>
        <v>9.5380833333333324E-3</v>
      </c>
      <c r="X31" s="484">
        <f>'Enveloppe du bâtiment hors terr'!S52</f>
        <v>0</v>
      </c>
      <c r="Z31" s="409">
        <f>IF($C31=BillQuantities!$E$16, BillQuantities!$J$16*'Calcul ACV'!V31, 0)</f>
        <v>0</v>
      </c>
      <c r="AA31" s="409">
        <f>IF($C31=BillQuantities!$E$16, BillQuantities!$J$16*'Calcul ACV'!W31, 0)</f>
        <v>0</v>
      </c>
      <c r="AB31" s="409">
        <f>IF($C31=BillQuantities!$E$16, BillQuantities!$J$16*'Calcul ACV'!X31, 0)</f>
        <v>0</v>
      </c>
      <c r="AC31" s="452"/>
    </row>
    <row r="32" spans="1:32" ht="28.5">
      <c r="A32" s="1141"/>
      <c r="B32" s="1146"/>
      <c r="C32" s="483" t="s">
        <v>366</v>
      </c>
      <c r="D32" s="482" t="s">
        <v>367</v>
      </c>
      <c r="E32" s="482" t="s">
        <v>211</v>
      </c>
      <c r="F32" s="483" t="s">
        <v>39</v>
      </c>
      <c r="G32" s="484">
        <f>'Enveloppe du bâtiment hors terr'!O72+'Enveloppe du bâtiment hors terr'!P72</f>
        <v>4.4009964166666675</v>
      </c>
      <c r="H32" s="484">
        <f>'Enveloppe du bâtiment hors terr'!K61</f>
        <v>25.280275</v>
      </c>
      <c r="I32" s="484">
        <f>(SUM('Enveloppe du bâtiment hors terr'!K61:L61)*(60/'Enveloppe du bâtiment hors terr'!N61-1))</f>
        <v>36.213817500000005</v>
      </c>
      <c r="J32" s="484">
        <f>'Enveloppe du bâtiment hors terr'!L61</f>
        <v>10.933542500000001</v>
      </c>
      <c r="K32" s="484">
        <f>'Enveloppe du bâtiment hors terr'!M61</f>
        <v>0</v>
      </c>
      <c r="M32" s="409">
        <f>IF($C32=BillQuantities!$E$16, BillQuantities!$J$16*'Calcul ACV'!H32, 0)</f>
        <v>25765.656279999999</v>
      </c>
      <c r="N32" s="409">
        <f>IF($C32=BillQuantities!$E$16, BillQuantities!$J$16*'Calcul ACV'!I32, 0)</f>
        <v>36909.122796000003</v>
      </c>
      <c r="O32" s="409">
        <f>IF($C32=BillQuantities!$E$16, BillQuantities!$J$16*'Calcul ACV'!J32, 0)</f>
        <v>11143.466516000002</v>
      </c>
      <c r="P32" s="409">
        <f>IF($C32=BillQuantities!$E$16, BillQuantities!$J$16*'Calcul ACV'!K32, 0)</f>
        <v>0</v>
      </c>
      <c r="Q32" s="409"/>
      <c r="R32" s="409"/>
      <c r="S32" s="409"/>
      <c r="T32" s="409"/>
      <c r="V32" s="834">
        <f>IF(Inputs!$J$14=Graphes_Background!$L$8, 'Enveloppe du bâtiment hors terr'!Q70,'Enveloppe du bâtiment hors terr'!Q61)</f>
        <v>1.0245424999999999</v>
      </c>
      <c r="W32" s="834">
        <f>IF(Inputs!$J$14=Graphes_Background!$L$8, 'Enveloppe du bâtiment hors terr'!R70,'Enveloppe du bâtiment hors terr'!R61)</f>
        <v>6.9816750000000011E-2</v>
      </c>
      <c r="X32" s="834">
        <f>IF(Inputs!$J$14=Graphes_Background!$L$8, 'Enveloppe du bâtiment hors terr'!S70,'Enveloppe du bâtiment hors terr'!S61)</f>
        <v>0</v>
      </c>
      <c r="Z32" s="409">
        <f>IF($C32=BillQuantities!$E$16, BillQuantities!$J$16*'Calcul ACV'!V32, 0)</f>
        <v>1044.213716</v>
      </c>
      <c r="AA32" s="409">
        <f>IF($C32=BillQuantities!$E$16, BillQuantities!$J$16*'Calcul ACV'!W32, 0)</f>
        <v>71.157231600000017</v>
      </c>
      <c r="AB32" s="409">
        <f>IF($C32=BillQuantities!$E$16, BillQuantities!$J$16*'Calcul ACV'!X32, 0)</f>
        <v>0</v>
      </c>
      <c r="AC32" s="452"/>
    </row>
    <row r="33" spans="1:30" ht="28.5">
      <c r="A33" s="1141"/>
      <c r="B33" s="1146"/>
      <c r="C33" s="483" t="s">
        <v>368</v>
      </c>
      <c r="D33" s="837" t="s">
        <v>369</v>
      </c>
      <c r="E33" s="482" t="s">
        <v>211</v>
      </c>
      <c r="F33" s="483" t="s">
        <v>39</v>
      </c>
      <c r="G33" s="484">
        <f>'Enveloppe du bâtiment hors terr'!O83+'Enveloppe du bâtiment hors terr'!P83</f>
        <v>1.3709875236249998</v>
      </c>
      <c r="H33" s="484">
        <f>'Enveloppe du bâtiment hors terr'!K83</f>
        <v>11.3750815</v>
      </c>
      <c r="I33" s="484">
        <f>(SUM('Enveloppe du bâtiment hors terr'!K83:L83)*(60/'Enveloppe du bâtiment hors terr'!N83-1))</f>
        <v>6.96903647175</v>
      </c>
      <c r="J33" s="484">
        <f>'Enveloppe du bâtiment hors terr'!L83</f>
        <v>2.5629914435000001</v>
      </c>
      <c r="K33" s="484">
        <f>'Enveloppe du bâtiment hors terr'!M83</f>
        <v>39.6912175</v>
      </c>
      <c r="M33" s="409">
        <f>IF($C33=BillQuantities!$E$16, BillQuantities!$J$16*'Calcul ACV'!H33, 0)</f>
        <v>0</v>
      </c>
      <c r="N33" s="409">
        <f>IF($C33=BillQuantities!$E$16, BillQuantities!$J$16*'Calcul ACV'!I33, 0)</f>
        <v>0</v>
      </c>
      <c r="O33" s="409">
        <f>IF($C33=BillQuantities!$E$16, BillQuantities!$J$16*'Calcul ACV'!J33, 0)</f>
        <v>0</v>
      </c>
      <c r="P33" s="409">
        <f>IF($C33=BillQuantities!$E$16, BillQuantities!$J$16*'Calcul ACV'!K33, 0)</f>
        <v>0</v>
      </c>
      <c r="Q33" s="409"/>
      <c r="R33" s="409"/>
      <c r="S33" s="409"/>
      <c r="T33" s="409"/>
      <c r="V33" s="838">
        <f>'Enveloppe du bâtiment hors terr'!Q83</f>
        <v>0.28437703749999999</v>
      </c>
      <c r="W33" s="838">
        <f>'Enveloppe du bâtiment hors terr'!R83</f>
        <v>6.4074786087500002E-2</v>
      </c>
      <c r="X33" s="838">
        <f>'Enveloppe du bâtiment hors terr'!S83</f>
        <v>0.99228043750000006</v>
      </c>
      <c r="Z33" s="409">
        <f>IF($C33=BillQuantities!$E$16, BillQuantities!$J$16*'Calcul ACV'!V33, 0)</f>
        <v>0</v>
      </c>
      <c r="AA33" s="409">
        <f>IF($C33=BillQuantities!$E$16, BillQuantities!$J$16*'Calcul ACV'!W33, 0)</f>
        <v>0</v>
      </c>
      <c r="AB33" s="409">
        <f>IF($C33=BillQuantities!$E$16, BillQuantities!$J$16*'Calcul ACV'!X33, 0)</f>
        <v>0</v>
      </c>
      <c r="AC33" s="452"/>
    </row>
    <row r="34" spans="1:30" ht="28.5">
      <c r="A34" s="1141"/>
      <c r="B34" s="1146"/>
      <c r="C34" s="483" t="s">
        <v>370</v>
      </c>
      <c r="D34" s="837" t="s">
        <v>371</v>
      </c>
      <c r="E34" s="482" t="s">
        <v>211</v>
      </c>
      <c r="F34" s="483" t="s">
        <v>39</v>
      </c>
      <c r="G34" s="484">
        <f>'Enveloppe du bâtiment hors terr'!O102+'Enveloppe du bâtiment hors terr'!P102</f>
        <v>4.3451705185924148</v>
      </c>
      <c r="H34" s="484">
        <f>'Enveloppe du bâtiment hors terr'!K102</f>
        <v>39.74164280982906</v>
      </c>
      <c r="I34" s="484"/>
      <c r="J34" s="484">
        <f>'Enveloppe du bâtiment hors terr'!L102</f>
        <v>2.0666812931410257</v>
      </c>
      <c r="K34" s="484">
        <f>'Enveloppe du bâtiment hors terr'!M102</f>
        <v>0</v>
      </c>
      <c r="M34" s="409">
        <f>IF($C34=BillQuantities!$E$16, BillQuantities!$J$16*'Calcul ACV'!H34, 0)</f>
        <v>0</v>
      </c>
      <c r="N34" s="409"/>
      <c r="O34" s="409">
        <f>IF($C34=BillQuantities!$E$16, BillQuantities!$J$16*'Calcul ACV'!J34, 0)</f>
        <v>0</v>
      </c>
      <c r="P34" s="409">
        <f>IF($C34=BillQuantities!$E$16, BillQuantities!$J$16*'Calcul ACV'!K34, 0)</f>
        <v>0</v>
      </c>
      <c r="Q34" s="409"/>
      <c r="R34" s="409"/>
      <c r="S34" s="409"/>
      <c r="T34" s="409"/>
      <c r="V34" s="484">
        <f>'Enveloppe du bâtiment hors terr'!Q102</f>
        <v>0.99354107024572658</v>
      </c>
      <c r="W34" s="484">
        <f>'Enveloppe du bâtiment hors terr'!R102</f>
        <v>5.1667032328525646E-2</v>
      </c>
      <c r="X34" s="484">
        <f>'Enveloppe du bâtiment hors terr'!S102</f>
        <v>0</v>
      </c>
      <c r="Z34" s="409">
        <f>IF($C34=BillQuantities!$E$16, BillQuantities!$J$16*'Calcul ACV'!V34, 0)</f>
        <v>0</v>
      </c>
      <c r="AA34" s="409">
        <f>IF($C34=BillQuantities!$E$16, BillQuantities!$J$16*'Calcul ACV'!W34, 0)</f>
        <v>0</v>
      </c>
      <c r="AB34" s="409">
        <f>IF($C34=BillQuantities!$E$16, BillQuantities!$J$16*'Calcul ACV'!X34, 0)</f>
        <v>0</v>
      </c>
      <c r="AC34" s="452"/>
    </row>
    <row r="35" spans="1:30" ht="28.5">
      <c r="A35" s="1141"/>
      <c r="B35" s="1146"/>
      <c r="C35" s="483" t="s">
        <v>372</v>
      </c>
      <c r="D35" s="837" t="s">
        <v>373</v>
      </c>
      <c r="E35" s="482" t="s">
        <v>211</v>
      </c>
      <c r="F35" s="483" t="s">
        <v>39</v>
      </c>
      <c r="G35" s="484">
        <f>'Enveloppe du bâtiment hors terr'!O120+'Enveloppe du bâtiment hors terr'!P120</f>
        <v>7.730323240451388</v>
      </c>
      <c r="H35" s="484">
        <f>'Enveloppe du bâtiment hors terr'!K120</f>
        <v>66.556746527777761</v>
      </c>
      <c r="I35" s="484"/>
      <c r="J35" s="484">
        <f>'Enveloppe du bâtiment hors terr'!L120</f>
        <v>5.5403460958333337</v>
      </c>
      <c r="K35" s="484">
        <f>'Enveloppe du bâtiment hors terr'!M120</f>
        <v>0</v>
      </c>
      <c r="M35" s="409">
        <f>IF($C35=BillQuantities!$E$16, BillQuantities!$J$16*'Calcul ACV'!H35, 0)</f>
        <v>0</v>
      </c>
      <c r="N35" s="409"/>
      <c r="O35" s="409">
        <f>IF($C35=BillQuantities!$E$16, BillQuantities!$J$16*'Calcul ACV'!J35, 0)</f>
        <v>0</v>
      </c>
      <c r="P35" s="409">
        <f>IF($C35=BillQuantities!$E$16, BillQuantities!$J$16*'Calcul ACV'!K35, 0)</f>
        <v>0</v>
      </c>
      <c r="Q35" s="409"/>
      <c r="R35" s="409"/>
      <c r="S35" s="409"/>
      <c r="T35" s="409"/>
      <c r="V35" s="484">
        <f>'Enveloppe du bâtiment hors terr'!Q120</f>
        <v>1.6639186631944443</v>
      </c>
      <c r="W35" s="484">
        <f>'Enveloppe du bâtiment hors terr'!R120</f>
        <v>0.13850865239583335</v>
      </c>
      <c r="X35" s="484">
        <f>'Enveloppe du bâtiment hors terr'!S120</f>
        <v>0</v>
      </c>
      <c r="Z35" s="409">
        <f>IF($C35=BillQuantities!$E$16, BillQuantities!$J$16*'Calcul ACV'!V35, 0)</f>
        <v>0</v>
      </c>
      <c r="AA35" s="409">
        <f>IF($C35=BillQuantities!$E$16, BillQuantities!$J$16*'Calcul ACV'!W35, 0)</f>
        <v>0</v>
      </c>
      <c r="AB35" s="409">
        <f>IF($C35=BillQuantities!$E$16, BillQuantities!$J$16*'Calcul ACV'!X35, 0)</f>
        <v>0</v>
      </c>
      <c r="AC35" s="452"/>
    </row>
    <row r="36" spans="1:30">
      <c r="A36" s="1141"/>
      <c r="B36" s="1146"/>
      <c r="C36" s="483" t="s">
        <v>374</v>
      </c>
      <c r="D36" s="839" t="s">
        <v>375</v>
      </c>
      <c r="E36" s="835" t="s">
        <v>211</v>
      </c>
      <c r="F36" s="836" t="s">
        <v>39</v>
      </c>
      <c r="G36" s="472">
        <f>'Enveloppe du bâtiment hors terr'!O129+'Enveloppe du bâtiment hors terr'!P129</f>
        <v>7.8578980000000023</v>
      </c>
      <c r="H36" s="472">
        <f>'Enveloppe du bâtiment hors terr'!K129</f>
        <v>100.0924</v>
      </c>
      <c r="I36" s="472"/>
      <c r="J36" s="472">
        <f>'Enveloppe du bâtiment hors terr'!L129</f>
        <v>4.5005160000000011</v>
      </c>
      <c r="K36" s="472">
        <f>'Enveloppe du bâtiment hors terr'!M129</f>
        <v>0</v>
      </c>
      <c r="M36" s="409">
        <f>IF($C36=BillQuantities!$E$16, BillQuantities!$J$16*'Calcul ACV'!H36, 0)</f>
        <v>0</v>
      </c>
      <c r="N36" s="409"/>
      <c r="O36" s="409">
        <f>IF($C36=BillQuantities!$E$16, BillQuantities!$J$16*'Calcul ACV'!J36, 0)</f>
        <v>0</v>
      </c>
      <c r="P36" s="409">
        <f>IF($C36=BillQuantities!$E$16, BillQuantities!$J$16*'Calcul ACV'!K36, 0)</f>
        <v>0</v>
      </c>
      <c r="Q36" s="409"/>
      <c r="R36" s="409"/>
      <c r="S36" s="409"/>
      <c r="T36" s="409"/>
      <c r="V36" s="472">
        <f>'Enveloppe du bâtiment hors terr'!Q129</f>
        <v>2.50231</v>
      </c>
      <c r="W36" s="472">
        <f>'Enveloppe du bâtiment hors terr'!R129</f>
        <v>0.11251290000000003</v>
      </c>
      <c r="X36" s="472">
        <f>'Enveloppe du bâtiment hors terr'!S129</f>
        <v>0</v>
      </c>
      <c r="Z36" s="409">
        <f>IF($C36=BillQuantities!$E$16, BillQuantities!$J$16*'Calcul ACV'!V36, 0)</f>
        <v>0</v>
      </c>
      <c r="AA36" s="409">
        <f>IF($C36=BillQuantities!$E$16, BillQuantities!$J$16*'Calcul ACV'!W36, 0)</f>
        <v>0</v>
      </c>
      <c r="AB36" s="409">
        <f>IF($C36=BillQuantities!$E$16, BillQuantities!$J$16*'Calcul ACV'!X36, 0)</f>
        <v>0</v>
      </c>
      <c r="AC36" s="452"/>
    </row>
    <row r="37" spans="1:30" ht="29.25" thickBot="1">
      <c r="A37" s="1141"/>
      <c r="B37" s="1147"/>
      <c r="C37" s="483" t="s">
        <v>376</v>
      </c>
      <c r="D37" s="482" t="s">
        <v>377</v>
      </c>
      <c r="E37" s="482" t="s">
        <v>211</v>
      </c>
      <c r="F37" s="483" t="s">
        <v>39</v>
      </c>
      <c r="G37" s="484">
        <f>'Enveloppe du bâtiment hors terr'!O143+'Enveloppe du bâtiment hors terr'!P143</f>
        <v>24.7307375</v>
      </c>
      <c r="H37" s="484">
        <f>'Enveloppe du bâtiment hors terr'!K143</f>
        <v>242.3</v>
      </c>
      <c r="I37" s="484"/>
      <c r="J37" s="484">
        <f>'Enveloppe du bâtiment hors terr'!L143</f>
        <v>14.79</v>
      </c>
      <c r="K37" s="484">
        <f>'Enveloppe du bâtiment hors terr'!M143</f>
        <v>0</v>
      </c>
      <c r="M37" s="409">
        <f>IF($C37=BillQuantities!$E$16, BillQuantities!$J$16*'Calcul ACV'!H37, 0)</f>
        <v>0</v>
      </c>
      <c r="N37" s="409"/>
      <c r="O37" s="409">
        <f>IF($C37=BillQuantities!$E$16, BillQuantities!$J$16*'Calcul ACV'!J37, 0)</f>
        <v>0</v>
      </c>
      <c r="P37" s="409">
        <f>IF($C37=BillQuantities!$E$16, BillQuantities!$J$16*'Calcul ACV'!K37, 0)</f>
        <v>0</v>
      </c>
      <c r="Q37" s="409"/>
      <c r="R37" s="409"/>
      <c r="S37" s="409"/>
      <c r="T37" s="409"/>
      <c r="V37" s="484">
        <f>'Enveloppe du bâtiment hors terr'!Q143</f>
        <v>6.0575000000000001</v>
      </c>
      <c r="W37" s="484">
        <f>'Enveloppe du bâtiment hors terr'!R143</f>
        <v>0.36974999999999997</v>
      </c>
      <c r="X37" s="484">
        <f>'Enveloppe du bâtiment hors terr'!S143</f>
        <v>0</v>
      </c>
      <c r="Z37" s="409">
        <f>IF($C37=BillQuantities!$E$16, BillQuantities!$J$16*'Calcul ACV'!V37, 0)</f>
        <v>0</v>
      </c>
      <c r="AA37" s="409">
        <f>IF($C37=BillQuantities!$E$16, BillQuantities!$J$16*'Calcul ACV'!W37, 0)</f>
        <v>0</v>
      </c>
      <c r="AB37" s="409">
        <f>IF($C37=BillQuantities!$E$16, BillQuantities!$J$16*'Calcul ACV'!X37, 0)</f>
        <v>0</v>
      </c>
      <c r="AC37" s="452"/>
    </row>
    <row r="38" spans="1:30" ht="14.1" customHeight="1">
      <c r="A38" s="1141"/>
      <c r="B38" s="1145" t="s">
        <v>120</v>
      </c>
      <c r="C38" s="473" t="s">
        <v>378</v>
      </c>
      <c r="D38" s="468"/>
      <c r="E38" s="468"/>
      <c r="F38" s="473"/>
      <c r="G38" s="473"/>
      <c r="H38" s="473"/>
      <c r="I38" s="473"/>
      <c r="J38" s="473"/>
      <c r="K38" s="473"/>
      <c r="L38" s="473"/>
      <c r="M38" s="427">
        <f>SUM(M39)</f>
        <v>52438.713600000003</v>
      </c>
      <c r="N38" s="427">
        <f>SUM(N39)</f>
        <v>55710.432960000006</v>
      </c>
      <c r="O38" s="427">
        <f>SUM(O39)</f>
        <v>3271.7193600000001</v>
      </c>
      <c r="P38" s="427">
        <f>SUM(P39)</f>
        <v>2202.1999999999998</v>
      </c>
      <c r="Q38" s="475"/>
      <c r="R38" s="475">
        <f>M38/Inputs!$C$6</f>
        <v>36.015599999999999</v>
      </c>
      <c r="S38" s="475">
        <f>N38/Inputs!$C$6</f>
        <v>38.262660000000004</v>
      </c>
      <c r="T38" s="475">
        <f>O38/Inputs!$C$6</f>
        <v>2.2470599999999998</v>
      </c>
      <c r="V38" s="473"/>
      <c r="W38" s="473"/>
      <c r="X38" s="473"/>
      <c r="Z38" s="427">
        <f>SUM(Z39)</f>
        <v>1747.95712</v>
      </c>
      <c r="AA38" s="427">
        <f>SUM(AA39)</f>
        <v>109.057312</v>
      </c>
      <c r="AB38" s="427">
        <f>SUM(AB39)</f>
        <v>73.406666666666666</v>
      </c>
      <c r="AC38" s="452"/>
      <c r="AD38" s="450">
        <f>(Z38+AA38)/Inputs!$C$6</f>
        <v>1.2754220000000001</v>
      </c>
    </row>
    <row r="39" spans="1:30" ht="29.1" customHeight="1" thickBot="1">
      <c r="A39" s="1141"/>
      <c r="B39" s="1147"/>
      <c r="C39" s="483" t="s">
        <v>379</v>
      </c>
      <c r="D39" s="482" t="s">
        <v>380</v>
      </c>
      <c r="E39" s="482" t="s">
        <v>211</v>
      </c>
      <c r="F39" s="483" t="s">
        <v>39</v>
      </c>
      <c r="G39" s="484">
        <f>'Enveloppe du bâtiment hors terr'!O150+'Enveloppe du bâtiment hors terr'!P150</f>
        <v>17.14462</v>
      </c>
      <c r="H39" s="484">
        <f>'Enveloppe du bâtiment hors terr'!K150</f>
        <v>120.05200000000001</v>
      </c>
      <c r="I39" s="484">
        <f>(SUM('Enveloppe du bâtiment hors terr'!K150:L150)*(60/'Enveloppe du bâtiment hors terr'!N150-1))</f>
        <v>127.54220000000001</v>
      </c>
      <c r="J39" s="484">
        <f>'Enveloppe du bâtiment hors terr'!L150</f>
        <v>7.4901999999999997</v>
      </c>
      <c r="K39" s="484">
        <f>'Enveloppe du bâtiment hors terr'!M150</f>
        <v>5.0416666666666661</v>
      </c>
      <c r="M39" s="409">
        <f>IF($C39=BillQuantities!$E$18, BillQuantities!$J$18*'Calcul ACV'!H39, 0)</f>
        <v>52438.713600000003</v>
      </c>
      <c r="N39" s="409">
        <f>IF($C39=BillQuantities!$E$18, BillQuantities!$J$18*'Calcul ACV'!I39, 0)</f>
        <v>55710.432960000006</v>
      </c>
      <c r="O39" s="409">
        <f>IF($C39=BillQuantities!$E$18, BillQuantities!$J$18*'Calcul ACV'!J39, 0)</f>
        <v>3271.7193600000001</v>
      </c>
      <c r="P39" s="409">
        <f>IF($C39=BillQuantities!$E$18, BillQuantities!$J$18*'Calcul ACV'!K39, 0)</f>
        <v>2202.1999999999998</v>
      </c>
      <c r="Q39" s="409"/>
      <c r="R39" s="409"/>
      <c r="S39" s="409"/>
      <c r="T39" s="409"/>
      <c r="V39" s="484">
        <f>'Enveloppe du bâtiment hors terr'!Q150</f>
        <v>4.0017333333333331</v>
      </c>
      <c r="W39" s="484">
        <f>'Enveloppe du bâtiment hors terr'!R150</f>
        <v>0.24967333333333333</v>
      </c>
      <c r="X39" s="484">
        <f>'Enveloppe du bâtiment hors terr'!S150</f>
        <v>0.16805555555555554</v>
      </c>
      <c r="Z39" s="409">
        <f>IF($C39=BillQuantities!$E$18, BillQuantities!$J$18*'Calcul ACV'!V39, 0)</f>
        <v>1747.95712</v>
      </c>
      <c r="AA39" s="409">
        <f>IF($C39=BillQuantities!$E$18, BillQuantities!$J$18*'Calcul ACV'!W39, 0)</f>
        <v>109.057312</v>
      </c>
      <c r="AB39" s="409">
        <f>IF($C39=BillQuantities!$E$18, BillQuantities!$J$18*'Calcul ACV'!X39, 0)</f>
        <v>73.406666666666666</v>
      </c>
      <c r="AC39" s="452"/>
    </row>
    <row r="40" spans="1:30" ht="15">
      <c r="A40" s="1141"/>
      <c r="B40" s="1145" t="s">
        <v>124</v>
      </c>
      <c r="C40" s="473" t="s">
        <v>125</v>
      </c>
      <c r="D40" s="468"/>
      <c r="E40" s="468"/>
      <c r="F40" s="473"/>
      <c r="G40" s="473"/>
      <c r="H40" s="473"/>
      <c r="I40" s="473"/>
      <c r="J40" s="473"/>
      <c r="K40" s="473"/>
      <c r="L40" s="473"/>
      <c r="M40" s="427">
        <f>SUM(M41:M45)</f>
        <v>33423.243936305735</v>
      </c>
      <c r="N40" s="427">
        <f>SUM(N41:N45)</f>
        <v>2176.9201999999996</v>
      </c>
      <c r="O40" s="427">
        <f>SUM(O41:O45)</f>
        <v>2945.552453503185</v>
      </c>
      <c r="P40" s="427">
        <f>SUM(P41:P45)</f>
        <v>2716.1801333333337</v>
      </c>
      <c r="Q40" s="475"/>
      <c r="R40" s="475">
        <f>M40/Inputs!$C$6</f>
        <v>22.955524681528665</v>
      </c>
      <c r="S40" s="475">
        <f>N40/Inputs!$C$6</f>
        <v>1.4951374999999998</v>
      </c>
      <c r="T40" s="475">
        <f>O40/Inputs!$C$6</f>
        <v>2.0230442675159237</v>
      </c>
      <c r="V40" s="473"/>
      <c r="W40" s="473"/>
      <c r="X40" s="473"/>
      <c r="Z40" s="427">
        <f>SUM(Z41:Z45)</f>
        <v>591.31253227176228</v>
      </c>
      <c r="AA40" s="427">
        <f>SUM(AA41:AA45)</f>
        <v>51.116077558386415</v>
      </c>
      <c r="AB40" s="427">
        <f>SUM(AB41:AB45)</f>
        <v>45.269668888888894</v>
      </c>
      <c r="AC40" s="452"/>
      <c r="AD40" s="450">
        <f>(Z40+AA40)/Inputs!$C$6</f>
        <v>0.44122844081740986</v>
      </c>
    </row>
    <row r="41" spans="1:30">
      <c r="A41" s="1141"/>
      <c r="B41" s="1146"/>
      <c r="C41" s="483" t="s">
        <v>381</v>
      </c>
      <c r="D41" s="482" t="s">
        <v>382</v>
      </c>
      <c r="E41" s="482" t="s">
        <v>211</v>
      </c>
      <c r="F41" s="483" t="s">
        <v>39</v>
      </c>
      <c r="G41" s="484">
        <f>'Enveloppe du bâtiment hors terr'!O160+'Enveloppe du bâtiment hors terr'!P160</f>
        <v>4.3537962027600843</v>
      </c>
      <c r="H41" s="484">
        <f>'Enveloppe du bâtiment hors terr'!K160</f>
        <v>91.82209872611466</v>
      </c>
      <c r="I41" s="484">
        <f>(SUM('Enveloppe du bâtiment hors terr'!K157:L159)*(60/'Enveloppe du bâtiment hors terr'!N157-1))</f>
        <v>5.9805499999999983</v>
      </c>
      <c r="J41" s="484">
        <f>'Enveloppe du bâtiment hors terr'!L160</f>
        <v>8.0921770700636948</v>
      </c>
      <c r="K41" s="484">
        <f>'Enveloppe du bâtiment hors terr'!M160</f>
        <v>7.4620333333333342</v>
      </c>
      <c r="M41" s="409">
        <f>IF($C41=BillQuantities!$E$20, BillQuantities!$J$20*'Calcul ACV'!H41, 0)</f>
        <v>33423.243936305735</v>
      </c>
      <c r="N41" s="409">
        <f>IF($C41=BillQuantities!$E$20, BillQuantities!$J$20*'Calcul ACV'!I41, 0)</f>
        <v>2176.9201999999996</v>
      </c>
      <c r="O41" s="409">
        <f>IF($C41=BillQuantities!$E$20, BillQuantities!$J$20*'Calcul ACV'!J41, 0)</f>
        <v>2945.552453503185</v>
      </c>
      <c r="P41" s="409">
        <f>IF($C41=BillQuantities!$E$20, BillQuantities!$J$20*'Calcul ACV'!K41, 0)</f>
        <v>2716.1801333333337</v>
      </c>
      <c r="Q41" s="409"/>
      <c r="R41" s="409"/>
      <c r="S41" s="409"/>
      <c r="T41" s="409"/>
      <c r="V41" s="484">
        <f>'Enveloppe du bâtiment hors terr'!Q160</f>
        <v>1.6244849787685776</v>
      </c>
      <c r="W41" s="484">
        <f>'Enveloppe du bâtiment hors terr'!R160</f>
        <v>0.14042878450106158</v>
      </c>
      <c r="X41" s="484">
        <f>'Enveloppe du bâtiment hors terr'!S160</f>
        <v>0.12436722222222224</v>
      </c>
      <c r="Z41" s="409">
        <f>IF($C41=BillQuantities!$E$20, BillQuantities!$J$20*'Calcul ACV'!V41, 0)</f>
        <v>591.31253227176228</v>
      </c>
      <c r="AA41" s="409">
        <f>IF($C41=BillQuantities!$E$20, BillQuantities!$J$20*'Calcul ACV'!W41, 0)</f>
        <v>51.116077558386415</v>
      </c>
      <c r="AB41" s="409">
        <f>IF($C41=BillQuantities!$E$20, BillQuantities!$J$20*'Calcul ACV'!X41, 0)</f>
        <v>45.269668888888894</v>
      </c>
      <c r="AC41" s="452"/>
    </row>
    <row r="42" spans="1:30">
      <c r="A42" s="1141"/>
      <c r="B42" s="1146"/>
      <c r="C42" s="483" t="s">
        <v>383</v>
      </c>
      <c r="D42" s="482" t="s">
        <v>384</v>
      </c>
      <c r="E42" s="482" t="s">
        <v>211</v>
      </c>
      <c r="F42" s="483" t="s">
        <v>39</v>
      </c>
      <c r="G42" s="484">
        <f>'Enveloppe du bâtiment hors terr'!O168+'Enveloppe du bâtiment hors terr'!P168</f>
        <v>8.3682676464968164</v>
      </c>
      <c r="H42" s="484">
        <f>'Enveloppe du bâtiment hors terr'!K168</f>
        <v>176.25844777070066</v>
      </c>
      <c r="I42" s="484"/>
      <c r="J42" s="484">
        <f>'Enveloppe du bâtiment hors terr'!L168</f>
        <v>12.790459872611466</v>
      </c>
      <c r="K42" s="484">
        <f>'Enveloppe du bâtiment hors terr'!M168</f>
        <v>7.4620333333333342</v>
      </c>
      <c r="M42" s="409">
        <f>IF($C42=BillQuantities!$E$20, BillQuantities!$J$20*'Calcul ACV'!H42, 0)</f>
        <v>0</v>
      </c>
      <c r="N42" s="409"/>
      <c r="O42" s="409">
        <f>IF($C42=BillQuantities!$E$20, BillQuantities!$J$20*'Calcul ACV'!J42, 0)</f>
        <v>0</v>
      </c>
      <c r="P42" s="409">
        <f>IF($C42=BillQuantities!$E$20, BillQuantities!$J$20*'Calcul ACV'!K42, 0)</f>
        <v>0</v>
      </c>
      <c r="Q42" s="409"/>
      <c r="R42" s="409"/>
      <c r="S42" s="409"/>
      <c r="T42" s="409"/>
      <c r="V42" s="484">
        <f>'Enveloppe du bâtiment hors terr'!Q168</f>
        <v>3.031757462845011</v>
      </c>
      <c r="W42" s="484">
        <f>'Enveloppe du bâtiment hors terr'!R168</f>
        <v>0.21873349787685775</v>
      </c>
      <c r="X42" s="484">
        <f>'Enveloppe du bâtiment hors terr'!S168</f>
        <v>0.12436722222222224</v>
      </c>
      <c r="Z42" s="409">
        <f>IF($C42=BillQuantities!$E$20, BillQuantities!$J$20*'Calcul ACV'!V42, 0)</f>
        <v>0</v>
      </c>
      <c r="AA42" s="409">
        <f>IF($C42=BillQuantities!$E$20, BillQuantities!$J$20*'Calcul ACV'!W42, 0)</f>
        <v>0</v>
      </c>
      <c r="AB42" s="409">
        <f>IF($C42=BillQuantities!$E$20, BillQuantities!$J$20*'Calcul ACV'!X42, 0)</f>
        <v>0</v>
      </c>
      <c r="AC42" s="452"/>
    </row>
    <row r="43" spans="1:30" ht="28.5">
      <c r="A43" s="1141"/>
      <c r="B43" s="1146"/>
      <c r="C43" s="483" t="s">
        <v>385</v>
      </c>
      <c r="D43" s="482" t="s">
        <v>386</v>
      </c>
      <c r="E43" s="482" t="s">
        <v>211</v>
      </c>
      <c r="F43" s="483" t="s">
        <v>39</v>
      </c>
      <c r="G43" s="484">
        <f>'Enveloppe du bâtiment hors terr'!O174+'Enveloppe du bâtiment hors terr'!P174</f>
        <v>5.4136830467091288</v>
      </c>
      <c r="H43" s="484">
        <f>'Enveloppe du bâtiment hors terr'!K174</f>
        <v>101.11744305732485</v>
      </c>
      <c r="I43" s="484"/>
      <c r="J43" s="484">
        <f>'Enveloppe du bâtiment hors terr'!L174</f>
        <v>3.4502450318471332</v>
      </c>
      <c r="K43" s="484">
        <f>'Enveloppe du bâtiment hors terr'!M174</f>
        <v>0</v>
      </c>
      <c r="M43" s="409">
        <f>IF($C43=BillQuantities!$E$20, BillQuantities!$J$20*'Calcul ACV'!H43, 0)</f>
        <v>0</v>
      </c>
      <c r="N43" s="409"/>
      <c r="O43" s="409">
        <f>IF($C43=BillQuantities!$E$20, BillQuantities!$J$20*'Calcul ACV'!J43, 0)</f>
        <v>0</v>
      </c>
      <c r="P43" s="409">
        <f>IF($C43=BillQuantities!$E$20, BillQuantities!$J$20*'Calcul ACV'!K43, 0)</f>
        <v>0</v>
      </c>
      <c r="Q43" s="409"/>
      <c r="R43" s="409"/>
      <c r="S43" s="409"/>
      <c r="T43" s="409"/>
      <c r="V43" s="484">
        <f>'Enveloppe du bâtiment hors terr'!Q174</f>
        <v>1.6852907176220808</v>
      </c>
      <c r="W43" s="484">
        <f>'Enveloppe du bâtiment hors terr'!R174</f>
        <v>5.7504083864118885E-2</v>
      </c>
      <c r="X43" s="484">
        <f>'Enveloppe du bâtiment hors terr'!S174</f>
        <v>0</v>
      </c>
      <c r="Z43" s="409">
        <f>IF($C43=BillQuantities!$E$20, BillQuantities!$J$20*'Calcul ACV'!V43, 0)</f>
        <v>0</v>
      </c>
      <c r="AA43" s="409">
        <f>IF($C43=BillQuantities!$E$20, BillQuantities!$J$20*'Calcul ACV'!W43, 0)</f>
        <v>0</v>
      </c>
      <c r="AB43" s="409">
        <f>IF($C43=BillQuantities!$E$20, BillQuantities!$J$20*'Calcul ACV'!X43, 0)</f>
        <v>0</v>
      </c>
      <c r="AC43" s="452"/>
    </row>
    <row r="44" spans="1:30" ht="28.5">
      <c r="A44" s="1141"/>
      <c r="B44" s="1146"/>
      <c r="C44" s="483" t="s">
        <v>387</v>
      </c>
      <c r="D44" s="482" t="s">
        <v>388</v>
      </c>
      <c r="E44" s="482" t="s">
        <v>211</v>
      </c>
      <c r="F44" s="483" t="s">
        <v>39</v>
      </c>
      <c r="G44" s="484">
        <f>'Enveloppe du bâtiment hors terr'!O182+'Enveloppe du bâtiment hors terr'!P182</f>
        <v>2.5026564333333337</v>
      </c>
      <c r="H44" s="484">
        <f>'Enveloppe du bâtiment hors terr'!K182</f>
        <v>22.980471000000001</v>
      </c>
      <c r="I44" s="484">
        <f>(SUM('Enveloppe du bâtiment hors terr'!K178:L181)*(60/'Enveloppe du bâtiment hors terr'!N178-1))</f>
        <v>5.046521499999999</v>
      </c>
      <c r="J44" s="484">
        <f>'Enveloppe du bâtiment hors terr'!L182</f>
        <v>5.1194404999999996</v>
      </c>
      <c r="K44" s="484">
        <f>'Enveloppe du bâtiment hors terr'!M182</f>
        <v>195.42277333333331</v>
      </c>
      <c r="M44" s="409">
        <f>IF($C44=BillQuantities!$E$20, BillQuantities!$J$20*'Calcul ACV'!H44, 0)</f>
        <v>0</v>
      </c>
      <c r="N44" s="409">
        <f>IF($C44=BillQuantities!$E$20, BillQuantities!$J$20*'Calcul ACV'!I44, 0)</f>
        <v>0</v>
      </c>
      <c r="O44" s="409">
        <f>IF($C44=BillQuantities!$E$20, BillQuantities!$J$20*'Calcul ACV'!J44, 0)</f>
        <v>0</v>
      </c>
      <c r="P44" s="409">
        <f>IF($C44=BillQuantities!$E$20, BillQuantities!$J$20*'Calcul ACV'!K44, 0)</f>
        <v>0</v>
      </c>
      <c r="Q44" s="409"/>
      <c r="R44" s="409"/>
      <c r="S44" s="409"/>
      <c r="T44" s="409"/>
      <c r="V44" s="484">
        <f>'Enveloppe du bâtiment hors terr'!Q182</f>
        <v>0.46036153333333329</v>
      </c>
      <c r="W44" s="484">
        <f>'Enveloppe du bâtiment hors terr'!R182</f>
        <v>9.207901666666668E-2</v>
      </c>
      <c r="X44" s="484">
        <f>'Enveloppe du bâtiment hors terr'!S182</f>
        <v>3.3176971666666666</v>
      </c>
      <c r="Z44" s="409">
        <f>IF($C44=BillQuantities!$E$20, BillQuantities!$J$20*'Calcul ACV'!V44, 0)</f>
        <v>0</v>
      </c>
      <c r="AA44" s="409">
        <f>IF($C44=BillQuantities!$E$20, BillQuantities!$J$20*'Calcul ACV'!W44, 0)</f>
        <v>0</v>
      </c>
      <c r="AB44" s="409">
        <f>IF($C44=BillQuantities!$E$20, BillQuantities!$J$20*'Calcul ACV'!X44, 0)</f>
        <v>0</v>
      </c>
      <c r="AC44" s="452"/>
    </row>
    <row r="45" spans="1:30" ht="15" thickBot="1">
      <c r="A45" s="1141"/>
      <c r="B45" s="1147"/>
      <c r="C45" s="483" t="s">
        <v>389</v>
      </c>
      <c r="D45" s="482" t="s">
        <v>390</v>
      </c>
      <c r="E45" s="482" t="s">
        <v>211</v>
      </c>
      <c r="F45" s="483" t="s">
        <v>39</v>
      </c>
      <c r="G45" s="484">
        <f>'Enveloppe du bâtiment hors terr'!O191+'Enveloppe du bâtiment hors terr'!P191</f>
        <v>2.6127640333333333</v>
      </c>
      <c r="H45" s="484">
        <f>'Enveloppe du bâtiment hors terr'!K191</f>
        <v>21.017400000000002</v>
      </c>
      <c r="I45" s="484"/>
      <c r="J45" s="484">
        <f>'Enveloppe du bâtiment hors terr'!L191</f>
        <v>2.033128</v>
      </c>
      <c r="K45" s="484">
        <f>'Enveloppe du bâtiment hors terr'!M191</f>
        <v>61.101479999999995</v>
      </c>
      <c r="M45" s="409">
        <f>IF($C45=BillQuantities!$E$20, BillQuantities!$J$20*'Calcul ACV'!H45, 0)</f>
        <v>0</v>
      </c>
      <c r="N45" s="409"/>
      <c r="O45" s="409">
        <f>IF($C45=BillQuantities!$E$20, BillQuantities!$J$20*'Calcul ACV'!J45, 0)</f>
        <v>0</v>
      </c>
      <c r="P45" s="409">
        <f>IF($C45=BillQuantities!$E$20, BillQuantities!$J$20*'Calcul ACV'!K45, 0)</f>
        <v>0</v>
      </c>
      <c r="Q45" s="409"/>
      <c r="R45" s="409"/>
      <c r="S45" s="409"/>
      <c r="T45" s="409"/>
      <c r="V45" s="484">
        <f>'Enveloppe du bâtiment hors terr'!Q191</f>
        <v>0.50499736666666672</v>
      </c>
      <c r="W45" s="484">
        <f>'Enveloppe du bâtiment hors terr'!R191</f>
        <v>4.7395483333333335E-2</v>
      </c>
      <c r="X45" s="484">
        <f>'Enveloppe du bâtiment hors terr'!S191</f>
        <v>1.1396598888888887</v>
      </c>
      <c r="Z45" s="409">
        <f>IF($C45=BillQuantities!$E$20, BillQuantities!$J$20*'Calcul ACV'!V45, 0)</f>
        <v>0</v>
      </c>
      <c r="AA45" s="409">
        <f>IF($C45=BillQuantities!$E$20, BillQuantities!$J$20*'Calcul ACV'!W45, 0)</f>
        <v>0</v>
      </c>
      <c r="AB45" s="409">
        <f>IF($C45=BillQuantities!$E$20, BillQuantities!$J$20*'Calcul ACV'!X45, 0)</f>
        <v>0</v>
      </c>
      <c r="AC45" s="452"/>
    </row>
    <row r="46" spans="1:30" ht="15">
      <c r="A46" s="1141"/>
      <c r="B46" s="1145" t="s">
        <v>126</v>
      </c>
      <c r="C46" s="473" t="s">
        <v>127</v>
      </c>
      <c r="D46" s="468"/>
      <c r="E46" s="468"/>
      <c r="F46" s="473"/>
      <c r="G46" s="473"/>
      <c r="H46" s="473"/>
      <c r="I46" s="473"/>
      <c r="J46" s="473"/>
      <c r="K46" s="473"/>
      <c r="L46" s="473"/>
      <c r="M46" s="427">
        <f>SUM(M47:M50)</f>
        <v>24101.022399999998</v>
      </c>
      <c r="N46" s="427">
        <f>SUM(N47:N50)</f>
        <v>36278.52592</v>
      </c>
      <c r="O46" s="427">
        <f>SUM(O47:O50)</f>
        <v>12177.503520000002</v>
      </c>
      <c r="P46" s="427">
        <f>SUM(P47:P50)</f>
        <v>0</v>
      </c>
      <c r="Q46" s="475"/>
      <c r="R46" s="475">
        <f>M46/Inputs!$C$6</f>
        <v>16.552899999999998</v>
      </c>
      <c r="S46" s="475">
        <f>N46/Inputs!$C$6</f>
        <v>24.91657</v>
      </c>
      <c r="T46" s="475">
        <f>O46/Inputs!$C$6</f>
        <v>8.3636700000000008</v>
      </c>
      <c r="V46" s="473"/>
      <c r="W46" s="473"/>
      <c r="X46" s="473"/>
      <c r="Z46" s="427">
        <f>SUM(Z47:Z50)</f>
        <v>490.09688</v>
      </c>
      <c r="AA46" s="427">
        <f>SUM(AA47:AA50)</f>
        <v>579.72581333333335</v>
      </c>
      <c r="AB46" s="427">
        <f>SUM(AB47:AB50)</f>
        <v>0</v>
      </c>
      <c r="AC46" s="452"/>
      <c r="AD46" s="450">
        <f>(Z46+AA46)/Inputs!$C$6</f>
        <v>0.73476833333333336</v>
      </c>
    </row>
    <row r="47" spans="1:30" ht="28.5">
      <c r="A47" s="1141"/>
      <c r="B47" s="1146"/>
      <c r="C47" s="483" t="s">
        <v>391</v>
      </c>
      <c r="D47" s="482" t="s">
        <v>392</v>
      </c>
      <c r="E47" s="482" t="s">
        <v>211</v>
      </c>
      <c r="F47" s="483" t="s">
        <v>39</v>
      </c>
      <c r="G47" s="484">
        <f>'Enveloppe du bâtiment hors terr'!O222+'Enveloppe du bâtiment hors terr'!P222</f>
        <v>11.463951111111113</v>
      </c>
      <c r="H47" s="484">
        <f>'Enveloppe du bâtiment hors terr'!K220</f>
        <v>66.21159999999999</v>
      </c>
      <c r="I47" s="484">
        <f>(SUM('Enveloppe du bâtiment hors terr'!K220:L220)*(60/'Enveloppe du bâtiment hors terr'!N220-1))</f>
        <v>99.66628</v>
      </c>
      <c r="J47" s="484">
        <f>'Enveloppe du bâtiment hors terr'!L220</f>
        <v>33.454680000000003</v>
      </c>
      <c r="K47" s="484">
        <f>'Enveloppe du bâtiment hors terr'!M220</f>
        <v>0</v>
      </c>
      <c r="M47" s="409">
        <f>IF($C47=BillQuantities!$E$22, BillQuantities!$J$22*'Calcul ACV'!H47, 0)</f>
        <v>24101.022399999998</v>
      </c>
      <c r="N47" s="409">
        <f>IF($C47=BillQuantities!$E$22, BillQuantities!$J$22*'Calcul ACV'!I47, 0)</f>
        <v>36278.52592</v>
      </c>
      <c r="O47" s="409">
        <f>IF($C47=BillQuantities!$E$22, BillQuantities!$J$22*'Calcul ACV'!J47, 0)</f>
        <v>12177.503520000002</v>
      </c>
      <c r="P47" s="409">
        <f>IF($C47=BillQuantities!$E$22, BillQuantities!$J$22*'Calcul ACV'!K47, 0)</f>
        <v>0</v>
      </c>
      <c r="Q47" s="409"/>
      <c r="R47" s="409"/>
      <c r="S47" s="409"/>
      <c r="T47" s="409"/>
      <c r="V47" s="834">
        <f>IF(Inputs!$J$14=Graphes_Background!$L$8, 'Enveloppe du bâtiment hors terr'!Q202,'Enveloppe du bâtiment hors terr'!Q220)</f>
        <v>1.34642</v>
      </c>
      <c r="W47" s="834">
        <f>IF(Inputs!$J$14=Graphes_Background!$L$8, 'Enveloppe du bâtiment hors terr'!R202,'Enveloppe du bâtiment hors terr'!R220)</f>
        <v>1.5926533333333335</v>
      </c>
      <c r="X47" s="834">
        <f>IF(Inputs!$J$14=Graphes_Background!$L$8, 'Enveloppe du bâtiment hors terr'!S202,'Enveloppe du bâtiment hors terr'!S220)</f>
        <v>0</v>
      </c>
      <c r="Z47" s="409">
        <f>IF($C47=BillQuantities!$E$22, BillQuantities!$J$22*'Calcul ACV'!V47, 0)</f>
        <v>490.09688</v>
      </c>
      <c r="AA47" s="409">
        <f>IF($C47=BillQuantities!$E$22, BillQuantities!$J$22*'Calcul ACV'!W47, 0)</f>
        <v>579.72581333333335</v>
      </c>
      <c r="AB47" s="409">
        <f>IF($C47=BillQuantities!$E$22, BillQuantities!$J$22*'Calcul ACV'!X47, 0)</f>
        <v>0</v>
      </c>
      <c r="AC47" s="452"/>
    </row>
    <row r="48" spans="1:30" ht="28.5">
      <c r="A48" s="1141"/>
      <c r="B48" s="1146"/>
      <c r="C48" s="483" t="s">
        <v>393</v>
      </c>
      <c r="D48" s="482" t="s">
        <v>394</v>
      </c>
      <c r="E48" s="482" t="s">
        <v>211</v>
      </c>
      <c r="F48" s="483" t="s">
        <v>39</v>
      </c>
      <c r="G48" s="484">
        <f>'Enveloppe du bâtiment hors terr'!O230+'Enveloppe du bâtiment hors terr'!P230</f>
        <v>4.6982033333333337</v>
      </c>
      <c r="H48" s="484">
        <f>'Enveloppe du bâtiment hors terr'!K230</f>
        <v>11.407600000000002</v>
      </c>
      <c r="I48" s="484"/>
      <c r="J48" s="484">
        <f>'Enveloppe du bâtiment hors terr'!L230</f>
        <v>26.124600000000004</v>
      </c>
      <c r="K48" s="484">
        <f>'Enveloppe du bâtiment hors terr'!M230</f>
        <v>0</v>
      </c>
      <c r="M48" s="409">
        <f>IF($C48=BillQuantities!$E$22, BillQuantities!$J$22*'Calcul ACV'!H48, 0)</f>
        <v>0</v>
      </c>
      <c r="N48" s="409"/>
      <c r="O48" s="409">
        <f>IF($C48=BillQuantities!$E$22, BillQuantities!$J$22*'Calcul ACV'!J48, 0)</f>
        <v>0</v>
      </c>
      <c r="P48" s="409">
        <f>IF($C48=BillQuantities!$E$22, BillQuantities!$J$22*'Calcul ACV'!K48, 0)</f>
        <v>0</v>
      </c>
      <c r="Q48" s="409"/>
      <c r="R48" s="409"/>
      <c r="S48" s="409"/>
      <c r="T48" s="409"/>
      <c r="V48" s="484">
        <f>'Enveloppe du bâtiment hors terr'!Q230</f>
        <v>0.38025333333333339</v>
      </c>
      <c r="W48" s="484">
        <f>'Enveloppe du bâtiment hors terr'!R230</f>
        <v>0.87082000000000015</v>
      </c>
      <c r="X48" s="484">
        <f>'Enveloppe du bâtiment hors terr'!S230</f>
        <v>0</v>
      </c>
      <c r="Z48" s="409">
        <f>IF($C48=BillQuantities!$E$22, BillQuantities!$J$22*'Calcul ACV'!V48, 0)</f>
        <v>0</v>
      </c>
      <c r="AA48" s="409">
        <f>IF($C48=BillQuantities!$E$22, BillQuantities!$J$22*'Calcul ACV'!W48, 0)</f>
        <v>0</v>
      </c>
      <c r="AB48" s="409">
        <f>IF($C48=BillQuantities!$E$22, BillQuantities!$J$22*'Calcul ACV'!X48, 0)</f>
        <v>0</v>
      </c>
      <c r="AC48" s="452"/>
    </row>
    <row r="49" spans="1:32" ht="28.5">
      <c r="A49" s="1141"/>
      <c r="B49" s="1146"/>
      <c r="C49" s="483" t="s">
        <v>395</v>
      </c>
      <c r="D49" s="482" t="s">
        <v>396</v>
      </c>
      <c r="E49" s="482" t="s">
        <v>211</v>
      </c>
      <c r="F49" s="483" t="s">
        <v>39</v>
      </c>
      <c r="G49" s="484">
        <f>'Enveloppe du bâtiment hors terr'!O249+'Enveloppe du bâtiment hors terr'!P249</f>
        <v>3.7021741917669808</v>
      </c>
      <c r="H49" s="484">
        <f>'Enveloppe du bâtiment hors terr'!K249</f>
        <v>38.74033227364928</v>
      </c>
      <c r="I49" s="484">
        <f>(SUM('Enveloppe du bâtiment hors terr'!K249:L249)*(60/'Enveloppe du bâtiment hors terr'!N247-1))</f>
        <v>20.641238216330482</v>
      </c>
      <c r="J49" s="484">
        <f>'Enveloppe du bâtiment hors terr'!L249</f>
        <v>2.5421441590116851</v>
      </c>
      <c r="K49" s="484">
        <f>'Enveloppe du bâtiment hors terr'!M249</f>
        <v>2.4264811999999996</v>
      </c>
      <c r="M49" s="409">
        <f>IF($C49=BillQuantities!$E$22, BillQuantities!$J$22*'Calcul ACV'!H49, 0)</f>
        <v>0</v>
      </c>
      <c r="N49" s="409">
        <f>IF($C49=BillQuantities!$E$22, BillQuantities!$J$22*'Calcul ACV'!I49, 0)</f>
        <v>0</v>
      </c>
      <c r="O49" s="409">
        <f>IF($C49=BillQuantities!$E$22, BillQuantities!$J$22*'Calcul ACV'!J49, 0)</f>
        <v>0</v>
      </c>
      <c r="P49" s="409">
        <f>IF($C49=BillQuantities!$E$22, BillQuantities!$J$22*'Calcul ACV'!K49, 0)</f>
        <v>0</v>
      </c>
      <c r="Q49" s="409"/>
      <c r="R49" s="409"/>
      <c r="S49" s="409"/>
      <c r="T49" s="409"/>
      <c r="V49" s="838">
        <f>'Enveloppe du bâtiment hors terr'!Q249</f>
        <v>0.96850830684123201</v>
      </c>
      <c r="W49" s="838">
        <f>'Enveloppe du bâtiment hors terr'!R249</f>
        <v>6.3553603975292111E-2</v>
      </c>
      <c r="X49" s="838">
        <f>'Enveloppe du bâtiment hors terr'!S249</f>
        <v>6.0662029999999992E-2</v>
      </c>
      <c r="Z49" s="409">
        <f>IF($C49=BillQuantities!$E$22, BillQuantities!$J$22*'Calcul ACV'!V49, 0)</f>
        <v>0</v>
      </c>
      <c r="AA49" s="409">
        <f>IF($C49=BillQuantities!$E$22, BillQuantities!$J$22*'Calcul ACV'!W49, 0)</f>
        <v>0</v>
      </c>
      <c r="AB49" s="409">
        <f>IF($C49=BillQuantities!$E$22, BillQuantities!$J$22*'Calcul ACV'!X49, 0)</f>
        <v>0</v>
      </c>
      <c r="AC49" s="452"/>
    </row>
    <row r="50" spans="1:32" ht="29.1" customHeight="1" thickBot="1">
      <c r="A50" s="1142"/>
      <c r="B50" s="1148"/>
      <c r="C50" s="483" t="s">
        <v>397</v>
      </c>
      <c r="D50" s="444" t="s">
        <v>398</v>
      </c>
      <c r="E50" s="444" t="s">
        <v>211</v>
      </c>
      <c r="F50" s="443" t="s">
        <v>39</v>
      </c>
      <c r="G50" s="445">
        <f>'Enveloppe du bâtiment hors terr'!O256+'Enveloppe du bâtiment hors terr'!P256</f>
        <v>1.587016691766981</v>
      </c>
      <c r="H50" s="445">
        <f>'Enveloppe du bâtiment hors terr'!K256</f>
        <v>20.194332273649284</v>
      </c>
      <c r="I50" s="445"/>
      <c r="J50" s="445">
        <f>'Enveloppe du bâtiment hors terr'!L256</f>
        <v>1.0781441590116849</v>
      </c>
      <c r="K50" s="445">
        <f>'Enveloppe du bâtiment hors terr'!M256</f>
        <v>2.4264811999999996</v>
      </c>
      <c r="L50" s="428"/>
      <c r="M50" s="429">
        <f>IF($C50=BillQuantities!$E$22, BillQuantities!$J$22*'Calcul ACV'!H50, 0)</f>
        <v>0</v>
      </c>
      <c r="N50" s="429"/>
      <c r="O50" s="429">
        <f>IF($C50=BillQuantities!$E$22, BillQuantities!$J$22*'Calcul ACV'!J50, 0)</f>
        <v>0</v>
      </c>
      <c r="P50" s="429">
        <f>IF($C50=BillQuantities!$E$22, BillQuantities!$J$22*'Calcul ACV'!K50, 0)</f>
        <v>0</v>
      </c>
      <c r="Q50" s="429"/>
      <c r="R50" s="429"/>
      <c r="S50" s="429"/>
      <c r="T50" s="429"/>
      <c r="U50" s="456"/>
      <c r="V50" s="445">
        <f>'Enveloppe du bâtiment hors terr'!Q256</f>
        <v>0.50485830684123212</v>
      </c>
      <c r="W50" s="445">
        <f>'Enveloppe du bâtiment hors terr'!R256</f>
        <v>2.6953603975292124E-2</v>
      </c>
      <c r="X50" s="445">
        <f>'Enveloppe du bâtiment hors terr'!S256</f>
        <v>6.0662029999999992E-2</v>
      </c>
      <c r="Y50" s="428"/>
      <c r="Z50" s="429">
        <f>IF($C50=BillQuantities!$E$22, BillQuantities!$J$22*'Calcul ACV'!V50, 0)</f>
        <v>0</v>
      </c>
      <c r="AA50" s="429">
        <f>IF($C50=BillQuantities!$E$22, BillQuantities!$J$22*'Calcul ACV'!W50, 0)</f>
        <v>0</v>
      </c>
      <c r="AB50" s="429">
        <f>IF($C50=BillQuantities!$E$22, BillQuantities!$J$22*'Calcul ACV'!X50, 0)</f>
        <v>0</v>
      </c>
      <c r="AC50" s="453"/>
    </row>
    <row r="51" spans="1:32" ht="15.75" thickBot="1">
      <c r="A51" s="1140" t="s">
        <v>131</v>
      </c>
      <c r="B51" s="436"/>
      <c r="C51" s="446"/>
      <c r="D51" s="433"/>
      <c r="E51" s="433"/>
      <c r="F51" s="446"/>
      <c r="G51" s="447"/>
      <c r="H51" s="447"/>
      <c r="I51" s="447"/>
      <c r="J51" s="447"/>
      <c r="K51" s="447"/>
      <c r="L51" s="441"/>
      <c r="M51" s="442"/>
      <c r="N51" s="442"/>
      <c r="O51" s="442"/>
      <c r="P51" s="442"/>
      <c r="Q51" s="442"/>
      <c r="R51" s="442">
        <f>(R52+R55+R59+R63+R67+R72+R77+R82)</f>
        <v>230.49721519901706</v>
      </c>
      <c r="S51" s="442">
        <f t="shared" ref="S51:T51" si="3">(S52+S55+S59+S63+S67+S72+S77+S82)</f>
        <v>75.618611717984436</v>
      </c>
      <c r="T51" s="442">
        <f t="shared" si="3"/>
        <v>20.794888984849912</v>
      </c>
      <c r="U51" s="450">
        <f>(R51+S51+T51)/60</f>
        <v>5.4485119316975243</v>
      </c>
      <c r="V51" s="447"/>
      <c r="W51" s="447"/>
      <c r="X51" s="447"/>
      <c r="Y51" s="441"/>
      <c r="Z51" s="442">
        <f>(Z52+Z55+Z59+Z63+Z67+Z72+Z77+Z82)/Inputs!$C$6</f>
        <v>5.140235427480734</v>
      </c>
      <c r="AA51" s="442">
        <f>(AA52+AA55+AA59+AA63+AA67+AA72+AA77+AA82)/Inputs!$C$6</f>
        <v>0.47634592088345584</v>
      </c>
      <c r="AB51" s="442">
        <f>(AB52+AB55+AB59+AB63+AB67+AB72+AB77+AB82)/Inputs!$C$6</f>
        <v>0.32508055555555548</v>
      </c>
      <c r="AC51" s="450">
        <f>Z51+AA51</f>
        <v>5.61658134836419</v>
      </c>
      <c r="AF51" s="409">
        <f>-AB51</f>
        <v>-0.32508055555555548</v>
      </c>
    </row>
    <row r="52" spans="1:32" ht="13.9" customHeight="1">
      <c r="A52" s="1141"/>
      <c r="B52" s="1145" t="s">
        <v>132</v>
      </c>
      <c r="C52" s="473" t="s">
        <v>399</v>
      </c>
      <c r="D52" s="468"/>
      <c r="E52" s="468"/>
      <c r="F52" s="473"/>
      <c r="G52" s="473"/>
      <c r="H52" s="473"/>
      <c r="I52" s="473"/>
      <c r="J52" s="473"/>
      <c r="K52" s="473"/>
      <c r="L52" s="473"/>
      <c r="M52" s="427">
        <f>SUM(M53:M54)</f>
        <v>64455.519698343945</v>
      </c>
      <c r="N52" s="427">
        <f>SUM(N53:N54)</f>
        <v>23841.34980864</v>
      </c>
      <c r="O52" s="427">
        <f>SUM(O53:O54)</f>
        <v>4704.2624588310837</v>
      </c>
      <c r="P52" s="427">
        <f>SUM(P53:P54)</f>
        <v>1633.6319999999998</v>
      </c>
      <c r="Q52" s="475"/>
      <c r="R52" s="475">
        <f>M52/Inputs!$C$6</f>
        <v>44.268900891719746</v>
      </c>
      <c r="S52" s="475">
        <f>N52/Inputs!$C$6</f>
        <v>16.37455344</v>
      </c>
      <c r="T52" s="475">
        <f>O52/Inputs!$C$6</f>
        <v>3.2309494909554144</v>
      </c>
      <c r="V52" s="473"/>
      <c r="W52" s="473"/>
      <c r="X52" s="473"/>
      <c r="Z52" s="427">
        <f>SUM(Z53:Z54)</f>
        <v>1454.0912056390657</v>
      </c>
      <c r="AA52" s="427">
        <f>SUM(AA53:AA54)</f>
        <v>95.927660457851374</v>
      </c>
      <c r="AB52" s="427">
        <f>SUM(AB53:AB54)</f>
        <v>54.454399999999993</v>
      </c>
      <c r="AC52" s="452"/>
      <c r="AD52" s="450">
        <f>(Z52+AA52)/Inputs!$C$6</f>
        <v>1.0645733970445859</v>
      </c>
    </row>
    <row r="53" spans="1:32">
      <c r="A53" s="1141"/>
      <c r="B53" s="1146"/>
      <c r="C53" s="483" t="s">
        <v>400</v>
      </c>
      <c r="D53" s="835" t="s">
        <v>401</v>
      </c>
      <c r="E53" s="835" t="s">
        <v>211</v>
      </c>
      <c r="F53" s="836" t="s">
        <v>39</v>
      </c>
      <c r="G53" s="472">
        <f>'Eléments de constr. inté. et ex'!O26+'Eléments de constr. inté. et ex'!P26</f>
        <v>3.6351518789455062</v>
      </c>
      <c r="H53" s="472">
        <f>'Eléments de constr. inté. et ex'!K10</f>
        <v>82.835152229299368</v>
      </c>
      <c r="I53" s="484">
        <f>(SUM('Eléments de constr. inté. et ex'!K7:L9)*(60/'Eléments de constr. inté. et ex'!N7-1))</f>
        <v>11.961099999999997</v>
      </c>
      <c r="J53" s="472">
        <f>'Eléments de constr. inté. et ex'!L10</f>
        <v>6.9391901273885361</v>
      </c>
      <c r="K53" s="472">
        <f>'Eléments de constr. inté. et ex'!M10</f>
        <v>0</v>
      </c>
      <c r="M53" s="409">
        <f>IF($C53=BillQuantities!$E$24, BillQuantities!$J$24*'Calcul ACV'!H53, 0)</f>
        <v>48243.192658343949</v>
      </c>
      <c r="N53" s="409">
        <f>IF($C53=BillQuantities!$E$24, BillQuantities!$J$24*'Calcul ACV'!I53, 0)</f>
        <v>6966.1446399999977</v>
      </c>
      <c r="O53" s="409">
        <f>IF($C53=BillQuantities!$E$24, BillQuantities!$J$24*'Calcul ACV'!J53, 0)</f>
        <v>4041.3843301910833</v>
      </c>
      <c r="P53" s="409">
        <f>IF($C53=BillQuantities!$E$24, BillQuantities!$J$24*'Calcul ACV'!K53, 0)</f>
        <v>0</v>
      </c>
      <c r="Q53" s="409"/>
      <c r="R53" s="409"/>
      <c r="S53" s="409"/>
      <c r="T53" s="409"/>
      <c r="V53" s="472">
        <f>'Eléments de constr. inté. et ex'!Q10</f>
        <v>1.568819203821656</v>
      </c>
      <c r="W53" s="472">
        <f>'Eléments de constr. inté. et ex'!R10</f>
        <v>0.12677150212314225</v>
      </c>
      <c r="X53" s="472">
        <f>'Eléments de constr. inté. et ex'!S10</f>
        <v>0</v>
      </c>
      <c r="Z53" s="409">
        <f>IF($C53=BillQuantities!$E$24, BillQuantities!$J$24*'Calcul ACV'!V53, 0)</f>
        <v>913.68030430573242</v>
      </c>
      <c r="AA53" s="409">
        <f>IF($C53=BillQuantities!$E$24, BillQuantities!$J$24*'Calcul ACV'!W53, 0)</f>
        <v>73.83172283651804</v>
      </c>
      <c r="AB53" s="409">
        <f>IF($C53=BillQuantities!$E$24, BillQuantities!$J$24*'Calcul ACV'!X53, 0)</f>
        <v>0</v>
      </c>
      <c r="AC53" s="452"/>
    </row>
    <row r="54" spans="1:32" ht="15" thickBot="1">
      <c r="A54" s="1141"/>
      <c r="B54" s="1146"/>
      <c r="C54" s="483" t="s">
        <v>402</v>
      </c>
      <c r="D54" s="835" t="s">
        <v>403</v>
      </c>
      <c r="E54" s="835" t="s">
        <v>211</v>
      </c>
      <c r="F54" s="836" t="s">
        <v>39</v>
      </c>
      <c r="G54" s="472">
        <f>'Eléments de constr. inté. et ex'!O43+'Eléments de constr. inté. et ex'!P43</f>
        <v>4.8897289206666663</v>
      </c>
      <c r="H54" s="472">
        <f>'Eléments de constr. inté. et ex'!K34</f>
        <v>27.8371</v>
      </c>
      <c r="I54" s="484">
        <f>(SUM('Eléments de constr. inté. et ex'!K34:L34)*(60/'Eléments de constr. inté. et ex'!N34-1))</f>
        <v>28.975283600000001</v>
      </c>
      <c r="J54" s="472">
        <f>'Eléments de constr. inté. et ex'!L34</f>
        <v>1.1381836000000001</v>
      </c>
      <c r="K54" s="472">
        <f>'Eléments de constr. inté. et ex'!M34</f>
        <v>2.8049999999999997</v>
      </c>
      <c r="M54" s="409">
        <f>IF($C54=BillQuantities!$E$25, BillQuantities!$J$25*'Calcul ACV'!H54, 0)</f>
        <v>16212.327039999998</v>
      </c>
      <c r="N54" s="409">
        <f>IF($C54=BillQuantities!$E$25, BillQuantities!$J$25*'Calcul ACV'!I54, 0)</f>
        <v>16875.205168640001</v>
      </c>
      <c r="O54" s="409">
        <f>IF($C54=BillQuantities!$E$25, BillQuantities!$J$25*'Calcul ACV'!J54, 0)</f>
        <v>662.87812864</v>
      </c>
      <c r="P54" s="409">
        <f>IF($C54=BillQuantities!$E$25, BillQuantities!$J$25*'Calcul ACV'!K54, 0)</f>
        <v>1633.6319999999998</v>
      </c>
      <c r="Q54" s="409"/>
      <c r="R54" s="409"/>
      <c r="S54" s="409"/>
      <c r="T54" s="409"/>
      <c r="V54" s="472">
        <f>'Eléments de constr. inté. et ex'!Q34</f>
        <v>0.9279033333333333</v>
      </c>
      <c r="W54" s="472">
        <f>'Eléments de constr. inté. et ex'!R34</f>
        <v>3.7939453333333338E-2</v>
      </c>
      <c r="X54" s="472">
        <f>'Eléments de constr. inté. et ex'!S34</f>
        <v>9.3499999999999986E-2</v>
      </c>
      <c r="Z54" s="409">
        <f>IF($C54=BillQuantities!$E$25, BillQuantities!$J$25*'Calcul ACV'!V54, 0)</f>
        <v>540.4109013333333</v>
      </c>
      <c r="AA54" s="409">
        <f>IF($C54=BillQuantities!$E$25, BillQuantities!$J$25*'Calcul ACV'!W54, 0)</f>
        <v>22.095937621333334</v>
      </c>
      <c r="AB54" s="409">
        <f>IF($C54=BillQuantities!$E$25, BillQuantities!$J$25*'Calcul ACV'!X54, 0)</f>
        <v>54.454399999999993</v>
      </c>
      <c r="AC54" s="452"/>
    </row>
    <row r="55" spans="1:32" ht="15">
      <c r="A55" s="1141"/>
      <c r="B55" s="1145" t="s">
        <v>136</v>
      </c>
      <c r="C55" s="473" t="s">
        <v>404</v>
      </c>
      <c r="D55" s="468"/>
      <c r="E55" s="468"/>
      <c r="F55" s="473"/>
      <c r="G55" s="473"/>
      <c r="H55" s="473"/>
      <c r="I55" s="473"/>
      <c r="J55" s="473"/>
      <c r="K55" s="473"/>
      <c r="L55" s="473"/>
      <c r="M55" s="427">
        <f>SUM(M56:M58)</f>
        <v>33423.243936305735</v>
      </c>
      <c r="N55" s="427">
        <f>SUM(N56:N58)</f>
        <v>2176.9201999999996</v>
      </c>
      <c r="O55" s="427">
        <f>SUM(O56:O58)</f>
        <v>2945.552453503185</v>
      </c>
      <c r="P55" s="427">
        <f>SUM(P56:P58)</f>
        <v>0</v>
      </c>
      <c r="Q55" s="475"/>
      <c r="R55" s="475">
        <f>M55/Inputs!$C$6</f>
        <v>22.955524681528665</v>
      </c>
      <c r="S55" s="475">
        <f>N55/Inputs!$C$6</f>
        <v>1.4951374999999998</v>
      </c>
      <c r="T55" s="475">
        <f>O55/Inputs!$C$6</f>
        <v>2.0230442675159237</v>
      </c>
      <c r="V55" s="473"/>
      <c r="W55" s="473"/>
      <c r="X55" s="473"/>
      <c r="Z55" s="427">
        <f>SUM(Z56:Z58)</f>
        <v>591.31253227176228</v>
      </c>
      <c r="AA55" s="427">
        <f>SUM(AA56:AA58)</f>
        <v>51.116077558386415</v>
      </c>
      <c r="AB55" s="427">
        <f>SUM(AB56:AB58)</f>
        <v>0</v>
      </c>
      <c r="AC55" s="452"/>
      <c r="AD55" s="623">
        <f>(Z55+AA55)/Inputs!$C$6</f>
        <v>0.44122844081740986</v>
      </c>
    </row>
    <row r="56" spans="1:32">
      <c r="A56" s="1141"/>
      <c r="B56" s="1146"/>
      <c r="C56" s="483" t="s">
        <v>381</v>
      </c>
      <c r="D56" s="482" t="s">
        <v>405</v>
      </c>
      <c r="E56" s="482" t="s">
        <v>211</v>
      </c>
      <c r="F56" s="483" t="s">
        <v>39</v>
      </c>
      <c r="G56" s="484">
        <f>'Eléments de constr. inté. et ex'!O52+'Eléments de constr. inté. et ex'!P52</f>
        <v>4.3537962027600843</v>
      </c>
      <c r="H56" s="484">
        <f>'Eléments de constr. inté. et ex'!K52</f>
        <v>91.82209872611466</v>
      </c>
      <c r="I56" s="484">
        <f>(SUM('Eléments de constr. inté. et ex'!K49:L51)*(60/'Eléments de constr. inté. et ex'!N49-1))</f>
        <v>5.9805499999999983</v>
      </c>
      <c r="J56" s="484">
        <f>'Eléments de constr. inté. et ex'!L52</f>
        <v>8.0921770700636948</v>
      </c>
      <c r="K56" s="484">
        <f>'Eléments de constr. inté. et ex'!M52</f>
        <v>0</v>
      </c>
      <c r="M56" s="409">
        <f>IF($C56=BillQuantities!$E$27, BillQuantities!$J$27*'Calcul ACV'!H56, 0)</f>
        <v>33423.243936305735</v>
      </c>
      <c r="N56" s="409">
        <f>IF($C56=BillQuantities!$E$27, BillQuantities!$J$27*'Calcul ACV'!I56, 0)</f>
        <v>2176.9201999999996</v>
      </c>
      <c r="O56" s="409">
        <f>IF($C56=BillQuantities!$E$27, BillQuantities!$J$27*'Calcul ACV'!J56, 0)</f>
        <v>2945.552453503185</v>
      </c>
      <c r="P56" s="409">
        <f>IF($C56=BillQuantities!$E$27, BillQuantities!$J$27*'Calcul ACV'!K56, 0)</f>
        <v>0</v>
      </c>
      <c r="Q56" s="409"/>
      <c r="R56" s="409"/>
      <c r="S56" s="409"/>
      <c r="T56" s="409"/>
      <c r="V56" s="484">
        <f>'Eléments de constr. inté. et ex'!Q52</f>
        <v>1.6244849787685776</v>
      </c>
      <c r="W56" s="484">
        <f>'Eléments de constr. inté. et ex'!R52</f>
        <v>0.14042878450106158</v>
      </c>
      <c r="X56" s="484">
        <f>'Eléments de constr. inté. et ex'!S52</f>
        <v>0</v>
      </c>
      <c r="Z56" s="409">
        <f>IF($C56=BillQuantities!$E$27, BillQuantities!$J$27*'Calcul ACV'!V56, 0)</f>
        <v>591.31253227176228</v>
      </c>
      <c r="AA56" s="409">
        <f>IF($C56=BillQuantities!$E$27, BillQuantities!$J$27*'Calcul ACV'!W56, 0)</f>
        <v>51.116077558386415</v>
      </c>
      <c r="AB56" s="409">
        <f>IF($C56=BillQuantities!$E$27, BillQuantities!$J$27*'Calcul ACV'!X56, 0)</f>
        <v>0</v>
      </c>
      <c r="AC56" s="452"/>
    </row>
    <row r="57" spans="1:32">
      <c r="A57" s="1141"/>
      <c r="B57" s="1146"/>
      <c r="C57" s="483" t="s">
        <v>406</v>
      </c>
      <c r="D57" s="482" t="s">
        <v>407</v>
      </c>
      <c r="E57" s="482" t="s">
        <v>211</v>
      </c>
      <c r="F57" s="483" t="s">
        <v>39</v>
      </c>
      <c r="G57" s="484">
        <f>'Eléments de constr. inté. et ex'!O61+'Eléments de constr. inté. et ex'!P61</f>
        <v>1.50703958</v>
      </c>
      <c r="H57" s="484">
        <f>'Eléments de constr. inté. et ex'!K61</f>
        <v>6.9610400000000006</v>
      </c>
      <c r="I57" s="484">
        <f>(SUM('Eléments de constr. inté. et ex'!K57:L60)*(60/'Eléments de constr. inté. et ex'!N57-1))</f>
        <v>5.046521499999999</v>
      </c>
      <c r="J57" s="484">
        <f>'Eléments de constr. inté. et ex'!L61</f>
        <v>2.6946288000000003</v>
      </c>
      <c r="K57" s="484">
        <f>'Eléments de constr. inté. et ex'!M61</f>
        <v>68.898368000000005</v>
      </c>
      <c r="M57" s="409">
        <f>IF($C57=BillQuantities!$E$27, BillQuantities!$J$27*'Calcul ACV'!H57, 0)</f>
        <v>0</v>
      </c>
      <c r="N57" s="409">
        <f>IF($C57=BillQuantities!$E$27, BillQuantities!$J$27*'Calcul ACV'!I57, 0)</f>
        <v>0</v>
      </c>
      <c r="O57" s="409">
        <f>IF($C57=BillQuantities!$E$27, BillQuantities!$J$27*'Calcul ACV'!J57, 0)</f>
        <v>0</v>
      </c>
      <c r="P57" s="409">
        <f>IF($C57=BillQuantities!$E$27, BillQuantities!$J$27*'Calcul ACV'!K57, 0)</f>
        <v>0</v>
      </c>
      <c r="Q57" s="409"/>
      <c r="R57" s="409"/>
      <c r="S57" s="409"/>
      <c r="T57" s="409"/>
      <c r="V57" s="484">
        <f>'Eléments de constr. inté. et ex'!Q61</f>
        <v>0.27072469999999998</v>
      </c>
      <c r="W57" s="484">
        <f>'Eléments de constr. inté. et ex'!R61</f>
        <v>5.8420496666666669E-2</v>
      </c>
      <c r="X57" s="484">
        <f>'Eléments de constr. inté. et ex'!S61</f>
        <v>1.2696080222222221</v>
      </c>
      <c r="Z57" s="409">
        <f>IF($C57=BillQuantities!$E$27, BillQuantities!$J$27*'Calcul ACV'!V57, 0)</f>
        <v>0</v>
      </c>
      <c r="AA57" s="409">
        <f>IF($C57=BillQuantities!$E$27, BillQuantities!$J$27*'Calcul ACV'!W57, 0)</f>
        <v>0</v>
      </c>
      <c r="AB57" s="409">
        <f>IF($C57=BillQuantities!$E$27, BillQuantities!$J$27*'Calcul ACV'!X57, 0)</f>
        <v>0</v>
      </c>
      <c r="AC57" s="452"/>
    </row>
    <row r="58" spans="1:32" ht="15" thickBot="1">
      <c r="A58" s="1141"/>
      <c r="B58" s="1147"/>
      <c r="C58" s="483" t="s">
        <v>408</v>
      </c>
      <c r="D58" s="482" t="s">
        <v>409</v>
      </c>
      <c r="E58" s="482" t="s">
        <v>211</v>
      </c>
      <c r="F58" s="483" t="s">
        <v>39</v>
      </c>
      <c r="G58" s="484">
        <f>'Eléments de constr. inté. et ex'!O71+'Eléments de constr. inté. et ex'!P71</f>
        <v>2.1360020309978767</v>
      </c>
      <c r="H58" s="484">
        <f>'Eléments de constr. inté. et ex'!K71</f>
        <v>28.092596847133759</v>
      </c>
      <c r="I58" s="484"/>
      <c r="J58" s="484">
        <f>'Eléments de constr. inté. et ex'!L71</f>
        <v>5.1238932484076436</v>
      </c>
      <c r="K58" s="484">
        <f>'Eléments de constr. inté. et ex'!M71</f>
        <v>95.478716666666656</v>
      </c>
      <c r="M58" s="409">
        <f>IF($C58=BillQuantities!$E$27, BillQuantities!$J$27*'Calcul ACV'!H58, 0)</f>
        <v>0</v>
      </c>
      <c r="N58" s="409"/>
      <c r="O58" s="409">
        <f>IF($C58=BillQuantities!$E$27, BillQuantities!$J$27*'Calcul ACV'!J58, 0)</f>
        <v>0</v>
      </c>
      <c r="P58" s="409">
        <f>IF($C58=BillQuantities!$E$27, BillQuantities!$J$27*'Calcul ACV'!K58, 0)</f>
        <v>0</v>
      </c>
      <c r="Q58" s="409"/>
      <c r="R58" s="409"/>
      <c r="S58" s="409"/>
      <c r="T58" s="409"/>
      <c r="V58" s="484">
        <f>'Eléments de constr. inté. et ex'!Q71</f>
        <v>0.62291731411889595</v>
      </c>
      <c r="W58" s="484">
        <f>'Eléments de constr. inté. et ex'!R71</f>
        <v>9.8908237473460725E-2</v>
      </c>
      <c r="X58" s="484">
        <f>'Eléments de constr. inté. et ex'!S71</f>
        <v>1.7126138333333332</v>
      </c>
      <c r="Z58" s="409">
        <f>IF($C58=BillQuantities!$E$27, BillQuantities!$J$27*'Calcul ACV'!V58, 0)</f>
        <v>0</v>
      </c>
      <c r="AA58" s="409">
        <f>IF($C58=BillQuantities!$E$27, BillQuantities!$J$27*'Calcul ACV'!W58, 0)</f>
        <v>0</v>
      </c>
      <c r="AB58" s="409">
        <f>IF($C58=BillQuantities!$E$27, BillQuantities!$J$27*'Calcul ACV'!X58, 0)</f>
        <v>0</v>
      </c>
      <c r="AC58" s="452"/>
    </row>
    <row r="59" spans="1:32" ht="15">
      <c r="A59" s="1141"/>
      <c r="B59" s="1152" t="s">
        <v>136</v>
      </c>
      <c r="C59" s="473" t="s">
        <v>410</v>
      </c>
      <c r="D59" s="468"/>
      <c r="E59" s="468"/>
      <c r="F59" s="473"/>
      <c r="G59" s="473"/>
      <c r="H59" s="473"/>
      <c r="I59" s="473"/>
      <c r="J59" s="473"/>
      <c r="K59" s="473"/>
      <c r="L59" s="473"/>
      <c r="M59" s="427">
        <f>SUM(M60:M62)</f>
        <v>100269.7318089172</v>
      </c>
      <c r="N59" s="427">
        <f>SUM(N60:N62)</f>
        <v>6530.7605999999978</v>
      </c>
      <c r="O59" s="427">
        <f>SUM(O60:O62)</f>
        <v>8836.6573605095546</v>
      </c>
      <c r="P59" s="427">
        <f>SUM(P60:P62)</f>
        <v>0</v>
      </c>
      <c r="Q59" s="475"/>
      <c r="R59" s="475">
        <f>M59/Inputs!$C$6</f>
        <v>68.866574044585988</v>
      </c>
      <c r="S59" s="475">
        <f>N59/Inputs!$C$6</f>
        <v>4.4854124999999989</v>
      </c>
      <c r="T59" s="475">
        <f>O59/Inputs!$C$6</f>
        <v>6.0691328025477711</v>
      </c>
      <c r="V59" s="473"/>
      <c r="W59" s="473"/>
      <c r="X59" s="473"/>
      <c r="Z59" s="427">
        <f>SUM(Z60:Z62)</f>
        <v>1773.9375968152867</v>
      </c>
      <c r="AA59" s="427">
        <f>SUM(AA60:AA62)</f>
        <v>153.34823267515924</v>
      </c>
      <c r="AB59" s="427">
        <f>SUM(AB60:AB62)</f>
        <v>0</v>
      </c>
      <c r="AC59" s="452"/>
      <c r="AD59" s="623">
        <f>(Z59+AA59)/Inputs!$C$6</f>
        <v>1.3236853224522294</v>
      </c>
    </row>
    <row r="60" spans="1:32">
      <c r="A60" s="1141"/>
      <c r="B60" s="1153"/>
      <c r="C60" s="483" t="s">
        <v>381</v>
      </c>
      <c r="D60" s="482" t="s">
        <v>405</v>
      </c>
      <c r="E60" s="482" t="s">
        <v>211</v>
      </c>
      <c r="F60" s="483" t="s">
        <v>39</v>
      </c>
      <c r="G60" s="484">
        <f>'Eléments de constr. inté. et ex'!O56+'Eléments de constr. inté. et ex'!P56</f>
        <v>0</v>
      </c>
      <c r="H60" s="484">
        <f>'Eléments de constr. inté. et ex'!K52</f>
        <v>91.82209872611466</v>
      </c>
      <c r="I60" s="484">
        <f>(SUM('Eléments de constr. inté. et ex'!K49:L51)*(60/'Eléments de constr. inté. et ex'!N49-1))</f>
        <v>5.9805499999999983</v>
      </c>
      <c r="J60" s="484">
        <f>'Eléments de constr. inté. et ex'!L52</f>
        <v>8.0921770700636948</v>
      </c>
      <c r="K60" s="484">
        <f>'Eléments de constr. inté. et ex'!M52</f>
        <v>0</v>
      </c>
      <c r="M60" s="409">
        <f>IF($C60=BillQuantities!$E$28, BillQuantities!$J$28*'Calcul ACV'!H60, 0)</f>
        <v>100269.7318089172</v>
      </c>
      <c r="N60" s="409">
        <f>IF($C60=BillQuantities!$E$28, BillQuantities!$J$28*'Calcul ACV'!I60, 0)</f>
        <v>6530.7605999999978</v>
      </c>
      <c r="O60" s="409">
        <f>IF($C60=BillQuantities!$E$28, BillQuantities!$J$28*'Calcul ACV'!J60, 0)</f>
        <v>8836.6573605095546</v>
      </c>
      <c r="P60" s="409">
        <f>IF($C60=BillQuantities!$E$28, BillQuantities!$J$28*'Calcul ACV'!K60, 0)</f>
        <v>0</v>
      </c>
      <c r="Q60" s="409"/>
      <c r="R60" s="409"/>
      <c r="S60" s="409"/>
      <c r="T60" s="409"/>
      <c r="V60" s="484">
        <f>'Eléments de constr. inté. et ex'!Q52</f>
        <v>1.6244849787685776</v>
      </c>
      <c r="W60" s="484">
        <f>'Eléments de constr. inté. et ex'!R52</f>
        <v>0.14042878450106158</v>
      </c>
      <c r="X60" s="484">
        <f>'Eléments de constr. inté. et ex'!S52</f>
        <v>0</v>
      </c>
      <c r="Z60" s="409">
        <f>IF($C60=BillQuantities!$E$28, BillQuantities!$J$28*'Calcul ACV'!V60, 0)</f>
        <v>1773.9375968152867</v>
      </c>
      <c r="AA60" s="409">
        <f>IF($C60=BillQuantities!$E$28, BillQuantities!$J$28*'Calcul ACV'!W60, 0)</f>
        <v>153.34823267515924</v>
      </c>
      <c r="AB60" s="409">
        <f>IF($C60=BillQuantities!$E$28, BillQuantities!$J$28*'Calcul ACV'!X60, 0)</f>
        <v>0</v>
      </c>
      <c r="AC60" s="452"/>
    </row>
    <row r="61" spans="1:32">
      <c r="A61" s="1141"/>
      <c r="B61" s="1153"/>
      <c r="C61" s="483" t="s">
        <v>406</v>
      </c>
      <c r="D61" s="482" t="s">
        <v>407</v>
      </c>
      <c r="E61" s="482" t="s">
        <v>211</v>
      </c>
      <c r="F61" s="483" t="s">
        <v>39</v>
      </c>
      <c r="G61" s="484">
        <f>'Eléments de constr. inté. et ex'!O65+'Eléments de constr. inté. et ex'!P65</f>
        <v>0</v>
      </c>
      <c r="H61" s="484">
        <f>'Eléments de constr. inté. et ex'!K61</f>
        <v>6.9610400000000006</v>
      </c>
      <c r="I61" s="484">
        <f>(SUM('Eléments de constr. inté. et ex'!K57:L60)*(60/'Eléments de constr. inté. et ex'!N57-1))</f>
        <v>5.046521499999999</v>
      </c>
      <c r="J61" s="484">
        <f>'Eléments de constr. inté. et ex'!L61</f>
        <v>2.6946288000000003</v>
      </c>
      <c r="K61" s="484">
        <f>'Eléments de constr. inté. et ex'!M61</f>
        <v>68.898368000000005</v>
      </c>
      <c r="M61" s="409">
        <f>IF($C61=BillQuantities!$E$28, BillQuantities!$J$28*'Calcul ACV'!H61, 0)</f>
        <v>0</v>
      </c>
      <c r="N61" s="409">
        <f>IF($C61=BillQuantities!$E$28, BillQuantities!$J$28*'Calcul ACV'!I61, 0)</f>
        <v>0</v>
      </c>
      <c r="O61" s="409">
        <f>IF($C61=BillQuantities!$E$28, BillQuantities!$J$28*'Calcul ACV'!J61, 0)</f>
        <v>0</v>
      </c>
      <c r="P61" s="409">
        <f>IF($C61=BillQuantities!$E$28, BillQuantities!$J$28*'Calcul ACV'!K61, 0)</f>
        <v>0</v>
      </c>
      <c r="Q61" s="409"/>
      <c r="R61" s="409"/>
      <c r="S61" s="409"/>
      <c r="T61" s="409"/>
      <c r="V61" s="484">
        <f>'Eléments de constr. inté. et ex'!Q61</f>
        <v>0.27072469999999998</v>
      </c>
      <c r="W61" s="484">
        <f>'Eléments de constr. inté. et ex'!R61</f>
        <v>5.8420496666666669E-2</v>
      </c>
      <c r="X61" s="484">
        <f>'Eléments de constr. inté. et ex'!S61</f>
        <v>1.2696080222222221</v>
      </c>
      <c r="Z61" s="409">
        <f>IF($C61=BillQuantities!$E$28, BillQuantities!$J$28*'Calcul ACV'!V61, 0)</f>
        <v>0</v>
      </c>
      <c r="AA61" s="409">
        <f>IF($C61=BillQuantities!$E$28, BillQuantities!$J$28*'Calcul ACV'!W61, 0)</f>
        <v>0</v>
      </c>
      <c r="AB61" s="409">
        <f>IF($C61=BillQuantities!$E$28, BillQuantities!$J$28*'Calcul ACV'!X61, 0)</f>
        <v>0</v>
      </c>
      <c r="AC61" s="452"/>
    </row>
    <row r="62" spans="1:32" ht="15" thickBot="1">
      <c r="A62" s="1141"/>
      <c r="B62" s="1154"/>
      <c r="C62" s="483" t="s">
        <v>408</v>
      </c>
      <c r="D62" s="482" t="s">
        <v>409</v>
      </c>
      <c r="E62" s="482" t="s">
        <v>211</v>
      </c>
      <c r="F62" s="483" t="s">
        <v>39</v>
      </c>
      <c r="G62" s="484">
        <f>'Eléments de constr. inté. et ex'!O75+'Eléments de constr. inté. et ex'!P75</f>
        <v>1.2221500000000001</v>
      </c>
      <c r="H62" s="484">
        <f>'Eléments de constr. inté. et ex'!K71</f>
        <v>28.092596847133759</v>
      </c>
      <c r="I62" s="484"/>
      <c r="J62" s="484">
        <f>'Eléments de constr. inté. et ex'!L71</f>
        <v>5.1238932484076436</v>
      </c>
      <c r="K62" s="484">
        <f>'Eléments de constr. inté. et ex'!M71</f>
        <v>95.478716666666656</v>
      </c>
      <c r="M62" s="409">
        <f>IF($C62=BillQuantities!$E$28, BillQuantities!$J$28*'Calcul ACV'!H62, 0)</f>
        <v>0</v>
      </c>
      <c r="N62" s="409"/>
      <c r="O62" s="409">
        <f>IF($C62=BillQuantities!$E$28, BillQuantities!$J$28*'Calcul ACV'!J62, 0)</f>
        <v>0</v>
      </c>
      <c r="P62" s="409">
        <f>IF($C62=BillQuantities!$E$28, BillQuantities!$J$28*'Calcul ACV'!K62, 0)</f>
        <v>0</v>
      </c>
      <c r="Q62" s="409"/>
      <c r="R62" s="409"/>
      <c r="S62" s="409"/>
      <c r="T62" s="409"/>
      <c r="V62" s="484">
        <f>'Eléments de constr. inté. et ex'!Q71</f>
        <v>0.62291731411889595</v>
      </c>
      <c r="W62" s="484">
        <f>'Eléments de constr. inté. et ex'!R71</f>
        <v>9.8908237473460725E-2</v>
      </c>
      <c r="X62" s="484">
        <f>'Eléments de constr. inté. et ex'!S71</f>
        <v>1.7126138333333332</v>
      </c>
      <c r="Z62" s="409">
        <f>IF($C62=BillQuantities!$E$28, BillQuantities!$J$28*'Calcul ACV'!V62, 0)</f>
        <v>0</v>
      </c>
      <c r="AA62" s="409">
        <f>IF($C62=BillQuantities!$E$28, BillQuantities!$J$28*'Calcul ACV'!W62, 0)</f>
        <v>0</v>
      </c>
      <c r="AB62" s="409">
        <f>IF($C62=BillQuantities!$E$28, BillQuantities!$J$28*'Calcul ACV'!X62, 0)</f>
        <v>0</v>
      </c>
      <c r="AC62" s="452"/>
    </row>
    <row r="63" spans="1:32" ht="15">
      <c r="A63" s="1141"/>
      <c r="B63" s="1152" t="s">
        <v>136</v>
      </c>
      <c r="C63" s="473" t="s">
        <v>411</v>
      </c>
      <c r="D63" s="468"/>
      <c r="E63" s="468"/>
      <c r="F63" s="473"/>
      <c r="G63" s="473"/>
      <c r="H63" s="473"/>
      <c r="I63" s="473"/>
      <c r="J63" s="473"/>
      <c r="K63" s="473"/>
      <c r="L63" s="473"/>
      <c r="M63" s="427">
        <f>SUM(M64:M66)</f>
        <v>33423.243936305735</v>
      </c>
      <c r="N63" s="427"/>
      <c r="O63" s="427">
        <f>SUM(O64:O66)</f>
        <v>2945.552453503185</v>
      </c>
      <c r="P63" s="427">
        <f>SUM(P64:P66)</f>
        <v>0</v>
      </c>
      <c r="Q63" s="475"/>
      <c r="R63" s="475">
        <f>M63/Inputs!$C$6</f>
        <v>22.955524681528665</v>
      </c>
      <c r="S63" s="475"/>
      <c r="T63" s="475">
        <f>O63/Inputs!$C$6</f>
        <v>2.0230442675159237</v>
      </c>
      <c r="V63" s="473"/>
      <c r="W63" s="473"/>
      <c r="X63" s="473"/>
      <c r="Z63" s="427">
        <f>SUM(Z64:Z66)</f>
        <v>591.31253227176228</v>
      </c>
      <c r="AA63" s="427">
        <f>SUM(AA64:AA66)</f>
        <v>51.116077558386415</v>
      </c>
      <c r="AB63" s="427">
        <f>SUM(AB64:AB66)</f>
        <v>0</v>
      </c>
      <c r="AC63" s="452"/>
      <c r="AD63" s="623">
        <f>(Z63+AA63)/Inputs!$C$6</f>
        <v>0.44122844081740986</v>
      </c>
    </row>
    <row r="64" spans="1:32">
      <c r="A64" s="1141"/>
      <c r="B64" s="1153"/>
      <c r="C64" s="483" t="s">
        <v>381</v>
      </c>
      <c r="D64" s="482" t="s">
        <v>405</v>
      </c>
      <c r="E64" s="482" t="s">
        <v>211</v>
      </c>
      <c r="F64" s="483" t="s">
        <v>39</v>
      </c>
      <c r="G64" s="484">
        <f>'Eléments de constr. inté. et ex'!O60+'Eléments de constr. inté. et ex'!P60</f>
        <v>0</v>
      </c>
      <c r="H64" s="484">
        <f>'Eléments de constr. inté. et ex'!K52</f>
        <v>91.82209872611466</v>
      </c>
      <c r="I64" s="484"/>
      <c r="J64" s="484">
        <f>'Eléments de constr. inté. et ex'!L52</f>
        <v>8.0921770700636948</v>
      </c>
      <c r="K64" s="484">
        <f>'Eléments de constr. inté. et ex'!M52</f>
        <v>0</v>
      </c>
      <c r="M64" s="409">
        <f>IF($C64=BillQuantities!$E$29, BillQuantities!$J$29*'Calcul ACV'!H64, 0)</f>
        <v>33423.243936305735</v>
      </c>
      <c r="N64" s="409"/>
      <c r="O64" s="409">
        <f>IF($C64=BillQuantities!$E$29, BillQuantities!$J$29*'Calcul ACV'!J64, 0)</f>
        <v>2945.552453503185</v>
      </c>
      <c r="P64" s="409">
        <f>IF($C64=BillQuantities!$E$29, BillQuantities!$J$29*'Calcul ACV'!K64, 0)</f>
        <v>0</v>
      </c>
      <c r="Q64" s="409"/>
      <c r="R64" s="409"/>
      <c r="S64" s="409"/>
      <c r="T64" s="409"/>
      <c r="V64" s="484">
        <f>'Eléments de constr. inté. et ex'!Q52</f>
        <v>1.6244849787685776</v>
      </c>
      <c r="W64" s="484">
        <f>'Eléments de constr. inté. et ex'!R52</f>
        <v>0.14042878450106158</v>
      </c>
      <c r="X64" s="484">
        <f>'Eléments de constr. inté. et ex'!S52</f>
        <v>0</v>
      </c>
      <c r="Z64" s="409">
        <f>IF($C64=BillQuantities!$E$29, BillQuantities!$J$29*'Calcul ACV'!V64, 0)</f>
        <v>591.31253227176228</v>
      </c>
      <c r="AA64" s="409">
        <f>IF($C64=BillQuantities!$E$29, BillQuantities!$J$29*'Calcul ACV'!W64, 0)</f>
        <v>51.116077558386415</v>
      </c>
      <c r="AB64" s="409">
        <f>IF($C64=BillQuantities!$E$29, BillQuantities!$J$29*'Calcul ACV'!X64, 0)</f>
        <v>0</v>
      </c>
      <c r="AC64" s="452"/>
    </row>
    <row r="65" spans="1:30">
      <c r="A65" s="1141"/>
      <c r="B65" s="1153"/>
      <c r="C65" s="483" t="s">
        <v>406</v>
      </c>
      <c r="D65" s="482" t="s">
        <v>407</v>
      </c>
      <c r="E65" s="482" t="s">
        <v>211</v>
      </c>
      <c r="F65" s="483" t="s">
        <v>39</v>
      </c>
      <c r="G65" s="484">
        <f>'Eléments de constr. inté. et ex'!O69+'Eléments de constr. inté. et ex'!P69</f>
        <v>0</v>
      </c>
      <c r="H65" s="484">
        <f>'Eléments de constr. inté. et ex'!K61</f>
        <v>6.9610400000000006</v>
      </c>
      <c r="I65" s="484"/>
      <c r="J65" s="484">
        <f>'Eléments de constr. inté. et ex'!L61</f>
        <v>2.6946288000000003</v>
      </c>
      <c r="K65" s="484">
        <f>'Eléments de constr. inté. et ex'!M61</f>
        <v>68.898368000000005</v>
      </c>
      <c r="M65" s="409">
        <f>IF($C65=BillQuantities!$E$29, BillQuantities!$J$29*'Calcul ACV'!H65, 0)</f>
        <v>0</v>
      </c>
      <c r="N65" s="409"/>
      <c r="O65" s="409">
        <f>IF($C65=BillQuantities!$E$29, BillQuantities!$J$29*'Calcul ACV'!J65, 0)</f>
        <v>0</v>
      </c>
      <c r="P65" s="409">
        <f>IF($C65=BillQuantities!$E$29, BillQuantities!$J$29*'Calcul ACV'!K65, 0)</f>
        <v>0</v>
      </c>
      <c r="Q65" s="409"/>
      <c r="R65" s="409"/>
      <c r="S65" s="409"/>
      <c r="T65" s="409"/>
      <c r="V65" s="484">
        <f>'Eléments de constr. inté. et ex'!Q61</f>
        <v>0.27072469999999998</v>
      </c>
      <c r="W65" s="484">
        <f>'Eléments de constr. inté. et ex'!R61</f>
        <v>5.8420496666666669E-2</v>
      </c>
      <c r="X65" s="484">
        <f>'Eléments de constr. inté. et ex'!S61</f>
        <v>1.2696080222222221</v>
      </c>
      <c r="Z65" s="409">
        <f>IF($C65=BillQuantities!$E$29, BillQuantities!$J$29*'Calcul ACV'!V65, 0)</f>
        <v>0</v>
      </c>
      <c r="AA65" s="409">
        <f>IF($C65=BillQuantities!$E$29, BillQuantities!$J$29*'Calcul ACV'!W65, 0)</f>
        <v>0</v>
      </c>
      <c r="AB65" s="409">
        <f>IF($C65=BillQuantities!$E$29, BillQuantities!$J$29*'Calcul ACV'!X65, 0)</f>
        <v>0</v>
      </c>
      <c r="AC65" s="452"/>
    </row>
    <row r="66" spans="1:30" ht="15" thickBot="1">
      <c r="A66" s="1141"/>
      <c r="B66" s="1154"/>
      <c r="C66" s="483" t="s">
        <v>408</v>
      </c>
      <c r="D66" s="482" t="s">
        <v>409</v>
      </c>
      <c r="E66" s="482" t="s">
        <v>211</v>
      </c>
      <c r="F66" s="483" t="s">
        <v>39</v>
      </c>
      <c r="G66" s="484">
        <f>'Eléments de constr. inté. et ex'!O79+'Eléments de constr. inté. et ex'!P79</f>
        <v>0</v>
      </c>
      <c r="H66" s="484">
        <f>'Eléments de constr. inté. et ex'!K71</f>
        <v>28.092596847133759</v>
      </c>
      <c r="I66" s="484"/>
      <c r="J66" s="484">
        <f>'Eléments de constr. inté. et ex'!L71</f>
        <v>5.1238932484076436</v>
      </c>
      <c r="K66" s="484">
        <f>'Eléments de constr. inté. et ex'!M71</f>
        <v>95.478716666666656</v>
      </c>
      <c r="M66" s="409">
        <f>IF($C66=BillQuantities!$E$29, BillQuantities!$J$29*'Calcul ACV'!H66, 0)</f>
        <v>0</v>
      </c>
      <c r="N66" s="409"/>
      <c r="O66" s="409">
        <f>IF($C66=BillQuantities!$E$29, BillQuantities!$J$29*'Calcul ACV'!J66, 0)</f>
        <v>0</v>
      </c>
      <c r="P66" s="409">
        <f>IF($C66=BillQuantities!$E$29, BillQuantities!$J$29*'Calcul ACV'!K66, 0)</f>
        <v>0</v>
      </c>
      <c r="Q66" s="409"/>
      <c r="R66" s="409"/>
      <c r="S66" s="409"/>
      <c r="T66" s="409"/>
      <c r="V66" s="484">
        <f>'Eléments de constr. inté. et ex'!Q71</f>
        <v>0.62291731411889595</v>
      </c>
      <c r="W66" s="484">
        <f>'Eléments de constr. inté. et ex'!R71</f>
        <v>9.8908237473460725E-2</v>
      </c>
      <c r="X66" s="484">
        <f>'Eléments de constr. inté. et ex'!S71</f>
        <v>1.7126138333333332</v>
      </c>
      <c r="Z66" s="409">
        <f>IF($C66=BillQuantities!$E$29, BillQuantities!$J$29*'Calcul ACV'!V66, 0)</f>
        <v>0</v>
      </c>
      <c r="AA66" s="409">
        <f>IF($C66=BillQuantities!$E$29, BillQuantities!$J$29*'Calcul ACV'!W66, 0)</f>
        <v>0</v>
      </c>
      <c r="AB66" s="409">
        <f>IF($C66=BillQuantities!$E$29, BillQuantities!$J$29*'Calcul ACV'!X66, 0)</f>
        <v>0</v>
      </c>
      <c r="AC66" s="452"/>
    </row>
    <row r="67" spans="1:30" ht="15">
      <c r="A67" s="1141"/>
      <c r="B67" s="1145" t="s">
        <v>139</v>
      </c>
      <c r="C67" s="473" t="s">
        <v>412</v>
      </c>
      <c r="D67" s="468"/>
      <c r="E67" s="468"/>
      <c r="F67" s="473"/>
      <c r="G67" s="473"/>
      <c r="H67" s="473"/>
      <c r="I67" s="473"/>
      <c r="J67" s="473"/>
      <c r="K67" s="473"/>
      <c r="L67" s="473"/>
      <c r="M67" s="427">
        <f>SUM(M68:M71)</f>
        <v>13291.751200000001</v>
      </c>
      <c r="N67" s="427">
        <f>SUM(N68:N71)</f>
        <v>15214.54844</v>
      </c>
      <c r="O67" s="427">
        <f>SUM(O68:O71)</f>
        <v>1922.7972399999999</v>
      </c>
      <c r="P67" s="427">
        <f>SUM(P68:P71)</f>
        <v>2513.1773333333331</v>
      </c>
      <c r="Q67" s="475"/>
      <c r="R67" s="475">
        <f>M67/Inputs!$C$6</f>
        <v>9.1289499999999997</v>
      </c>
      <c r="S67" s="475">
        <f>N67/Inputs!$C$6</f>
        <v>10.449552500000001</v>
      </c>
      <c r="T67" s="475">
        <f>O67/Inputs!$C$6</f>
        <v>1.3206024999999999</v>
      </c>
      <c r="V67" s="473"/>
      <c r="W67" s="473"/>
      <c r="X67" s="473"/>
      <c r="Z67" s="427">
        <f>SUM(Z68:Z71)</f>
        <v>443.05837333333335</v>
      </c>
      <c r="AA67" s="427">
        <f>SUM(AA68:AA71)</f>
        <v>64.093241333333339</v>
      </c>
      <c r="AB67" s="427">
        <f>SUM(AB68:AB71)</f>
        <v>83.772577777777769</v>
      </c>
      <c r="AC67" s="452"/>
      <c r="AD67" s="450">
        <f>(Z67+AA67)/Inputs!$C$6</f>
        <v>0.34831841666666669</v>
      </c>
    </row>
    <row r="68" spans="1:30">
      <c r="A68" s="1141"/>
      <c r="B68" s="1146"/>
      <c r="C68" s="483" t="s">
        <v>413</v>
      </c>
      <c r="D68" s="482" t="s">
        <v>414</v>
      </c>
      <c r="E68" s="482" t="s">
        <v>211</v>
      </c>
      <c r="F68" s="483" t="s">
        <v>39</v>
      </c>
      <c r="G68" s="484">
        <f>'Eléments de constr. inté. et ex'!O101+'Eléments de constr. inté. et ex'!P101</f>
        <v>1.709409</v>
      </c>
      <c r="H68" s="484">
        <f>'Eléments de constr. inté. et ex'!K101</f>
        <v>9.9250000000000007</v>
      </c>
      <c r="I68" s="484"/>
      <c r="J68" s="484">
        <f>'Eléments de constr. inté. et ex'!L101</f>
        <v>0.55840000000000001</v>
      </c>
      <c r="K68" s="484">
        <f>'Eléments de constr. inté. et ex'!M101</f>
        <v>6.3726666666666665</v>
      </c>
      <c r="M68" s="409">
        <f>IF($C68=BillQuantities!$E$31, BillQuantities!$J$31*'Calcul ACV'!H68, 0)</f>
        <v>0</v>
      </c>
      <c r="N68" s="409"/>
      <c r="O68" s="409">
        <f>IF($C68=BillQuantities!$E$31, BillQuantities!$J$31*'Calcul ACV'!J68, 0)</f>
        <v>0</v>
      </c>
      <c r="P68" s="409">
        <f>IF($C68=BillQuantities!$E$31, BillQuantities!$J$31*'Calcul ACV'!K68, 0)</f>
        <v>0</v>
      </c>
      <c r="Q68" s="409"/>
      <c r="R68" s="409"/>
      <c r="S68" s="409"/>
      <c r="T68" s="409"/>
      <c r="V68" s="484">
        <f>'Eléments de constr. inté. et ex'!Q101</f>
        <v>0.33083333333333331</v>
      </c>
      <c r="W68" s="484">
        <f>'Eléments de constr. inté. et ex'!R101</f>
        <v>1.8613333333333336E-2</v>
      </c>
      <c r="X68" s="484">
        <f>'Eléments de constr. inté. et ex'!S101</f>
        <v>0.21242222222222223</v>
      </c>
      <c r="Z68" s="409">
        <f>IF($C68=BillQuantities!$E$31, BillQuantities!$J$31*'Calcul ACV'!V68, 0)</f>
        <v>0</v>
      </c>
      <c r="AA68" s="409">
        <f>IF($C68=BillQuantities!$E$31, BillQuantities!$J$31*'Calcul ACV'!W68, 0)</f>
        <v>0</v>
      </c>
      <c r="AB68" s="409">
        <f>IF($C68=BillQuantities!$E$31, BillQuantities!$J$31*'Calcul ACV'!X68, 0)</f>
        <v>0</v>
      </c>
      <c r="AC68" s="452"/>
    </row>
    <row r="69" spans="1:30" ht="28.5">
      <c r="A69" s="1141"/>
      <c r="B69" s="1146"/>
      <c r="C69" s="483" t="s">
        <v>415</v>
      </c>
      <c r="D69" s="482" t="s">
        <v>416</v>
      </c>
      <c r="E69" s="482" t="s">
        <v>211</v>
      </c>
      <c r="F69" s="483" t="s">
        <v>39</v>
      </c>
      <c r="G69" s="484">
        <f>'Eléments de constr. inté. et ex'!O118+'Eléments de constr. inté. et ex'!P118</f>
        <v>4.2103976666666671</v>
      </c>
      <c r="H69" s="484">
        <f>'Eléments de constr. inté. et ex'!K118</f>
        <v>29.831800000000001</v>
      </c>
      <c r="I69" s="484">
        <f>(SUM('Eléments de constr. inté. et ex'!K118:L118)*(60/'Eléments de constr. inté. et ex'!N116-1))</f>
        <v>34.356110000000001</v>
      </c>
      <c r="J69" s="484">
        <f>'Eléments de constr. inté. et ex'!L118</f>
        <v>4.5243099999999998</v>
      </c>
      <c r="K69" s="484">
        <f>'Eléments de constr. inté. et ex'!M118</f>
        <v>6.9043333333333328</v>
      </c>
      <c r="M69" s="409">
        <f>IF($C69=BillQuantities!$E$31, BillQuantities!$J$31*'Calcul ACV'!H69, 0)</f>
        <v>10858.7752</v>
      </c>
      <c r="N69" s="409">
        <f>IF($C69=BillQuantities!$E$31, BillQuantities!$J$31*'Calcul ACV'!I69, 0)</f>
        <v>12505.624040000001</v>
      </c>
      <c r="O69" s="409">
        <f>IF($C69=BillQuantities!$E$31, BillQuantities!$J$31*'Calcul ACV'!J69, 0)</f>
        <v>1646.8488399999999</v>
      </c>
      <c r="P69" s="409">
        <f>IF($C69=BillQuantities!$E$31, BillQuantities!$J$31*'Calcul ACV'!K69, 0)</f>
        <v>2513.1773333333331</v>
      </c>
      <c r="Q69" s="409"/>
      <c r="R69" s="409"/>
      <c r="S69" s="409"/>
      <c r="T69" s="409"/>
      <c r="V69" s="484">
        <f>'Eléments de constr. inté. et ex'!Q118</f>
        <v>0.99439333333333346</v>
      </c>
      <c r="W69" s="484">
        <f>'Eléments de constr. inté. et ex'!R118</f>
        <v>0.15081033333333335</v>
      </c>
      <c r="X69" s="484">
        <f>'Eléments de constr. inté. et ex'!S118</f>
        <v>0.23014444444444443</v>
      </c>
      <c r="Z69" s="409">
        <f>IF($C69=BillQuantities!$E$31, BillQuantities!$J$31*'Calcul ACV'!V69, 0)</f>
        <v>361.95917333333335</v>
      </c>
      <c r="AA69" s="409">
        <f>IF($C69=BillQuantities!$E$31, BillQuantities!$J$31*'Calcul ACV'!W69, 0)</f>
        <v>54.894961333333342</v>
      </c>
      <c r="AB69" s="409">
        <f>IF($C69=BillQuantities!$E$31, BillQuantities!$J$31*'Calcul ACV'!X69, 0)</f>
        <v>83.772577777777769</v>
      </c>
      <c r="AC69" s="452"/>
    </row>
    <row r="70" spans="1:30">
      <c r="A70" s="1141"/>
      <c r="B70" s="1146"/>
      <c r="C70" s="483" t="s">
        <v>417</v>
      </c>
      <c r="D70" s="482" t="s">
        <v>418</v>
      </c>
      <c r="E70" s="482" t="s">
        <v>211</v>
      </c>
      <c r="F70" s="483" t="s">
        <v>39</v>
      </c>
      <c r="G70" s="484">
        <f>'Eléments de constr. inté. et ex'!O75+'Eléments de constr. inté. et ex'!P75</f>
        <v>1.2221500000000001</v>
      </c>
      <c r="H70" s="484">
        <f>'Eléments de constr. inté. et ex'!K75</f>
        <v>6.6840000000000002</v>
      </c>
      <c r="I70" s="484">
        <f>(SUM('Eléments de constr. inté. et ex'!K75:L75)*(60/'Eléments de constr. inté. et ex'!N75-1))</f>
        <v>7.4420999999999999</v>
      </c>
      <c r="J70" s="484">
        <f>'Eléments de constr. inté. et ex'!L75</f>
        <v>0.7581</v>
      </c>
      <c r="K70" s="484">
        <f>'Eléments de constr. inté. et ex'!M75</f>
        <v>0</v>
      </c>
      <c r="M70" s="409">
        <f>IF($C70=BillQuantities!$E$32, BillQuantities!$J$32*'Calcul ACV'!H70, 0)</f>
        <v>2432.9760000000001</v>
      </c>
      <c r="N70" s="409">
        <f>IF($C70=BillQuantities!$E$32, BillQuantities!$J$32*'Calcul ACV'!I70, 0)</f>
        <v>2708.9243999999999</v>
      </c>
      <c r="O70" s="409">
        <f>IF($C70=BillQuantities!$E$32, BillQuantities!$J$32*'Calcul ACV'!J70, 0)</f>
        <v>275.94839999999999</v>
      </c>
      <c r="P70" s="409">
        <f>IF($C70=BillQuantities!$E$32, BillQuantities!$J$32*'Calcul ACV'!K70, 0)</f>
        <v>0</v>
      </c>
      <c r="Q70" s="409"/>
      <c r="R70" s="409"/>
      <c r="S70" s="409"/>
      <c r="T70" s="409"/>
      <c r="V70" s="484">
        <f>'Eléments de constr. inté. et ex'!Q75</f>
        <v>0.2228</v>
      </c>
      <c r="W70" s="484">
        <f>'Eléments de constr. inté. et ex'!R75</f>
        <v>2.5270000000000001E-2</v>
      </c>
      <c r="X70" s="484">
        <f>'Eléments de constr. inté. et ex'!S75</f>
        <v>0</v>
      </c>
      <c r="Z70" s="409">
        <f>IF($C70=BillQuantities!$E$32, BillQuantities!$J$32*'Calcul ACV'!V70, 0)</f>
        <v>81.099199999999996</v>
      </c>
      <c r="AA70" s="409">
        <f>IF($C70=BillQuantities!$E$32, BillQuantities!$J$32*'Calcul ACV'!W70, 0)</f>
        <v>9.1982800000000005</v>
      </c>
      <c r="AB70" s="409">
        <f>IF($C70=BillQuantities!$E$32, BillQuantities!$J$32*'Calcul ACV'!X70, 0)</f>
        <v>0</v>
      </c>
      <c r="AC70" s="452"/>
    </row>
    <row r="71" spans="1:30" ht="15" thickBot="1">
      <c r="A71" s="1141"/>
      <c r="B71" s="1147"/>
      <c r="C71" s="483" t="s">
        <v>419</v>
      </c>
      <c r="D71" s="482"/>
      <c r="E71" s="482" t="s">
        <v>211</v>
      </c>
      <c r="F71" s="483" t="s">
        <v>39</v>
      </c>
      <c r="G71" s="484">
        <f>'Eléments de constr. inté. et ex'!O89+'Eléments de constr. inté. et ex'!P89</f>
        <v>2.7654157999999995</v>
      </c>
      <c r="H71" s="484">
        <f>'Eléments de constr. inté. et ex'!K89</f>
        <v>20.223400000000002</v>
      </c>
      <c r="I71" s="484"/>
      <c r="J71" s="484">
        <f>'Eléments de constr. inté. et ex'!L89</f>
        <v>0.37243445000000003</v>
      </c>
      <c r="K71" s="484">
        <f>'Eléments de constr. inté. et ex'!M89</f>
        <v>1.5434375</v>
      </c>
      <c r="M71" s="409">
        <f>IF($C71=BillQuantities!$E$31, BillQuantities!$J$31*'Calcul ACV'!H71, 0)</f>
        <v>0</v>
      </c>
      <c r="N71" s="409"/>
      <c r="O71" s="409">
        <f>IF($C71=BillQuantities!$E$31, BillQuantities!$J$31*'Calcul ACV'!J71, 0)</f>
        <v>0</v>
      </c>
      <c r="P71" s="409">
        <f>IF($C71=BillQuantities!$E$31, BillQuantities!$J$31*'Calcul ACV'!K71, 0)</f>
        <v>0</v>
      </c>
      <c r="Q71" s="409"/>
      <c r="R71" s="409"/>
      <c r="S71" s="409"/>
      <c r="T71" s="409"/>
      <c r="V71" s="484">
        <f>'Eléments de constr. inté. et ex'!Q89</f>
        <v>0.67411333333333334</v>
      </c>
      <c r="W71" s="484">
        <f>'Eléments de constr. inté. et ex'!R89</f>
        <v>1.2414481666666668E-2</v>
      </c>
      <c r="X71" s="484">
        <f>'Eléments de constr. inté. et ex'!S89</f>
        <v>5.144791666666667E-2</v>
      </c>
      <c r="Z71" s="409">
        <f>IF($C71=BillQuantities!$E$31, BillQuantities!$J$31*'Calcul ACV'!V71, 0)</f>
        <v>0</v>
      </c>
      <c r="AA71" s="409">
        <f>IF($C71=BillQuantities!$E$31, BillQuantities!$J$31*'Calcul ACV'!W71, 0)</f>
        <v>0</v>
      </c>
      <c r="AB71" s="409">
        <f>IF($C71=BillQuantities!$E$31, BillQuantities!$J$31*'Calcul ACV'!X71, 0)</f>
        <v>0</v>
      </c>
      <c r="AC71" s="452"/>
    </row>
    <row r="72" spans="1:30" ht="15">
      <c r="A72" s="1141"/>
      <c r="B72" s="1152" t="s">
        <v>139</v>
      </c>
      <c r="C72" s="473" t="s">
        <v>420</v>
      </c>
      <c r="D72" s="468"/>
      <c r="E72" s="468"/>
      <c r="F72" s="473"/>
      <c r="G72" s="473"/>
      <c r="H72" s="473"/>
      <c r="I72" s="473"/>
      <c r="J72" s="473"/>
      <c r="K72" s="473"/>
      <c r="L72" s="473"/>
      <c r="M72" s="427">
        <f>SUM(M73:M76)</f>
        <v>32576.3256</v>
      </c>
      <c r="N72" s="427">
        <f>SUM(N73:N76)</f>
        <v>37516.87212</v>
      </c>
      <c r="O72" s="427">
        <f>SUM(O73:O76)</f>
        <v>4940.5465199999999</v>
      </c>
      <c r="P72" s="427">
        <f>SUM(P73:P76)</f>
        <v>7539.5319999999992</v>
      </c>
      <c r="Q72" s="475"/>
      <c r="R72" s="475">
        <f>M72/Inputs!$C$6</f>
        <v>22.373850000000001</v>
      </c>
      <c r="S72" s="475">
        <f>N72/Inputs!$C$6</f>
        <v>25.767082500000001</v>
      </c>
      <c r="T72" s="475">
        <f>O72/Inputs!$C$6</f>
        <v>3.3932324999999999</v>
      </c>
      <c r="V72" s="473"/>
      <c r="W72" s="473"/>
      <c r="X72" s="473"/>
      <c r="Z72" s="427">
        <f>SUM(Z73:Z76)</f>
        <v>1085.8775200000002</v>
      </c>
      <c r="AA72" s="427">
        <f>SUM(AA73:AA76)</f>
        <v>164.68488400000001</v>
      </c>
      <c r="AB72" s="427">
        <f>SUM(AB73:AB76)</f>
        <v>251.31773333333331</v>
      </c>
      <c r="AC72" s="452"/>
      <c r="AD72" s="450">
        <f>(Z72+AA72)/Inputs!$C$6</f>
        <v>0.85890275000000016</v>
      </c>
    </row>
    <row r="73" spans="1:30">
      <c r="A73" s="1141"/>
      <c r="B73" s="1153"/>
      <c r="C73" s="483" t="s">
        <v>413</v>
      </c>
      <c r="D73" s="482" t="s">
        <v>414</v>
      </c>
      <c r="E73" s="482" t="s">
        <v>211</v>
      </c>
      <c r="F73" s="483" t="s">
        <v>39</v>
      </c>
      <c r="G73" s="484">
        <f>'Eléments de constr. inté. et ex'!O106+'Eléments de constr. inté. et ex'!P106</f>
        <v>0</v>
      </c>
      <c r="H73" s="484">
        <f>'Eléments de constr. inté. et ex'!K101</f>
        <v>9.9250000000000007</v>
      </c>
      <c r="I73" s="484"/>
      <c r="J73" s="484">
        <f>'Eléments de constr. inté. et ex'!L101</f>
        <v>0.55840000000000001</v>
      </c>
      <c r="K73" s="484">
        <f>'Eléments de constr. inté. et ex'!M101</f>
        <v>6.3726666666666665</v>
      </c>
      <c r="M73" s="409">
        <f>IF($C73=BillQuantities!$E$33, BillQuantities!$J$33*'Calcul ACV'!H73, 0)</f>
        <v>0</v>
      </c>
      <c r="N73" s="409"/>
      <c r="O73" s="409">
        <f>IF($C73=BillQuantities!$E$33, BillQuantities!$J$33*'Calcul ACV'!J73, 0)</f>
        <v>0</v>
      </c>
      <c r="P73" s="409">
        <f>IF($C73=BillQuantities!$E$33, BillQuantities!$J$33*'Calcul ACV'!K73, 0)</f>
        <v>0</v>
      </c>
      <c r="Q73" s="409"/>
      <c r="R73" s="409"/>
      <c r="S73" s="409"/>
      <c r="T73" s="409"/>
      <c r="V73" s="484">
        <f>'Eléments de constr. inté. et ex'!Q101</f>
        <v>0.33083333333333331</v>
      </c>
      <c r="W73" s="484">
        <f>'Eléments de constr. inté. et ex'!R101</f>
        <v>1.8613333333333336E-2</v>
      </c>
      <c r="X73" s="484">
        <f>'Eléments de constr. inté. et ex'!S101</f>
        <v>0.21242222222222223</v>
      </c>
      <c r="Z73" s="409">
        <f>IF($C73=BillQuantities!$E$33, BillQuantities!$J$33*'Calcul ACV'!V73, 0)</f>
        <v>0</v>
      </c>
      <c r="AA73" s="409">
        <f>IF($C73=BillQuantities!$E$33, BillQuantities!$J$33*'Calcul ACV'!W73, 0)</f>
        <v>0</v>
      </c>
      <c r="AB73" s="409">
        <f>IF($C73=BillQuantities!$E$33, BillQuantities!$J$33*'Calcul ACV'!X73, 0)</f>
        <v>0</v>
      </c>
      <c r="AC73" s="452"/>
    </row>
    <row r="74" spans="1:30" ht="28.5">
      <c r="A74" s="1141"/>
      <c r="B74" s="1153"/>
      <c r="C74" s="483" t="s">
        <v>415</v>
      </c>
      <c r="D74" s="482" t="s">
        <v>416</v>
      </c>
      <c r="E74" s="482" t="s">
        <v>211</v>
      </c>
      <c r="F74" s="483" t="s">
        <v>39</v>
      </c>
      <c r="G74" s="484">
        <f>'Eléments de constr. inté. et ex'!O123+'Eléments de constr. inté. et ex'!P123</f>
        <v>0</v>
      </c>
      <c r="H74" s="484">
        <f>'Eléments de constr. inté. et ex'!K118</f>
        <v>29.831800000000001</v>
      </c>
      <c r="I74" s="484">
        <f>(SUM('Eléments de constr. inté. et ex'!K118:L118)*(60/'Eléments de constr. inté. et ex'!N116-1))</f>
        <v>34.356110000000001</v>
      </c>
      <c r="J74" s="484">
        <f>'Eléments de constr. inté. et ex'!L118</f>
        <v>4.5243099999999998</v>
      </c>
      <c r="K74" s="484">
        <f>'Eléments de constr. inté. et ex'!M118</f>
        <v>6.9043333333333328</v>
      </c>
      <c r="M74" s="409">
        <f>IF($C74=BillQuantities!$E$33, BillQuantities!$J$33*'Calcul ACV'!H74, 0)</f>
        <v>32576.3256</v>
      </c>
      <c r="N74" s="409">
        <f>IF($C74=BillQuantities!$E$33, BillQuantities!$J$33*'Calcul ACV'!I74, 0)</f>
        <v>37516.87212</v>
      </c>
      <c r="O74" s="409">
        <f>IF($C74=BillQuantities!$E$33, BillQuantities!$J$33*'Calcul ACV'!J74, 0)</f>
        <v>4940.5465199999999</v>
      </c>
      <c r="P74" s="409">
        <f>IF($C74=BillQuantities!$E$33, BillQuantities!$J$33*'Calcul ACV'!K74, 0)</f>
        <v>7539.5319999999992</v>
      </c>
      <c r="Q74" s="409"/>
      <c r="R74" s="409"/>
      <c r="S74" s="409"/>
      <c r="T74" s="409"/>
      <c r="V74" s="484">
        <f>'Eléments de constr. inté. et ex'!Q118</f>
        <v>0.99439333333333346</v>
      </c>
      <c r="W74" s="484">
        <f>'Eléments de constr. inté. et ex'!R118</f>
        <v>0.15081033333333335</v>
      </c>
      <c r="X74" s="484">
        <f>'Eléments de constr. inté. et ex'!S118</f>
        <v>0.23014444444444443</v>
      </c>
      <c r="Z74" s="409">
        <f>IF($C74=BillQuantities!$E$33, BillQuantities!$J$33*'Calcul ACV'!V74, 0)</f>
        <v>1085.8775200000002</v>
      </c>
      <c r="AA74" s="409">
        <f>IF($C74=BillQuantities!$E$33, BillQuantities!$J$33*'Calcul ACV'!W74, 0)</f>
        <v>164.68488400000001</v>
      </c>
      <c r="AB74" s="409">
        <f>IF($C74=BillQuantities!$E$33, BillQuantities!$J$33*'Calcul ACV'!X74, 0)</f>
        <v>251.31773333333331</v>
      </c>
      <c r="AC74" s="452"/>
    </row>
    <row r="75" spans="1:30">
      <c r="A75" s="1141"/>
      <c r="B75" s="1153"/>
      <c r="C75" s="483" t="s">
        <v>417</v>
      </c>
      <c r="D75" s="482" t="s">
        <v>418</v>
      </c>
      <c r="E75" s="482" t="s">
        <v>211</v>
      </c>
      <c r="F75" s="483" t="s">
        <v>39</v>
      </c>
      <c r="G75" s="484">
        <f>'Eléments de constr. inté. et ex'!O80+'Eléments de constr. inté. et ex'!P80</f>
        <v>0</v>
      </c>
      <c r="H75" s="484">
        <f>'Eléments de constr. inté. et ex'!K75</f>
        <v>6.6840000000000002</v>
      </c>
      <c r="I75" s="484"/>
      <c r="J75" s="484">
        <f>'Eléments de constr. inté. et ex'!L75</f>
        <v>0.7581</v>
      </c>
      <c r="K75" s="484">
        <f>'Eléments de constr. inté. et ex'!M75</f>
        <v>0</v>
      </c>
      <c r="M75" s="409">
        <f>IF($C75=BillQuantities!$E$33, BillQuantities!$J$33*'Calcul ACV'!H75, 0)</f>
        <v>0</v>
      </c>
      <c r="N75" s="409"/>
      <c r="O75" s="409">
        <f>IF($C75=BillQuantities!$E$33, BillQuantities!$J$33*'Calcul ACV'!J75, 0)</f>
        <v>0</v>
      </c>
      <c r="P75" s="409">
        <f>IF($C75=BillQuantities!$E$33, BillQuantities!$J$33*'Calcul ACV'!K75, 0)</f>
        <v>0</v>
      </c>
      <c r="Q75" s="409"/>
      <c r="R75" s="409"/>
      <c r="S75" s="409"/>
      <c r="T75" s="409"/>
      <c r="V75" s="484">
        <f>'Eléments de constr. inté. et ex'!Q75</f>
        <v>0.2228</v>
      </c>
      <c r="W75" s="484">
        <f>'Eléments de constr. inté. et ex'!R75</f>
        <v>2.5270000000000001E-2</v>
      </c>
      <c r="X75" s="484">
        <f>'Eléments de constr. inté. et ex'!S75</f>
        <v>0</v>
      </c>
      <c r="Z75" s="409">
        <f>IF($C75=BillQuantities!$E$33, BillQuantities!$J$33*'Calcul ACV'!V75, 0)</f>
        <v>0</v>
      </c>
      <c r="AA75" s="409">
        <f>IF($C75=BillQuantities!$E$33, BillQuantities!$J$33*'Calcul ACV'!W75, 0)</f>
        <v>0</v>
      </c>
      <c r="AB75" s="409">
        <f>IF($C75=BillQuantities!$E$33, BillQuantities!$J$33*'Calcul ACV'!X75, 0)</f>
        <v>0</v>
      </c>
      <c r="AC75" s="452"/>
    </row>
    <row r="76" spans="1:30" ht="15" thickBot="1">
      <c r="A76" s="1141"/>
      <c r="B76" s="1154"/>
      <c r="C76" s="483" t="s">
        <v>419</v>
      </c>
      <c r="D76" s="482"/>
      <c r="E76" s="482" t="s">
        <v>211</v>
      </c>
      <c r="F76" s="483" t="s">
        <v>39</v>
      </c>
      <c r="G76" s="484">
        <f>'Eléments de constr. inté. et ex'!O94+'Eléments de constr. inté. et ex'!P94</f>
        <v>0</v>
      </c>
      <c r="H76" s="484">
        <f>'Eléments de constr. inté. et ex'!K89</f>
        <v>20.223400000000002</v>
      </c>
      <c r="I76" s="484"/>
      <c r="J76" s="484">
        <f>'Eléments de constr. inté. et ex'!L89</f>
        <v>0.37243445000000003</v>
      </c>
      <c r="K76" s="484">
        <f>'Eléments de constr. inté. et ex'!M89</f>
        <v>1.5434375</v>
      </c>
      <c r="M76" s="409">
        <f>IF($C76=BillQuantities!$E$33, BillQuantities!$J$33*'Calcul ACV'!H76, 0)</f>
        <v>0</v>
      </c>
      <c r="N76" s="409"/>
      <c r="O76" s="409">
        <f>IF($C76=BillQuantities!$E$33, BillQuantities!$J$33*'Calcul ACV'!J76, 0)</f>
        <v>0</v>
      </c>
      <c r="P76" s="409">
        <f>IF($C76=BillQuantities!$E$33, BillQuantities!$J$33*'Calcul ACV'!K76, 0)</f>
        <v>0</v>
      </c>
      <c r="Q76" s="409"/>
      <c r="R76" s="409"/>
      <c r="S76" s="409"/>
      <c r="T76" s="409"/>
      <c r="V76" s="484">
        <f>'Eléments de constr. inté. et ex'!Q89</f>
        <v>0.67411333333333334</v>
      </c>
      <c r="W76" s="484">
        <f>'Eléments de constr. inté. et ex'!R89</f>
        <v>1.2414481666666668E-2</v>
      </c>
      <c r="X76" s="484">
        <f>'Eléments de constr. inté. et ex'!S89</f>
        <v>5.144791666666667E-2</v>
      </c>
      <c r="Z76" s="409">
        <f>IF($C76=BillQuantities!$E$33, BillQuantities!$J$33*'Calcul ACV'!V76, 0)</f>
        <v>0</v>
      </c>
      <c r="AA76" s="409">
        <f>IF($C76=BillQuantities!$E$33, BillQuantities!$J$33*'Calcul ACV'!W76, 0)</f>
        <v>0</v>
      </c>
      <c r="AB76" s="409">
        <f>IF($C76=BillQuantities!$E$33, BillQuantities!$J$33*'Calcul ACV'!X76, 0)</f>
        <v>0</v>
      </c>
      <c r="AC76" s="452"/>
    </row>
    <row r="77" spans="1:30" ht="15">
      <c r="A77" s="1141"/>
      <c r="B77" s="1152" t="s">
        <v>139</v>
      </c>
      <c r="C77" s="473" t="s">
        <v>421</v>
      </c>
      <c r="D77" s="468"/>
      <c r="E77" s="468"/>
      <c r="F77" s="473"/>
      <c r="G77" s="473"/>
      <c r="H77" s="473"/>
      <c r="I77" s="473"/>
      <c r="J77" s="473"/>
      <c r="K77" s="473"/>
      <c r="L77" s="473"/>
      <c r="M77" s="427">
        <f>SUM(M78:M81)</f>
        <v>10858.7752</v>
      </c>
      <c r="N77" s="427"/>
      <c r="O77" s="427">
        <f>SUM(O78:O81)</f>
        <v>1646.8488399999999</v>
      </c>
      <c r="P77" s="427">
        <f>SUM(P78:P81)</f>
        <v>2513.1773333333331</v>
      </c>
      <c r="Q77" s="475"/>
      <c r="R77" s="475">
        <f>M77/Inputs!$C$6</f>
        <v>7.4579500000000003</v>
      </c>
      <c r="S77" s="475"/>
      <c r="T77" s="475">
        <f>O77/Inputs!$C$6</f>
        <v>1.1310775</v>
      </c>
      <c r="V77" s="473"/>
      <c r="W77" s="473"/>
      <c r="X77" s="473"/>
      <c r="Z77" s="427">
        <f>SUM(Z78:Z81)</f>
        <v>361.95917333333335</v>
      </c>
      <c r="AA77" s="427">
        <f>SUM(AA78:AA81)</f>
        <v>54.894961333333342</v>
      </c>
      <c r="AB77" s="427">
        <f>SUM(AB78:AB81)</f>
        <v>83.772577777777769</v>
      </c>
      <c r="AC77" s="452"/>
      <c r="AD77" s="450">
        <f>(Z77+AA77)/Inputs!$C$6</f>
        <v>0.28630091666666668</v>
      </c>
    </row>
    <row r="78" spans="1:30">
      <c r="A78" s="1141"/>
      <c r="B78" s="1153"/>
      <c r="C78" s="483" t="s">
        <v>413</v>
      </c>
      <c r="D78" s="482" t="s">
        <v>414</v>
      </c>
      <c r="E78" s="482" t="s">
        <v>211</v>
      </c>
      <c r="F78" s="483" t="s">
        <v>39</v>
      </c>
      <c r="G78" s="484">
        <f>'Eléments de constr. inté. et ex'!O111+'Eléments de constr. inté. et ex'!P111</f>
        <v>0</v>
      </c>
      <c r="H78" s="484">
        <f>'Eléments de constr. inté. et ex'!K101</f>
        <v>9.9250000000000007</v>
      </c>
      <c r="I78" s="484"/>
      <c r="J78" s="484">
        <f>'Eléments de constr. inté. et ex'!L101</f>
        <v>0.55840000000000001</v>
      </c>
      <c r="K78" s="484">
        <f>'Eléments de constr. inté. et ex'!M101</f>
        <v>6.3726666666666665</v>
      </c>
      <c r="M78" s="409">
        <f>IF($C78=BillQuantities!$E$34, BillQuantities!$J$34*'Calcul ACV'!H78, 0)</f>
        <v>0</v>
      </c>
      <c r="N78" s="409"/>
      <c r="O78" s="409">
        <f>IF($C78=BillQuantities!$E$34, BillQuantities!$J$34*'Calcul ACV'!J78, 0)</f>
        <v>0</v>
      </c>
      <c r="P78" s="409">
        <f>IF($C78=BillQuantities!$E$34, BillQuantities!$J$34*'Calcul ACV'!K78, 0)</f>
        <v>0</v>
      </c>
      <c r="Q78" s="409"/>
      <c r="R78" s="409"/>
      <c r="S78" s="409"/>
      <c r="T78" s="409"/>
      <c r="V78" s="484">
        <f>'Eléments de constr. inté. et ex'!Q101</f>
        <v>0.33083333333333331</v>
      </c>
      <c r="W78" s="484">
        <f>'Eléments de constr. inté. et ex'!R101</f>
        <v>1.8613333333333336E-2</v>
      </c>
      <c r="X78" s="484">
        <f>'Eléments de constr. inté. et ex'!S101</f>
        <v>0.21242222222222223</v>
      </c>
      <c r="Z78" s="409">
        <f>IF($C78=BillQuantities!$E$34, BillQuantities!$J$34*'Calcul ACV'!V78, 0)</f>
        <v>0</v>
      </c>
      <c r="AA78" s="409">
        <f>IF($C78=BillQuantities!$E$34, BillQuantities!$J$34*'Calcul ACV'!W78, 0)</f>
        <v>0</v>
      </c>
      <c r="AB78" s="409">
        <f>IF($C78=BillQuantities!$E$34, BillQuantities!$J$34*'Calcul ACV'!X78, 0)</f>
        <v>0</v>
      </c>
      <c r="AC78" s="452"/>
    </row>
    <row r="79" spans="1:30" ht="28.5">
      <c r="A79" s="1141"/>
      <c r="B79" s="1153"/>
      <c r="C79" s="483" t="s">
        <v>415</v>
      </c>
      <c r="D79" s="482" t="s">
        <v>416</v>
      </c>
      <c r="E79" s="482" t="s">
        <v>211</v>
      </c>
      <c r="F79" s="483" t="s">
        <v>39</v>
      </c>
      <c r="G79" s="484">
        <f>'Eléments de constr. inté. et ex'!O128+'Eléments de constr. inté. et ex'!P128</f>
        <v>0</v>
      </c>
      <c r="H79" s="484">
        <f>'Eléments de constr. inté. et ex'!K118</f>
        <v>29.831800000000001</v>
      </c>
      <c r="I79" s="484"/>
      <c r="J79" s="484">
        <f>'Eléments de constr. inté. et ex'!L118</f>
        <v>4.5243099999999998</v>
      </c>
      <c r="K79" s="484">
        <f>'Eléments de constr. inté. et ex'!M118</f>
        <v>6.9043333333333328</v>
      </c>
      <c r="M79" s="409">
        <f>IF($C79=BillQuantities!$E$34, BillQuantities!$J$34*'Calcul ACV'!H79, 0)</f>
        <v>10858.7752</v>
      </c>
      <c r="N79" s="409"/>
      <c r="O79" s="409">
        <f>IF($C79=BillQuantities!$E$34, BillQuantities!$J$34*'Calcul ACV'!J79, 0)</f>
        <v>1646.8488399999999</v>
      </c>
      <c r="P79" s="409">
        <f>IF($C79=BillQuantities!$E$34, BillQuantities!$J$34*'Calcul ACV'!K79, 0)</f>
        <v>2513.1773333333331</v>
      </c>
      <c r="Q79" s="409"/>
      <c r="R79" s="409"/>
      <c r="S79" s="409"/>
      <c r="T79" s="409"/>
      <c r="V79" s="484">
        <f>'Eléments de constr. inté. et ex'!Q118</f>
        <v>0.99439333333333346</v>
      </c>
      <c r="W79" s="484">
        <f>'Eléments de constr. inté. et ex'!R118</f>
        <v>0.15081033333333335</v>
      </c>
      <c r="X79" s="484">
        <f>'Eléments de constr. inté. et ex'!S118</f>
        <v>0.23014444444444443</v>
      </c>
      <c r="Z79" s="409">
        <f>IF($C79=BillQuantities!$E$34, BillQuantities!$J$34*'Calcul ACV'!V79, 0)</f>
        <v>361.95917333333335</v>
      </c>
      <c r="AA79" s="409">
        <f>IF($C79=BillQuantities!$E$34, BillQuantities!$J$34*'Calcul ACV'!W79, 0)</f>
        <v>54.894961333333342</v>
      </c>
      <c r="AB79" s="409">
        <f>IF($C79=BillQuantities!$E$34, BillQuantities!$J$34*'Calcul ACV'!X79, 0)</f>
        <v>83.772577777777769</v>
      </c>
      <c r="AC79" s="452"/>
    </row>
    <row r="80" spans="1:30">
      <c r="A80" s="1141"/>
      <c r="B80" s="1153"/>
      <c r="C80" s="483" t="s">
        <v>417</v>
      </c>
      <c r="D80" s="482" t="s">
        <v>418</v>
      </c>
      <c r="E80" s="482" t="s">
        <v>211</v>
      </c>
      <c r="F80" s="483" t="s">
        <v>39</v>
      </c>
      <c r="G80" s="484">
        <f>'Eléments de constr. inté. et ex'!O85+'Eléments de constr. inté. et ex'!P85</f>
        <v>0</v>
      </c>
      <c r="H80" s="484">
        <f>'Eléments de constr. inté. et ex'!K75</f>
        <v>6.6840000000000002</v>
      </c>
      <c r="I80" s="484"/>
      <c r="J80" s="484">
        <f>'Eléments de constr. inté. et ex'!L75</f>
        <v>0.7581</v>
      </c>
      <c r="K80" s="484">
        <f>'Eléments de constr. inté. et ex'!M75</f>
        <v>0</v>
      </c>
      <c r="M80" s="409">
        <f>IF($C80=BillQuantities!$E$34, BillQuantities!$J$34*'Calcul ACV'!H80, 0)</f>
        <v>0</v>
      </c>
      <c r="N80" s="409"/>
      <c r="O80" s="409">
        <f>IF($C80=BillQuantities!$E$34, BillQuantities!$J$34*'Calcul ACV'!J80, 0)</f>
        <v>0</v>
      </c>
      <c r="P80" s="409">
        <f>IF($C80=BillQuantities!$E$34, BillQuantities!$J$34*'Calcul ACV'!K80, 0)</f>
        <v>0</v>
      </c>
      <c r="Q80" s="409"/>
      <c r="R80" s="409"/>
      <c r="S80" s="409"/>
      <c r="T80" s="409"/>
      <c r="V80" s="484">
        <f>'Eléments de constr. inté. et ex'!Q75</f>
        <v>0.2228</v>
      </c>
      <c r="W80" s="484">
        <f>'Eléments de constr. inté. et ex'!R75</f>
        <v>2.5270000000000001E-2</v>
      </c>
      <c r="X80" s="484">
        <f>'Eléments de constr. inté. et ex'!S75</f>
        <v>0</v>
      </c>
      <c r="Z80" s="409">
        <f>IF($C80=BillQuantities!$E$34, BillQuantities!$J$34*'Calcul ACV'!V80, 0)</f>
        <v>0</v>
      </c>
      <c r="AA80" s="409">
        <f>IF($C80=BillQuantities!$E$34, BillQuantities!$J$34*'Calcul ACV'!W80, 0)</f>
        <v>0</v>
      </c>
      <c r="AB80" s="409">
        <f>IF($C80=BillQuantities!$E$34, BillQuantities!$J$34*'Calcul ACV'!X80, 0)</f>
        <v>0</v>
      </c>
      <c r="AC80" s="452"/>
    </row>
    <row r="81" spans="1:32" ht="15" thickBot="1">
      <c r="A81" s="1141"/>
      <c r="B81" s="1154"/>
      <c r="C81" s="483" t="s">
        <v>419</v>
      </c>
      <c r="D81" s="482"/>
      <c r="E81" s="482" t="s">
        <v>211</v>
      </c>
      <c r="F81" s="483" t="s">
        <v>39</v>
      </c>
      <c r="G81" s="484">
        <f>'Eléments de constr. inté. et ex'!O99+'Eléments de constr. inté. et ex'!P99</f>
        <v>2.2174033333333334</v>
      </c>
      <c r="H81" s="484">
        <f>'Eléments de constr. inté. et ex'!K89</f>
        <v>20.223400000000002</v>
      </c>
      <c r="I81" s="484"/>
      <c r="J81" s="484">
        <f>'Eléments de constr. inté. et ex'!L89</f>
        <v>0.37243445000000003</v>
      </c>
      <c r="K81" s="484">
        <f>'Eléments de constr. inté. et ex'!M89</f>
        <v>1.5434375</v>
      </c>
      <c r="M81" s="409">
        <f>IF($C81=BillQuantities!$E$34, BillQuantities!$J$34*'Calcul ACV'!H81, 0)</f>
        <v>0</v>
      </c>
      <c r="N81" s="409"/>
      <c r="O81" s="409">
        <f>IF($C81=BillQuantities!$E$34, BillQuantities!$J$34*'Calcul ACV'!J81, 0)</f>
        <v>0</v>
      </c>
      <c r="P81" s="409">
        <f>IF($C81=BillQuantities!$E$34, BillQuantities!$J$34*'Calcul ACV'!K81, 0)</f>
        <v>0</v>
      </c>
      <c r="Q81" s="409"/>
      <c r="R81" s="409"/>
      <c r="S81" s="409"/>
      <c r="T81" s="409"/>
      <c r="V81" s="484">
        <f>'Eléments de constr. inté. et ex'!Q89</f>
        <v>0.67411333333333334</v>
      </c>
      <c r="W81" s="484">
        <f>'Eléments de constr. inté. et ex'!R89</f>
        <v>1.2414481666666668E-2</v>
      </c>
      <c r="X81" s="484">
        <f>'Eléments de constr. inté. et ex'!S89</f>
        <v>5.144791666666667E-2</v>
      </c>
      <c r="Z81" s="409">
        <f>IF($C81=BillQuantities!$E$34, BillQuantities!$J$34*'Calcul ACV'!V81, 0)</f>
        <v>0</v>
      </c>
      <c r="AA81" s="409">
        <f>IF($C81=BillQuantities!$E$34, BillQuantities!$J$34*'Calcul ACV'!W81, 0)</f>
        <v>0</v>
      </c>
      <c r="AB81" s="409">
        <f>IF($C81=BillQuantities!$E$34, BillQuantities!$J$34*'Calcul ACV'!X81, 0)</f>
        <v>0</v>
      </c>
      <c r="AC81" s="452"/>
    </row>
    <row r="82" spans="1:32" ht="15">
      <c r="A82" s="1141"/>
      <c r="B82" s="1145" t="s">
        <v>142</v>
      </c>
      <c r="C82" s="473" t="str">
        <f>BillQuantities!D35</f>
        <v>Balcons, avant-toits</v>
      </c>
      <c r="D82" s="468"/>
      <c r="E82" s="468"/>
      <c r="F82" s="473"/>
      <c r="G82" s="471"/>
      <c r="H82" s="471"/>
      <c r="I82" s="471"/>
      <c r="J82" s="471"/>
      <c r="K82" s="471"/>
      <c r="L82" s="471"/>
      <c r="M82" s="427">
        <f>SUM(M83)</f>
        <v>47305.353949896198</v>
      </c>
      <c r="N82" s="427">
        <f>SUM(N83)</f>
        <v>24820.247492745333</v>
      </c>
      <c r="O82" s="427">
        <f>SUM(O83)</f>
        <v>2335.1410355944636</v>
      </c>
      <c r="P82" s="427">
        <f>SUM(P83)</f>
        <v>0</v>
      </c>
      <c r="Q82" s="475"/>
      <c r="R82" s="475">
        <f>M82/Inputs!$C$6</f>
        <v>32.48994089965398</v>
      </c>
      <c r="S82" s="475">
        <f>N82/Inputs!$C$6</f>
        <v>17.046873277984432</v>
      </c>
      <c r="T82" s="475">
        <f>O82/Inputs!$C$6</f>
        <v>1.6038056563148788</v>
      </c>
      <c r="V82" s="471"/>
      <c r="W82" s="471"/>
      <c r="X82" s="471"/>
      <c r="Z82" s="427">
        <f>SUM(Z83)</f>
        <v>1182.633848747405</v>
      </c>
      <c r="AA82" s="427">
        <f>SUM(AA83)</f>
        <v>58.378525889861585</v>
      </c>
      <c r="AB82" s="427">
        <f>SUM(AB83)</f>
        <v>0</v>
      </c>
      <c r="AC82" s="452"/>
      <c r="AD82" s="450">
        <f>(Z82+AA82)/Inputs!$C$6</f>
        <v>0.85234366389922145</v>
      </c>
    </row>
    <row r="83" spans="1:32" ht="15" thickBot="1">
      <c r="A83" s="1142"/>
      <c r="B83" s="1148"/>
      <c r="C83" s="443" t="s">
        <v>144</v>
      </c>
      <c r="D83" s="428"/>
      <c r="E83" s="444" t="s">
        <v>211</v>
      </c>
      <c r="F83" s="443" t="s">
        <v>39</v>
      </c>
      <c r="G83" s="445">
        <f>'Eléments de constr. inté. et ex'!O131+'Eléments de constr. inté. et ex'!P131</f>
        <v>12.359789440635812</v>
      </c>
      <c r="H83" s="445">
        <f>'Eléments de constr. inté. et ex'!K131</f>
        <v>162.44970449826991</v>
      </c>
      <c r="I83" s="484">
        <f>(SUM('Eléments de constr. inté. et ex'!K131:L131)*(60/'Eléments de constr. inté. et ex'!N131-1))</f>
        <v>85.234366389922158</v>
      </c>
      <c r="J83" s="445">
        <f>'Eléments de constr. inté. et ex'!L131</f>
        <v>8.0190282815743945</v>
      </c>
      <c r="K83" s="445">
        <f>'Eléments de constr. inté. et ex'!M131</f>
        <v>0</v>
      </c>
      <c r="L83" s="428"/>
      <c r="M83" s="429">
        <f>IF($C83=BillQuantities!$E$36, BillQuantities!$J$36*'Calcul ACV'!H83, 0)</f>
        <v>47305.353949896198</v>
      </c>
      <c r="N83" s="429">
        <f>IF($C83=BillQuantities!$E$36, BillQuantities!$J$36*'Calcul ACV'!I83, 0)</f>
        <v>24820.247492745333</v>
      </c>
      <c r="O83" s="429">
        <f>IF($C83=BillQuantities!$E$36, BillQuantities!$J$36*'Calcul ACV'!J83, 0)</f>
        <v>2335.1410355944636</v>
      </c>
      <c r="P83" s="429">
        <f>IF($C83=BillQuantities!$E$36, BillQuantities!$J$36*'Calcul ACV'!K83, 0)</f>
        <v>0</v>
      </c>
      <c r="Q83" s="429"/>
      <c r="R83" s="429"/>
      <c r="S83" s="429"/>
      <c r="T83" s="429"/>
      <c r="U83" s="456"/>
      <c r="V83" s="445">
        <f>'Eléments de constr. inté. et ex'!Q131</f>
        <v>4.0612426124567476</v>
      </c>
      <c r="W83" s="445">
        <f>'Eléments de constr. inté. et ex'!R131</f>
        <v>0.20047570703935985</v>
      </c>
      <c r="X83" s="445">
        <f>'Eléments de constr. inté. et ex'!S131</f>
        <v>0</v>
      </c>
      <c r="Y83" s="428"/>
      <c r="Z83" s="429">
        <f>IF($C83=BillQuantities!$E$36, BillQuantities!$J$36*'Calcul ACV'!V83, 0)</f>
        <v>1182.633848747405</v>
      </c>
      <c r="AA83" s="429">
        <f>IF($C83=BillQuantities!$E$36, BillQuantities!$J$36*'Calcul ACV'!W83, 0)</f>
        <v>58.378525889861585</v>
      </c>
      <c r="AB83" s="429">
        <f>IF($C83=BillQuantities!$E$36, BillQuantities!$J$36*'Calcul ACV'!X83, 0)</f>
        <v>0</v>
      </c>
      <c r="AC83" s="453"/>
    </row>
    <row r="84" spans="1:32" ht="15.6" customHeight="1" thickBot="1">
      <c r="A84" s="1140" t="s">
        <v>145</v>
      </c>
      <c r="B84" s="436"/>
      <c r="C84" s="446"/>
      <c r="D84" s="441"/>
      <c r="E84" s="433"/>
      <c r="F84" s="446"/>
      <c r="G84" s="447"/>
      <c r="H84" s="447"/>
      <c r="I84" s="447"/>
      <c r="J84" s="447"/>
      <c r="K84" s="447"/>
      <c r="L84" s="441"/>
      <c r="M84" s="442"/>
      <c r="N84" s="442"/>
      <c r="O84" s="442"/>
      <c r="P84" s="442"/>
      <c r="Q84" s="442"/>
      <c r="R84" s="442">
        <f>(R85+R89+R95+R99)</f>
        <v>66.181538461538452</v>
      </c>
      <c r="S84" s="442">
        <f t="shared" ref="S84:T84" si="4">(S85+S89+S95+S99)</f>
        <v>118.29153846153847</v>
      </c>
      <c r="T84" s="442">
        <f t="shared" si="4"/>
        <v>46.989999999999995</v>
      </c>
      <c r="U84" s="450">
        <f>(R84+S84+T84)/60</f>
        <v>3.8577179487179487</v>
      </c>
      <c r="V84" s="447"/>
      <c r="W84" s="447"/>
      <c r="X84" s="447"/>
      <c r="Y84" s="441"/>
      <c r="Z84" s="442">
        <f>(Z85+Z89+Z95+Z99)/Inputs!$C$6</f>
        <v>2.2488846153846156</v>
      </c>
      <c r="AA84" s="469">
        <f>(AA85+AA89+AA95+AA99)/Inputs!$C$6</f>
        <v>1.6088333333333333</v>
      </c>
      <c r="AB84" s="469"/>
      <c r="AC84" s="450">
        <f>Z84+AA84</f>
        <v>3.8577179487179487</v>
      </c>
      <c r="AF84" s="409">
        <f>-AB84</f>
        <v>0</v>
      </c>
    </row>
    <row r="85" spans="1:32" ht="15">
      <c r="A85" s="1141"/>
      <c r="B85" s="1149" t="s">
        <v>146</v>
      </c>
      <c r="C85" s="473" t="str">
        <f>BillQuantities!D37</f>
        <v>Installation électriques</v>
      </c>
      <c r="D85" s="468"/>
      <c r="E85" s="468"/>
      <c r="F85" s="473"/>
      <c r="G85" s="473"/>
      <c r="H85" s="473"/>
      <c r="I85" s="473"/>
      <c r="J85" s="473"/>
      <c r="K85" s="473"/>
      <c r="L85" s="473"/>
      <c r="M85" s="427">
        <f>SUM(M86:M88)</f>
        <v>34888</v>
      </c>
      <c r="N85" s="427">
        <f>SUM(N86:N88)</f>
        <v>48763.68</v>
      </c>
      <c r="O85" s="427">
        <f>SUM(O86:O88)</f>
        <v>13875.679999999998</v>
      </c>
      <c r="P85" s="427"/>
      <c r="Q85" s="475"/>
      <c r="R85" s="475">
        <f>M85/Inputs!$C$6</f>
        <v>23.96153846153846</v>
      </c>
      <c r="S85" s="475">
        <f>N85/Inputs!$C$6</f>
        <v>33.491538461538461</v>
      </c>
      <c r="T85" s="475">
        <f>O85/Inputs!$C$6</f>
        <v>9.5299999999999994</v>
      </c>
      <c r="U85" s="450">
        <f>(R85+S85+T85)/60</f>
        <v>1.1163846153846153</v>
      </c>
      <c r="V85" s="473"/>
      <c r="W85" s="473"/>
      <c r="X85" s="473"/>
      <c r="Z85" s="427">
        <f>SUM(Z86:Z88)</f>
        <v>1162.9333333333334</v>
      </c>
      <c r="AA85" s="467">
        <f>SUM(AA86:AA88)</f>
        <v>462.52266666666662</v>
      </c>
      <c r="AB85" s="467"/>
      <c r="AC85" s="452"/>
      <c r="AD85" s="450">
        <f>(Z85+AA85)/Inputs!$C$6</f>
        <v>1.1163846153846155</v>
      </c>
    </row>
    <row r="86" spans="1:32">
      <c r="A86" s="1141"/>
      <c r="B86" s="1150"/>
      <c r="C86" s="483" t="s">
        <v>422</v>
      </c>
      <c r="D86" s="483" t="s">
        <v>423</v>
      </c>
      <c r="E86" s="483" t="s">
        <v>217</v>
      </c>
      <c r="F86" s="483" t="s">
        <v>39</v>
      </c>
      <c r="G86" s="484">
        <f>Installations!L3+Installations!M3</f>
        <v>3.5700000000000003</v>
      </c>
      <c r="H86" s="484">
        <f>Installations!I3</f>
        <v>13</v>
      </c>
      <c r="I86" s="484">
        <f>(SUM(Installations!I3:J3)*(60/Installations!K3-1))</f>
        <v>22.53</v>
      </c>
      <c r="J86" s="484">
        <f>Installations!J3</f>
        <v>9.5299999999999994</v>
      </c>
      <c r="K86" s="484"/>
      <c r="M86" s="409">
        <f>IF($C86=BillQuantities!$E$38, BillQuantities!$J$38*'Calcul ACV'!H86, 0)</f>
        <v>18928</v>
      </c>
      <c r="N86" s="409">
        <f>IF($C86=BillQuantities!$E$38, BillQuantities!$J$38*'Calcul ACV'!I86, 0)</f>
        <v>32803.68</v>
      </c>
      <c r="O86" s="409">
        <f>IF($C86=BillQuantities!$E$38, BillQuantities!$J$38*'Calcul ACV'!J86, 0)</f>
        <v>13875.679999999998</v>
      </c>
      <c r="P86" s="409"/>
      <c r="Q86" s="409"/>
      <c r="R86" s="409"/>
      <c r="S86" s="409"/>
      <c r="T86" s="409"/>
      <c r="V86" s="484">
        <f>Installations!N3</f>
        <v>0.43333333333333335</v>
      </c>
      <c r="W86" s="484">
        <f>Installations!O3</f>
        <v>0.31766666666666665</v>
      </c>
      <c r="X86" s="484"/>
      <c r="Z86" s="409">
        <f>IF($C86=BillQuantities!$E$38, BillQuantities!$J$38*'Calcul ACV'!V86, 0)</f>
        <v>630.93333333333339</v>
      </c>
      <c r="AA86" s="466">
        <f>IF($C86=BillQuantities!$E$38, BillQuantities!$J$38*'Calcul ACV'!W86, 0)</f>
        <v>462.52266666666662</v>
      </c>
      <c r="AB86" s="466"/>
      <c r="AC86" s="452"/>
    </row>
    <row r="87" spans="1:32">
      <c r="A87" s="1141"/>
      <c r="B87" s="1150"/>
      <c r="C87" s="483" t="s">
        <v>424</v>
      </c>
      <c r="D87" s="483" t="s">
        <v>425</v>
      </c>
      <c r="E87" s="483" t="s">
        <v>217</v>
      </c>
      <c r="F87" s="483" t="s">
        <v>39</v>
      </c>
      <c r="G87" s="484">
        <f>Installations!L4+Installations!M4</f>
        <v>7.0333333333333332</v>
      </c>
      <c r="H87" s="484">
        <f>Installations!I4</f>
        <v>24.1</v>
      </c>
      <c r="I87" s="484">
        <f>(SUM(Installations!I4:J4)*(60/Installations!K4-1))</f>
        <v>46.7</v>
      </c>
      <c r="J87" s="484">
        <f>Installations!J4</f>
        <v>22.6</v>
      </c>
      <c r="K87" s="484"/>
      <c r="M87" s="409">
        <f>IF($C87=BillQuantities!$E$38, BillQuantities!$J$38*'Calcul ACV'!H87, 0)</f>
        <v>0</v>
      </c>
      <c r="N87" s="409">
        <f>IF($C87=BillQuantities!$E$38, BillQuantities!$J$38*'Calcul ACV'!I87, 0)</f>
        <v>0</v>
      </c>
      <c r="O87" s="409">
        <f>IF($C87=BillQuantities!$E$38, BillQuantities!$J$38*'Calcul ACV'!J87, 0)</f>
        <v>0</v>
      </c>
      <c r="P87" s="409"/>
      <c r="Q87" s="409"/>
      <c r="R87" s="409"/>
      <c r="S87" s="409"/>
      <c r="T87" s="409"/>
      <c r="V87" s="484">
        <f>Installations!N4</f>
        <v>0.80333333333333334</v>
      </c>
      <c r="W87" s="484">
        <f>Installations!O4</f>
        <v>0.75333333333333341</v>
      </c>
      <c r="X87" s="484"/>
      <c r="Z87" s="409">
        <f>IF($C87=BillQuantities!$E$38, BillQuantities!$J$38*'Calcul ACV'!V87, 0)</f>
        <v>0</v>
      </c>
      <c r="AA87" s="466">
        <f>IF($C87=BillQuantities!$E$38, BillQuantities!$J$38*'Calcul ACV'!W87, 0)</f>
        <v>0</v>
      </c>
      <c r="AB87" s="466"/>
      <c r="AC87" s="452"/>
    </row>
    <row r="88" spans="1:32" ht="15" thickBot="1">
      <c r="A88" s="1141"/>
      <c r="B88" s="1151"/>
      <c r="C88" s="483" t="s">
        <v>149</v>
      </c>
      <c r="D88" s="483" t="s">
        <v>426</v>
      </c>
      <c r="E88" s="483" t="s">
        <v>218</v>
      </c>
      <c r="F88" s="483" t="s">
        <v>151</v>
      </c>
      <c r="G88" s="484">
        <f>Installations!L5</f>
        <v>18.946666666666669</v>
      </c>
      <c r="H88" s="484">
        <f>Installations!I5</f>
        <v>1140</v>
      </c>
      <c r="I88" s="484">
        <f>(SUM(Installations!I5)*(60/Installations!K5-1))</f>
        <v>1140</v>
      </c>
      <c r="J88" s="484" t="str">
        <f>Installations!J5</f>
        <v>inkl.</v>
      </c>
      <c r="K88" s="484"/>
      <c r="M88" s="409">
        <f>IF($C88=BillQuantities!$E$39, BillQuantities!$J$39*'Calcul ACV'!H88, 0)</f>
        <v>15960.000000000002</v>
      </c>
      <c r="N88" s="409">
        <f>IF($C88=BillQuantities!$E$39, BillQuantities!$J$39*'Calcul ACV'!I88, 0)</f>
        <v>15960.000000000002</v>
      </c>
      <c r="O88" s="409"/>
      <c r="P88" s="409"/>
      <c r="Q88" s="409"/>
      <c r="R88" s="409"/>
      <c r="S88" s="409"/>
      <c r="T88" s="409"/>
      <c r="V88" s="484">
        <f>Installations!N5</f>
        <v>38</v>
      </c>
      <c r="W88" s="484" t="str">
        <f>Installations!O5</f>
        <v>inkl.</v>
      </c>
      <c r="X88" s="484"/>
      <c r="Z88" s="409">
        <f>IF($C88=BillQuantities!$E$39, BillQuantities!$J$39*'Calcul ACV'!V88, 0)</f>
        <v>532.00000000000011</v>
      </c>
      <c r="AA88" s="466">
        <f>IF($C88=BillQuantities!$E$38, BillQuantities!$J$38*'Calcul ACV'!W88, 0)</f>
        <v>0</v>
      </c>
      <c r="AB88" s="466"/>
      <c r="AC88" s="452"/>
    </row>
    <row r="89" spans="1:32" ht="15">
      <c r="A89" s="1141"/>
      <c r="B89" s="1149" t="s">
        <v>152</v>
      </c>
      <c r="C89" s="473" t="str">
        <f>BillQuantities!D40</f>
        <v>Installlations techniques de chauffage</v>
      </c>
      <c r="D89" s="468"/>
      <c r="E89" s="468"/>
      <c r="F89" s="473"/>
      <c r="G89" s="473"/>
      <c r="H89" s="473"/>
      <c r="I89" s="473"/>
      <c r="J89" s="473"/>
      <c r="K89" s="473"/>
      <c r="L89" s="473"/>
      <c r="M89" s="427">
        <f>SUM(M90:M94)</f>
        <v>16132.48</v>
      </c>
      <c r="N89" s="427">
        <f>SUM(N90:N94)</f>
        <v>35730.239999999998</v>
      </c>
      <c r="O89" s="427">
        <f>SUM(O90:O94)</f>
        <v>12143.039999999999</v>
      </c>
      <c r="P89" s="427"/>
      <c r="Q89" s="475"/>
      <c r="R89" s="475">
        <f>M89/Inputs!$C$6</f>
        <v>11.08</v>
      </c>
      <c r="S89" s="475">
        <f>N89/Inputs!$C$6</f>
        <v>24.54</v>
      </c>
      <c r="T89" s="475">
        <f>O89/Inputs!$C$6</f>
        <v>8.34</v>
      </c>
      <c r="U89" s="450">
        <f>(R89+S89+T89)/60</f>
        <v>0.73266666666666658</v>
      </c>
      <c r="V89" s="473"/>
      <c r="W89" s="473"/>
      <c r="X89" s="473"/>
      <c r="Z89" s="427">
        <f>SUM(Z90:Z94)</f>
        <v>600.11466666666661</v>
      </c>
      <c r="AA89" s="467">
        <f>SUM(AA90:AA94)</f>
        <v>466.64800000000002</v>
      </c>
      <c r="AB89" s="467"/>
      <c r="AC89" s="452"/>
      <c r="AD89" s="450">
        <f>(Z89+AA89)/Inputs!$C$6</f>
        <v>0.73266666666666658</v>
      </c>
    </row>
    <row r="90" spans="1:32">
      <c r="A90" s="1141"/>
      <c r="B90" s="1150"/>
      <c r="C90" s="483" t="s">
        <v>154</v>
      </c>
      <c r="D90" s="482" t="s">
        <v>427</v>
      </c>
      <c r="E90" s="482" t="s">
        <v>217</v>
      </c>
      <c r="F90" s="483" t="s">
        <v>39</v>
      </c>
      <c r="G90" s="484">
        <f>Installations!L9+Installations!M9</f>
        <v>0.94900000000000007</v>
      </c>
      <c r="H90" s="484">
        <f>Installations!I9</f>
        <v>2.57</v>
      </c>
      <c r="I90" s="484">
        <f>(SUM(Installations!I9:J9)*(60/Installations!K9-1))</f>
        <v>10.239999999999998</v>
      </c>
      <c r="J90" s="484">
        <f>Installations!J9</f>
        <v>2.5499999999999998</v>
      </c>
      <c r="K90" s="484"/>
      <c r="M90" s="409">
        <f>IF($C90=BillQuantities!$E$41, BillQuantities!$J$41*'Calcul ACV'!H90, 0)</f>
        <v>3741.9199999999996</v>
      </c>
      <c r="N90" s="409">
        <f>IF($C90=BillQuantities!$E$41, BillQuantities!$J$41*'Calcul ACV'!I90, 0)</f>
        <v>14909.439999999997</v>
      </c>
      <c r="O90" s="409">
        <f>IF($C90=BillQuantities!$E$41, BillQuantities!$J$41*'Calcul ACV'!J90, 0)</f>
        <v>3712.7999999999997</v>
      </c>
      <c r="P90" s="409"/>
      <c r="Q90" s="409"/>
      <c r="R90" s="409"/>
      <c r="S90" s="409"/>
      <c r="T90" s="409"/>
      <c r="V90" s="484">
        <f>Installations!N9</f>
        <v>0.1285</v>
      </c>
      <c r="W90" s="484">
        <f>Installations!O9</f>
        <v>0.1275</v>
      </c>
      <c r="X90" s="484"/>
      <c r="Z90" s="409">
        <f>IF($C90=BillQuantities!$E$41, BillQuantities!$J$41*'Calcul ACV'!V90, 0)</f>
        <v>187.096</v>
      </c>
      <c r="AA90" s="466">
        <f>IF($C90=BillQuantities!$E$41, BillQuantities!$J$41*'Calcul ACV'!W90, 0)</f>
        <v>185.64000000000001</v>
      </c>
      <c r="AB90" s="466"/>
      <c r="AC90" s="452"/>
    </row>
    <row r="91" spans="1:32">
      <c r="A91" s="1141"/>
      <c r="B91" s="1150"/>
      <c r="C91" s="483" t="s">
        <v>428</v>
      </c>
      <c r="D91" s="483" t="s">
        <v>429</v>
      </c>
      <c r="E91" s="483" t="s">
        <v>217</v>
      </c>
      <c r="F91" s="483" t="s">
        <v>39</v>
      </c>
      <c r="G91" s="484">
        <f>Installations!L13+Installations!M13</f>
        <v>2.2633333333333336</v>
      </c>
      <c r="H91" s="484">
        <f>Installations!I13</f>
        <v>8.51</v>
      </c>
      <c r="I91" s="484">
        <f>(SUM(Installations!I13:J13)*(60/Installations!K12-1))</f>
        <v>14.3</v>
      </c>
      <c r="J91" s="484">
        <f>Installations!J13</f>
        <v>5.79</v>
      </c>
      <c r="K91" s="484"/>
      <c r="M91" s="409">
        <f>IF($C91=BillQuantities!$E$42, BillQuantities!$J$42*'Calcul ACV'!H91, 0)</f>
        <v>12390.56</v>
      </c>
      <c r="N91" s="409">
        <f>IF($C91=BillQuantities!$E$42, BillQuantities!$J$42*'Calcul ACV'!I91, 0)</f>
        <v>20820.8</v>
      </c>
      <c r="O91" s="409">
        <f>IF($C91=BillQuantities!$E$42, BillQuantities!$J$42*'Calcul ACV'!J91, 0)</f>
        <v>8430.24</v>
      </c>
      <c r="P91" s="409"/>
      <c r="Q91" s="409"/>
      <c r="R91" s="409"/>
      <c r="S91" s="409"/>
      <c r="T91" s="409"/>
      <c r="V91" s="484">
        <f>Installations!N13</f>
        <v>0.28366666666666668</v>
      </c>
      <c r="W91" s="484">
        <f>Installations!O13</f>
        <v>0.193</v>
      </c>
      <c r="X91" s="484"/>
      <c r="Z91" s="409">
        <f>IF($C91=BillQuantities!$E$42, BillQuantities!$J$42*'Calcul ACV'!V91, 0)</f>
        <v>413.01866666666666</v>
      </c>
      <c r="AA91" s="466">
        <f>IF($C91=BillQuantities!$E$42, BillQuantities!$J$42*'Calcul ACV'!W91, 0)</f>
        <v>281.00799999999998</v>
      </c>
      <c r="AB91" s="466"/>
      <c r="AC91" s="452"/>
    </row>
    <row r="92" spans="1:32">
      <c r="A92" s="1141"/>
      <c r="B92" s="1150"/>
      <c r="C92" s="483" t="s">
        <v>430</v>
      </c>
      <c r="D92" s="483" t="s">
        <v>431</v>
      </c>
      <c r="E92" s="483" t="s">
        <v>217</v>
      </c>
      <c r="F92" s="483" t="s">
        <v>39</v>
      </c>
      <c r="G92" s="484">
        <f>Installations!L17+Installations!M17</f>
        <v>3.3099999999999996</v>
      </c>
      <c r="H92" s="484">
        <f>Installations!I17</f>
        <v>15.64</v>
      </c>
      <c r="I92" s="484">
        <f>(SUM(Installations!I17:J17)*(60/Installations!K16-1))</f>
        <v>30.18</v>
      </c>
      <c r="J92" s="484">
        <f>Installations!J17</f>
        <v>14.540000000000001</v>
      </c>
      <c r="K92" s="484"/>
      <c r="M92" s="409">
        <f>IF($C92=BillQuantities!$E$42, BillQuantities!$J$42*'Calcul ACV'!H92, 0)</f>
        <v>0</v>
      </c>
      <c r="N92" s="409">
        <f>IF($C92=BillQuantities!$E$42, BillQuantities!$J$42*'Calcul ACV'!I92, 0)</f>
        <v>0</v>
      </c>
      <c r="O92" s="409">
        <f>IF($C92=BillQuantities!$E$42, BillQuantities!$J$42*'Calcul ACV'!J92, 0)</f>
        <v>0</v>
      </c>
      <c r="P92" s="409"/>
      <c r="Q92" s="409"/>
      <c r="R92" s="409"/>
      <c r="S92" s="409"/>
      <c r="T92" s="409"/>
      <c r="V92" s="484">
        <f>Installations!N17</f>
        <v>0.52133333333333343</v>
      </c>
      <c r="W92" s="484">
        <f>Installations!O17</f>
        <v>0.48466666666666669</v>
      </c>
      <c r="X92" s="484"/>
      <c r="Z92" s="409">
        <f>IF($C92=BillQuantities!$E$42, BillQuantities!$J$42*'Calcul ACV'!V92, 0)</f>
        <v>0</v>
      </c>
      <c r="AA92" s="466">
        <f>IF($C92=BillQuantities!$E$42, BillQuantities!$J$42*'Calcul ACV'!W92, 0)</f>
        <v>0</v>
      </c>
      <c r="AB92" s="466"/>
      <c r="AC92" s="452"/>
    </row>
    <row r="93" spans="1:32">
      <c r="A93" s="1141"/>
      <c r="B93" s="1150"/>
      <c r="C93" s="483" t="s">
        <v>34</v>
      </c>
      <c r="D93" s="482" t="s">
        <v>432</v>
      </c>
      <c r="E93" s="482" t="s">
        <v>217</v>
      </c>
      <c r="F93" s="483" t="s">
        <v>39</v>
      </c>
      <c r="G93" s="484">
        <f>Installations!L19+Installations!M19</f>
        <v>2.5374999999999996</v>
      </c>
      <c r="H93" s="484">
        <f>Installations!I19</f>
        <v>11.6</v>
      </c>
      <c r="I93" s="484"/>
      <c r="J93" s="484">
        <f>Installations!J19</f>
        <v>10.35</v>
      </c>
      <c r="K93" s="484"/>
      <c r="M93" s="409">
        <f>IF($C93=BillQuantities!$E$43, BillQuantities!$J$43*'Calcul ACV'!H93, 0)</f>
        <v>0</v>
      </c>
      <c r="N93" s="409"/>
      <c r="O93" s="409">
        <f>IF($C93=BillQuantities!$E$43, BillQuantities!$J$43*'Calcul ACV'!J93, 0)</f>
        <v>0</v>
      </c>
      <c r="P93" s="409"/>
      <c r="Q93" s="409"/>
      <c r="R93" s="409"/>
      <c r="S93" s="409"/>
      <c r="T93" s="409"/>
      <c r="V93" s="484">
        <f>Installations!N19</f>
        <v>0.28999999999999998</v>
      </c>
      <c r="W93" s="484">
        <f>Installations!O19</f>
        <v>0.25874999999999998</v>
      </c>
      <c r="X93" s="484"/>
      <c r="Z93" s="409">
        <f>IF($C93=BillQuantities!$E$43, BillQuantities!$J$43*'Calcul ACV'!V93, 0)</f>
        <v>0</v>
      </c>
      <c r="AA93" s="466">
        <f>IF($C93=BillQuantities!$E$43, BillQuantities!$J$43*'Calcul ACV'!W93, 0)</f>
        <v>0</v>
      </c>
      <c r="AB93" s="466"/>
      <c r="AC93" s="452"/>
    </row>
    <row r="94" spans="1:32" ht="15" thickBot="1">
      <c r="A94" s="1141"/>
      <c r="B94" s="1151"/>
      <c r="C94" s="483" t="s">
        <v>42</v>
      </c>
      <c r="D94" s="483" t="s">
        <v>433</v>
      </c>
      <c r="E94" s="483" t="s">
        <v>211</v>
      </c>
      <c r="F94" s="483" t="s">
        <v>39</v>
      </c>
      <c r="G94" s="484">
        <f>Installations!L21</f>
        <v>22.233333333333334</v>
      </c>
      <c r="H94" s="484">
        <f>Installations!I21</f>
        <v>168</v>
      </c>
      <c r="I94" s="484"/>
      <c r="J94" s="484" t="str">
        <f>Installations!J21</f>
        <v>inkl.</v>
      </c>
      <c r="K94" s="484"/>
      <c r="M94" s="409">
        <f>IF($C94=BillQuantities!$E$44, BillQuantities!$J$44*'Calcul ACV'!H94, 0)</f>
        <v>0</v>
      </c>
      <c r="N94" s="409"/>
      <c r="O94" s="409"/>
      <c r="P94" s="409"/>
      <c r="Q94" s="409"/>
      <c r="R94" s="409"/>
      <c r="S94" s="409"/>
      <c r="T94" s="409"/>
      <c r="V94" s="484">
        <f>Installations!N21</f>
        <v>5.6</v>
      </c>
      <c r="W94" s="484" t="str">
        <f>Installations!O21</f>
        <v>inkl.</v>
      </c>
      <c r="X94" s="484"/>
      <c r="Z94" s="409">
        <f>IF($C94=BillQuantities!$E$44, BillQuantities!$J$44*'Calcul ACV'!V94, 0)</f>
        <v>0</v>
      </c>
      <c r="AA94" s="409"/>
      <c r="AB94" s="409"/>
      <c r="AC94" s="452"/>
    </row>
    <row r="95" spans="1:32" ht="15">
      <c r="A95" s="1141"/>
      <c r="B95" s="1149" t="s">
        <v>162</v>
      </c>
      <c r="C95" s="473" t="str">
        <f>BillQuantities!D45</f>
        <v>Installations de ventilation et de conditionnement d'air</v>
      </c>
      <c r="D95" s="468"/>
      <c r="E95" s="468"/>
      <c r="F95" s="473"/>
      <c r="G95" s="473"/>
      <c r="H95" s="473"/>
      <c r="I95" s="473"/>
      <c r="J95" s="473"/>
      <c r="K95" s="473"/>
      <c r="L95" s="473"/>
      <c r="M95" s="427">
        <f>SUM(M96:M98)</f>
        <v>27139.84</v>
      </c>
      <c r="N95" s="427">
        <f>SUM(N96:N98)</f>
        <v>53522.559999999998</v>
      </c>
      <c r="O95" s="427">
        <f>SUM(O96:O98)</f>
        <v>26382.719999999998</v>
      </c>
      <c r="P95" s="427"/>
      <c r="Q95" s="475"/>
      <c r="R95" s="475">
        <f>M95/Inputs!$C$6</f>
        <v>18.64</v>
      </c>
      <c r="S95" s="475">
        <f>N95/Inputs!$C$6</f>
        <v>36.76</v>
      </c>
      <c r="T95" s="475">
        <f>O95/Inputs!$C$6</f>
        <v>18.119999999999997</v>
      </c>
      <c r="U95" s="450">
        <f>(R95+S95+T95)/60</f>
        <v>1.2253333333333332</v>
      </c>
      <c r="V95" s="473"/>
      <c r="W95" s="473"/>
      <c r="X95" s="473"/>
      <c r="Z95" s="427">
        <f>SUM(Z96:Z98)</f>
        <v>904.66133333333335</v>
      </c>
      <c r="AA95" s="467">
        <f>SUM(AA96:AA98)</f>
        <v>879.42399999999998</v>
      </c>
      <c r="AB95" s="467"/>
      <c r="AC95" s="452"/>
      <c r="AD95" s="450">
        <f>(Z95+AA95)/Inputs!$C$6</f>
        <v>1.2253333333333334</v>
      </c>
    </row>
    <row r="96" spans="1:32">
      <c r="A96" s="1141"/>
      <c r="B96" s="1150"/>
      <c r="C96" s="483" t="s">
        <v>164</v>
      </c>
      <c r="D96" s="482" t="s">
        <v>434</v>
      </c>
      <c r="E96" s="483" t="s">
        <v>217</v>
      </c>
      <c r="F96" s="483" t="s">
        <v>39</v>
      </c>
      <c r="G96" s="484">
        <f>Installations!L24+Installations!M24</f>
        <v>0.91666666666666674</v>
      </c>
      <c r="H96" s="484">
        <f>Installations!I24</f>
        <v>3.64</v>
      </c>
      <c r="I96" s="484">
        <f>(SUM(Installations!I24:J24)*(60/Installations!K24-1))</f>
        <v>7.16</v>
      </c>
      <c r="J96" s="484">
        <f>Installations!J24</f>
        <v>3.52</v>
      </c>
      <c r="K96" s="484"/>
      <c r="M96" s="409">
        <f>IF($C96=BillQuantities!$E$46, BillQuantities!$J$46*'Calcul ACV'!H96, 0)</f>
        <v>5299.84</v>
      </c>
      <c r="N96" s="409">
        <f>IF($C96=BillQuantities!$E$46, BillQuantities!$J$46*'Calcul ACV'!I96, 0)</f>
        <v>10424.960000000001</v>
      </c>
      <c r="O96" s="409">
        <f>IF($C96=BillQuantities!$E$46, BillQuantities!$J$46*'Calcul ACV'!J96, 0)</f>
        <v>5125.12</v>
      </c>
      <c r="P96" s="409"/>
      <c r="Q96" s="409"/>
      <c r="R96" s="409"/>
      <c r="S96" s="409"/>
      <c r="T96" s="409"/>
      <c r="V96" s="484">
        <f>Installations!N24</f>
        <v>0.12133333333333333</v>
      </c>
      <c r="W96" s="484">
        <f>Installations!O24</f>
        <v>0.11733333333333333</v>
      </c>
      <c r="X96" s="484"/>
      <c r="Z96" s="409">
        <f>IF($C96=BillQuantities!$E$46, BillQuantities!$J$46*'Calcul ACV'!V96, 0)</f>
        <v>176.66133333333335</v>
      </c>
      <c r="AA96" s="466">
        <f>IF($C96=BillQuantities!$E$46, BillQuantities!$J$46*'Calcul ACV'!W96, 0)</f>
        <v>170.83733333333333</v>
      </c>
      <c r="AB96" s="466"/>
      <c r="AC96" s="452"/>
    </row>
    <row r="97" spans="1:32">
      <c r="A97" s="1141"/>
      <c r="B97" s="1150"/>
      <c r="C97" s="483" t="s">
        <v>435</v>
      </c>
      <c r="D97" s="482" t="s">
        <v>436</v>
      </c>
      <c r="E97" s="483" t="s">
        <v>217</v>
      </c>
      <c r="F97" s="483" t="s">
        <v>39</v>
      </c>
      <c r="G97" s="484">
        <f>Installations!L25+Installations!M25</f>
        <v>3.36</v>
      </c>
      <c r="H97" s="484">
        <f>Installations!I25</f>
        <v>15</v>
      </c>
      <c r="I97" s="484">
        <f>(SUM(Installations!I25:J25)*(60/Installations!K25-1))</f>
        <v>29.6</v>
      </c>
      <c r="J97" s="484">
        <f>Installations!J25</f>
        <v>14.6</v>
      </c>
      <c r="K97" s="484"/>
      <c r="M97" s="409">
        <f>IF($C97=BillQuantities!$E$47, BillQuantities!$J$47*'Calcul ACV'!H97, 0)</f>
        <v>21840</v>
      </c>
      <c r="N97" s="409">
        <f>IF($C97=BillQuantities!$E$47, BillQuantities!$J$47*'Calcul ACV'!I97, 0)</f>
        <v>43097.599999999999</v>
      </c>
      <c r="O97" s="409">
        <f>IF($C97=BillQuantities!$E$47, BillQuantities!$J$47*'Calcul ACV'!J97, 0)</f>
        <v>21257.599999999999</v>
      </c>
      <c r="P97" s="409"/>
      <c r="Q97" s="409"/>
      <c r="R97" s="409"/>
      <c r="S97" s="409"/>
      <c r="T97" s="409"/>
      <c r="V97" s="484">
        <f>Installations!N25</f>
        <v>0.5</v>
      </c>
      <c r="W97" s="484">
        <f>Installations!O25</f>
        <v>0.48666666666666664</v>
      </c>
      <c r="X97" s="484"/>
      <c r="Z97" s="409">
        <f>IF($C97=BillQuantities!$E$47, BillQuantities!$J$47*'Calcul ACV'!V97, 0)</f>
        <v>728</v>
      </c>
      <c r="AA97" s="466">
        <f>IF($C97=BillQuantities!$E$47, BillQuantities!$J$47*'Calcul ACV'!W97, 0)</f>
        <v>708.58666666666659</v>
      </c>
      <c r="AB97" s="466"/>
      <c r="AC97" s="452"/>
    </row>
    <row r="98" spans="1:32" ht="15" thickBot="1">
      <c r="A98" s="1141"/>
      <c r="B98" s="1150"/>
      <c r="C98" s="483" t="s">
        <v>437</v>
      </c>
      <c r="D98" s="482" t="s">
        <v>438</v>
      </c>
      <c r="E98" s="483" t="s">
        <v>217</v>
      </c>
      <c r="F98" s="483" t="s">
        <v>39</v>
      </c>
      <c r="G98" s="484">
        <f>Installations!L26+Installations!M26</f>
        <v>5.72</v>
      </c>
      <c r="H98" s="484">
        <f>AVERAGE(Installations!I26:I27)</f>
        <v>25.4</v>
      </c>
      <c r="I98" s="484">
        <f>(AVERAGE(SUM(Installations!I26:J26), SUM(Installations!I27:J27)) *(60/Installations!K25-1))</f>
        <v>50.150000000000006</v>
      </c>
      <c r="J98" s="484">
        <f>AVERAGE(Installations!J26:J27)</f>
        <v>24.75</v>
      </c>
      <c r="K98" s="484"/>
      <c r="M98" s="409">
        <f>IF($C98=BillQuantities!$E$47, BillQuantities!$J$47*'Calcul ACV'!H98, 0)</f>
        <v>0</v>
      </c>
      <c r="N98" s="409">
        <f>IF($C98=BillQuantities!$E$47, BillQuantities!$J$47*'Calcul ACV'!I98, 0)</f>
        <v>0</v>
      </c>
      <c r="O98" s="409">
        <f>IF($C98=BillQuantities!$E$47, BillQuantities!$J$47*'Calcul ACV'!J98, 0)</f>
        <v>0</v>
      </c>
      <c r="P98" s="409"/>
      <c r="Q98" s="409"/>
      <c r="R98" s="409"/>
      <c r="S98" s="409"/>
      <c r="T98" s="409"/>
      <c r="V98" s="484">
        <f>Installations!N26</f>
        <v>0.84666666666666657</v>
      </c>
      <c r="W98" s="484">
        <f>Installations!O26</f>
        <v>0.82499999999999996</v>
      </c>
      <c r="X98" s="484"/>
      <c r="Z98" s="409">
        <f>IF($C98=BillQuantities!$E$47, BillQuantities!$J$47*'Calcul ACV'!V98, 0)</f>
        <v>0</v>
      </c>
      <c r="AA98" s="466">
        <f>IF($C98=BillQuantities!$E$47, BillQuantities!$J$47*'Calcul ACV'!W98, 0)</f>
        <v>0</v>
      </c>
      <c r="AB98" s="466"/>
      <c r="AC98" s="452"/>
    </row>
    <row r="99" spans="1:32" ht="15">
      <c r="A99" s="1141"/>
      <c r="B99" s="1159" t="s">
        <v>167</v>
      </c>
      <c r="C99" s="473" t="str">
        <f>BillQuantities!D48</f>
        <v>Installations techniques de distribution d'eau</v>
      </c>
      <c r="D99" s="468"/>
      <c r="E99" s="468"/>
      <c r="F99" s="473"/>
      <c r="G99" s="473"/>
      <c r="H99" s="473"/>
      <c r="I99" s="473"/>
      <c r="J99" s="473"/>
      <c r="K99" s="473"/>
      <c r="L99" s="473"/>
      <c r="M99" s="427">
        <f>SUM(M100:M101)</f>
        <v>18200</v>
      </c>
      <c r="N99" s="427">
        <f>SUM(N100:N101)</f>
        <v>34216</v>
      </c>
      <c r="O99" s="427">
        <f>SUM(O100:O101)</f>
        <v>16016</v>
      </c>
      <c r="P99" s="427"/>
      <c r="Q99" s="475"/>
      <c r="R99" s="475">
        <f>M99/Inputs!$C$6</f>
        <v>12.5</v>
      </c>
      <c r="S99" s="475">
        <f>N99/Inputs!$C$6</f>
        <v>23.5</v>
      </c>
      <c r="T99" s="475">
        <f>O99/Inputs!$C$6</f>
        <v>11</v>
      </c>
      <c r="U99" s="450">
        <f>(R99+S99+T99)/60</f>
        <v>0.78333333333333333</v>
      </c>
      <c r="V99" s="473"/>
      <c r="W99" s="473"/>
      <c r="X99" s="473"/>
      <c r="Z99" s="427">
        <f>SUM(Z100:Z101)</f>
        <v>606.66666666666674</v>
      </c>
      <c r="AA99" s="467">
        <f>SUM(AA100:AA101)</f>
        <v>533.86666666666667</v>
      </c>
      <c r="AB99" s="467"/>
      <c r="AC99" s="452"/>
      <c r="AD99" s="450">
        <f>(Z99+AA99)/Inputs!$C$6</f>
        <v>0.78333333333333333</v>
      </c>
    </row>
    <row r="100" spans="1:32">
      <c r="A100" s="1141"/>
      <c r="B100" s="1159"/>
      <c r="C100" s="483" t="s">
        <v>439</v>
      </c>
      <c r="D100" s="482" t="s">
        <v>440</v>
      </c>
      <c r="E100" s="483" t="s">
        <v>217</v>
      </c>
      <c r="F100" s="483" t="s">
        <v>39</v>
      </c>
      <c r="G100" s="484">
        <f>Installations!L30+Installations!M30</f>
        <v>3.0633333333333335</v>
      </c>
      <c r="H100" s="484">
        <f>Installations!I30</f>
        <v>12.5</v>
      </c>
      <c r="I100" s="484">
        <f>(SUM(Installations!I30:J30)*(60/Installations!K30-1))</f>
        <v>23.5</v>
      </c>
      <c r="J100" s="484">
        <f>Installations!J30</f>
        <v>11</v>
      </c>
      <c r="K100" s="484"/>
      <c r="M100" s="409">
        <f>IF($C100=BillQuantities!$E$49, BillQuantities!$J$49*'Calcul ACV'!H100, 0)</f>
        <v>18200</v>
      </c>
      <c r="N100" s="409">
        <f>IF($C100=BillQuantities!$E$49, BillQuantities!$J$49*'Calcul ACV'!I100, 0)</f>
        <v>34216</v>
      </c>
      <c r="O100" s="409">
        <f>IF($C100=BillQuantities!$E$49, BillQuantities!$J$49*'Calcul ACV'!J100, 0)</f>
        <v>16016</v>
      </c>
      <c r="P100" s="409"/>
      <c r="Q100" s="409"/>
      <c r="R100" s="409"/>
      <c r="S100" s="409"/>
      <c r="T100" s="409"/>
      <c r="V100" s="484">
        <f>Installations!N30</f>
        <v>0.41666666666666669</v>
      </c>
      <c r="W100" s="484">
        <f>Installations!O30</f>
        <v>0.36666666666666664</v>
      </c>
      <c r="X100" s="484"/>
      <c r="Z100" s="409">
        <f>IF($C100=BillQuantities!$E$49, BillQuantities!$J$49*'Calcul ACV'!V100, 0)</f>
        <v>606.66666666666674</v>
      </c>
      <c r="AA100" s="466">
        <f>IF($C100=BillQuantities!$E$49, BillQuantities!$J$49*'Calcul ACV'!W100, 0)</f>
        <v>533.86666666666667</v>
      </c>
      <c r="AB100" s="466"/>
      <c r="AC100" s="452"/>
    </row>
    <row r="101" spans="1:32" ht="15" thickBot="1">
      <c r="A101" s="1142"/>
      <c r="B101" s="1160"/>
      <c r="C101" s="443" t="s">
        <v>441</v>
      </c>
      <c r="D101" s="444" t="s">
        <v>442</v>
      </c>
      <c r="E101" s="443" t="s">
        <v>217</v>
      </c>
      <c r="F101" s="443" t="s">
        <v>39</v>
      </c>
      <c r="G101" s="445">
        <f>Installations!L31+Installations!M31</f>
        <v>2.145</v>
      </c>
      <c r="H101" s="445">
        <f>AVERAGE(Installations!I31:I32)</f>
        <v>8.5150000000000006</v>
      </c>
      <c r="I101" s="445">
        <f>(AVERAGE(SUM(Installations!I31:J31),SUM(Installations!I32:J32))*(60/Installations!K31-1))</f>
        <v>14.565000000000001</v>
      </c>
      <c r="J101" s="445">
        <f>AVERAGE(Installations!J31:J32)</f>
        <v>6.05</v>
      </c>
      <c r="K101" s="445"/>
      <c r="L101" s="428"/>
      <c r="M101" s="429">
        <f>IF($C101=BillQuantities!$E$49, BillQuantities!$J$49*'Calcul ACV'!H101, 0)</f>
        <v>0</v>
      </c>
      <c r="N101" s="429">
        <f>IF($C101=BillQuantities!$E$49, BillQuantities!$J$49*'Calcul ACV'!I101, 0)</f>
        <v>0</v>
      </c>
      <c r="O101" s="429">
        <f>IF($C101=BillQuantities!$E$49, BillQuantities!$J$49*'Calcul ACV'!J101, 0)</f>
        <v>0</v>
      </c>
      <c r="P101" s="429"/>
      <c r="Q101" s="429"/>
      <c r="R101" s="429"/>
      <c r="S101" s="429"/>
      <c r="T101" s="429"/>
      <c r="U101" s="456"/>
      <c r="V101" s="445">
        <f>Installations!N31</f>
        <v>0.28383333333333333</v>
      </c>
      <c r="W101" s="445">
        <f>Installations!O31</f>
        <v>0.20166666666666666</v>
      </c>
      <c r="X101" s="445"/>
      <c r="Y101" s="428"/>
      <c r="Z101" s="429">
        <f>IF($C101=BillQuantities!$E$49, BillQuantities!$J$49*'Calcul ACV'!V101, 0)</f>
        <v>0</v>
      </c>
      <c r="AA101" s="465">
        <f>IF($C101=BillQuantities!$E$49, BillQuantities!$J$49*'Calcul ACV'!W101, 0)</f>
        <v>0</v>
      </c>
      <c r="AB101" s="465"/>
      <c r="AC101" s="453"/>
    </row>
    <row r="102" spans="1:32" ht="15" thickBot="1">
      <c r="AC102" s="453"/>
    </row>
    <row r="103" spans="1:32">
      <c r="AC103" s="409">
        <f>SUM(AC3+AC12+AC23+AC51+AC84)</f>
        <v>16.271850042234366</v>
      </c>
      <c r="AF103" s="409">
        <f>SUM(AF3+AF12+AF23+AF51+AF84)</f>
        <v>-0.40658902777777772</v>
      </c>
    </row>
    <row r="104" spans="1:32">
      <c r="M104" s="409">
        <f>M4+M13+M16+M19+M24+M30+M38+M40+M46+M52+M55+M59+M63+M67+M72+M77+M82+M85+M89+M95+M99</f>
        <v>852731.9455579007</v>
      </c>
      <c r="N104" s="409"/>
      <c r="O104" s="409">
        <f>O4+O13+O16+O19+O24+O30+O38+O40+O46+O52+O55+O59+O63+O67+O72+O77+O82+O85+O89+O95+O99</f>
        <v>149854.45177030828</v>
      </c>
      <c r="P104" s="409"/>
      <c r="R104" s="409">
        <f>R4+R13+R16+R19+R24+R30+R38+R40+R46+R52+R55+R59+R63+R67+R72+R77+R82+R85+R89+R95+R99</f>
        <v>585.66754502603067</v>
      </c>
      <c r="S104" s="409"/>
      <c r="T104" s="409">
        <f>T4+T13+T16+T19+T24+T30+T38+T40+T46+T52+T55+T59+T63+T67+T72+T77+T82+T85+T89+T95+T99</f>
        <v>102.92201357850843</v>
      </c>
      <c r="V104" s="409"/>
      <c r="W104" s="409"/>
      <c r="X104" s="409"/>
      <c r="Z104" s="409">
        <f>Z4+Z13+Z16+Z19+Z24+Z30+Z38+Z40+Z46+Z52+Z55+Z59+Z63+Z67+Z72+Z77+Z82+Z85+Z89+Z95+Z99</f>
        <v>19478.713470880815</v>
      </c>
      <c r="AA104" s="409">
        <f>AA4+AA13+AA16+AA19+AA24+AA30+AA38+AA40+AA46+AA52+AA55+AA59+AA63+AA67+AA72+AA77+AA82+AA85+AA89+AA95+AA99</f>
        <v>4213.1001906124247</v>
      </c>
      <c r="AB104" s="409"/>
    </row>
    <row r="107" spans="1:32">
      <c r="Z107" s="409">
        <f>Z104+AA104</f>
        <v>23691.813661493241</v>
      </c>
    </row>
    <row r="108" spans="1:32">
      <c r="Z108" s="3">
        <f>Z107/Inputs!C6</f>
        <v>16.271850042234369</v>
      </c>
    </row>
    <row r="117" spans="1:1">
      <c r="A117" s="2" t="s">
        <v>443</v>
      </c>
    </row>
  </sheetData>
  <customSheetViews>
    <customSheetView guid="{B32447E2-AB5B-4CBB-881B-FF11349CA4D6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1"/>
    </customSheetView>
    <customSheetView guid="{9FA74287-E657-475B-BF4B-3C8C757714AE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2"/>
    </customSheetView>
  </customSheetViews>
  <mergeCells count="31">
    <mergeCell ref="B99:B101"/>
    <mergeCell ref="B38:B39"/>
    <mergeCell ref="B40:B45"/>
    <mergeCell ref="B46:B50"/>
    <mergeCell ref="B89:B94"/>
    <mergeCell ref="B95:B98"/>
    <mergeCell ref="Z1:AC1"/>
    <mergeCell ref="A12:A22"/>
    <mergeCell ref="H1:J1"/>
    <mergeCell ref="M1:O1"/>
    <mergeCell ref="R1:T1"/>
    <mergeCell ref="B4:B11"/>
    <mergeCell ref="B13:B15"/>
    <mergeCell ref="B16:B18"/>
    <mergeCell ref="B19:B22"/>
    <mergeCell ref="A23:A50"/>
    <mergeCell ref="A51:A83"/>
    <mergeCell ref="A84:A101"/>
    <mergeCell ref="V1:W1"/>
    <mergeCell ref="A3:A11"/>
    <mergeCell ref="B55:B58"/>
    <mergeCell ref="B67:B71"/>
    <mergeCell ref="B82:B83"/>
    <mergeCell ref="B85:B88"/>
    <mergeCell ref="B52:B54"/>
    <mergeCell ref="B59:B62"/>
    <mergeCell ref="B63:B66"/>
    <mergeCell ref="B72:B76"/>
    <mergeCell ref="B77:B81"/>
    <mergeCell ref="B24:B29"/>
    <mergeCell ref="B30:B37"/>
  </mergeCells>
  <pageMargins left="0.7" right="0.7" top="0.75" bottom="0.75" header="0.3" footer="0.3"/>
  <pageSetup paperSize="9" orientation="portrait" horizontalDpi="4294967292" verticalDpi="4294967292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D2FA-C9FC-42A9-A144-69CF5DBFA9B1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CD9C-DBD8-44F0-912E-7C4F0390B372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696-22AB-4209-8FA0-9C641C76C358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7C7D-5D58-E649-81D4-A010168EADC0}">
  <sheetPr>
    <pageSetUpPr autoPageBreaks="0"/>
  </sheetPr>
  <dimension ref="A1:O43"/>
  <sheetViews>
    <sheetView zoomScale="95" zoomScaleNormal="95" workbookViewId="0">
      <pane ySplit="2" topLeftCell="A3" activePane="bottomLeft" state="frozen"/>
      <selection activeCell="J3" sqref="J3"/>
      <selection pane="bottomLeft" activeCell="J3" sqref="J3"/>
    </sheetView>
  </sheetViews>
  <sheetFormatPr baseColWidth="10" defaultColWidth="10.875" defaultRowHeight="14.25" outlineLevelCol="1"/>
  <cols>
    <col min="1" max="1" width="23.5" style="3" customWidth="1"/>
    <col min="2" max="2" width="26.375" style="3" customWidth="1"/>
    <col min="3" max="3" width="50.875" style="3" customWidth="1"/>
    <col min="4" max="5" width="10.875" style="3"/>
    <col min="6" max="6" width="2.875" style="3" customWidth="1" collapsed="1"/>
    <col min="7" max="8" width="10.875" style="3" hidden="1" customWidth="1" outlineLevel="1"/>
    <col min="9" max="9" width="10.875" style="3" collapsed="1"/>
    <col min="10" max="10" width="10.875" style="3"/>
    <col min="11" max="11" width="12.375" style="3" customWidth="1" collapsed="1"/>
    <col min="12" max="13" width="10.875" style="3" hidden="1" customWidth="1" outlineLevel="1"/>
    <col min="14" max="14" width="10.875" style="3" collapsed="1"/>
    <col min="15" max="16384" width="10.875" style="3"/>
  </cols>
  <sheetData>
    <row r="1" spans="1:15" ht="60">
      <c r="B1" s="1" t="s">
        <v>444</v>
      </c>
      <c r="C1" s="1" t="s">
        <v>445</v>
      </c>
      <c r="D1" s="1" t="s">
        <v>446</v>
      </c>
      <c r="E1" s="1" t="s">
        <v>447</v>
      </c>
      <c r="G1" s="207" t="s">
        <v>448</v>
      </c>
      <c r="H1" s="207" t="s">
        <v>449</v>
      </c>
      <c r="I1" s="207" t="s">
        <v>450</v>
      </c>
      <c r="J1" s="207" t="s">
        <v>451</v>
      </c>
      <c r="K1" s="207" t="s">
        <v>452</v>
      </c>
      <c r="L1" s="207" t="s">
        <v>453</v>
      </c>
      <c r="M1" s="207" t="s">
        <v>454</v>
      </c>
      <c r="N1" s="207" t="s">
        <v>455</v>
      </c>
      <c r="O1" s="207" t="s">
        <v>456</v>
      </c>
    </row>
    <row r="2" spans="1:15" ht="17.25">
      <c r="A2" s="350" t="s">
        <v>457</v>
      </c>
      <c r="B2" s="350"/>
      <c r="C2" s="350"/>
      <c r="D2" s="350"/>
      <c r="E2" s="351" t="s">
        <v>458</v>
      </c>
      <c r="F2" s="350"/>
      <c r="G2" s="352"/>
      <c r="H2" s="352"/>
      <c r="I2" s="352"/>
      <c r="J2" s="352"/>
      <c r="K2" s="352"/>
      <c r="L2" s="352"/>
      <c r="M2" s="352"/>
      <c r="N2" s="352"/>
      <c r="O2" s="352"/>
    </row>
    <row r="3" spans="1:15">
      <c r="A3" s="483" t="s">
        <v>457</v>
      </c>
      <c r="B3" s="483" t="s">
        <v>459</v>
      </c>
      <c r="C3" s="484" t="str">
        <f>VLOOKUP($D3,'Transporte Transports'!$A$10:$AD$432,26,FALSE)</f>
        <v>Excavations mécaniques, en moyenne</v>
      </c>
      <c r="D3" s="483" t="s">
        <v>460</v>
      </c>
      <c r="E3" s="484">
        <v>1</v>
      </c>
      <c r="F3" s="483"/>
      <c r="G3" s="483">
        <f>E3*VLOOKUP($D3,'Transporte Transports'!$A$10:$Z$136,17,FALSE)</f>
        <v>1.64</v>
      </c>
      <c r="H3" s="483">
        <v>0</v>
      </c>
      <c r="I3" s="483">
        <f>E3*VLOOKUP($D3,'Transporte Transports'!$A$10:$Z$136,21,FALSE)</f>
        <v>0.438</v>
      </c>
      <c r="J3" s="483">
        <v>0</v>
      </c>
      <c r="K3" s="483">
        <v>60</v>
      </c>
      <c r="L3" s="484">
        <f>G3/$K3</f>
        <v>2.7333333333333331E-2</v>
      </c>
      <c r="M3" s="484">
        <f t="shared" ref="M3:O3" si="0">H3/$K3</f>
        <v>0</v>
      </c>
      <c r="N3" s="484">
        <f t="shared" si="0"/>
        <v>7.3000000000000001E-3</v>
      </c>
      <c r="O3" s="484">
        <f t="shared" si="0"/>
        <v>0</v>
      </c>
    </row>
    <row r="5" spans="1:15" ht="45">
      <c r="A5" s="350" t="s">
        <v>461</v>
      </c>
      <c r="B5" s="350"/>
      <c r="C5" s="350"/>
      <c r="D5" s="350"/>
      <c r="E5" s="351" t="s">
        <v>462</v>
      </c>
      <c r="F5" s="350"/>
      <c r="G5" s="352"/>
      <c r="H5" s="352"/>
      <c r="I5" s="352"/>
      <c r="J5" s="352"/>
      <c r="K5" s="352"/>
      <c r="L5" s="352"/>
      <c r="M5" s="352"/>
      <c r="N5" s="352"/>
      <c r="O5" s="352"/>
    </row>
    <row r="7" spans="1:15" hidden="1">
      <c r="A7" s="1161" t="s">
        <v>463</v>
      </c>
      <c r="B7" s="482"/>
      <c r="C7" s="484" t="str">
        <f>VLOOKUP($D7,'Baumaterialien Matériaux'!$A$10:$AD$432,30,FALSE)</f>
        <v>Blindage de fouille, paroi berlinoise, en porte-à-faux</v>
      </c>
      <c r="D7" s="483" t="s">
        <v>464</v>
      </c>
      <c r="E7" s="483">
        <v>1</v>
      </c>
      <c r="F7" s="483"/>
      <c r="G7" s="484">
        <f>$E7*VLOOKUP($D7,'Baumaterialien Matériaux'!$A$10:$AD$432,21,FALSE)</f>
        <v>828</v>
      </c>
      <c r="H7" s="484">
        <f>$E7*VLOOKUP($D7,'Baumaterialien Matériaux'!$A$10:$AD$432,24,FALSE)</f>
        <v>57.9</v>
      </c>
      <c r="I7" s="484">
        <f>$E7*VLOOKUP($D7,'Baumaterialien Matériaux'!$A$10:$AD$432,26,FALSE)</f>
        <v>262</v>
      </c>
      <c r="J7" s="484">
        <f>$E7*VLOOKUP($D7,'Baumaterialien Matériaux'!$A$10:$AD$432,27,FALSE)</f>
        <v>14.4</v>
      </c>
      <c r="K7" s="841">
        <v>60</v>
      </c>
      <c r="L7" s="484">
        <f>G7/$K7</f>
        <v>13.8</v>
      </c>
      <c r="M7" s="484">
        <f t="shared" ref="M7:O7" si="1">H7/$K7</f>
        <v>0.96499999999999997</v>
      </c>
      <c r="N7" s="484">
        <f t="shared" si="1"/>
        <v>4.3666666666666663</v>
      </c>
      <c r="O7" s="484">
        <f t="shared" si="1"/>
        <v>0.24000000000000002</v>
      </c>
    </row>
    <row r="8" spans="1:15">
      <c r="A8" s="1161"/>
      <c r="B8" s="483" t="str">
        <f>C8</f>
        <v>Blindage de fouille, paroi berlinoise, étayé</v>
      </c>
      <c r="C8" s="484" t="str">
        <f>VLOOKUP($D8,'Baumaterialien Matériaux'!$A$10:$AD$432,30,FALSE)</f>
        <v>Blindage de fouille, paroi berlinoise, étayé</v>
      </c>
      <c r="D8" s="483" t="s">
        <v>465</v>
      </c>
      <c r="E8" s="483">
        <v>1</v>
      </c>
      <c r="F8" s="483"/>
      <c r="G8" s="484">
        <f>$E8*VLOOKUP($D8,'Baumaterialien Matériaux'!$A$10:$AD$432,21,FALSE)</f>
        <v>617</v>
      </c>
      <c r="H8" s="484">
        <f>$E8*VLOOKUP($D8,'Baumaterialien Matériaux'!$A$10:$AD$432,24,FALSE)</f>
        <v>33.9</v>
      </c>
      <c r="I8" s="484">
        <f>$E8*VLOOKUP($D8,'Baumaterialien Matériaux'!$A$10:$AD$432,26,FALSE)</f>
        <v>185</v>
      </c>
      <c r="J8" s="484">
        <f>$E8*VLOOKUP($D8,'Baumaterialien Matériaux'!$A$10:$AD$432,27,FALSE)</f>
        <v>8.34</v>
      </c>
      <c r="K8" s="841">
        <v>60</v>
      </c>
      <c r="L8" s="484">
        <f t="shared" ref="L8:L13" si="2">G8/$K8</f>
        <v>10.283333333333333</v>
      </c>
      <c r="M8" s="484">
        <f t="shared" ref="M8:M14" si="3">H8/$K8</f>
        <v>0.56499999999999995</v>
      </c>
      <c r="N8" s="484">
        <f t="shared" ref="N8:N14" si="4">I8/$K8</f>
        <v>3.0833333333333335</v>
      </c>
      <c r="O8" s="484">
        <f t="shared" ref="O8:O14" si="5">J8/$K8</f>
        <v>0.13899999999999998</v>
      </c>
    </row>
    <row r="9" spans="1:15" hidden="1">
      <c r="A9" s="1161"/>
      <c r="B9" s="482"/>
      <c r="C9" s="484" t="str">
        <f>VLOOKUP($D9,'Baumaterialien Matériaux'!$A$10:$AD$432,30,FALSE)</f>
        <v>Blindage de fouille, paroi berlinoise, fixe</v>
      </c>
      <c r="D9" s="483" t="s">
        <v>466</v>
      </c>
      <c r="E9" s="483">
        <v>1</v>
      </c>
      <c r="F9" s="483"/>
      <c r="G9" s="484">
        <f>$E9*VLOOKUP($D9,'Baumaterialien Matériaux'!$A$10:$AD$432,21,FALSE)</f>
        <v>626</v>
      </c>
      <c r="H9" s="484">
        <f>$E9*VLOOKUP($D9,'Baumaterialien Matériaux'!$A$10:$AD$432,24,FALSE)</f>
        <v>39.200000000000003</v>
      </c>
      <c r="I9" s="484">
        <f>$E9*VLOOKUP($D9,'Baumaterialien Matériaux'!$A$10:$AD$432,26,FALSE)</f>
        <v>199</v>
      </c>
      <c r="J9" s="484">
        <f>$E9*VLOOKUP($D9,'Baumaterialien Matériaux'!$A$10:$AD$432,27,FALSE)</f>
        <v>9.6300000000000008</v>
      </c>
      <c r="K9" s="841">
        <v>60</v>
      </c>
      <c r="L9" s="484">
        <f t="shared" si="2"/>
        <v>10.433333333333334</v>
      </c>
      <c r="M9" s="484">
        <f t="shared" si="3"/>
        <v>0.65333333333333343</v>
      </c>
      <c r="N9" s="484">
        <f t="shared" si="4"/>
        <v>3.3166666666666669</v>
      </c>
      <c r="O9" s="484">
        <f t="shared" si="5"/>
        <v>0.1605</v>
      </c>
    </row>
    <row r="10" spans="1:15" hidden="1">
      <c r="A10" s="1161"/>
      <c r="B10" s="483" t="str">
        <f>C10</f>
        <v>Blindage de fouille, paroi moulée, 400 mm</v>
      </c>
      <c r="C10" s="484" t="str">
        <f>VLOOKUP($D10,'Baumaterialien Matériaux'!$A$10:$AD$432,30,FALSE)</f>
        <v>Blindage de fouille, paroi moulée, 400 mm</v>
      </c>
      <c r="D10" s="483" t="s">
        <v>467</v>
      </c>
      <c r="E10" s="483">
        <v>1</v>
      </c>
      <c r="F10" s="483"/>
      <c r="G10" s="484">
        <f>$E10*VLOOKUP($D10,'Baumaterialien Matériaux'!$A$10:$AD$432,21,FALSE)</f>
        <v>1190</v>
      </c>
      <c r="H10" s="484">
        <f>$E10*VLOOKUP($D10,'Baumaterialien Matériaux'!$A$10:$AD$432,24,FALSE)</f>
        <v>125</v>
      </c>
      <c r="I10" s="484">
        <f>$E10*VLOOKUP($D10,'Baumaterialien Matériaux'!$A$10:$AD$432,26,FALSE)</f>
        <v>467</v>
      </c>
      <c r="J10" s="484">
        <f>$E10*VLOOKUP($D10,'Baumaterialien Matériaux'!$A$10:$AD$432,27,FALSE)</f>
        <v>30.6</v>
      </c>
      <c r="K10" s="841">
        <v>60</v>
      </c>
      <c r="L10" s="484">
        <f t="shared" si="2"/>
        <v>19.833333333333332</v>
      </c>
      <c r="M10" s="484">
        <f t="shared" si="3"/>
        <v>2.0833333333333335</v>
      </c>
      <c r="N10" s="484">
        <f t="shared" si="4"/>
        <v>7.7833333333333332</v>
      </c>
      <c r="O10" s="484">
        <f t="shared" si="5"/>
        <v>0.51</v>
      </c>
    </row>
    <row r="11" spans="1:15" hidden="1">
      <c r="A11" s="1161"/>
      <c r="B11" s="482"/>
      <c r="C11" s="484" t="str">
        <f>VLOOKUP($D11,'Baumaterialien Matériaux'!$A$10:$AD$432,30,FALSE)</f>
        <v>Blindage de fouille, paroi moulée, 800 mm</v>
      </c>
      <c r="D11" s="483" t="s">
        <v>468</v>
      </c>
      <c r="E11" s="483">
        <v>1</v>
      </c>
      <c r="F11" s="483"/>
      <c r="G11" s="484">
        <f>$E11*VLOOKUP($D11,'Baumaterialien Matériaux'!$A$10:$AD$432,21,FALSE)</f>
        <v>2150</v>
      </c>
      <c r="H11" s="484">
        <f>$E11*VLOOKUP($D11,'Baumaterialien Matériaux'!$A$10:$AD$432,24,FALSE)</f>
        <v>246</v>
      </c>
      <c r="I11" s="484">
        <f>$E11*VLOOKUP($D11,'Baumaterialien Matériaux'!$A$10:$AD$432,26,FALSE)</f>
        <v>897</v>
      </c>
      <c r="J11" s="484">
        <f>$E11*VLOOKUP($D11,'Baumaterialien Matériaux'!$A$10:$AD$432,27,FALSE)</f>
        <v>60.4</v>
      </c>
      <c r="K11" s="841">
        <v>60</v>
      </c>
      <c r="L11" s="484">
        <f t="shared" si="2"/>
        <v>35.833333333333336</v>
      </c>
      <c r="M11" s="484">
        <f t="shared" si="3"/>
        <v>4.0999999999999996</v>
      </c>
      <c r="N11" s="484">
        <f t="shared" si="4"/>
        <v>14.95</v>
      </c>
      <c r="O11" s="484">
        <f t="shared" si="5"/>
        <v>1.0066666666666666</v>
      </c>
    </row>
    <row r="12" spans="1:15" hidden="1">
      <c r="A12" s="1161"/>
      <c r="B12" s="483" t="str">
        <f>C12</f>
        <v>Blindage de fouille, paroi de palplanche, en porte-à-faux</v>
      </c>
      <c r="C12" s="484" t="str">
        <f>VLOOKUP($D12,'Baumaterialien Matériaux'!$A$10:$AD$432,30,FALSE)</f>
        <v>Blindage de fouille, paroi de palplanche, en porte-à-faux</v>
      </c>
      <c r="D12" s="483" t="s">
        <v>469</v>
      </c>
      <c r="E12" s="483">
        <v>1</v>
      </c>
      <c r="F12" s="483"/>
      <c r="G12" s="484">
        <f>$E12*VLOOKUP($D12,'Baumaterialien Matériaux'!$A$10:$AD$432,21,FALSE)</f>
        <v>729</v>
      </c>
      <c r="H12" s="484">
        <f>$E12*VLOOKUP($D12,'Baumaterialien Matériaux'!$A$10:$AD$432,24,FALSE)</f>
        <v>4.18</v>
      </c>
      <c r="I12" s="484">
        <f>$E12*VLOOKUP($D12,'Baumaterialien Matériaux'!$A$10:$AD$432,26,FALSE)</f>
        <v>169</v>
      </c>
      <c r="J12" s="484">
        <f>$E12*VLOOKUP($D12,'Baumaterialien Matériaux'!$A$10:$AD$432,27,FALSE)</f>
        <v>1.07</v>
      </c>
      <c r="K12" s="841">
        <v>60</v>
      </c>
      <c r="L12" s="484">
        <f t="shared" si="2"/>
        <v>12.15</v>
      </c>
      <c r="M12" s="484">
        <f t="shared" si="3"/>
        <v>6.9666666666666668E-2</v>
      </c>
      <c r="N12" s="484">
        <f t="shared" si="4"/>
        <v>2.8166666666666669</v>
      </c>
      <c r="O12" s="484">
        <f t="shared" si="5"/>
        <v>1.7833333333333333E-2</v>
      </c>
    </row>
    <row r="13" spans="1:15" hidden="1">
      <c r="A13" s="1161"/>
      <c r="B13" s="482"/>
      <c r="C13" s="484" t="str">
        <f>VLOOKUP($D13,'Baumaterialien Matériaux'!$A$10:$AD$432,30,FALSE)</f>
        <v>Blindage de fouille, paroi de palplanche, étayé</v>
      </c>
      <c r="D13" s="483" t="s">
        <v>470</v>
      </c>
      <c r="E13" s="483">
        <v>1</v>
      </c>
      <c r="F13" s="483"/>
      <c r="G13" s="484">
        <f>$E13*VLOOKUP($D13,'Baumaterialien Matériaux'!$A$10:$AD$432,21,FALSE)</f>
        <v>411</v>
      </c>
      <c r="H13" s="484">
        <f>$E13*VLOOKUP($D13,'Baumaterialien Matériaux'!$A$10:$AD$432,24,FALSE)</f>
        <v>2.29</v>
      </c>
      <c r="I13" s="484">
        <f>$E13*VLOOKUP($D13,'Baumaterialien Matériaux'!$A$10:$AD$432,26,FALSE)</f>
        <v>95.7</v>
      </c>
      <c r="J13" s="484">
        <f>$E13*VLOOKUP($D13,'Baumaterialien Matériaux'!$A$10:$AD$432,27,FALSE)</f>
        <v>0.58499999999999996</v>
      </c>
      <c r="K13" s="841">
        <v>60</v>
      </c>
      <c r="L13" s="484">
        <f t="shared" si="2"/>
        <v>6.85</v>
      </c>
      <c r="M13" s="484">
        <f t="shared" si="3"/>
        <v>3.8166666666666668E-2</v>
      </c>
      <c r="N13" s="484">
        <f t="shared" si="4"/>
        <v>1.595</v>
      </c>
      <c r="O13" s="484">
        <f t="shared" si="5"/>
        <v>9.75E-3</v>
      </c>
    </row>
    <row r="14" spans="1:15" hidden="1">
      <c r="A14" s="1161"/>
      <c r="B14" s="482"/>
      <c r="C14" s="484" t="str">
        <f>VLOOKUP($D14,'Baumaterialien Matériaux'!$A$10:$AD$432,30,FALSE)</f>
        <v>Blindage de fouille, paroi de palplanche, fixe</v>
      </c>
      <c r="D14" s="483" t="s">
        <v>471</v>
      </c>
      <c r="E14" s="483">
        <v>1</v>
      </c>
      <c r="F14" s="483"/>
      <c r="G14" s="484">
        <f>$E14*VLOOKUP($D14,'Baumaterialien Matériaux'!$A$10:$AD$432,21,FALSE)</f>
        <v>789</v>
      </c>
      <c r="H14" s="484">
        <f>$E14*VLOOKUP($D14,'Baumaterialien Matériaux'!$A$10:$AD$432,24,FALSE)</f>
        <v>10</v>
      </c>
      <c r="I14" s="484">
        <f>$E14*VLOOKUP($D14,'Baumaterialien Matériaux'!$A$10:$AD$432,26,FALSE)</f>
        <v>188</v>
      </c>
      <c r="J14" s="484">
        <f>$E14*VLOOKUP($D14,'Baumaterialien Matériaux'!$A$10:$AD$432,27,FALSE)</f>
        <v>2.52</v>
      </c>
      <c r="K14" s="841">
        <v>60</v>
      </c>
      <c r="L14" s="484">
        <f>G14/$K14</f>
        <v>13.15</v>
      </c>
      <c r="M14" s="484">
        <f t="shared" si="3"/>
        <v>0.16666666666666666</v>
      </c>
      <c r="N14" s="484">
        <f t="shared" si="4"/>
        <v>3.1333333333333333</v>
      </c>
      <c r="O14" s="484">
        <f t="shared" si="5"/>
        <v>4.2000000000000003E-2</v>
      </c>
    </row>
    <row r="16" spans="1:15" ht="15" hidden="1" customHeight="1">
      <c r="A16" s="1162" t="s">
        <v>472</v>
      </c>
      <c r="B16" s="483" t="s">
        <v>473</v>
      </c>
      <c r="C16" s="484" t="str">
        <f>VLOOKUP($D16,'Baumaterialien Matériaux'!$A$10:$AD$432,30,FALSE)</f>
        <v xml:space="preserve">Fondations profondes, micropieu </v>
      </c>
      <c r="D16" s="842" t="s">
        <v>474</v>
      </c>
      <c r="E16" s="484">
        <v>1.5</v>
      </c>
      <c r="F16" s="483"/>
      <c r="G16" s="484">
        <f>$E16*VLOOKUP($D16,'Baumaterialien Matériaux'!$A$10:$AD$432,21,FALSE)</f>
        <v>177</v>
      </c>
      <c r="H16" s="484">
        <f>$E16*VLOOKUP($D16,'Baumaterialien Matériaux'!$A$10:$AD$432,24,FALSE)</f>
        <v>0</v>
      </c>
      <c r="I16" s="484">
        <f>$E16*VLOOKUP($D16,'Baumaterialien Matériaux'!$A$10:$AD$432,26,FALSE)</f>
        <v>53.099999999999994</v>
      </c>
      <c r="J16" s="484">
        <f>$E16*VLOOKUP($D16,'Baumaterialien Matériaux'!$A$10:$AD$432,27,FALSE)</f>
        <v>0</v>
      </c>
      <c r="K16" s="483">
        <v>60</v>
      </c>
      <c r="L16" s="484">
        <f>G16/$K16</f>
        <v>2.95</v>
      </c>
      <c r="M16" s="484">
        <f t="shared" ref="M16:O16" si="6">H16/$K16</f>
        <v>0</v>
      </c>
      <c r="N16" s="484">
        <f t="shared" si="6"/>
        <v>0.8849999999999999</v>
      </c>
      <c r="O16" s="484">
        <f t="shared" si="6"/>
        <v>0</v>
      </c>
    </row>
    <row r="17" spans="1:15" hidden="1">
      <c r="A17" s="1162"/>
      <c r="B17" s="482"/>
      <c r="C17" s="484" t="str">
        <f>VLOOKUP($D17,'Baumaterialien Matériaux'!$A$10:$AD$432,30,FALSE)</f>
        <v>Fondations profondes, pieu coulé sur site, 900 mm</v>
      </c>
      <c r="D17" s="842" t="s">
        <v>475</v>
      </c>
      <c r="E17" s="484">
        <v>1.5</v>
      </c>
      <c r="F17" s="483"/>
      <c r="G17" s="484">
        <f>$E17*VLOOKUP($D17,'Baumaterialien Matériaux'!$A$10:$AD$432,21,FALSE)</f>
        <v>858</v>
      </c>
      <c r="H17" s="484">
        <f>$E17*VLOOKUP($D17,'Baumaterialien Matériaux'!$A$10:$AD$432,24,FALSE)</f>
        <v>0</v>
      </c>
      <c r="I17" s="484">
        <f>$E17*VLOOKUP($D17,'Baumaterialien Matériaux'!$A$10:$AD$432,26,FALSE)</f>
        <v>412.5</v>
      </c>
      <c r="J17" s="484">
        <f>$E17*VLOOKUP($D17,'Baumaterialien Matériaux'!$A$10:$AD$432,27,FALSE)</f>
        <v>0</v>
      </c>
      <c r="K17" s="483">
        <v>60</v>
      </c>
      <c r="L17" s="484">
        <f t="shared" ref="L17:L20" si="7">G17/$K17</f>
        <v>14.3</v>
      </c>
      <c r="M17" s="484">
        <f t="shared" ref="M17:M20" si="8">H17/$K17</f>
        <v>0</v>
      </c>
      <c r="N17" s="484">
        <f t="shared" ref="N17:N20" si="9">I17/$K17</f>
        <v>6.875</v>
      </c>
      <c r="O17" s="484">
        <f t="shared" ref="O17:O20" si="10">J17/$K17</f>
        <v>0</v>
      </c>
    </row>
    <row r="18" spans="1:15" hidden="1">
      <c r="A18" s="1162"/>
      <c r="B18" s="483" t="s">
        <v>476</v>
      </c>
      <c r="C18" s="484" t="str">
        <f>VLOOKUP($D18,'Baumaterialien Matériaux'!$A$10:$AD$432,30,FALSE)</f>
        <v>Fondations profondes, pieux forés vissés, 660/580 mm</v>
      </c>
      <c r="D18" s="842" t="s">
        <v>477</v>
      </c>
      <c r="E18" s="484">
        <v>1.5</v>
      </c>
      <c r="F18" s="483"/>
      <c r="G18" s="484">
        <f>$E18*VLOOKUP($D18,'Baumaterialien Matériaux'!$A$10:$AD$432,21,FALSE)</f>
        <v>444</v>
      </c>
      <c r="H18" s="484">
        <f>$E18*VLOOKUP($D18,'Baumaterialien Matériaux'!$A$10:$AD$432,24,FALSE)</f>
        <v>0</v>
      </c>
      <c r="I18" s="484">
        <f>$E18*VLOOKUP($D18,'Baumaterialien Matériaux'!$A$10:$AD$432,26,FALSE)</f>
        <v>172.5</v>
      </c>
      <c r="J18" s="484">
        <f>$E18*VLOOKUP($D18,'Baumaterialien Matériaux'!$A$10:$AD$432,27,FALSE)</f>
        <v>0</v>
      </c>
      <c r="K18" s="483">
        <v>60</v>
      </c>
      <c r="L18" s="484">
        <f t="shared" si="7"/>
        <v>7.4</v>
      </c>
      <c r="M18" s="484">
        <f t="shared" si="8"/>
        <v>0</v>
      </c>
      <c r="N18" s="484">
        <f t="shared" si="9"/>
        <v>2.875</v>
      </c>
      <c r="O18" s="484">
        <f t="shared" si="10"/>
        <v>0</v>
      </c>
    </row>
    <row r="19" spans="1:15" hidden="1">
      <c r="A19" s="1162"/>
      <c r="B19" s="482"/>
      <c r="C19" s="484" t="str">
        <f>VLOOKUP($D19,'Baumaterialien Matériaux'!$A$10:$AD$432,30,FALSE)</f>
        <v>Fondations profondes, colonnes ballastées</v>
      </c>
      <c r="D19" s="842" t="s">
        <v>478</v>
      </c>
      <c r="E19" s="484">
        <v>1.5</v>
      </c>
      <c r="F19" s="483"/>
      <c r="G19" s="484">
        <f>$E19*VLOOKUP($D19,'Baumaterialien Matériaux'!$A$10:$AD$432,21,FALSE)</f>
        <v>43.349999999999994</v>
      </c>
      <c r="H19" s="484">
        <f>$E19*VLOOKUP($D19,'Baumaterialien Matériaux'!$A$10:$AD$432,24,FALSE)</f>
        <v>0</v>
      </c>
      <c r="I19" s="484">
        <f>$E19*VLOOKUP($D19,'Baumaterialien Matériaux'!$A$10:$AD$432,26,FALSE)</f>
        <v>10.23</v>
      </c>
      <c r="J19" s="484">
        <f>$E19*VLOOKUP($D19,'Baumaterialien Matériaux'!$A$10:$AD$432,27,FALSE)</f>
        <v>0</v>
      </c>
      <c r="K19" s="483">
        <v>60</v>
      </c>
      <c r="L19" s="484">
        <f t="shared" si="7"/>
        <v>0.72249999999999992</v>
      </c>
      <c r="M19" s="484">
        <f t="shared" si="8"/>
        <v>0</v>
      </c>
      <c r="N19" s="484">
        <f t="shared" si="9"/>
        <v>0.17050000000000001</v>
      </c>
      <c r="O19" s="484">
        <f t="shared" si="10"/>
        <v>0</v>
      </c>
    </row>
    <row r="20" spans="1:15">
      <c r="A20" s="1162"/>
      <c r="B20" s="483" t="s">
        <v>479</v>
      </c>
      <c r="C20" s="484" t="str">
        <f>VLOOKUP($D20,'Baumaterialien Matériaux'!$A$10:$AD$432,30,FALSE)</f>
        <v>Fondations profondes, pieu en béton préfabriqué</v>
      </c>
      <c r="D20" s="842" t="s">
        <v>480</v>
      </c>
      <c r="E20" s="484">
        <v>1.5</v>
      </c>
      <c r="F20" s="483"/>
      <c r="G20" s="484">
        <f>$E20*VLOOKUP($D20,'Baumaterialien Matériaux'!$A$10:$AD$432,21,FALSE)</f>
        <v>99.75</v>
      </c>
      <c r="H20" s="484">
        <f>$E20*VLOOKUP($D20,'Baumaterialien Matériaux'!$A$10:$AD$432,24,FALSE)</f>
        <v>0</v>
      </c>
      <c r="I20" s="484">
        <f>$E20*VLOOKUP($D20,'Baumaterialien Matériaux'!$A$10:$AD$432,26,FALSE)</f>
        <v>49.349999999999994</v>
      </c>
      <c r="J20" s="484">
        <f>$E20*VLOOKUP($D20,'Baumaterialien Matériaux'!$A$10:$AD$432,27,FALSE)</f>
        <v>0</v>
      </c>
      <c r="K20" s="483">
        <v>60</v>
      </c>
      <c r="L20" s="484">
        <f t="shared" si="7"/>
        <v>1.6625000000000001</v>
      </c>
      <c r="M20" s="484">
        <f t="shared" si="8"/>
        <v>0</v>
      </c>
      <c r="N20" s="484">
        <f t="shared" si="9"/>
        <v>0.8224999999999999</v>
      </c>
      <c r="O20" s="484">
        <f t="shared" si="10"/>
        <v>0</v>
      </c>
    </row>
    <row r="26" spans="1:15" ht="15.75">
      <c r="A26" s="3" t="s">
        <v>481</v>
      </c>
      <c r="J26"/>
    </row>
    <row r="29" spans="1:15" ht="15.75">
      <c r="G29"/>
    </row>
    <row r="41" spans="1:2">
      <c r="A41" s="3" t="s">
        <v>482</v>
      </c>
      <c r="B41" s="3" t="s">
        <v>483</v>
      </c>
    </row>
    <row r="42" spans="1:2">
      <c r="A42" s="3" t="s">
        <v>484</v>
      </c>
      <c r="B42" s="3" t="s">
        <v>485</v>
      </c>
    </row>
    <row r="43" spans="1:2">
      <c r="A43" s="3" t="s">
        <v>486</v>
      </c>
      <c r="B43" s="3" t="s">
        <v>487</v>
      </c>
    </row>
  </sheetData>
  <customSheetViews>
    <customSheetView guid="{B32447E2-AB5B-4CBB-881B-FF11349CA4D6}" scale="95">
      <pane ySplit="2" topLeftCell="A3" activePane="bottomLeft" state="frozen"/>
      <selection pane="bottomLeft" activeCell="K3" sqref="K3"/>
      <pageMargins left="0" right="0" top="0" bottom="0" header="0" footer="0"/>
    </customSheetView>
    <customSheetView guid="{9FA74287-E657-475B-BF4B-3C8C757714AE}" scale="95">
      <pane ySplit="2" topLeftCell="A3" activePane="bottomLeft" state="frozen"/>
      <selection pane="bottomLeft" activeCell="K3" sqref="K3"/>
      <pageMargins left="0" right="0" top="0" bottom="0" header="0" footer="0"/>
    </customSheetView>
  </customSheetViews>
  <mergeCells count="2">
    <mergeCell ref="A7:A14"/>
    <mergeCell ref="A16:A2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4185-2B05-41C0-81A5-AF5AFBFEECDF}">
  <sheetPr>
    <pageSetUpPr autoPageBreaks="0" fitToPage="1"/>
  </sheetPr>
  <dimension ref="A1:BP1054"/>
  <sheetViews>
    <sheetView zoomScale="70" zoomScaleNormal="70" zoomScalePageLayoutView="55" workbookViewId="0">
      <pane xSplit="12" ySplit="3" topLeftCell="X13" activePane="bottomRight" state="frozen"/>
      <selection pane="topRight" activeCell="M1" sqref="M1"/>
      <selection pane="bottomLeft" activeCell="A4" sqref="A4"/>
      <selection pane="bottomRight" activeCell="AA47" sqref="AA47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hidden="1" customWidth="1"/>
    <col min="6" max="6" width="41.25" style="638" customWidth="1"/>
    <col min="7" max="7" width="43.25" style="638" customWidth="1"/>
    <col min="8" max="8" width="9.75" style="638" customWidth="1"/>
    <col min="9" max="9" width="6.75" style="638" customWidth="1"/>
    <col min="10" max="10" width="11.25" style="638" customWidth="1"/>
    <col min="11" max="13" width="11.25" style="638"/>
    <col min="14" max="18" width="11.25" style="638" customWidth="1"/>
    <col min="19" max="19" width="16" style="638" customWidth="1"/>
    <col min="20" max="20" width="13.125" style="638" customWidth="1"/>
    <col min="21" max="26" width="11.25" style="638" customWidth="1"/>
    <col min="27" max="27" width="34.25" style="647" customWidth="1"/>
    <col min="31" max="32" width="12.5" bestFit="1" customWidth="1"/>
    <col min="33" max="34" width="12.5" customWidth="1"/>
    <col min="35" max="35" width="12.125" style="1091" bestFit="1" customWidth="1"/>
    <col min="36" max="67" width="11.25" style="638" customWidth="1"/>
    <col min="68" max="16384" width="11.25" style="638"/>
  </cols>
  <sheetData>
    <row r="1" spans="1:67" ht="58.5" customHeight="1" thickBot="1">
      <c r="F1" t="s">
        <v>77</v>
      </c>
      <c r="G1" s="841">
        <v>907.62</v>
      </c>
      <c r="I1" s="874" t="s">
        <v>78</v>
      </c>
      <c r="Z1" s="646" t="s">
        <v>92</v>
      </c>
      <c r="AA1" s="647" t="s">
        <v>3469</v>
      </c>
      <c r="AB1" s="1089" t="s">
        <v>3470</v>
      </c>
      <c r="AC1" s="1089" t="s">
        <v>3478</v>
      </c>
      <c r="AD1" s="1089" t="s">
        <v>3471</v>
      </c>
      <c r="AE1" s="1089" t="s">
        <v>3472</v>
      </c>
      <c r="AF1" s="1089" t="s">
        <v>3484</v>
      </c>
      <c r="AG1" s="1089" t="s">
        <v>3473</v>
      </c>
      <c r="AH1" s="1089" t="s">
        <v>3485</v>
      </c>
      <c r="AI1" s="1089" t="s">
        <v>3474</v>
      </c>
    </row>
    <row r="2" spans="1:67">
      <c r="A2" s="656" t="s">
        <v>79</v>
      </c>
      <c r="J2" s="638" t="s">
        <v>80</v>
      </c>
      <c r="L2" s="638">
        <v>60</v>
      </c>
      <c r="P2" s="638" t="s">
        <v>81</v>
      </c>
      <c r="Z2" s="647"/>
      <c r="AB2" s="647"/>
      <c r="AC2" s="647"/>
      <c r="AD2" s="647"/>
      <c r="AE2" s="647" t="s">
        <v>3475</v>
      </c>
      <c r="AF2" s="647" t="s">
        <v>3475</v>
      </c>
      <c r="AG2" s="647" t="s">
        <v>3475</v>
      </c>
      <c r="AH2" s="647" t="s">
        <v>3475</v>
      </c>
      <c r="AI2" s="647" t="s">
        <v>3475</v>
      </c>
      <c r="AN2" s="1046" t="s">
        <v>3407</v>
      </c>
      <c r="AO2" s="1047"/>
      <c r="AP2" s="1047"/>
      <c r="AQ2" s="1047"/>
      <c r="AR2" s="1048"/>
      <c r="AS2" s="1046" t="s">
        <v>3388</v>
      </c>
      <c r="AT2" s="1047"/>
      <c r="AU2" s="1047"/>
      <c r="AV2" s="1047"/>
      <c r="AW2" s="1048"/>
      <c r="AX2" s="1046" t="s">
        <v>3417</v>
      </c>
      <c r="AY2" s="1047"/>
      <c r="AZ2" s="1047"/>
      <c r="BA2" s="1047"/>
      <c r="BB2" s="1048"/>
      <c r="BC2" s="1046" t="s">
        <v>145</v>
      </c>
      <c r="BD2" s="1047"/>
      <c r="BE2" s="1047"/>
      <c r="BF2" s="1048"/>
      <c r="BG2" s="1046" t="s">
        <v>3407</v>
      </c>
      <c r="BH2" s="1047" t="s">
        <v>3388</v>
      </c>
      <c r="BI2" s="1048" t="s">
        <v>3417</v>
      </c>
      <c r="BJ2" s="638" t="s">
        <v>3423</v>
      </c>
      <c r="BK2" s="1046" t="s">
        <v>3407</v>
      </c>
      <c r="BL2" s="1047" t="s">
        <v>3388</v>
      </c>
      <c r="BM2" s="1048" t="s">
        <v>3417</v>
      </c>
    </row>
    <row r="3" spans="1:67" ht="78.75">
      <c r="B3" s="644" t="s">
        <v>82</v>
      </c>
      <c r="C3" s="644" t="s">
        <v>83</v>
      </c>
      <c r="D3" s="639" t="s">
        <v>84</v>
      </c>
      <c r="E3" s="639" t="s">
        <v>85</v>
      </c>
      <c r="F3" s="644" t="s">
        <v>86</v>
      </c>
      <c r="G3" s="639" t="s">
        <v>87</v>
      </c>
      <c r="H3" s="639" t="s">
        <v>88</v>
      </c>
      <c r="I3" s="640" t="s">
        <v>89</v>
      </c>
      <c r="J3" s="644" t="s">
        <v>90</v>
      </c>
      <c r="K3" s="646" t="s">
        <v>91</v>
      </c>
      <c r="L3" s="646" t="s">
        <v>92</v>
      </c>
      <c r="M3" s="646" t="s">
        <v>3384</v>
      </c>
      <c r="N3" s="751" t="s">
        <v>2945</v>
      </c>
      <c r="O3" s="751" t="s">
        <v>3481</v>
      </c>
      <c r="P3" s="751" t="s">
        <v>2946</v>
      </c>
      <c r="Q3" s="751" t="s">
        <v>2947</v>
      </c>
      <c r="R3" s="751" t="s">
        <v>3483</v>
      </c>
      <c r="S3" s="751" t="s">
        <v>2948</v>
      </c>
      <c r="T3" s="751" t="s">
        <v>94</v>
      </c>
      <c r="U3" s="638" t="s">
        <v>3334</v>
      </c>
      <c r="V3" s="638" t="s">
        <v>3341</v>
      </c>
      <c r="W3" s="638" t="s">
        <v>3342</v>
      </c>
      <c r="X3" s="877"/>
      <c r="AA3" s="1025"/>
      <c r="AB3" s="1090"/>
      <c r="AC3" s="1090"/>
      <c r="AD3" s="1090"/>
      <c r="AE3" s="1090"/>
      <c r="AF3" s="1090"/>
      <c r="AG3" s="1090"/>
      <c r="AH3" s="1090"/>
      <c r="AI3" s="1090"/>
      <c r="AJ3" s="751" t="s">
        <v>3334</v>
      </c>
      <c r="AK3" s="751" t="s">
        <v>3341</v>
      </c>
      <c r="AL3" s="751" t="s">
        <v>3342</v>
      </c>
      <c r="AM3" s="1043" t="s">
        <v>3425</v>
      </c>
      <c r="AN3" s="1065" t="s">
        <v>2945</v>
      </c>
      <c r="AO3" s="751" t="s">
        <v>2946</v>
      </c>
      <c r="AP3" s="751" t="s">
        <v>2947</v>
      </c>
      <c r="AQ3" s="751" t="s">
        <v>2948</v>
      </c>
      <c r="AR3" s="1066" t="s">
        <v>94</v>
      </c>
      <c r="AS3" s="1065" t="s">
        <v>2945</v>
      </c>
      <c r="AT3" s="751" t="s">
        <v>2946</v>
      </c>
      <c r="AU3" s="751" t="s">
        <v>2947</v>
      </c>
      <c r="AV3" s="751" t="s">
        <v>2948</v>
      </c>
      <c r="AW3" s="1066" t="s">
        <v>94</v>
      </c>
      <c r="AX3" s="1065" t="s">
        <v>2945</v>
      </c>
      <c r="AY3" s="751" t="s">
        <v>2946</v>
      </c>
      <c r="AZ3" s="751" t="s">
        <v>2947</v>
      </c>
      <c r="BA3" s="751" t="s">
        <v>2948</v>
      </c>
      <c r="BB3" s="1066" t="s">
        <v>94</v>
      </c>
      <c r="BC3" s="1065" t="s">
        <v>2945</v>
      </c>
      <c r="BD3" s="751" t="s">
        <v>2946</v>
      </c>
      <c r="BE3" s="751" t="s">
        <v>2947</v>
      </c>
      <c r="BF3" s="1066" t="s">
        <v>2948</v>
      </c>
      <c r="BG3" s="1065"/>
      <c r="BH3" s="751"/>
      <c r="BI3" s="1066"/>
      <c r="BJ3" s="1076" t="s">
        <v>3424</v>
      </c>
      <c r="BK3" s="1065" t="s">
        <v>98</v>
      </c>
      <c r="BL3" s="751"/>
      <c r="BM3" s="1066"/>
      <c r="BN3" s="638">
        <v>2050</v>
      </c>
      <c r="BO3" s="638">
        <v>2020</v>
      </c>
    </row>
    <row r="4" spans="1:67" ht="15.6" customHeight="1">
      <c r="B4" s="1107" t="s">
        <v>95</v>
      </c>
      <c r="C4" s="1097" t="s">
        <v>17</v>
      </c>
      <c r="D4" s="473" t="s">
        <v>96</v>
      </c>
      <c r="E4" s="473"/>
      <c r="F4" s="473"/>
      <c r="G4" s="473"/>
      <c r="H4" s="473"/>
      <c r="I4" s="462"/>
      <c r="J4" s="468"/>
      <c r="K4" s="652"/>
      <c r="L4" s="652"/>
      <c r="M4" s="653">
        <f>SUM(N4:Q4)</f>
        <v>1.8708693065379787</v>
      </c>
      <c r="N4" s="653">
        <f>N5+N7+N9</f>
        <v>1.1692933165862367</v>
      </c>
      <c r="O4" s="653">
        <f>O5+O7+O9</f>
        <v>0.70157598995174197</v>
      </c>
      <c r="P4" s="653">
        <f t="shared" ref="P4:Q4" si="0">P5+P7+P9</f>
        <v>0</v>
      </c>
      <c r="Q4" s="653">
        <f t="shared" si="0"/>
        <v>0</v>
      </c>
      <c r="R4" s="653">
        <f t="shared" ref="R4" si="1">R5+R7+R9</f>
        <v>0</v>
      </c>
      <c r="S4" s="653"/>
      <c r="T4" s="666"/>
      <c r="V4" s="638">
        <f>IF(L4=60,0,T4)</f>
        <v>0</v>
      </c>
      <c r="W4" s="638">
        <f>IF(L4=60,0,S4)</f>
        <v>0</v>
      </c>
      <c r="AB4" s="1090"/>
      <c r="AC4" s="1090"/>
      <c r="AD4" s="1090"/>
      <c r="AE4" s="1090"/>
      <c r="AF4" s="1090"/>
      <c r="AG4" s="1090"/>
      <c r="AH4" s="1090"/>
      <c r="AI4" s="1090"/>
      <c r="AJ4" s="666"/>
      <c r="AK4" s="666"/>
      <c r="AL4" s="666"/>
      <c r="AM4" s="666"/>
      <c r="AN4" s="1067"/>
      <c r="AO4" s="1034"/>
      <c r="AP4" s="1034"/>
      <c r="AQ4" s="1034"/>
      <c r="AR4" s="1068"/>
      <c r="AS4" s="1067"/>
      <c r="AT4" s="1034"/>
      <c r="AU4" s="1034"/>
      <c r="AV4" s="1034"/>
      <c r="AW4" s="1068"/>
      <c r="AX4" s="1067"/>
      <c r="AY4" s="1034"/>
      <c r="AZ4" s="1034"/>
      <c r="BA4" s="1034"/>
      <c r="BB4" s="1068"/>
      <c r="BC4" s="1067"/>
      <c r="BD4" s="1034"/>
      <c r="BE4" s="1034"/>
      <c r="BF4" s="1068"/>
      <c r="BG4" s="1067"/>
      <c r="BH4" s="1034"/>
      <c r="BI4" s="1068"/>
      <c r="BJ4" s="1034"/>
      <c r="BK4" s="1067"/>
      <c r="BL4" s="1034"/>
      <c r="BM4" s="1068"/>
    </row>
    <row r="5" spans="1:67">
      <c r="B5" s="1108"/>
      <c r="C5" s="1099"/>
      <c r="D5" s="478" t="s">
        <v>97</v>
      </c>
      <c r="E5" s="479"/>
      <c r="F5" s="479"/>
      <c r="G5" s="479"/>
      <c r="H5" s="479"/>
      <c r="I5" s="459" t="s">
        <v>98</v>
      </c>
      <c r="J5" s="662"/>
      <c r="K5" s="663"/>
      <c r="L5" s="663"/>
      <c r="M5" s="664">
        <f>SUM(M6)</f>
        <v>1.8708693065379787</v>
      </c>
      <c r="N5" s="664">
        <f t="shared" ref="N5:S5" si="2">SUM(N6)</f>
        <v>1.1692933165862367</v>
      </c>
      <c r="O5" s="664">
        <f t="shared" si="2"/>
        <v>0.70157598995174197</v>
      </c>
      <c r="P5" s="664">
        <f t="shared" si="2"/>
        <v>0</v>
      </c>
      <c r="Q5" s="664">
        <f t="shared" si="2"/>
        <v>0</v>
      </c>
      <c r="R5" s="664">
        <f t="shared" si="2"/>
        <v>0</v>
      </c>
      <c r="S5" s="664">
        <f t="shared" si="2"/>
        <v>0</v>
      </c>
      <c r="T5" s="878"/>
      <c r="V5" s="638">
        <f t="shared" ref="V5:V70" si="3">IF(L5=60,0,T5)</f>
        <v>0</v>
      </c>
      <c r="W5" s="638">
        <f t="shared" ref="W5:W70" si="4">IF(L5=60,0,S5)</f>
        <v>0</v>
      </c>
      <c r="AE5" s="1090"/>
      <c r="AF5" s="1090"/>
      <c r="AG5" s="1090"/>
      <c r="AH5" s="1090"/>
      <c r="AJ5" s="418"/>
      <c r="AK5" s="418"/>
      <c r="AL5" s="418"/>
      <c r="AM5" s="878"/>
      <c r="AN5" s="1069"/>
      <c r="AO5" s="418"/>
      <c r="AP5" s="418"/>
      <c r="AQ5" s="418"/>
      <c r="AR5" s="1070"/>
      <c r="AS5" s="1069"/>
      <c r="AT5" s="418"/>
      <c r="AU5" s="418"/>
      <c r="AV5" s="418"/>
      <c r="AW5" s="1070"/>
      <c r="AX5" s="1069"/>
      <c r="AY5" s="418"/>
      <c r="AZ5" s="418"/>
      <c r="BA5" s="418"/>
      <c r="BB5" s="1070"/>
      <c r="BC5" s="1069"/>
      <c r="BD5" s="418"/>
      <c r="BE5" s="418"/>
      <c r="BF5" s="1070"/>
      <c r="BG5" s="1069"/>
      <c r="BH5" s="418"/>
      <c r="BI5" s="1070"/>
      <c r="BJ5" s="418"/>
      <c r="BK5" s="1069"/>
      <c r="BL5" s="418"/>
      <c r="BM5" s="1070"/>
    </row>
    <row r="6" spans="1:67">
      <c r="B6" s="1108"/>
      <c r="C6" s="1099"/>
      <c r="D6" s="478"/>
      <c r="E6" s="478"/>
      <c r="F6" s="728" t="s">
        <v>344</v>
      </c>
      <c r="G6" s="860" t="str">
        <f>'Travaux préparatoires'!C3</f>
        <v>Excavations mécaniques, en moyenne</v>
      </c>
      <c r="H6" s="728" t="str">
        <f>'Travaux préparatoires'!D3</f>
        <v>62.001</v>
      </c>
      <c r="I6" s="888"/>
      <c r="J6" s="889">
        <v>2423</v>
      </c>
      <c r="K6" s="647"/>
      <c r="L6" s="647">
        <v>60</v>
      </c>
      <c r="M6" s="648">
        <f>SUM(N6:Q6)</f>
        <v>1.8708693065379787</v>
      </c>
      <c r="N6" s="720">
        <f>IFERROR(($J6*VLOOKUP($H6, 'Transporte Transports'!$A$11:$Z$83, 21,FALSE)),0)/$G$1</f>
        <v>1.1692933165862367</v>
      </c>
      <c r="O6" s="720">
        <f>N6-(40%*N6)</f>
        <v>0.70157598995174197</v>
      </c>
      <c r="P6" s="720">
        <f>(N6+Q6)*($L$2/L6-1)</f>
        <v>0</v>
      </c>
      <c r="Q6" s="720">
        <f>IFERROR(($J6*VLOOKUP($H6, 'Baumaterialien Matériaux'!$A$11:$AH$318, 27,FALSE)),0)/$G$1</f>
        <v>0</v>
      </c>
      <c r="R6" s="720">
        <f>Q6-(40%*Q6)</f>
        <v>0</v>
      </c>
      <c r="S6" s="720"/>
      <c r="T6" s="720"/>
      <c r="V6" s="638">
        <f t="shared" si="3"/>
        <v>0</v>
      </c>
      <c r="W6" s="638">
        <f t="shared" si="4"/>
        <v>0</v>
      </c>
      <c r="Y6" s="638" t="str">
        <f>IF(L6=$L$2, "Structure", IF(L6&gt;0,"Revêtement",0))</f>
        <v>Structure</v>
      </c>
      <c r="Z6" s="638">
        <f>L6</f>
        <v>60</v>
      </c>
      <c r="AA6" s="1083" t="s">
        <v>3437</v>
      </c>
      <c r="AB6" t="s">
        <v>3476</v>
      </c>
      <c r="AC6">
        <v>2000</v>
      </c>
      <c r="AD6" s="622" cm="1">
        <f t="array" ref="AD6">IFERROR(_xlfn.SWITCH(I6,"kg",1,"m3",AC6,AC6)*J6/(_xlfn.XLOOKUP(AA6,Métrés!A:A,Métrés!D:D,0)),0)</f>
        <v>2000</v>
      </c>
      <c r="AE6" s="1092">
        <f>IFERROR(N6*$G$1/(_xlfn.XLOOKUP($AA6,Métrés!$A:$A,Métrés!$D:$D,0)),0)</f>
        <v>0.43800000000000006</v>
      </c>
      <c r="AF6" s="1092">
        <f>IFERROR(O6*$G$1/(_xlfn.XLOOKUP($AA6,Métrés!$A:$A,Métrés!$D:$D,0)),0)</f>
        <v>0.26280000000000003</v>
      </c>
      <c r="AG6" s="1092">
        <f>IFERROR(Q6*$G$1/(_xlfn.XLOOKUP($AA6,Métrés!$A:$A,Métrés!$D:$D,0)),0)</f>
        <v>0</v>
      </c>
      <c r="AH6" s="1092">
        <f>IFERROR(R6*$G$1/(_xlfn.XLOOKUP($AA6,Métrés!$A:$A,Métrés!$D:$D,0)),0)</f>
        <v>0</v>
      </c>
      <c r="AI6" s="1092">
        <f>IFERROR(S6*$G$1/(_xlfn.XLOOKUP($AA6,Métrés!$A:$A,Métrés!$D:$D,0)),0)</f>
        <v>0</v>
      </c>
      <c r="AJ6" s="1030"/>
      <c r="AK6" s="1030">
        <f>IF(L6=60,0,T6)</f>
        <v>0</v>
      </c>
      <c r="AL6" s="1030">
        <f>IF(L6=60,0,S6)</f>
        <v>0</v>
      </c>
      <c r="AM6" s="638" t="str">
        <f>IF(L6=$L$2, "Structure", IF(L6&gt;0,"Revêtement",0))</f>
        <v>Structure</v>
      </c>
      <c r="AN6" s="1032">
        <f>IF(AM6="Structure",N6,0)</f>
        <v>1.1692933165862367</v>
      </c>
      <c r="AO6" s="1030">
        <f>IF(AM6="Structure",P6,0)</f>
        <v>0</v>
      </c>
      <c r="AP6" s="1030">
        <f>IF(AM6="Structure",Q6,0)</f>
        <v>0</v>
      </c>
      <c r="AQ6" s="1030">
        <f>IF(AM6="Structure",S6,0)</f>
        <v>0</v>
      </c>
      <c r="AR6" s="1033">
        <f>IF(AM6="Structure",T6,0)</f>
        <v>0</v>
      </c>
      <c r="AS6" s="1032">
        <f>IF($AM6="Insulation",N6,0)</f>
        <v>0</v>
      </c>
      <c r="AT6" s="1030">
        <f>IF($AM6="Insulation",P6,0)</f>
        <v>0</v>
      </c>
      <c r="AU6" s="1030">
        <f>IF($AM6="Insulation",Q6,0)</f>
        <v>0</v>
      </c>
      <c r="AV6" s="1030">
        <f>IF($AM6="Insulation",S6,0)</f>
        <v>0</v>
      </c>
      <c r="AW6" s="1033">
        <f>IF($AM6="Insulation",T6,0)</f>
        <v>0</v>
      </c>
      <c r="AX6" s="1032">
        <f>IF($AM6="Revêtement",N6,0)</f>
        <v>0</v>
      </c>
      <c r="AY6" s="1030">
        <f>IF($AM6="Revêtement",P6,0)</f>
        <v>0</v>
      </c>
      <c r="AZ6" s="1030">
        <f>IF($AM6="Revêtement",Q6,0)</f>
        <v>0</v>
      </c>
      <c r="BA6" s="1030">
        <f>IF($AM6="Revêtement",S6,0)</f>
        <v>0</v>
      </c>
      <c r="BB6" s="1033">
        <f>IF($AM6="Revêtement",T6,0)</f>
        <v>0</v>
      </c>
      <c r="BC6" s="1032">
        <f>IF($AM6="Installation",N6,0)</f>
        <v>0</v>
      </c>
      <c r="BD6" s="1030">
        <f>IF($AM6="Installation",P6,0)</f>
        <v>0</v>
      </c>
      <c r="BE6" s="1030">
        <f>IF($AM6="Installation",Q6,0)</f>
        <v>0</v>
      </c>
      <c r="BF6" s="1033">
        <f>IF($AM6="Installation",S6,0)</f>
        <v>0</v>
      </c>
      <c r="BG6" s="1032">
        <f>IF($AM6="Structure", IF($I6="kg",$J6,0), 0)</f>
        <v>0</v>
      </c>
      <c r="BH6" s="1030">
        <f>IF($AM6="Insulation", IF($I6="kg",$J6,0), 0)</f>
        <v>0</v>
      </c>
      <c r="BI6" s="1033">
        <f>IF($AM6="Revêtement", IF($I6="kg",$J6,0), 0)</f>
        <v>0</v>
      </c>
      <c r="BJ6" s="1030" t="str">
        <f>_xlfn.XLOOKUP(H6, 'Baumaterialien Matériaux'!A:A, 'Baumaterialien Matériaux'!E:E, "-", 0, 1)</f>
        <v>-</v>
      </c>
      <c r="BK6" s="1032">
        <f t="shared" ref="BK6:BK68" si="5">IFERROR(BG6/$BJ6,0)</f>
        <v>0</v>
      </c>
      <c r="BL6" s="1030">
        <f t="shared" ref="BL6:BL68" si="6">IFERROR(BH6/$BJ6,0)</f>
        <v>0</v>
      </c>
      <c r="BM6" s="1033">
        <f t="shared" ref="BM6:BM68" si="7">IFERROR(BI6/$BJ6,0)</f>
        <v>0</v>
      </c>
      <c r="BN6" s="720">
        <f>IFERROR((J6*VLOOKUP(H6, 'Baumaterialien Matériaux'!$A$11:$AH$318, 32,FALSE))*($L$2/L6-1),0)/$G$1</f>
        <v>0</v>
      </c>
      <c r="BO6" s="720">
        <f>IFERROR((N6+Q6)*($L$2/L6-1),0)</f>
        <v>0</v>
      </c>
    </row>
    <row r="7" spans="1:67">
      <c r="B7" s="1108"/>
      <c r="C7" s="1099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2"/>
      <c r="K7" s="663"/>
      <c r="L7" s="663"/>
      <c r="M7" s="664">
        <f>SUM(M8)</f>
        <v>0</v>
      </c>
      <c r="N7" s="664">
        <f t="shared" ref="N7:S7" si="8">SUM(N8)</f>
        <v>0</v>
      </c>
      <c r="O7" s="664">
        <f t="shared" si="8"/>
        <v>0</v>
      </c>
      <c r="P7" s="664">
        <f t="shared" si="8"/>
        <v>0</v>
      </c>
      <c r="Q7" s="664">
        <f t="shared" si="8"/>
        <v>0</v>
      </c>
      <c r="R7" s="664">
        <f t="shared" si="8"/>
        <v>0</v>
      </c>
      <c r="S7" s="664">
        <f t="shared" si="8"/>
        <v>0</v>
      </c>
      <c r="T7" s="878"/>
      <c r="V7" s="638">
        <f t="shared" si="3"/>
        <v>0</v>
      </c>
      <c r="W7" s="638">
        <f t="shared" si="4"/>
        <v>0</v>
      </c>
      <c r="Y7" s="638">
        <f t="shared" ref="Y7:Y101" si="9">IF(L7=$L$2, "Structure", IF(L7&gt;0,"Revêtement",0))</f>
        <v>0</v>
      </c>
      <c r="Z7" s="638">
        <f t="shared" ref="Z7:Z72" si="10">L7</f>
        <v>0</v>
      </c>
      <c r="AA7" s="664"/>
      <c r="AB7">
        <f>_xlfn.XLOOKUP($H7,'[1]Baumaterialien Matériaux'!$A:$A,'[1]Baumaterialien Matériaux'!AK:AK,0,0)</f>
        <v>0</v>
      </c>
      <c r="AD7" s="622" cm="1">
        <f t="array" ref="AD7">IFERROR(_xlfn.SWITCH(I7,"kg",1,"m3",AC7,AC7)*J7/(_xlfn.XLOOKUP(AA7,Métrés!A:A,Métrés!D:D,0)),0)</f>
        <v>0</v>
      </c>
      <c r="AE7" s="1092">
        <f>IFERROR(N7*$G$1/(_xlfn.XLOOKUP($AA7,Métrés!$A:$A,Métrés!$D:$D,0)),0)</f>
        <v>0</v>
      </c>
      <c r="AF7" s="1092">
        <f>IFERROR(O7*$G$1/(_xlfn.XLOOKUP($AA7,Métrés!$A:$A,Métrés!$D:$D,0)),0)</f>
        <v>0</v>
      </c>
      <c r="AG7" s="1092">
        <f>IFERROR(Q7*$G$1/(_xlfn.XLOOKUP($AA7,Métrés!$A:$A,Métrés!$D:$D,0)),0)</f>
        <v>0</v>
      </c>
      <c r="AH7" s="1092">
        <f>IFERROR(R7*$G$1/(_xlfn.XLOOKUP($AA7,Métrés!$A:$A,Métrés!$D:$D,0)),0)</f>
        <v>0</v>
      </c>
      <c r="AI7" s="1092">
        <f>IFERROR(S7*$G$1/(_xlfn.XLOOKUP($AA7,Métrés!$A:$A,Métrés!$D:$D,0)),0)</f>
        <v>0</v>
      </c>
      <c r="AJ7" s="418"/>
      <c r="AK7" s="418"/>
      <c r="AL7" s="418"/>
      <c r="AM7" s="878"/>
      <c r="AN7" s="1069"/>
      <c r="AO7" s="418"/>
      <c r="AP7" s="418"/>
      <c r="AQ7" s="418"/>
      <c r="AR7" s="1070"/>
      <c r="AS7" s="1069"/>
      <c r="AT7" s="418"/>
      <c r="AU7" s="418"/>
      <c r="AV7" s="418"/>
      <c r="AW7" s="1070"/>
      <c r="AX7" s="1069"/>
      <c r="AY7" s="418"/>
      <c r="AZ7" s="418"/>
      <c r="BA7" s="418"/>
      <c r="BB7" s="1070"/>
      <c r="BC7" s="1069"/>
      <c r="BD7" s="418"/>
      <c r="BE7" s="418"/>
      <c r="BF7" s="1070"/>
      <c r="BG7" s="1069"/>
      <c r="BH7" s="418"/>
      <c r="BI7" s="1070"/>
      <c r="BJ7" s="418"/>
      <c r="BK7" s="1069"/>
      <c r="BL7" s="418"/>
      <c r="BM7" s="1070"/>
    </row>
    <row r="8" spans="1:67">
      <c r="B8" s="1108"/>
      <c r="C8" s="1099"/>
      <c r="D8" s="478"/>
      <c r="E8" s="478"/>
      <c r="F8" s="478"/>
      <c r="G8" s="478"/>
      <c r="H8" s="478"/>
      <c r="I8" s="641"/>
      <c r="J8" s="752"/>
      <c r="K8" s="647"/>
      <c r="L8" s="647">
        <v>60</v>
      </c>
      <c r="M8" s="648">
        <f>SUM(N8:Q8)</f>
        <v>0</v>
      </c>
      <c r="N8" s="720">
        <f>IFERROR(($J8*VLOOKUP($H8, 'Baumaterialien Matériaux'!$A$11:$AD$318, 26,FALSE)),0)/$G$1</f>
        <v>0</v>
      </c>
      <c r="O8" s="720">
        <f>N8-(40%*N8)</f>
        <v>0</v>
      </c>
      <c r="P8" s="720">
        <f>(N8+Q8)*($L$2/L8-1)</f>
        <v>0</v>
      </c>
      <c r="Q8" s="720">
        <f>IFERROR(($J8*VLOOKUP($H8, 'Baumaterialien Matériaux'!$A$11:$AH$318, 27,FALSE)),0)/$G$1</f>
        <v>0</v>
      </c>
      <c r="R8" s="720">
        <f>Q8-(40%*Q8)</f>
        <v>0</v>
      </c>
      <c r="S8" s="720"/>
      <c r="T8" s="720"/>
      <c r="V8" s="638">
        <f t="shared" si="3"/>
        <v>0</v>
      </c>
      <c r="W8" s="638">
        <f t="shared" si="4"/>
        <v>0</v>
      </c>
      <c r="Y8" s="638" t="str">
        <f t="shared" si="9"/>
        <v>Structure</v>
      </c>
      <c r="Z8" s="638">
        <f t="shared" si="10"/>
        <v>60</v>
      </c>
      <c r="AA8" s="1083" t="s">
        <v>3437</v>
      </c>
      <c r="AB8">
        <f>_xlfn.XLOOKUP($H8,'[1]Baumaterialien Matériaux'!$A:$A,'[1]Baumaterialien Matériaux'!AK:AK,0,0)</f>
        <v>0</v>
      </c>
      <c r="AC8">
        <v>2000</v>
      </c>
      <c r="AD8" s="622" cm="1">
        <f t="array" ref="AD8">IFERROR(_xlfn.SWITCH(I8,"kg",1,"m3",AC8,AC8)*J8/(_xlfn.XLOOKUP(AA8,Métrés!A:A,Métrés!D:D,0)),0)</f>
        <v>0</v>
      </c>
      <c r="AE8" s="1092">
        <f>IFERROR(N8*$G$1/(_xlfn.XLOOKUP($AA8,Métrés!$A:$A,Métrés!$D:$D,0)),0)</f>
        <v>0</v>
      </c>
      <c r="AF8" s="1092">
        <f>IFERROR(O8*$G$1/(_xlfn.XLOOKUP($AA8,Métrés!$A:$A,Métrés!$D:$D,0)),0)</f>
        <v>0</v>
      </c>
      <c r="AG8" s="1092">
        <f>IFERROR(Q8*$G$1/(_xlfn.XLOOKUP($AA8,Métrés!$A:$A,Métrés!$D:$D,0)),0)</f>
        <v>0</v>
      </c>
      <c r="AH8" s="1092">
        <f>IFERROR(R8*$G$1/(_xlfn.XLOOKUP($AA8,Métrés!$A:$A,Métrés!$D:$D,0)),0)</f>
        <v>0</v>
      </c>
      <c r="AI8" s="1092">
        <f>IFERROR(S8*$G$1/(_xlfn.XLOOKUP($AA8,Métrés!$A:$A,Métrés!$D:$D,0)),0)</f>
        <v>0</v>
      </c>
      <c r="AJ8" s="1030"/>
      <c r="AK8" s="1030">
        <f>IF(L8=60,0,T8)</f>
        <v>0</v>
      </c>
      <c r="AL8" s="1030">
        <f>IF(L8=60,0,S8)</f>
        <v>0</v>
      </c>
      <c r="AM8" s="638" t="str">
        <f>IF(L8=$L$2, "Structure", IF(L8&gt;0,"Revêtement",0))</f>
        <v>Structure</v>
      </c>
      <c r="AN8" s="1032">
        <f>IF(AM8="Structure",N8,0)</f>
        <v>0</v>
      </c>
      <c r="AO8" s="1030">
        <f>IF(AM8="Structure",P8,0)</f>
        <v>0</v>
      </c>
      <c r="AP8" s="1030">
        <f>IF(AM8="Structure",Q8,0)</f>
        <v>0</v>
      </c>
      <c r="AQ8" s="1030">
        <f>IF(AM8="Structure",S8,0)</f>
        <v>0</v>
      </c>
      <c r="AR8" s="1033">
        <f>IF(AM8="Structure",T8,0)</f>
        <v>0</v>
      </c>
      <c r="AS8" s="1032">
        <f>IF($AM8="Insulation",N8,0)</f>
        <v>0</v>
      </c>
      <c r="AT8" s="1030">
        <f>IF($AM8="Insulation",P8,0)</f>
        <v>0</v>
      </c>
      <c r="AU8" s="1030">
        <f>IF($AM8="Insulation",Q8,0)</f>
        <v>0</v>
      </c>
      <c r="AV8" s="1030">
        <f>IF($AM8="Insulation",S8,0)</f>
        <v>0</v>
      </c>
      <c r="AW8" s="1033">
        <f>IF($AM8="Insulation",T8,0)</f>
        <v>0</v>
      </c>
      <c r="AX8" s="1032">
        <f>IF($AM8="Revêtement",N8,0)</f>
        <v>0</v>
      </c>
      <c r="AY8" s="1030">
        <f>IF($AM8="Revêtement",P8,0)</f>
        <v>0</v>
      </c>
      <c r="AZ8" s="1030">
        <f>IF($AM8="Revêtement",Q8,0)</f>
        <v>0</v>
      </c>
      <c r="BA8" s="1030">
        <f>IF($AM8="Revêtement",S8,0)</f>
        <v>0</v>
      </c>
      <c r="BB8" s="1033">
        <f>IF($AM8="Revêtement",T8,0)</f>
        <v>0</v>
      </c>
      <c r="BC8" s="1032">
        <f>IF($AM8="Installation",N8,0)</f>
        <v>0</v>
      </c>
      <c r="BD8" s="1030">
        <f>IF($AM8="Installation",P8,0)</f>
        <v>0</v>
      </c>
      <c r="BE8" s="1030">
        <f>IF($AM8="Installation",Q8,0)</f>
        <v>0</v>
      </c>
      <c r="BF8" s="1033">
        <f>IF($AM8="Installation",S8,0)</f>
        <v>0</v>
      </c>
      <c r="BG8" s="1032">
        <f>IF($AM8="Structure", IF($I8="kg",$J8,0), 0)</f>
        <v>0</v>
      </c>
      <c r="BH8" s="1030">
        <f>IF($AM8="Insulation", IF($I8="kg",$J8,0), 0)</f>
        <v>0</v>
      </c>
      <c r="BI8" s="1033">
        <f>IF($AM8="Revêtement", IF($I8="kg",$J8,0), 0)</f>
        <v>0</v>
      </c>
      <c r="BJ8" s="1030">
        <f>_xlfn.XLOOKUP(H8, 'Baumaterialien Matériaux'!A:A, 'Baumaterialien Matériaux'!E:E, "-", 0, 1)</f>
        <v>0</v>
      </c>
      <c r="BK8" s="1032">
        <f t="shared" si="5"/>
        <v>0</v>
      </c>
      <c r="BL8" s="1030">
        <f t="shared" si="6"/>
        <v>0</v>
      </c>
      <c r="BM8" s="1033">
        <f t="shared" si="7"/>
        <v>0</v>
      </c>
      <c r="BN8" s="720">
        <f>IFERROR((J8*VLOOKUP(H8, 'Baumaterialien Matériaux'!$A$11:$AH$318, 32,FALSE))*($L$2/L8-1),0)/$G$1</f>
        <v>0</v>
      </c>
      <c r="BO8" s="720">
        <f>IFERROR((N8+Q8)*($L$2/L8-1),0)</f>
        <v>0</v>
      </c>
    </row>
    <row r="9" spans="1:67">
      <c r="B9" s="1108"/>
      <c r="C9" s="1099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2"/>
      <c r="K9" s="663"/>
      <c r="L9" s="663"/>
      <c r="M9" s="664">
        <f>SUM(M10)</f>
        <v>0</v>
      </c>
      <c r="N9" s="664">
        <f t="shared" ref="N9:S9" si="11">SUM(N10)</f>
        <v>0</v>
      </c>
      <c r="O9" s="664">
        <f t="shared" si="11"/>
        <v>0</v>
      </c>
      <c r="P9" s="664">
        <f t="shared" si="11"/>
        <v>0</v>
      </c>
      <c r="Q9" s="664">
        <f t="shared" si="11"/>
        <v>0</v>
      </c>
      <c r="R9" s="664">
        <f t="shared" si="11"/>
        <v>0</v>
      </c>
      <c r="S9" s="664">
        <f t="shared" si="11"/>
        <v>0</v>
      </c>
      <c r="T9" s="878"/>
      <c r="V9" s="638">
        <f t="shared" si="3"/>
        <v>0</v>
      </c>
      <c r="W9" s="638">
        <f t="shared" si="4"/>
        <v>0</v>
      </c>
      <c r="Y9" s="638">
        <f t="shared" si="9"/>
        <v>0</v>
      </c>
      <c r="Z9" s="638">
        <f t="shared" si="10"/>
        <v>0</v>
      </c>
      <c r="AA9" s="664"/>
      <c r="AB9">
        <f>_xlfn.XLOOKUP($H9,'[1]Baumaterialien Matériaux'!$A:$A,'[1]Baumaterialien Matériaux'!AK:AK,0,0)</f>
        <v>0</v>
      </c>
      <c r="AD9" s="622" cm="1">
        <f t="array" ref="AD9">IFERROR(_xlfn.SWITCH(I9,"kg",1,"m3",AC9,AC9)*J9/(_xlfn.XLOOKUP(AA9,Métrés!A:A,Métrés!D:D,0)),0)</f>
        <v>0</v>
      </c>
      <c r="AE9" s="1092">
        <f>IFERROR(N9*$G$1/(_xlfn.XLOOKUP($AA9,Métrés!$A:$A,Métrés!$D:$D,0)),0)</f>
        <v>0</v>
      </c>
      <c r="AF9" s="1092">
        <f>IFERROR(O9*$G$1/(_xlfn.XLOOKUP($AA9,Métrés!$A:$A,Métrés!$D:$D,0)),0)</f>
        <v>0</v>
      </c>
      <c r="AG9" s="1092">
        <f>IFERROR(Q9*$G$1/(_xlfn.XLOOKUP($AA9,Métrés!$A:$A,Métrés!$D:$D,0)),0)</f>
        <v>0</v>
      </c>
      <c r="AH9" s="1092">
        <f>IFERROR(R9*$G$1/(_xlfn.XLOOKUP($AA9,Métrés!$A:$A,Métrés!$D:$D,0)),0)</f>
        <v>0</v>
      </c>
      <c r="AI9" s="1092">
        <f>IFERROR(S9*$G$1/(_xlfn.XLOOKUP($AA9,Métrés!$A:$A,Métrés!$D:$D,0)),0)</f>
        <v>0</v>
      </c>
      <c r="AJ9" s="418"/>
      <c r="AK9" s="418"/>
      <c r="AL9" s="418"/>
      <c r="AM9" s="878"/>
      <c r="AN9" s="1069"/>
      <c r="AO9" s="418"/>
      <c r="AP9" s="418"/>
      <c r="AQ9" s="418"/>
      <c r="AR9" s="1070"/>
      <c r="AS9" s="1069"/>
      <c r="AT9" s="418"/>
      <c r="AU9" s="418"/>
      <c r="AV9" s="418"/>
      <c r="AW9" s="1070"/>
      <c r="AX9" s="1069"/>
      <c r="AY9" s="418"/>
      <c r="AZ9" s="418"/>
      <c r="BA9" s="418"/>
      <c r="BB9" s="1070"/>
      <c r="BC9" s="1069"/>
      <c r="BD9" s="418"/>
      <c r="BE9" s="418"/>
      <c r="BF9" s="1070"/>
      <c r="BG9" s="1069"/>
      <c r="BH9" s="418"/>
      <c r="BI9" s="1070"/>
      <c r="BJ9" s="418"/>
      <c r="BK9" s="1069"/>
      <c r="BL9" s="418"/>
      <c r="BM9" s="1070"/>
    </row>
    <row r="10" spans="1:67">
      <c r="B10" s="1109"/>
      <c r="C10" s="1099"/>
      <c r="D10" s="478"/>
      <c r="E10" s="478"/>
      <c r="F10" s="478"/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2"/>
      <c r="K10" s="647"/>
      <c r="L10" s="647">
        <v>60</v>
      </c>
      <c r="M10" s="648">
        <f>SUM(N10:Q10)</f>
        <v>0</v>
      </c>
      <c r="N10" s="720">
        <f>IFERROR(($J10*VLOOKUP($H10, 'Baumaterialien Matériaux'!$A$11:$AD$318, 26,FALSE)),0)/$G$1</f>
        <v>0</v>
      </c>
      <c r="O10" s="720">
        <f>N10-(40%*N10)</f>
        <v>0</v>
      </c>
      <c r="P10" s="720">
        <f>(N10+Q10)*($L$2/L10-1)</f>
        <v>0</v>
      </c>
      <c r="Q10" s="720">
        <f>IFERROR(($J10*VLOOKUP($H10, 'Baumaterialien Matériaux'!$A$11:$AH$318, 27,FALSE)),0)/$G$1</f>
        <v>0</v>
      </c>
      <c r="R10" s="720">
        <f>Q10-(40%*Q10)</f>
        <v>0</v>
      </c>
      <c r="S10" s="720"/>
      <c r="T10" s="720"/>
      <c r="V10" s="638">
        <f t="shared" si="3"/>
        <v>0</v>
      </c>
      <c r="W10" s="638">
        <f t="shared" si="4"/>
        <v>0</v>
      </c>
      <c r="Y10" s="638" t="str">
        <f t="shared" si="9"/>
        <v>Structure</v>
      </c>
      <c r="Z10" s="638">
        <f t="shared" si="10"/>
        <v>60</v>
      </c>
      <c r="AA10" s="1083" t="s">
        <v>3441</v>
      </c>
      <c r="AB10" t="str">
        <f>_xlfn.XLOOKUP($H10,'[1]Baumaterialien Matériaux'!$A:$A,'[1]Baumaterialien Matériaux'!AK:AK,0,0)</f>
        <v>concrete</v>
      </c>
      <c r="AC10">
        <v>1</v>
      </c>
      <c r="AD10" s="622" cm="1">
        <f t="array" ref="AD10">IFERROR(_xlfn.SWITCH(I10,"kg",1,"m3",AC10,AC10)*J10/(_xlfn.XLOOKUP(AA10,Métrés!A:A,Métrés!D:D,0)),0)</f>
        <v>0</v>
      </c>
      <c r="AE10" s="1092">
        <f>IFERROR(N10*$G$1/(_xlfn.XLOOKUP($AA10,Métrés!$A:$A,Métrés!$D:$D,0)),0)</f>
        <v>0</v>
      </c>
      <c r="AF10" s="1092">
        <f>IFERROR(O10*$G$1/(_xlfn.XLOOKUP($AA10,Métrés!$A:$A,Métrés!$D:$D,0)),0)</f>
        <v>0</v>
      </c>
      <c r="AG10" s="1092">
        <f>IFERROR(Q10*$G$1/(_xlfn.XLOOKUP($AA10,Métrés!$A:$A,Métrés!$D:$D,0)),0)</f>
        <v>0</v>
      </c>
      <c r="AH10" s="1092">
        <f>IFERROR(R10*$G$1/(_xlfn.XLOOKUP($AA10,Métrés!$A:$A,Métrés!$D:$D,0)),0)</f>
        <v>0</v>
      </c>
      <c r="AI10" s="1092">
        <f>IFERROR(S10*$G$1/(_xlfn.XLOOKUP($AA10,Métrés!$A:$A,Métrés!$D:$D,0)),0)</f>
        <v>0</v>
      </c>
      <c r="AJ10" s="1030"/>
      <c r="AK10" s="1030">
        <f>IF(L10=60,0,T10)</f>
        <v>0</v>
      </c>
      <c r="AL10" s="1030">
        <f>IF(L10=60,0,S10)</f>
        <v>0</v>
      </c>
      <c r="AM10" s="638" t="str">
        <f>IF(L10=$L$2, "Structure", IF(L10&gt;0,"Revêtement",0))</f>
        <v>Structure</v>
      </c>
      <c r="AN10" s="1032">
        <f>IF(AM10="Structure",N10,0)</f>
        <v>0</v>
      </c>
      <c r="AO10" s="1030">
        <f>IF(AM10="Structure",P10,0)</f>
        <v>0</v>
      </c>
      <c r="AP10" s="1030">
        <f>IF(AM10="Structure",Q10,0)</f>
        <v>0</v>
      </c>
      <c r="AQ10" s="1030">
        <f>IF(AM10="Structure",S10,0)</f>
        <v>0</v>
      </c>
      <c r="AR10" s="1033">
        <f>IF(AM10="Structure",T10,0)</f>
        <v>0</v>
      </c>
      <c r="AS10" s="1032">
        <f>IF($AM10="Insulation",N10,0)</f>
        <v>0</v>
      </c>
      <c r="AT10" s="1030">
        <f>IF($AM10="Insulation",P10,0)</f>
        <v>0</v>
      </c>
      <c r="AU10" s="1030">
        <f>IF($AM10="Insulation",Q10,0)</f>
        <v>0</v>
      </c>
      <c r="AV10" s="1030">
        <f>IF($AM10="Insulation",S10,0)</f>
        <v>0</v>
      </c>
      <c r="AW10" s="1033">
        <f>IF($AM10="Insulation",T10,0)</f>
        <v>0</v>
      </c>
      <c r="AX10" s="1032">
        <f>IF($AM10="Revêtement",N10,0)</f>
        <v>0</v>
      </c>
      <c r="AY10" s="1030">
        <f>IF($AM10="Revêtement",P10,0)</f>
        <v>0</v>
      </c>
      <c r="AZ10" s="1030">
        <f>IF($AM10="Revêtement",Q10,0)</f>
        <v>0</v>
      </c>
      <c r="BA10" s="1030">
        <f>IF($AM10="Revêtement",S10,0)</f>
        <v>0</v>
      </c>
      <c r="BB10" s="1033">
        <f>IF($AM10="Revêtement",T10,0)</f>
        <v>0</v>
      </c>
      <c r="BC10" s="1032">
        <f>IF($AM10="Installation",N10,0)</f>
        <v>0</v>
      </c>
      <c r="BD10" s="1030">
        <f>IF($AM10="Installation",P10,0)</f>
        <v>0</v>
      </c>
      <c r="BE10" s="1030">
        <f>IF($AM10="Installation",Q10,0)</f>
        <v>0</v>
      </c>
      <c r="BF10" s="1033">
        <f>IF($AM10="Installation",S10,0)</f>
        <v>0</v>
      </c>
      <c r="BG10" s="1032">
        <f>IF($AM10="Structure", IF($I10="kg",$J10,0), 0)</f>
        <v>0</v>
      </c>
      <c r="BH10" s="1030">
        <f>IF($AM10="Insulation", IF($I10="kg",$J10,0), 0)</f>
        <v>0</v>
      </c>
      <c r="BI10" s="1033">
        <f>IF($AM10="Revêtement", IF($I10="kg",$J10,0), 0)</f>
        <v>0</v>
      </c>
      <c r="BJ10" s="1030" t="str">
        <f>_xlfn.XLOOKUP(H10, 'Baumaterialien Matériaux'!A:A, 'Baumaterialien Matériaux'!E:E, "-", 0, 1)</f>
        <v>-</v>
      </c>
      <c r="BK10" s="1032">
        <f t="shared" si="5"/>
        <v>0</v>
      </c>
      <c r="BL10" s="1030">
        <f t="shared" si="6"/>
        <v>0</v>
      </c>
      <c r="BM10" s="1033">
        <f t="shared" si="7"/>
        <v>0</v>
      </c>
      <c r="BN10" s="720">
        <f>IFERROR((J10*VLOOKUP(H10, 'Baumaterialien Matériaux'!$A$11:$AH$318, 32,FALSE))*($L$2/L10-1),0)/$G$1</f>
        <v>0</v>
      </c>
      <c r="BO10" s="720">
        <f>IFERROR((N10+Q10)*($L$2/L10-1),0)</f>
        <v>0</v>
      </c>
    </row>
    <row r="11" spans="1:67" ht="15.6" customHeight="1">
      <c r="B11" s="1102" t="s">
        <v>101</v>
      </c>
      <c r="C11" s="1097" t="s">
        <v>102</v>
      </c>
      <c r="D11" s="658" t="s">
        <v>103</v>
      </c>
      <c r="E11" s="473"/>
      <c r="F11" s="473"/>
      <c r="G11" s="473"/>
      <c r="H11" s="473"/>
      <c r="I11" s="463"/>
      <c r="J11" s="654"/>
      <c r="K11" s="652"/>
      <c r="L11" s="652"/>
      <c r="M11" s="653">
        <f>M12+M18</f>
        <v>94.532741452920817</v>
      </c>
      <c r="N11" s="653">
        <f t="shared" ref="N11:S11" si="12">N12+N18</f>
        <v>70.857095452942858</v>
      </c>
      <c r="O11" s="653">
        <f t="shared" ref="O11" si="13">O12+O18</f>
        <v>15.018181741808245</v>
      </c>
      <c r="P11" s="653">
        <f t="shared" si="12"/>
        <v>0</v>
      </c>
      <c r="Q11" s="653">
        <f t="shared" si="12"/>
        <v>8.6574642581697194</v>
      </c>
      <c r="R11" s="653">
        <f t="shared" ref="R11" si="14">R12+R18</f>
        <v>1.7072722218549614</v>
      </c>
      <c r="S11" s="653">
        <f t="shared" si="12"/>
        <v>0</v>
      </c>
      <c r="T11" s="653">
        <f t="shared" ref="T11" si="15">T12+T18</f>
        <v>0</v>
      </c>
      <c r="V11" s="638">
        <f t="shared" si="3"/>
        <v>0</v>
      </c>
      <c r="W11" s="638">
        <f t="shared" si="4"/>
        <v>0</v>
      </c>
      <c r="Y11" s="638">
        <f t="shared" si="9"/>
        <v>0</v>
      </c>
      <c r="Z11" s="638">
        <f t="shared" si="10"/>
        <v>0</v>
      </c>
      <c r="AA11" s="653"/>
      <c r="AB11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622" cm="1">
        <f t="array" ref="AD11">IFERROR(_xlfn.SWITCH(I11,"kg",1,"m3",AC11,AC11)*J11/(_xlfn.XLOOKUP(AA11,Métrés!A:A,Métrés!D:D,0)),0)</f>
        <v>0</v>
      </c>
      <c r="AE11" s="1092">
        <f>IFERROR(N11*$G$1/(_xlfn.XLOOKUP($AA11,Métrés!$A:$A,Métrés!$D:$D,0)),0)</f>
        <v>0</v>
      </c>
      <c r="AF11" s="1092">
        <f>IFERROR(O11*$G$1/(_xlfn.XLOOKUP($AA11,Métrés!$A:$A,Métrés!$D:$D,0)),0)</f>
        <v>0</v>
      </c>
      <c r="AG11" s="1092">
        <f>IFERROR(Q11*$G$1/(_xlfn.XLOOKUP($AA11,Métrés!$A:$A,Métrés!$D:$D,0)),0)</f>
        <v>0</v>
      </c>
      <c r="AH11" s="1092">
        <f>IFERROR(R11*$G$1/(_xlfn.XLOOKUP($AA11,Métrés!$A:$A,Métrés!$D:$D,0)),0)</f>
        <v>0</v>
      </c>
      <c r="AI11" s="1092">
        <f>IFERROR(S11*$G$1/(_xlfn.XLOOKUP($AA11,Métrés!$A:$A,Métrés!$D:$D,0)),0)</f>
        <v>0</v>
      </c>
      <c r="AJ11" s="1063"/>
      <c r="AK11" s="1063"/>
      <c r="AL11" s="1063"/>
      <c r="AM11" s="1020"/>
      <c r="AN11" s="1071"/>
      <c r="AO11" s="1063"/>
      <c r="AP11" s="1063"/>
      <c r="AQ11" s="1063"/>
      <c r="AR11" s="1072"/>
      <c r="AS11" s="1071"/>
      <c r="AT11" s="1063"/>
      <c r="AU11" s="1063"/>
      <c r="AV11" s="1063"/>
      <c r="AW11" s="1072"/>
      <c r="AX11" s="1071"/>
      <c r="AY11" s="1063"/>
      <c r="AZ11" s="1063"/>
      <c r="BA11" s="1063"/>
      <c r="BB11" s="1072"/>
      <c r="BC11" s="1071"/>
      <c r="BD11" s="1063"/>
      <c r="BE11" s="1063"/>
      <c r="BF11" s="1072"/>
      <c r="BG11" s="1071"/>
      <c r="BH11" s="1063"/>
      <c r="BI11" s="1072"/>
      <c r="BJ11" s="1077"/>
      <c r="BK11" s="1071"/>
      <c r="BL11" s="1063"/>
      <c r="BM11" s="1072"/>
    </row>
    <row r="12" spans="1:67">
      <c r="B12" s="1103"/>
      <c r="C12" s="1110"/>
      <c r="D12" s="651"/>
      <c r="E12" s="630" t="str">
        <f>BillQuantities!E8</f>
        <v>non-isolés</v>
      </c>
      <c r="F12" s="479" t="s">
        <v>3003</v>
      </c>
      <c r="G12" s="479"/>
      <c r="H12" s="479"/>
      <c r="I12" s="459" t="s">
        <v>39</v>
      </c>
      <c r="J12" s="890">
        <v>530.5</v>
      </c>
      <c r="K12" s="663"/>
      <c r="L12" s="663"/>
      <c r="M12" s="664">
        <f>SUM(M13:M17)</f>
        <v>94.532741452920817</v>
      </c>
      <c r="N12" s="664">
        <f t="shared" ref="N12:S12" si="16">SUM(N13:N17)</f>
        <v>70.857095452942858</v>
      </c>
      <c r="O12" s="664">
        <f t="shared" ref="O12" si="17">SUM(O13:O17)</f>
        <v>15.018181741808245</v>
      </c>
      <c r="P12" s="664">
        <f t="shared" si="16"/>
        <v>0</v>
      </c>
      <c r="Q12" s="664">
        <f t="shared" si="16"/>
        <v>8.6574642581697194</v>
      </c>
      <c r="R12" s="664">
        <f t="shared" ref="R12" si="18">SUM(R13:R17)</f>
        <v>1.7072722218549614</v>
      </c>
      <c r="S12" s="664">
        <f t="shared" si="16"/>
        <v>0</v>
      </c>
      <c r="T12" s="664">
        <f t="shared" ref="T12" si="19">SUM(T13:T17)</f>
        <v>0</v>
      </c>
      <c r="V12" s="638">
        <f t="shared" si="3"/>
        <v>0</v>
      </c>
      <c r="W12" s="638">
        <f t="shared" si="4"/>
        <v>0</v>
      </c>
      <c r="Y12" s="638">
        <f t="shared" si="9"/>
        <v>0</v>
      </c>
      <c r="Z12" s="638">
        <f t="shared" si="10"/>
        <v>0</v>
      </c>
      <c r="AA12" s="1083"/>
      <c r="AB12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622" cm="1">
        <f t="array" ref="AD12">IFERROR(_xlfn.SWITCH(I12,"kg",1,"m3",AC12,AC12)*J12/(_xlfn.XLOOKUP(AA12,Métrés!A:A,Métrés!D:D,0)),0)</f>
        <v>0</v>
      </c>
      <c r="AE12" s="1092">
        <f>IFERROR(N12*$G$1/(_xlfn.XLOOKUP($AA12,Métrés!$A:$A,Métrés!$D:$D,0)),0)</f>
        <v>0</v>
      </c>
      <c r="AF12" s="1092">
        <f>IFERROR(O12*$G$1/(_xlfn.XLOOKUP($AA12,Métrés!$A:$A,Métrés!$D:$D,0)),0)</f>
        <v>0</v>
      </c>
      <c r="AG12" s="1092">
        <f>IFERROR(Q12*$G$1/(_xlfn.XLOOKUP($AA12,Métrés!$A:$A,Métrés!$D:$D,0)),0)</f>
        <v>0</v>
      </c>
      <c r="AH12" s="1092">
        <f>IFERROR(R12*$G$1/(_xlfn.XLOOKUP($AA12,Métrés!$A:$A,Métrés!$D:$D,0)),0)</f>
        <v>0</v>
      </c>
      <c r="AI12" s="1092">
        <f>IFERROR(S12*$G$1/(_xlfn.XLOOKUP($AA12,Métrés!$A:$A,Métrés!$D:$D,0)),0)</f>
        <v>0</v>
      </c>
      <c r="AJ12" s="1064"/>
      <c r="AK12" s="1064"/>
      <c r="AL12" s="1064"/>
      <c r="AM12" s="1021"/>
      <c r="AN12" s="1073"/>
      <c r="AO12" s="1064"/>
      <c r="AP12" s="1064"/>
      <c r="AQ12" s="1064"/>
      <c r="AR12" s="1074"/>
      <c r="AS12" s="1073"/>
      <c r="AT12" s="1064"/>
      <c r="AU12" s="1064"/>
      <c r="AV12" s="1064"/>
      <c r="AW12" s="1074"/>
      <c r="AX12" s="1073"/>
      <c r="AY12" s="1064"/>
      <c r="AZ12" s="1064"/>
      <c r="BA12" s="1064"/>
      <c r="BB12" s="1074"/>
      <c r="BC12" s="1073"/>
      <c r="BD12" s="1064"/>
      <c r="BE12" s="1064"/>
      <c r="BF12" s="1074"/>
      <c r="BG12" s="1073"/>
      <c r="BH12" s="1064"/>
      <c r="BI12" s="1074"/>
      <c r="BJ12" s="1078"/>
      <c r="BK12" s="1073"/>
      <c r="BL12" s="1064"/>
      <c r="BM12" s="1074"/>
    </row>
    <row r="13" spans="1:67">
      <c r="B13" s="1103"/>
      <c r="C13" s="1110"/>
      <c r="D13" s="660"/>
      <c r="E13" s="657"/>
      <c r="F13" s="478" t="s">
        <v>2980</v>
      </c>
      <c r="G13" s="478" t="str">
        <f>_xlfn.XLOOKUP(H13, 'Baumaterialien Matériaux'!A:A, 'Baumaterialien Matériaux'!AD:AD, "-", 0, 1)</f>
        <v>Béton pour bâtiment (sans armature)</v>
      </c>
      <c r="H13" s="891">
        <v>1.0019999999999998</v>
      </c>
      <c r="I13" s="641" t="str">
        <f>_xlfn.XLOOKUP(H13, 'Baumaterialien Matériaux'!A:A, 'Baumaterialien Matériaux'!F:F, "-", 0, 1)</f>
        <v>kg</v>
      </c>
      <c r="J13" s="649">
        <f>$J$12*K13</f>
        <v>305037.5</v>
      </c>
      <c r="K13" s="893">
        <f>0.25*2300</f>
        <v>575</v>
      </c>
      <c r="L13" s="527">
        <v>60</v>
      </c>
      <c r="M13" s="648">
        <f t="shared" ref="M13:M17" si="20">SUM(N13:Q13)</f>
        <v>41.103199852361122</v>
      </c>
      <c r="N13" s="720">
        <f>IFERROR(($J13*VLOOKUP($H13, 'Baumaterialien Matériaux'!$A$11:$AD$318, 26,FALSE)),0)/$G$1</f>
        <v>29.844351160177169</v>
      </c>
      <c r="O13" s="720">
        <f>IFERROR(($J13*VLOOKUP($H13, 'Baumaterialien Matériaux'!$A$11:$AH$318, 33,FALSE)),0)/$G$1</f>
        <v>6.9905687402216783</v>
      </c>
      <c r="P13" s="720">
        <f>(N13+Q13)*($L$2/L13-1)</f>
        <v>0</v>
      </c>
      <c r="Q13" s="720">
        <f>IFERROR(($J13*VLOOKUP($H13, 'Baumaterialien Matériaux'!$A$11:$AH$318, 27,FALSE)),0)/$G$1</f>
        <v>4.2682799519622749</v>
      </c>
      <c r="R13" s="720">
        <f>IFERROR(($J13*VLOOKUP($H13, 'Baumaterialien Matériaux'!$A$11:$AH$318, 34,FALSE)),0)/$G$1</f>
        <v>0.90070789537471629</v>
      </c>
      <c r="S13" s="720">
        <f>IFERROR((J13*VLOOKUP(H13, 'Baumaterialien Matériaux'!$A$11:$AD$318, 29,FALSE)),0)/$G$1</f>
        <v>0</v>
      </c>
      <c r="T13" s="720">
        <f>S13*AJ13</f>
        <v>0</v>
      </c>
      <c r="V13" s="638">
        <f t="shared" si="3"/>
        <v>0</v>
      </c>
      <c r="W13" s="638">
        <f t="shared" si="4"/>
        <v>0</v>
      </c>
      <c r="Y13" s="638" t="str">
        <f t="shared" si="9"/>
        <v>Structure</v>
      </c>
      <c r="Z13" s="638">
        <f t="shared" si="10"/>
        <v>60</v>
      </c>
      <c r="AA13" s="1083" t="s">
        <v>3441</v>
      </c>
      <c r="AB13" t="str">
        <f>_xlfn.XLOOKUP($H13,'[1]Baumaterialien Matériaux'!$A:$A,'[1]Baumaterialien Matériaux'!AK:AK,0,0)</f>
        <v>concrete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622" cm="1">
        <f t="array" ref="AD13">IFERROR(_xlfn.SWITCH(I13,"kg",1,"m3",AC13,AC13)*J13/(_xlfn.XLOOKUP(AA13,Métrés!A:A,Métrés!D:D,0)),0)</f>
        <v>575</v>
      </c>
      <c r="AE13" s="1092">
        <f>IFERROR(N13*$G$1/(_xlfn.XLOOKUP($AA13,Métrés!$A:$A,Métrés!$D:$D,0)),0)</f>
        <v>51.06</v>
      </c>
      <c r="AF13" s="1092">
        <f>IFERROR(O13*$G$1/(_xlfn.XLOOKUP($AA13,Métrés!$A:$A,Métrés!$D:$D,0)),0)</f>
        <v>11.959999999999999</v>
      </c>
      <c r="AG13" s="1092">
        <f>IFERROR(Q13*$G$1/(_xlfn.XLOOKUP($AA13,Métrés!$A:$A,Métrés!$D:$D,0)),0)</f>
        <v>7.3025000000000002</v>
      </c>
      <c r="AH13" s="1092">
        <f>IFERROR(R13*$G$1/(_xlfn.XLOOKUP($AA13,Métrés!$A:$A,Métrés!$D:$D,0)),0)</f>
        <v>1.5409999999999999</v>
      </c>
      <c r="AI13" s="1092">
        <f>IFERROR(S13*$G$1/(_xlfn.XLOOKUP($AA13,Métrés!$A:$A,Métrés!$D:$D,0)),0)</f>
        <v>0</v>
      </c>
      <c r="AJ13" s="1030"/>
      <c r="AK13" s="1030">
        <f>IF(L13=60,0,T13)</f>
        <v>0</v>
      </c>
      <c r="AL13" s="1030">
        <f>IF(L13=60,0,S13)</f>
        <v>0</v>
      </c>
      <c r="AM13" s="638" t="str">
        <f>IF(L13=$L$2, "Structure", IF(L13&gt;0,"Revêtement",0))</f>
        <v>Structure</v>
      </c>
      <c r="AN13" s="1032">
        <f>IF(AM13="Structure",N13,0)</f>
        <v>29.844351160177169</v>
      </c>
      <c r="AO13" s="1030">
        <f>IF(AM13="Structure",P13,0)</f>
        <v>0</v>
      </c>
      <c r="AP13" s="1030">
        <f>IF(AM13="Structure",Q13,0)</f>
        <v>4.2682799519622749</v>
      </c>
      <c r="AQ13" s="1030">
        <f>IF(AM13="Structure",S13,0)</f>
        <v>0</v>
      </c>
      <c r="AR13" s="1033">
        <f>IF(AM13="Structure",T13,0)</f>
        <v>0</v>
      </c>
      <c r="AS13" s="1032">
        <f>IF($AM13="Insulation",N13,0)</f>
        <v>0</v>
      </c>
      <c r="AT13" s="1030">
        <f t="shared" ref="AT13:AU17" si="21">IF($AM13="Insulation",P13,0)</f>
        <v>0</v>
      </c>
      <c r="AU13" s="1030">
        <f t="shared" si="21"/>
        <v>0</v>
      </c>
      <c r="AV13" s="1030">
        <f t="shared" ref="AV13:AW17" si="22">IF($AM13="Insulation",S13,0)</f>
        <v>0</v>
      </c>
      <c r="AW13" s="1033">
        <f t="shared" si="22"/>
        <v>0</v>
      </c>
      <c r="AX13" s="1032">
        <f>IF($AM13="Revêtement",N13,0)</f>
        <v>0</v>
      </c>
      <c r="AY13" s="1030">
        <f t="shared" ref="AY13:AZ17" si="23">IF($AM13="Revêtement",P13,0)</f>
        <v>0</v>
      </c>
      <c r="AZ13" s="1030">
        <f t="shared" si="23"/>
        <v>0</v>
      </c>
      <c r="BA13" s="1030">
        <f t="shared" ref="BA13:BB17" si="24">IF($AM13="Revêtement",S13,0)</f>
        <v>0</v>
      </c>
      <c r="BB13" s="1033">
        <f t="shared" si="24"/>
        <v>0</v>
      </c>
      <c r="BC13" s="1032">
        <f>IF($AM13="Installation",N13,0)</f>
        <v>0</v>
      </c>
      <c r="BD13" s="1030">
        <f t="shared" ref="BD13:BE17" si="25">IF($AM13="Installation",P13,0)</f>
        <v>0</v>
      </c>
      <c r="BE13" s="1030">
        <f t="shared" si="25"/>
        <v>0</v>
      </c>
      <c r="BF13" s="1033">
        <f>IF($AM13="Installation",S13,0)</f>
        <v>0</v>
      </c>
      <c r="BG13" s="1032">
        <f>IF($AM13="Structure", IF($I13="kg",$J13,0), 0)</f>
        <v>305037.5</v>
      </c>
      <c r="BH13" s="1030">
        <f>IF($AM13="Insulation", IF($I13="kg",$J13,0), 0)</f>
        <v>0</v>
      </c>
      <c r="BI13" s="1033">
        <f>IF($AM13="Revêtement", IF($I13="kg",$J13,0), 0)</f>
        <v>0</v>
      </c>
      <c r="BJ13" s="1030">
        <f>_xlfn.XLOOKUP(H13, 'Baumaterialien Matériaux'!A:A, 'Baumaterialien Matériaux'!E:E, "-", 0, 1)</f>
        <v>2300</v>
      </c>
      <c r="BK13" s="1032">
        <f t="shared" si="5"/>
        <v>132.625</v>
      </c>
      <c r="BL13" s="1030">
        <f t="shared" si="6"/>
        <v>0</v>
      </c>
      <c r="BM13" s="1033">
        <f t="shared" si="7"/>
        <v>0</v>
      </c>
      <c r="BN13" s="720">
        <f>IFERROR((J13*VLOOKUP(H13, 'Baumaterialien Matériaux'!$A$11:$AH$318, 32,FALSE))*($L$2/L13-1),0)/$G$1</f>
        <v>0</v>
      </c>
      <c r="BO13" s="720">
        <f>IFERROR((N13+Q13)*($L$2/L13-1),0)</f>
        <v>0</v>
      </c>
    </row>
    <row r="14" spans="1:67">
      <c r="B14" s="1103"/>
      <c r="C14" s="1110"/>
      <c r="D14" s="660"/>
      <c r="E14" s="657"/>
      <c r="F14" s="478" t="s">
        <v>3004</v>
      </c>
      <c r="G14" s="478" t="str">
        <f>_xlfn.XLOOKUP(H14, 'Baumaterialien Matériaux'!A:A, 'Baumaterialien Matériaux'!AD:AD, "-", 0, 1)</f>
        <v>Acier d'armature</v>
      </c>
      <c r="H14" s="892" t="s">
        <v>497</v>
      </c>
      <c r="I14" s="641" t="str">
        <f>_xlfn.XLOOKUP(H14, 'Baumaterialien Matériaux'!A:A, 'Baumaterialien Matériaux'!F:F, "-", 0, 1)</f>
        <v>kg</v>
      </c>
      <c r="J14" s="649">
        <f t="shared" ref="J14:J16" si="26">$J$12*K14</f>
        <v>19893.75</v>
      </c>
      <c r="K14" s="893">
        <f>0.25*150</f>
        <v>37.5</v>
      </c>
      <c r="L14" s="527">
        <v>60</v>
      </c>
      <c r="M14" s="648">
        <f t="shared" si="20"/>
        <v>39.527983902954979</v>
      </c>
      <c r="N14" s="720">
        <f>IFERROR(($J14*VLOOKUP($H14, 'Baumaterialien Matériaux'!$A$11:$AD$318, 26,FALSE)),0)/$G$1</f>
        <v>32.877883916176373</v>
      </c>
      <c r="O14" s="720">
        <f>IFERROR(($J14*VLOOKUP($H14, 'Baumaterialien Matériaux'!$A$11:$AH$318, 33,FALSE)),0)/$G$1</f>
        <v>6.3783094797382152</v>
      </c>
      <c r="P14" s="720">
        <f t="shared" ref="P14:P17" si="27">(N14+Q14)*($L$2/L14-1)</f>
        <v>0</v>
      </c>
      <c r="Q14" s="720">
        <f>IFERROR(($J14*VLOOKUP($H14, 'Baumaterialien Matériaux'!$A$11:$AH$318, 27,FALSE)),0)/$G$1</f>
        <v>0.27179050704039137</v>
      </c>
      <c r="R14" s="720">
        <f>IFERROR(($J14*VLOOKUP($H14, 'Baumaterialien Matériaux'!$A$11:$AH$318, 34,FALSE)),0)/$G$1</f>
        <v>0</v>
      </c>
      <c r="S14" s="720">
        <f>IFERROR((J14*VLOOKUP(H14, 'Baumaterialien Matériaux'!$A$11:$AD$318, 29,FALSE)),0)/$G$1</f>
        <v>0</v>
      </c>
      <c r="T14" s="720">
        <f>S14*AJ14</f>
        <v>0</v>
      </c>
      <c r="V14" s="638">
        <f t="shared" si="3"/>
        <v>0</v>
      </c>
      <c r="W14" s="638">
        <f t="shared" si="4"/>
        <v>0</v>
      </c>
      <c r="Y14" s="638" t="str">
        <f t="shared" si="9"/>
        <v>Structure</v>
      </c>
      <c r="Z14" s="638">
        <f t="shared" si="10"/>
        <v>60</v>
      </c>
      <c r="AA14" s="1083" t="s">
        <v>3441</v>
      </c>
      <c r="AB14" t="str">
        <f>_xlfn.XLOOKUP($H14,'[1]Baumaterialien Matériaux'!$A:$A,'[1]Baumaterialien Matériaux'!AK:AK,0,0)</f>
        <v>metal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622" cm="1">
        <f t="array" ref="AD14">IFERROR(_xlfn.SWITCH(I14,"kg",1,"m3",AC14,AC14)*J14/(_xlfn.XLOOKUP(AA14,Métrés!A:A,Métrés!D:D,0)),0)</f>
        <v>37.5</v>
      </c>
      <c r="AE14" s="1092">
        <f>IFERROR(N14*$G$1/(_xlfn.XLOOKUP($AA14,Métrés!$A:$A,Métrés!$D:$D,0)),0)</f>
        <v>56.25</v>
      </c>
      <c r="AF14" s="1092">
        <f>IFERROR(O14*$G$1/(_xlfn.XLOOKUP($AA14,Métrés!$A:$A,Métrés!$D:$D,0)),0)</f>
        <v>10.912499999999998</v>
      </c>
      <c r="AG14" s="1092">
        <f>IFERROR(Q14*$G$1/(_xlfn.XLOOKUP($AA14,Métrés!$A:$A,Métrés!$D:$D,0)),0)</f>
        <v>0.46500000000000002</v>
      </c>
      <c r="AH14" s="1092">
        <f>IFERROR(R14*$G$1/(_xlfn.XLOOKUP($AA14,Métrés!$A:$A,Métrés!$D:$D,0)),0)</f>
        <v>0</v>
      </c>
      <c r="AI14" s="1092">
        <f>IFERROR(S14*$G$1/(_xlfn.XLOOKUP($AA14,Métrés!$A:$A,Métrés!$D:$D,0)),0)</f>
        <v>0</v>
      </c>
      <c r="AJ14" s="1030"/>
      <c r="AK14" s="1030">
        <f>IF(L14=60,0,T14)</f>
        <v>0</v>
      </c>
      <c r="AL14" s="1030">
        <f>IF(L14=60,0,S14)</f>
        <v>0</v>
      </c>
      <c r="AM14" s="638" t="str">
        <f>IF(L14=$L$2, "Structure", IF(L14&gt;0,"Revêtement",0))</f>
        <v>Structure</v>
      </c>
      <c r="AN14" s="1032">
        <f>IF(AM14="Structure",N14,0)</f>
        <v>32.877883916176373</v>
      </c>
      <c r="AO14" s="1030">
        <f>IF(AM14="Structure",P14,0)</f>
        <v>0</v>
      </c>
      <c r="AP14" s="1030">
        <f>IF(AM14="Structure",Q14,0)</f>
        <v>0.27179050704039137</v>
      </c>
      <c r="AQ14" s="1030">
        <f>IF(AM14="Structure",S14,0)</f>
        <v>0</v>
      </c>
      <c r="AR14" s="1033">
        <f>IF(AM14="Structure",T14,0)</f>
        <v>0</v>
      </c>
      <c r="AS14" s="1032">
        <f>IF($AM14="Insulation",N14,0)</f>
        <v>0</v>
      </c>
      <c r="AT14" s="1030">
        <f t="shared" si="21"/>
        <v>0</v>
      </c>
      <c r="AU14" s="1030">
        <f t="shared" si="21"/>
        <v>0</v>
      </c>
      <c r="AV14" s="1030">
        <f t="shared" si="22"/>
        <v>0</v>
      </c>
      <c r="AW14" s="1033">
        <f t="shared" si="22"/>
        <v>0</v>
      </c>
      <c r="AX14" s="1032">
        <f>IF($AM14="Revêtement",N14,0)</f>
        <v>0</v>
      </c>
      <c r="AY14" s="1030">
        <f t="shared" si="23"/>
        <v>0</v>
      </c>
      <c r="AZ14" s="1030">
        <f t="shared" si="23"/>
        <v>0</v>
      </c>
      <c r="BA14" s="1030">
        <f t="shared" si="24"/>
        <v>0</v>
      </c>
      <c r="BB14" s="1033">
        <f t="shared" si="24"/>
        <v>0</v>
      </c>
      <c r="BC14" s="1032">
        <f>IF($AM14="Installation",N14,0)</f>
        <v>0</v>
      </c>
      <c r="BD14" s="1030">
        <f t="shared" si="25"/>
        <v>0</v>
      </c>
      <c r="BE14" s="1030">
        <f t="shared" si="25"/>
        <v>0</v>
      </c>
      <c r="BF14" s="1033">
        <f>IF($AM14="Installation",S14,0)</f>
        <v>0</v>
      </c>
      <c r="BG14" s="1032">
        <f>IF($AM14="Structure", IF($I14="kg",$J14,0), 0)</f>
        <v>19893.75</v>
      </c>
      <c r="BH14" s="1030">
        <f>IF($AM14="Insulation", IF($I14="kg",$J14,0), 0)</f>
        <v>0</v>
      </c>
      <c r="BI14" s="1033">
        <f>IF($AM14="Revêtement", IF($I14="kg",$J14,0), 0)</f>
        <v>0</v>
      </c>
      <c r="BJ14" s="1030">
        <f>_xlfn.XLOOKUP(H14, 'Baumaterialien Matériaux'!A:A, 'Baumaterialien Matériaux'!E:E, "-", 0, 1)</f>
        <v>7850</v>
      </c>
      <c r="BK14" s="1032">
        <f t="shared" si="5"/>
        <v>2.5342356687898091</v>
      </c>
      <c r="BL14" s="1030">
        <f t="shared" si="6"/>
        <v>0</v>
      </c>
      <c r="BM14" s="1033">
        <f t="shared" si="7"/>
        <v>0</v>
      </c>
      <c r="BN14" s="720">
        <f>IFERROR((J14*VLOOKUP(H14, 'Baumaterialien Matériaux'!$A$11:$AH$318, 32,FALSE))*($L$2/L14-1),0)/$G$1</f>
        <v>0</v>
      </c>
      <c r="BO14" s="720">
        <f>IFERROR((N14+Q14)*($L$2/L14-1),0)</f>
        <v>0</v>
      </c>
    </row>
    <row r="15" spans="1:67">
      <c r="B15" s="1103"/>
      <c r="C15" s="1110"/>
      <c r="D15" s="660"/>
      <c r="E15" s="657"/>
      <c r="F15" s="638" t="s">
        <v>3254</v>
      </c>
      <c r="G15" s="478" t="str">
        <f>_xlfn.XLOOKUP(H15, 'Baumaterialien Matériaux'!A:A, 'Baumaterialien Matériaux'!AD:AD, "-", 0, 1)</f>
        <v>Béton maigre (sans armature)</v>
      </c>
      <c r="H15" s="891">
        <v>1.0009999999999999</v>
      </c>
      <c r="I15" s="641" t="str">
        <f>_xlfn.XLOOKUP(H15, 'Baumaterialien Matériaux'!A:A, 'Baumaterialien Matériaux'!F:F, "-", 0, 1)</f>
        <v>kg</v>
      </c>
      <c r="J15" s="649">
        <f t="shared" si="26"/>
        <v>62731.625</v>
      </c>
      <c r="K15" s="893">
        <f>0.055*2150</f>
        <v>118.25</v>
      </c>
      <c r="L15" s="527">
        <v>60</v>
      </c>
      <c r="M15" s="648">
        <f t="shared" si="20"/>
        <v>5.1906580259359645</v>
      </c>
      <c r="N15" s="720">
        <f>IFERROR(($J15*VLOOKUP($H15, 'Baumaterialien Matériaux'!$A$11:$AD$318, 26,FALSE)),0)/$G$1</f>
        <v>3.4696542330490732</v>
      </c>
      <c r="O15" s="720">
        <f>IFERROR(($J15*VLOOKUP($H15, 'Baumaterialien Matériaux'!$A$11:$AH$318, 33,FALSE)),0)/$G$1</f>
        <v>0.83631108007756549</v>
      </c>
      <c r="P15" s="720">
        <f t="shared" si="27"/>
        <v>0</v>
      </c>
      <c r="Q15" s="720">
        <f>IFERROR(($J15*VLOOKUP($H15, 'Baumaterialien Matériaux'!$A$11:$AH$318, 27,FALSE)),0)/$G$1</f>
        <v>0.8846927128093256</v>
      </c>
      <c r="R15" s="720">
        <f>IFERROR(($J15*VLOOKUP($H15, 'Baumaterialien Matériaux'!$A$11:$AH$318, 34,FALSE)),0)/$G$1</f>
        <v>0.16035055419669025</v>
      </c>
      <c r="S15" s="720">
        <f>IFERROR((J15*VLOOKUP(H15, 'Baumaterialien Matériaux'!$A$11:$AD$318, 29,FALSE)),0)/$G$1</f>
        <v>0</v>
      </c>
      <c r="T15" s="720">
        <f>S15*AJ15</f>
        <v>0</v>
      </c>
      <c r="V15" s="638">
        <f t="shared" si="3"/>
        <v>0</v>
      </c>
      <c r="W15" s="638">
        <f t="shared" si="4"/>
        <v>0</v>
      </c>
      <c r="Y15" s="638" t="str">
        <f t="shared" si="9"/>
        <v>Structure</v>
      </c>
      <c r="Z15" s="638">
        <f t="shared" si="10"/>
        <v>60</v>
      </c>
      <c r="AA15" s="1083" t="s">
        <v>3441</v>
      </c>
      <c r="AB15" t="str">
        <f>_xlfn.XLOOKUP($H15,'[1]Baumaterialien Matériaux'!$A:$A,'[1]Baumaterialien Matériaux'!AK:AK,0,0)</f>
        <v>concrete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622" cm="1">
        <f t="array" ref="AD15">IFERROR(_xlfn.SWITCH(I15,"kg",1,"m3",AC15,AC15)*J15/(_xlfn.XLOOKUP(AA15,Métrés!A:A,Métrés!D:D,0)),0)</f>
        <v>118.25</v>
      </c>
      <c r="AE15" s="1092">
        <f>IFERROR(N15*$G$1/(_xlfn.XLOOKUP($AA15,Métrés!$A:$A,Métrés!$D:$D,0)),0)</f>
        <v>5.9361499999999996</v>
      </c>
      <c r="AF15" s="1092">
        <f>IFERROR(O15*$G$1/(_xlfn.XLOOKUP($AA15,Métrés!$A:$A,Métrés!$D:$D,0)),0)</f>
        <v>1.430825</v>
      </c>
      <c r="AG15" s="1092">
        <f>IFERROR(Q15*$G$1/(_xlfn.XLOOKUP($AA15,Métrés!$A:$A,Métrés!$D:$D,0)),0)</f>
        <v>1.5136000000000001</v>
      </c>
      <c r="AH15" s="1092">
        <f>IFERROR(R15*$G$1/(_xlfn.XLOOKUP($AA15,Métrés!$A:$A,Métrés!$D:$D,0)),0)</f>
        <v>0.27434000000000003</v>
      </c>
      <c r="AI15" s="1092">
        <f>IFERROR(S15*$G$1/(_xlfn.XLOOKUP($AA15,Métrés!$A:$A,Métrés!$D:$D,0)),0)</f>
        <v>0</v>
      </c>
      <c r="AJ15" s="1030"/>
      <c r="AK15" s="1030">
        <f>IF(L15=60,0,T15)</f>
        <v>0</v>
      </c>
      <c r="AL15" s="1030">
        <f>IF(L15=60,0,S15)</f>
        <v>0</v>
      </c>
      <c r="AM15" s="638" t="str">
        <f>IF(L15=$L$2, "Structure", IF(L15&gt;0,"Revêtement",0))</f>
        <v>Structure</v>
      </c>
      <c r="AN15" s="1032">
        <f>IF(AM15="Structure",N15,0)</f>
        <v>3.4696542330490732</v>
      </c>
      <c r="AO15" s="1030">
        <f>IF(AM15="Structure",P15,0)</f>
        <v>0</v>
      </c>
      <c r="AP15" s="1030">
        <f>IF(AM15="Structure",Q15,0)</f>
        <v>0.8846927128093256</v>
      </c>
      <c r="AQ15" s="1030">
        <f>IF(AM15="Structure",S15,0)</f>
        <v>0</v>
      </c>
      <c r="AR15" s="1033">
        <f>IF(AM15="Structure",T15,0)</f>
        <v>0</v>
      </c>
      <c r="AS15" s="1032">
        <f>IF($AM15="Insulation",N15,0)</f>
        <v>0</v>
      </c>
      <c r="AT15" s="1030">
        <f t="shared" si="21"/>
        <v>0</v>
      </c>
      <c r="AU15" s="1030">
        <f t="shared" si="21"/>
        <v>0</v>
      </c>
      <c r="AV15" s="1030">
        <f t="shared" si="22"/>
        <v>0</v>
      </c>
      <c r="AW15" s="1033">
        <f t="shared" si="22"/>
        <v>0</v>
      </c>
      <c r="AX15" s="1032">
        <f>IF($AM15="Revêtement",N15,0)</f>
        <v>0</v>
      </c>
      <c r="AY15" s="1030">
        <f t="shared" si="23"/>
        <v>0</v>
      </c>
      <c r="AZ15" s="1030">
        <f t="shared" si="23"/>
        <v>0</v>
      </c>
      <c r="BA15" s="1030">
        <f t="shared" si="24"/>
        <v>0</v>
      </c>
      <c r="BB15" s="1033">
        <f t="shared" si="24"/>
        <v>0</v>
      </c>
      <c r="BC15" s="1032">
        <f>IF($AM15="Installation",N15,0)</f>
        <v>0</v>
      </c>
      <c r="BD15" s="1030">
        <f t="shared" si="25"/>
        <v>0</v>
      </c>
      <c r="BE15" s="1030">
        <f t="shared" si="25"/>
        <v>0</v>
      </c>
      <c r="BF15" s="1033">
        <f>IF($AM15="Installation",S15,0)</f>
        <v>0</v>
      </c>
      <c r="BG15" s="1032">
        <f>IF($AM15="Structure", IF($I15="kg",$J15,0), 0)</f>
        <v>62731.625</v>
      </c>
      <c r="BH15" s="1030">
        <f>IF($AM15="Insulation", IF($I15="kg",$J15,0), 0)</f>
        <v>0</v>
      </c>
      <c r="BI15" s="1033">
        <f>IF($AM15="Revêtement", IF($I15="kg",$J15,0), 0)</f>
        <v>0</v>
      </c>
      <c r="BJ15" s="1030">
        <f>_xlfn.XLOOKUP(H15, 'Baumaterialien Matériaux'!A:A, 'Baumaterialien Matériaux'!E:E, "-", 0, 1)</f>
        <v>2150</v>
      </c>
      <c r="BK15" s="1032">
        <f t="shared" si="5"/>
        <v>29.177499999999998</v>
      </c>
      <c r="BL15" s="1030">
        <f t="shared" si="6"/>
        <v>0</v>
      </c>
      <c r="BM15" s="1033">
        <f t="shared" si="7"/>
        <v>0</v>
      </c>
      <c r="BN15" s="720">
        <f>IFERROR((J15*VLOOKUP(H15, 'Baumaterialien Matériaux'!$A$11:$AH$318, 32,FALSE))*($L$2/L15-1),0)/$G$1</f>
        <v>0</v>
      </c>
      <c r="BO15" s="720">
        <f>IFERROR((N15+Q15)*($L$2/L15-1),0)</f>
        <v>0</v>
      </c>
    </row>
    <row r="16" spans="1:67">
      <c r="B16" s="1103"/>
      <c r="C16" s="1110"/>
      <c r="D16" s="660"/>
      <c r="E16" s="657"/>
      <c r="F16" s="478" t="s">
        <v>3255</v>
      </c>
      <c r="G16" s="478" t="str">
        <f>_xlfn.XLOOKUP(H16, 'Baumaterialien Matériaux'!A:A, 'Baumaterialien Matériaux'!AD:AD, "-", 0, 1)</f>
        <v>Gravier rond</v>
      </c>
      <c r="H16" s="891" t="s">
        <v>530</v>
      </c>
      <c r="I16" s="641" t="str">
        <f>_xlfn.XLOOKUP(H16, 'Baumaterialien Matériaux'!A:A, 'Baumaterialien Matériaux'!F:F, "-", 0, 1)</f>
        <v>kg</v>
      </c>
      <c r="J16" s="649">
        <f t="shared" si="26"/>
        <v>148540</v>
      </c>
      <c r="K16" s="893">
        <f>0.14*2000</f>
        <v>280</v>
      </c>
      <c r="L16" s="527">
        <v>60</v>
      </c>
      <c r="M16" s="648">
        <f t="shared" si="20"/>
        <v>2.767470306956656</v>
      </c>
      <c r="N16" s="720">
        <f>IFERROR(($J16*VLOOKUP($H16, 'Baumaterialien Matériaux'!$A$11:$AD$318, 26,FALSE)),0)/$G$1</f>
        <v>0.5040691038099645</v>
      </c>
      <c r="O16" s="720">
        <f>IFERROR(($J16*VLOOKUP($H16, 'Baumaterialien Matériaux'!$A$11:$AH$318, 33,FALSE)),0)/$G$1</f>
        <v>0.1685685639364492</v>
      </c>
      <c r="P16" s="720">
        <f t="shared" si="27"/>
        <v>0</v>
      </c>
      <c r="Q16" s="720">
        <f>IFERROR(($J16*VLOOKUP($H16, 'Baumaterialien Matériaux'!$A$11:$AH$318, 27,FALSE)),0)/$G$1</f>
        <v>2.0948326392102423</v>
      </c>
      <c r="R16" s="720">
        <f>IFERROR(($J16*VLOOKUP($H16, 'Baumaterialien Matériaux'!$A$11:$AH$318, 34,FALSE)),0)/$G$1</f>
        <v>0.38623476785438843</v>
      </c>
      <c r="S16" s="720">
        <f>IFERROR((J16*VLOOKUP(H16, 'Baumaterialien Matériaux'!$A$11:$AD$318, 29,FALSE)),0)/$G$1</f>
        <v>0</v>
      </c>
      <c r="T16" s="720">
        <f>S16*AJ16</f>
        <v>0</v>
      </c>
      <c r="V16" s="638">
        <f t="shared" si="3"/>
        <v>0</v>
      </c>
      <c r="W16" s="638">
        <f t="shared" si="4"/>
        <v>0</v>
      </c>
      <c r="Y16" s="638" t="str">
        <f t="shared" si="9"/>
        <v>Structure</v>
      </c>
      <c r="Z16" s="638">
        <f t="shared" si="10"/>
        <v>60</v>
      </c>
      <c r="AA16" s="1083" t="s">
        <v>3441</v>
      </c>
      <c r="AB16" t="str">
        <f>_xlfn.XLOOKUP($H16,'[1]Baumaterialien Matériaux'!$A:$A,'[1]Baumaterialien Matériaux'!AK:AK,0,0)</f>
        <v>stone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622" cm="1">
        <f t="array" ref="AD16">IFERROR(_xlfn.SWITCH(I16,"kg",1,"m3",AC16,AC16)*J16/(_xlfn.XLOOKUP(AA16,Métrés!A:A,Métrés!D:D,0)),0)</f>
        <v>280</v>
      </c>
      <c r="AE16" s="1092">
        <f>IFERROR(N16*$G$1/(_xlfn.XLOOKUP($AA16,Métrés!$A:$A,Métrés!$D:$D,0)),0)</f>
        <v>0.86239999999999994</v>
      </c>
      <c r="AF16" s="1092">
        <f>IFERROR(O16*$G$1/(_xlfn.XLOOKUP($AA16,Métrés!$A:$A,Métrés!$D:$D,0)),0)</f>
        <v>0.28840000000000005</v>
      </c>
      <c r="AG16" s="1092">
        <f>IFERROR(Q16*$G$1/(_xlfn.XLOOKUP($AA16,Métrés!$A:$A,Métrés!$D:$D,0)),0)</f>
        <v>3.5840000000000001</v>
      </c>
      <c r="AH16" s="1092">
        <f>IFERROR(R16*$G$1/(_xlfn.XLOOKUP($AA16,Métrés!$A:$A,Métrés!$D:$D,0)),0)</f>
        <v>0.66080000000000005</v>
      </c>
      <c r="AI16" s="1092">
        <f>IFERROR(S16*$G$1/(_xlfn.XLOOKUP($AA16,Métrés!$A:$A,Métrés!$D:$D,0)),0)</f>
        <v>0</v>
      </c>
      <c r="AJ16" s="1030"/>
      <c r="AK16" s="1030">
        <f>IF(L16=60,0,T16)</f>
        <v>0</v>
      </c>
      <c r="AL16" s="1030">
        <f>IF(L16=60,0,S16)</f>
        <v>0</v>
      </c>
      <c r="AM16" s="638" t="str">
        <f>IF(L16=$L$2, "Structure", IF(L16&gt;0,"Revêtement",0))</f>
        <v>Structure</v>
      </c>
      <c r="AN16" s="1032">
        <f>IF(AM16="Structure",N16,0)</f>
        <v>0.5040691038099645</v>
      </c>
      <c r="AO16" s="1030">
        <f>IF(AM16="Structure",P16,0)</f>
        <v>0</v>
      </c>
      <c r="AP16" s="1030">
        <f>IF(AM16="Structure",Q16,0)</f>
        <v>2.0948326392102423</v>
      </c>
      <c r="AQ16" s="1030">
        <f>IF(AM16="Structure",S16,0)</f>
        <v>0</v>
      </c>
      <c r="AR16" s="1033">
        <f>IF(AM16="Structure",T16,0)</f>
        <v>0</v>
      </c>
      <c r="AS16" s="1032">
        <f>IF($AM16="Insulation",N16,0)</f>
        <v>0</v>
      </c>
      <c r="AT16" s="1030">
        <f t="shared" si="21"/>
        <v>0</v>
      </c>
      <c r="AU16" s="1030">
        <f t="shared" si="21"/>
        <v>0</v>
      </c>
      <c r="AV16" s="1030">
        <f t="shared" si="22"/>
        <v>0</v>
      </c>
      <c r="AW16" s="1033">
        <f t="shared" si="22"/>
        <v>0</v>
      </c>
      <c r="AX16" s="1032">
        <f>IF($AM16="Revêtement",N16,0)</f>
        <v>0</v>
      </c>
      <c r="AY16" s="1030">
        <f t="shared" si="23"/>
        <v>0</v>
      </c>
      <c r="AZ16" s="1030">
        <f t="shared" si="23"/>
        <v>0</v>
      </c>
      <c r="BA16" s="1030">
        <f t="shared" si="24"/>
        <v>0</v>
      </c>
      <c r="BB16" s="1033">
        <f t="shared" si="24"/>
        <v>0</v>
      </c>
      <c r="BC16" s="1032">
        <f>IF($AM16="Installation",N16,0)</f>
        <v>0</v>
      </c>
      <c r="BD16" s="1030">
        <f t="shared" si="25"/>
        <v>0</v>
      </c>
      <c r="BE16" s="1030">
        <f t="shared" si="25"/>
        <v>0</v>
      </c>
      <c r="BF16" s="1033">
        <f>IF($AM16="Installation",S16,0)</f>
        <v>0</v>
      </c>
      <c r="BG16" s="1032">
        <f>IF($AM16="Structure", IF($I16="kg",$J16,0), 0)</f>
        <v>148540</v>
      </c>
      <c r="BH16" s="1030">
        <f>IF($AM16="Insulation", IF($I16="kg",$J16,0), 0)</f>
        <v>0</v>
      </c>
      <c r="BI16" s="1033">
        <f>IF($AM16="Revêtement", IF($I16="kg",$J16,0), 0)</f>
        <v>0</v>
      </c>
      <c r="BJ16" s="1030">
        <f>_xlfn.XLOOKUP(H16, 'Baumaterialien Matériaux'!A:A, 'Baumaterialien Matériaux'!E:E, "-", 0, 1)</f>
        <v>2000</v>
      </c>
      <c r="BK16" s="1032">
        <f t="shared" si="5"/>
        <v>74.27</v>
      </c>
      <c r="BL16" s="1030">
        <f t="shared" si="6"/>
        <v>0</v>
      </c>
      <c r="BM16" s="1033">
        <f t="shared" si="7"/>
        <v>0</v>
      </c>
      <c r="BN16" s="720">
        <f>IFERROR((J16*VLOOKUP(H16, 'Baumaterialien Matériaux'!$A$11:$AH$318, 32,FALSE))*($L$2/L16-1),0)/$G$1</f>
        <v>0</v>
      </c>
      <c r="BO16" s="720">
        <f>IFERROR((N16+Q16)*($L$2/L16-1),0)</f>
        <v>0</v>
      </c>
    </row>
    <row r="17" spans="2:67">
      <c r="B17" s="1103"/>
      <c r="C17" s="1110"/>
      <c r="D17" s="660"/>
      <c r="E17" s="657"/>
      <c r="F17" s="478" t="s">
        <v>3058</v>
      </c>
      <c r="G17" s="478" t="str">
        <f>_xlfn.XLOOKUP(H17, 'Baumaterialien Matériaux'!A:A, 'Baumaterialien Matériaux'!AD:AD, "-", 0, 1)</f>
        <v>Polystyrène extrudé (XPS)</v>
      </c>
      <c r="H17" s="892" t="s">
        <v>110</v>
      </c>
      <c r="I17" s="641" t="str">
        <f>_xlfn.XLOOKUP(H17, 'Baumaterialien Matériaux'!A:A, 'Baumaterialien Matériaux'!F:F, "-", 0, 1)</f>
        <v>kg</v>
      </c>
      <c r="J17" s="890">
        <f>69.63*K17</f>
        <v>334.22399999999999</v>
      </c>
      <c r="K17" s="893">
        <f>0.16*30</f>
        <v>4.8</v>
      </c>
      <c r="L17" s="527">
        <v>60</v>
      </c>
      <c r="M17" s="648">
        <f t="shared" si="20"/>
        <v>5.9434293647121041</v>
      </c>
      <c r="N17" s="720">
        <f>IFERROR(($J17*VLOOKUP($H17, 'Baumaterialien Matériaux'!$A$11:$AD$318, 26,FALSE)),0)/$G$1</f>
        <v>4.161137039730284</v>
      </c>
      <c r="O17" s="720">
        <f>IFERROR(($J17*VLOOKUP($H17, 'Baumaterialien Matériaux'!$A$11:$AH$318, 33,FALSE)),0)/$G$1</f>
        <v>0.64442387783433586</v>
      </c>
      <c r="P17" s="720">
        <f t="shared" si="27"/>
        <v>0</v>
      </c>
      <c r="Q17" s="720">
        <f>IFERROR(($J17*VLOOKUP($H17, 'Baumaterialien Matériaux'!$A$11:$AH$318, 27,FALSE)),0)/$G$1</f>
        <v>1.1378684471474847</v>
      </c>
      <c r="R17" s="720">
        <f>IFERROR(($J17*VLOOKUP($H17, 'Baumaterialien Matériaux'!$A$11:$AH$318, 34,FALSE)),0)/$G$1</f>
        <v>0.25997900442916633</v>
      </c>
      <c r="S17" s="720">
        <f>IFERROR((J17*VLOOKUP(H17, 'Baumaterialien Matériaux'!$A$11:$AD$318, 29,FALSE)),0)/$G$1</f>
        <v>0</v>
      </c>
      <c r="T17" s="720">
        <f>S17*AJ17</f>
        <v>0</v>
      </c>
      <c r="V17" s="638">
        <f t="shared" si="3"/>
        <v>0</v>
      </c>
      <c r="W17" s="638">
        <f t="shared" si="4"/>
        <v>0</v>
      </c>
      <c r="Y17" s="638" t="str">
        <f t="shared" si="9"/>
        <v>Structure</v>
      </c>
      <c r="Z17" s="638">
        <f t="shared" si="10"/>
        <v>60</v>
      </c>
      <c r="AA17" s="1083" t="s">
        <v>3441</v>
      </c>
      <c r="AB17" t="str">
        <f>_xlfn.XLOOKUP($H17,'[1]Baumaterialien Matériaux'!$A:$A,'[1]Baumaterialien Matériaux'!AK:AK,0,0)</f>
        <v>oil_product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622" cm="1">
        <f t="array" ref="AD17">IFERROR(_xlfn.SWITCH(I17,"kg",1,"m3",AC17,AC17)*J17/(_xlfn.XLOOKUP(AA17,Métrés!A:A,Métrés!D:D,0)),0)</f>
        <v>0.63001696512723848</v>
      </c>
      <c r="AE17" s="1092">
        <f>IFERROR(N17*$G$1/(_xlfn.XLOOKUP($AA17,Métrés!$A:$A,Métrés!$D:$D,0)),0)</f>
        <v>7.119191705937796</v>
      </c>
      <c r="AF17" s="1092">
        <f>IFERROR(O17*$G$1/(_xlfn.XLOOKUP($AA17,Métrés!$A:$A,Métrés!$D:$D,0)),0)</f>
        <v>1.1025296889726672</v>
      </c>
      <c r="AG17" s="1092">
        <f>IFERROR(Q17*$G$1/(_xlfn.XLOOKUP($AA17,Métrés!$A:$A,Métrés!$D:$D,0)),0)</f>
        <v>1.9467524222431669</v>
      </c>
      <c r="AH17" s="1092">
        <f>IFERROR(R17*$G$1/(_xlfn.XLOOKUP($AA17,Métrés!$A:$A,Métrés!$D:$D,0)),0)</f>
        <v>0.44479197737983023</v>
      </c>
      <c r="AI17" s="1092">
        <f>IFERROR(S17*$G$1/(_xlfn.XLOOKUP($AA17,Métrés!$A:$A,Métrés!$D:$D,0)),0)</f>
        <v>0</v>
      </c>
      <c r="AJ17" s="1030"/>
      <c r="AK17" s="1030">
        <f>IF(L17=60,0,T17)</f>
        <v>0</v>
      </c>
      <c r="AL17" s="1030">
        <f>IF(L17=60,0,S17)</f>
        <v>0</v>
      </c>
      <c r="AM17" s="638" t="str">
        <f>IF(L17=$L$2, "Structure", IF(L17&gt;0,"Revêtement",0))</f>
        <v>Structure</v>
      </c>
      <c r="AN17" s="1032">
        <f>IF(AM17="Structure",N17,0)</f>
        <v>4.161137039730284</v>
      </c>
      <c r="AO17" s="1030">
        <f>IF(AM17="Structure",P17,0)</f>
        <v>0</v>
      </c>
      <c r="AP17" s="1030">
        <f>IF(AM17="Structure",Q17,0)</f>
        <v>1.1378684471474847</v>
      </c>
      <c r="AQ17" s="1030">
        <f>IF(AM17="Structure",S17,0)</f>
        <v>0</v>
      </c>
      <c r="AR17" s="1033">
        <f>IF(AM17="Structure",T17,0)</f>
        <v>0</v>
      </c>
      <c r="AS17" s="1032">
        <f>IF($AM17="Insulation",N17,0)</f>
        <v>0</v>
      </c>
      <c r="AT17" s="1030">
        <f t="shared" si="21"/>
        <v>0</v>
      </c>
      <c r="AU17" s="1030">
        <f t="shared" si="21"/>
        <v>0</v>
      </c>
      <c r="AV17" s="1030">
        <f t="shared" si="22"/>
        <v>0</v>
      </c>
      <c r="AW17" s="1033">
        <f t="shared" si="22"/>
        <v>0</v>
      </c>
      <c r="AX17" s="1032">
        <f>IF($AM17="Revêtement",N17,0)</f>
        <v>0</v>
      </c>
      <c r="AY17" s="1030">
        <f t="shared" si="23"/>
        <v>0</v>
      </c>
      <c r="AZ17" s="1030">
        <f t="shared" si="23"/>
        <v>0</v>
      </c>
      <c r="BA17" s="1030">
        <f t="shared" si="24"/>
        <v>0</v>
      </c>
      <c r="BB17" s="1033">
        <f t="shared" si="24"/>
        <v>0</v>
      </c>
      <c r="BC17" s="1032">
        <f>IF($AM17="Installation",N17,0)</f>
        <v>0</v>
      </c>
      <c r="BD17" s="1030">
        <f t="shared" si="25"/>
        <v>0</v>
      </c>
      <c r="BE17" s="1030">
        <f t="shared" si="25"/>
        <v>0</v>
      </c>
      <c r="BF17" s="1033">
        <f>IF($AM17="Installation",S17,0)</f>
        <v>0</v>
      </c>
      <c r="BG17" s="1032">
        <f>IF($AM17="Structure", IF($I17="kg",$J17,0), 0)</f>
        <v>334.22399999999999</v>
      </c>
      <c r="BH17" s="1030">
        <f>IF($AM17="Insulation", IF($I17="kg",$J17,0), 0)</f>
        <v>0</v>
      </c>
      <c r="BI17" s="1033">
        <f>IF($AM17="Revêtement", IF($I17="kg",$J17,0), 0)</f>
        <v>0</v>
      </c>
      <c r="BJ17" s="1030">
        <v>30</v>
      </c>
      <c r="BK17" s="1032">
        <f t="shared" si="5"/>
        <v>11.1408</v>
      </c>
      <c r="BL17" s="1030">
        <f t="shared" si="6"/>
        <v>0</v>
      </c>
      <c r="BM17" s="1033">
        <f t="shared" si="7"/>
        <v>0</v>
      </c>
    </row>
    <row r="18" spans="2:67">
      <c r="B18" s="1103"/>
      <c r="C18" s="1110"/>
      <c r="D18" s="660"/>
      <c r="E18" s="657"/>
      <c r="F18" s="479"/>
      <c r="G18" s="479"/>
      <c r="H18" s="479"/>
      <c r="I18" s="459"/>
      <c r="J18" s="662"/>
      <c r="K18" s="663"/>
      <c r="L18" s="663"/>
      <c r="M18" s="664"/>
      <c r="N18" s="664"/>
      <c r="O18" s="664"/>
      <c r="P18" s="664"/>
      <c r="Q18" s="664"/>
      <c r="R18" s="664"/>
      <c r="S18" s="664"/>
      <c r="T18" s="664"/>
      <c r="V18" s="638">
        <f t="shared" si="3"/>
        <v>0</v>
      </c>
      <c r="W18" s="638">
        <f t="shared" si="4"/>
        <v>0</v>
      </c>
      <c r="Y18" s="638">
        <f t="shared" si="9"/>
        <v>0</v>
      </c>
      <c r="Z18" s="638">
        <f t="shared" si="10"/>
        <v>0</v>
      </c>
      <c r="AA18" s="1083" t="s">
        <v>3441</v>
      </c>
      <c r="AB18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622" cm="1">
        <f t="array" ref="AD18">IFERROR(_xlfn.SWITCH(I18,"kg",1,"m3",AC18,AC18)*J18/(_xlfn.XLOOKUP(AA18,Métrés!A:A,Métrés!D:D,0)),0)</f>
        <v>0</v>
      </c>
      <c r="AE18" s="1092">
        <f>IFERROR(N18*$G$1/(_xlfn.XLOOKUP($AA18,Métrés!$A:$A,Métrés!$D:$D,0)),0)</f>
        <v>0</v>
      </c>
      <c r="AF18" s="1092">
        <f>IFERROR(O18*$G$1/(_xlfn.XLOOKUP($AA18,Métrés!$A:$A,Métrés!$D:$D,0)),0)</f>
        <v>0</v>
      </c>
      <c r="AG18" s="1092">
        <f>IFERROR(Q18*$G$1/(_xlfn.XLOOKUP($AA18,Métrés!$A:$A,Métrés!$D:$D,0)),0)</f>
        <v>0</v>
      </c>
      <c r="AH18" s="1092">
        <f>IFERROR(R18*$G$1/(_xlfn.XLOOKUP($AA18,Métrés!$A:$A,Métrés!$D:$D,0)),0)</f>
        <v>0</v>
      </c>
      <c r="AI18" s="1092">
        <f>IFERROR(S18*$G$1/(_xlfn.XLOOKUP($AA18,Métrés!$A:$A,Métrés!$D:$D,0)),0)</f>
        <v>0</v>
      </c>
      <c r="AJ18" s="1064"/>
      <c r="AK18" s="1064"/>
      <c r="AL18" s="1064"/>
      <c r="AM18" s="1021"/>
      <c r="AN18" s="1073"/>
      <c r="AO18" s="1064"/>
      <c r="AP18" s="1064"/>
      <c r="AQ18" s="1064"/>
      <c r="AR18" s="1074"/>
      <c r="AS18" s="1073"/>
      <c r="AT18" s="1064"/>
      <c r="AU18" s="1064"/>
      <c r="AV18" s="1064"/>
      <c r="AW18" s="1074"/>
      <c r="AX18" s="1073"/>
      <c r="AY18" s="1064"/>
      <c r="AZ18" s="1064"/>
      <c r="BA18" s="1064"/>
      <c r="BB18" s="1074"/>
      <c r="BC18" s="1073"/>
      <c r="BD18" s="1064"/>
      <c r="BE18" s="1064"/>
      <c r="BF18" s="1074"/>
      <c r="BG18" s="1073"/>
      <c r="BH18" s="1064"/>
      <c r="BI18" s="1074"/>
      <c r="BJ18" s="1078"/>
      <c r="BK18" s="1073"/>
      <c r="BL18" s="1064"/>
      <c r="BM18" s="1074"/>
    </row>
    <row r="19" spans="2:67">
      <c r="B19" s="1103"/>
      <c r="C19" s="1110"/>
      <c r="D19" s="660"/>
      <c r="E19" s="657"/>
      <c r="F19" s="478"/>
      <c r="G19" s="478"/>
      <c r="H19" s="892"/>
      <c r="I19" s="641"/>
      <c r="J19" s="649"/>
      <c r="K19" s="893"/>
      <c r="L19" s="478"/>
      <c r="M19" s="648"/>
      <c r="N19" s="720"/>
      <c r="O19" s="720"/>
      <c r="P19" s="720"/>
      <c r="Q19" s="720"/>
      <c r="R19" s="720"/>
      <c r="S19" s="720"/>
      <c r="T19" s="720">
        <f>S19*AJ19</f>
        <v>0</v>
      </c>
      <c r="AA19" s="1083"/>
      <c r="AB19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622" cm="1">
        <f t="array" ref="AD19">IFERROR(_xlfn.SWITCH(I19,"kg",1,"m3",AC19,AC19)*J19/(_xlfn.XLOOKUP(AA19,Métrés!A:A,Métrés!D:D,0)),0)</f>
        <v>0</v>
      </c>
      <c r="AE19" s="1092"/>
      <c r="AF19" s="1092"/>
      <c r="AG19" s="1092"/>
      <c r="AH19" s="1092"/>
      <c r="AI19" s="1092"/>
      <c r="AJ19" s="1030"/>
      <c r="AK19" s="1030">
        <f>IF(L19=60,0,T19)</f>
        <v>0</v>
      </c>
      <c r="AL19" s="1030">
        <f>IF(L19=60,0,S19)</f>
        <v>0</v>
      </c>
      <c r="AM19" s="638">
        <f>IF(L19=$L$2, "Structure", IF(L19&gt;0,"Revêtement",0))</f>
        <v>0</v>
      </c>
      <c r="AN19" s="1032">
        <f>IF(AM19="Structure",N19,0)</f>
        <v>0</v>
      </c>
      <c r="AO19" s="1030">
        <f>IF(AM19="Structure",P19,0)</f>
        <v>0</v>
      </c>
      <c r="AP19" s="1030">
        <f>IF(AM19="Structure",Q19,0)</f>
        <v>0</v>
      </c>
      <c r="AQ19" s="1030">
        <f>IF(AM19="Structure",S19,0)</f>
        <v>0</v>
      </c>
      <c r="AR19" s="1033">
        <f>IF(AM19="Structure",T19,0)</f>
        <v>0</v>
      </c>
      <c r="AS19" s="1032">
        <f>IF($AM19="Insulation",N19,0)</f>
        <v>0</v>
      </c>
      <c r="AT19" s="1030">
        <f t="shared" ref="AT19:AU21" si="28">IF($AM19="Insulation",P19,0)</f>
        <v>0</v>
      </c>
      <c r="AU19" s="1030">
        <f t="shared" si="28"/>
        <v>0</v>
      </c>
      <c r="AV19" s="1030">
        <f t="shared" ref="AV19:AW21" si="29">IF($AM19="Insulation",S19,0)</f>
        <v>0</v>
      </c>
      <c r="AW19" s="1033">
        <f t="shared" si="29"/>
        <v>0</v>
      </c>
      <c r="AX19" s="1032">
        <f>IF($AM19="Revêtement",N19,0)</f>
        <v>0</v>
      </c>
      <c r="AY19" s="1030">
        <f t="shared" ref="AY19:AZ21" si="30">IF($AM19="Revêtement",P19,0)</f>
        <v>0</v>
      </c>
      <c r="AZ19" s="1030">
        <f t="shared" si="30"/>
        <v>0</v>
      </c>
      <c r="BA19" s="1030">
        <f t="shared" ref="BA19:BB21" si="31">IF($AM19="Revêtement",S19,0)</f>
        <v>0</v>
      </c>
      <c r="BB19" s="1033">
        <f t="shared" si="31"/>
        <v>0</v>
      </c>
      <c r="BC19" s="1032">
        <f>IF($AM19="Installation",N19,0)</f>
        <v>0</v>
      </c>
      <c r="BD19" s="1030">
        <f t="shared" ref="BD19:BE21" si="32">IF($AM19="Installation",P19,0)</f>
        <v>0</v>
      </c>
      <c r="BE19" s="1030">
        <f t="shared" si="32"/>
        <v>0</v>
      </c>
      <c r="BF19" s="1033">
        <f>IF($AM19="Installation",S19,0)</f>
        <v>0</v>
      </c>
      <c r="BG19" s="1032">
        <f>IF($AM19="Structure", IF($I19="kg",$J19,0), 0)</f>
        <v>0</v>
      </c>
      <c r="BH19" s="1030">
        <f>IF($AM19="Insulation", IF($I19="kg",$J19,0), 0)</f>
        <v>0</v>
      </c>
      <c r="BI19" s="1033">
        <f>IF($AM19="Revêtement", IF($I19="kg",$J19,0), 0)</f>
        <v>0</v>
      </c>
      <c r="BJ19" s="1030">
        <f>_xlfn.XLOOKUP(H19, 'Baumaterialien Matériaux'!A:A, 'Baumaterialien Matériaux'!E:E, "-", 0, 1)</f>
        <v>0</v>
      </c>
      <c r="BK19" s="1032">
        <f t="shared" si="5"/>
        <v>0</v>
      </c>
      <c r="BL19" s="1030">
        <f t="shared" si="6"/>
        <v>0</v>
      </c>
      <c r="BM19" s="1033">
        <f t="shared" si="7"/>
        <v>0</v>
      </c>
    </row>
    <row r="20" spans="2:67">
      <c r="B20" s="1103"/>
      <c r="C20" s="1110"/>
      <c r="D20" s="660"/>
      <c r="E20" s="657"/>
      <c r="F20" s="478"/>
      <c r="G20" s="478"/>
      <c r="H20" s="891"/>
      <c r="I20" s="641"/>
      <c r="J20" s="649"/>
      <c r="K20" s="728"/>
      <c r="L20" s="478"/>
      <c r="M20" s="648"/>
      <c r="N20" s="720"/>
      <c r="O20" s="720"/>
      <c r="P20" s="720"/>
      <c r="Q20" s="720"/>
      <c r="R20" s="720"/>
      <c r="S20" s="720"/>
      <c r="T20" s="720">
        <f>S20*AJ20</f>
        <v>0</v>
      </c>
      <c r="V20" s="638">
        <f t="shared" si="3"/>
        <v>0</v>
      </c>
      <c r="W20" s="638">
        <f t="shared" si="4"/>
        <v>0</v>
      </c>
      <c r="Y20" s="638">
        <f t="shared" si="9"/>
        <v>0</v>
      </c>
      <c r="Z20" s="638">
        <f t="shared" si="10"/>
        <v>0</v>
      </c>
      <c r="AA20" s="1083" t="s">
        <v>3441</v>
      </c>
      <c r="AB20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622" cm="1">
        <f t="array" ref="AD20">IFERROR(_xlfn.SWITCH(I20,"kg",1,"m3",AC20,AC20)*J20/(_xlfn.XLOOKUP(AA20,Métrés!A:A,Métrés!D:D,0)),0)</f>
        <v>0</v>
      </c>
      <c r="AE20" s="1092">
        <f>IFERROR(N20*$G$1/(_xlfn.XLOOKUP($AA20,Métrés!$A:$A,Métrés!$D:$D,0)),0)</f>
        <v>0</v>
      </c>
      <c r="AF20" s="1092">
        <f>IFERROR(O20*$G$1/(_xlfn.XLOOKUP($AA20,Métrés!$A:$A,Métrés!$D:$D,0)),0)</f>
        <v>0</v>
      </c>
      <c r="AG20" s="1092">
        <f>IFERROR(Q20*$G$1/(_xlfn.XLOOKUP($AA20,Métrés!$A:$A,Métrés!$D:$D,0)),0)</f>
        <v>0</v>
      </c>
      <c r="AH20" s="1092">
        <f>IFERROR(R20*$G$1/(_xlfn.XLOOKUP($AA20,Métrés!$A:$A,Métrés!$D:$D,0)),0)</f>
        <v>0</v>
      </c>
      <c r="AI20" s="1092">
        <f>IFERROR(S20*$G$1/(_xlfn.XLOOKUP($AA20,Métrés!$A:$A,Métrés!$D:$D,0)),0)</f>
        <v>0</v>
      </c>
      <c r="AJ20" s="1030"/>
      <c r="AK20" s="1030">
        <f>IF(L20=60,0,T20)</f>
        <v>0</v>
      </c>
      <c r="AL20" s="1030">
        <f>IF(L20=60,0,S20)</f>
        <v>0</v>
      </c>
      <c r="AM20" s="638">
        <f>IF(L20=$L$2, "Structure", IF(L20&gt;0,"Revêtement",0))</f>
        <v>0</v>
      </c>
      <c r="AN20" s="1032">
        <f>IF(AM20="Structure",N20,0)</f>
        <v>0</v>
      </c>
      <c r="AO20" s="1030">
        <f>IF(AM20="Structure",P20,0)</f>
        <v>0</v>
      </c>
      <c r="AP20" s="1030">
        <f>IF(AM20="Structure",Q20,0)</f>
        <v>0</v>
      </c>
      <c r="AQ20" s="1030">
        <f>IF(AM20="Structure",S20,0)</f>
        <v>0</v>
      </c>
      <c r="AR20" s="1033">
        <f>IF(AM20="Structure",T20,0)</f>
        <v>0</v>
      </c>
      <c r="AS20" s="1032">
        <f>IF($AM20="Insulation",N20,0)</f>
        <v>0</v>
      </c>
      <c r="AT20" s="1030">
        <f t="shared" si="28"/>
        <v>0</v>
      </c>
      <c r="AU20" s="1030">
        <f t="shared" si="28"/>
        <v>0</v>
      </c>
      <c r="AV20" s="1030">
        <f t="shared" si="29"/>
        <v>0</v>
      </c>
      <c r="AW20" s="1033">
        <f t="shared" si="29"/>
        <v>0</v>
      </c>
      <c r="AX20" s="1032">
        <f>IF($AM20="Revêtement",N20,0)</f>
        <v>0</v>
      </c>
      <c r="AY20" s="1030">
        <f t="shared" si="30"/>
        <v>0</v>
      </c>
      <c r="AZ20" s="1030">
        <f t="shared" si="30"/>
        <v>0</v>
      </c>
      <c r="BA20" s="1030">
        <f t="shared" si="31"/>
        <v>0</v>
      </c>
      <c r="BB20" s="1033">
        <f t="shared" si="31"/>
        <v>0</v>
      </c>
      <c r="BC20" s="1032">
        <f>IF($AM20="Installation",N20,0)</f>
        <v>0</v>
      </c>
      <c r="BD20" s="1030">
        <f t="shared" si="32"/>
        <v>0</v>
      </c>
      <c r="BE20" s="1030">
        <f t="shared" si="32"/>
        <v>0</v>
      </c>
      <c r="BF20" s="1033">
        <f>IF($AM20="Installation",S20,0)</f>
        <v>0</v>
      </c>
      <c r="BG20" s="1032">
        <f>IF($AM20="Structure", IF($I20="kg",$J20,0), 0)</f>
        <v>0</v>
      </c>
      <c r="BH20" s="1030">
        <f>IF($AM20="Insulation", IF($I20="kg",$J20,0), 0)</f>
        <v>0</v>
      </c>
      <c r="BI20" s="1033">
        <f>IF($AM20="Revêtement", IF($I20="kg",$J20,0), 0)</f>
        <v>0</v>
      </c>
      <c r="BJ20" s="1030">
        <f>_xlfn.XLOOKUP(H20, 'Baumaterialien Matériaux'!A:A, 'Baumaterialien Matériaux'!E:E, "-", 0, 1)</f>
        <v>0</v>
      </c>
      <c r="BK20" s="1032">
        <f t="shared" si="5"/>
        <v>0</v>
      </c>
      <c r="BL20" s="1030">
        <f t="shared" si="6"/>
        <v>0</v>
      </c>
      <c r="BM20" s="1033">
        <f t="shared" si="7"/>
        <v>0</v>
      </c>
    </row>
    <row r="21" spans="2:67">
      <c r="B21" s="1103"/>
      <c r="C21" s="1111"/>
      <c r="D21" s="661"/>
      <c r="E21" s="657"/>
      <c r="F21" s="478"/>
      <c r="G21" s="478"/>
      <c r="H21" s="892"/>
      <c r="I21" s="641"/>
      <c r="J21" s="649"/>
      <c r="K21" s="728"/>
      <c r="L21" s="478"/>
      <c r="M21" s="648"/>
      <c r="N21" s="720"/>
      <c r="O21" s="720"/>
      <c r="P21" s="720"/>
      <c r="Q21" s="720"/>
      <c r="R21" s="720"/>
      <c r="S21" s="720"/>
      <c r="T21" s="720">
        <f>S21*AJ21</f>
        <v>0</v>
      </c>
      <c r="V21" s="638">
        <f t="shared" si="3"/>
        <v>0</v>
      </c>
      <c r="W21" s="638">
        <f t="shared" si="4"/>
        <v>0</v>
      </c>
      <c r="Y21" s="638">
        <f t="shared" si="9"/>
        <v>0</v>
      </c>
      <c r="Z21" s="638">
        <f t="shared" si="10"/>
        <v>0</v>
      </c>
      <c r="AA21" s="1083" t="s">
        <v>3441</v>
      </c>
      <c r="AB21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622" cm="1">
        <f t="array" ref="AD21">IFERROR(_xlfn.SWITCH(I21,"kg",1,"m3",AC21,AC21)*J21/(_xlfn.XLOOKUP(AA21,Métrés!A:A,Métrés!D:D,0)),0)</f>
        <v>0</v>
      </c>
      <c r="AE21" s="1092">
        <f>IFERROR(N21*$G$1/(_xlfn.XLOOKUP($AA21,Métrés!$A:$A,Métrés!$D:$D,0)),0)</f>
        <v>0</v>
      </c>
      <c r="AF21" s="1092">
        <f>IFERROR(O21*$G$1/(_xlfn.XLOOKUP($AA21,Métrés!$A:$A,Métrés!$D:$D,0)),0)</f>
        <v>0</v>
      </c>
      <c r="AG21" s="1092">
        <f>IFERROR(Q21*$G$1/(_xlfn.XLOOKUP($AA21,Métrés!$A:$A,Métrés!$D:$D,0)),0)</f>
        <v>0</v>
      </c>
      <c r="AH21" s="1092">
        <f>IFERROR(R21*$G$1/(_xlfn.XLOOKUP($AA21,Métrés!$A:$A,Métrés!$D:$D,0)),0)</f>
        <v>0</v>
      </c>
      <c r="AI21" s="1092">
        <f>IFERROR(S21*$G$1/(_xlfn.XLOOKUP($AA21,Métrés!$A:$A,Métrés!$D:$D,0)),0)</f>
        <v>0</v>
      </c>
      <c r="AJ21" s="1030"/>
      <c r="AK21" s="1030">
        <f>IF(L21=60,0,T21)</f>
        <v>0</v>
      </c>
      <c r="AL21" s="1030">
        <f>IF(L21=60,0,S21)</f>
        <v>0</v>
      </c>
      <c r="AM21" s="638">
        <f>IF(L21=$L$2, "Structure", IF(L21&gt;0,"Revêtement",0))</f>
        <v>0</v>
      </c>
      <c r="AN21" s="1032">
        <f>IF(AM21="Structure",N21,0)</f>
        <v>0</v>
      </c>
      <c r="AO21" s="1030">
        <f>IF(AM21="Structure",P21,0)</f>
        <v>0</v>
      </c>
      <c r="AP21" s="1030">
        <f>IF(AM21="Structure",Q21,0)</f>
        <v>0</v>
      </c>
      <c r="AQ21" s="1030">
        <f>IF(AM21="Structure",S21,0)</f>
        <v>0</v>
      </c>
      <c r="AR21" s="1033">
        <f>IF(AM21="Structure",T21,0)</f>
        <v>0</v>
      </c>
      <c r="AS21" s="1032">
        <f>IF($AM21="Insulation",N21,0)</f>
        <v>0</v>
      </c>
      <c r="AT21" s="1030">
        <f t="shared" si="28"/>
        <v>0</v>
      </c>
      <c r="AU21" s="1030">
        <f t="shared" si="28"/>
        <v>0</v>
      </c>
      <c r="AV21" s="1030">
        <f t="shared" si="29"/>
        <v>0</v>
      </c>
      <c r="AW21" s="1033">
        <f t="shared" si="29"/>
        <v>0</v>
      </c>
      <c r="AX21" s="1032">
        <f>IF($AM21="Revêtement",N21,0)</f>
        <v>0</v>
      </c>
      <c r="AY21" s="1030">
        <f t="shared" si="30"/>
        <v>0</v>
      </c>
      <c r="AZ21" s="1030">
        <f t="shared" si="30"/>
        <v>0</v>
      </c>
      <c r="BA21" s="1030">
        <f t="shared" si="31"/>
        <v>0</v>
      </c>
      <c r="BB21" s="1033">
        <f t="shared" si="31"/>
        <v>0</v>
      </c>
      <c r="BC21" s="1032">
        <f>IF($AM21="Installation",N21,0)</f>
        <v>0</v>
      </c>
      <c r="BD21" s="1030">
        <f t="shared" si="32"/>
        <v>0</v>
      </c>
      <c r="BE21" s="1030">
        <f t="shared" si="32"/>
        <v>0</v>
      </c>
      <c r="BF21" s="1033">
        <f>IF($AM21="Installation",S21,0)</f>
        <v>0</v>
      </c>
      <c r="BG21" s="1032">
        <f>IF($AM21="Structure", IF($I21="kg",$J21,0), 0)</f>
        <v>0</v>
      </c>
      <c r="BH21" s="1030">
        <f>IF($AM21="Insulation", IF($I21="kg",$J21,0), 0)</f>
        <v>0</v>
      </c>
      <c r="BI21" s="1033">
        <f>IF($AM21="Revêtement", IF($I21="kg",$J21,0), 0)</f>
        <v>0</v>
      </c>
      <c r="BJ21" s="1030">
        <f>_xlfn.XLOOKUP(H21, 'Baumaterialien Matériaux'!A:A, 'Baumaterialien Matériaux'!E:E, "-", 0, 1)</f>
        <v>0</v>
      </c>
      <c r="BK21" s="1032">
        <f t="shared" si="5"/>
        <v>0</v>
      </c>
      <c r="BL21" s="1030">
        <f t="shared" si="6"/>
        <v>0</v>
      </c>
      <c r="BM21" s="1033">
        <f t="shared" si="7"/>
        <v>0</v>
      </c>
    </row>
    <row r="22" spans="2:67" ht="15.75" customHeight="1">
      <c r="B22" s="1103"/>
      <c r="C22" s="1097" t="s">
        <v>108</v>
      </c>
      <c r="D22" s="659" t="s">
        <v>109</v>
      </c>
      <c r="E22" s="473"/>
      <c r="F22" s="473"/>
      <c r="G22" s="473"/>
      <c r="H22" s="473"/>
      <c r="I22" s="463"/>
      <c r="J22" s="654"/>
      <c r="K22" s="652"/>
      <c r="L22" s="652"/>
      <c r="M22" s="653">
        <f>M23+M27+M34</f>
        <v>52.312486010552867</v>
      </c>
      <c r="N22" s="653">
        <f t="shared" ref="N22:S22" si="33">N23+N27+N34</f>
        <v>38.840013613075953</v>
      </c>
      <c r="O22" s="653">
        <f t="shared" ref="O22" si="34">O23+O27+O34</f>
        <v>8.8232643043983146</v>
      </c>
      <c r="P22" s="653">
        <f t="shared" si="33"/>
        <v>1.4304866634384434</v>
      </c>
      <c r="Q22" s="653">
        <f t="shared" si="33"/>
        <v>3.2187214296401576</v>
      </c>
      <c r="R22" s="653">
        <f t="shared" ref="R22" si="35">R23+R27+R34</f>
        <v>0.94129544993168957</v>
      </c>
      <c r="S22" s="653">
        <f t="shared" si="33"/>
        <v>4.2764911196315643</v>
      </c>
      <c r="T22" s="653">
        <f t="shared" ref="T22" si="36">T23+T27+T34</f>
        <v>3.6435970626473635E-2</v>
      </c>
      <c r="V22" s="638">
        <f t="shared" si="3"/>
        <v>3.6435970626473635E-2</v>
      </c>
      <c r="W22" s="638">
        <f t="shared" si="4"/>
        <v>4.2764911196315643</v>
      </c>
      <c r="Y22" s="638">
        <f t="shared" si="9"/>
        <v>0</v>
      </c>
      <c r="Z22" s="638">
        <f t="shared" si="10"/>
        <v>0</v>
      </c>
      <c r="AA22" s="653"/>
      <c r="AB22">
        <f>_xlfn.XLOOKUP($H22,'[1]Baumaterialien Matériaux'!$A:$A,'[1]Baumaterialien Matériaux'!AK:AK,0,0)</f>
        <v>0</v>
      </c>
      <c r="AC22" t="str" cm="1">
        <f t="array" ref="AC22">_xlfn.SWITCH(I22,"kg"," ",0," ",_xlfn.XLOOKUP(H22, '[1]Baumaterialien Matériaux'!$A:$A, '[1]Baumaterialien Matériaux'!$AL:$AL, "-", 0, 1))</f>
        <v xml:space="preserve"> </v>
      </c>
      <c r="AD22" s="622" cm="1">
        <f t="array" ref="AD22">IFERROR(_xlfn.SWITCH(I22,"kg",1,"m3",AC22,AC22)*J22/(_xlfn.XLOOKUP(AA22,Métrés!A:A,Métrés!D:D,0)),0)</f>
        <v>0</v>
      </c>
      <c r="AE22" s="1092">
        <f>IFERROR(N22*$G$1/(_xlfn.XLOOKUP($AA22,Métrés!$A:$A,Métrés!$D:$D,0)),0)</f>
        <v>0</v>
      </c>
      <c r="AF22" s="1092">
        <f>IFERROR(O22*$G$1/(_xlfn.XLOOKUP($AA22,Métrés!$A:$A,Métrés!$D:$D,0)),0)</f>
        <v>0</v>
      </c>
      <c r="AG22" s="1092">
        <f>IFERROR(Q22*$G$1/(_xlfn.XLOOKUP($AA22,Métrés!$A:$A,Métrés!$D:$D,0)),0)</f>
        <v>0</v>
      </c>
      <c r="AH22" s="1092">
        <f>IFERROR(R22*$G$1/(_xlfn.XLOOKUP($AA22,Métrés!$A:$A,Métrés!$D:$D,0)),0)</f>
        <v>0</v>
      </c>
      <c r="AI22" s="1092">
        <f>IFERROR(S22*$G$1/(_xlfn.XLOOKUP($AA22,Métrés!$A:$A,Métrés!$D:$D,0)),0)</f>
        <v>0</v>
      </c>
      <c r="AJ22" s="1063"/>
      <c r="AK22" s="1063"/>
      <c r="AL22" s="1063"/>
      <c r="AM22" s="1020"/>
      <c r="AN22" s="1071"/>
      <c r="AO22" s="1063"/>
      <c r="AP22" s="1063"/>
      <c r="AQ22" s="1063"/>
      <c r="AR22" s="1072"/>
      <c r="AS22" s="1071"/>
      <c r="AT22" s="1063"/>
      <c r="AU22" s="1063"/>
      <c r="AV22" s="1063"/>
      <c r="AW22" s="1072"/>
      <c r="AX22" s="1071"/>
      <c r="AY22" s="1063"/>
      <c r="AZ22" s="1063"/>
      <c r="BA22" s="1063"/>
      <c r="BB22" s="1072"/>
      <c r="BC22" s="1071"/>
      <c r="BD22" s="1063"/>
      <c r="BE22" s="1063"/>
      <c r="BF22" s="1072"/>
      <c r="BG22" s="1071"/>
      <c r="BH22" s="1063"/>
      <c r="BI22" s="1072"/>
      <c r="BJ22" s="1077"/>
      <c r="BK22" s="1071"/>
      <c r="BL22" s="1063"/>
      <c r="BM22" s="1072"/>
    </row>
    <row r="23" spans="2:67">
      <c r="B23" s="1103"/>
      <c r="C23" s="1098"/>
      <c r="D23" s="478"/>
      <c r="E23" s="479" t="str">
        <f>BillQuantities!E10</f>
        <v>non-isolés</v>
      </c>
      <c r="F23" s="479" t="s">
        <v>3035</v>
      </c>
      <c r="G23" s="479"/>
      <c r="H23" s="479"/>
      <c r="I23" s="459" t="s">
        <v>39</v>
      </c>
      <c r="J23" s="662">
        <v>313.77999999999997</v>
      </c>
      <c r="K23" s="663"/>
      <c r="L23" s="663"/>
      <c r="M23" s="664">
        <f>SUM(M24:M26)</f>
        <v>48.776535721998187</v>
      </c>
      <c r="N23" s="664">
        <f t="shared" ref="N23:S23" si="37">SUM(N24:N26)</f>
        <v>37.479449824816548</v>
      </c>
      <c r="O23" s="664">
        <f t="shared" ref="O23" si="38">SUM(O24:O26)</f>
        <v>8.2422770829201628</v>
      </c>
      <c r="P23" s="664">
        <f t="shared" si="37"/>
        <v>0</v>
      </c>
      <c r="Q23" s="664">
        <f t="shared" si="37"/>
        <v>3.0548088142614751</v>
      </c>
      <c r="R23" s="664">
        <f t="shared" ref="R23" si="39">SUM(R24:R26)</f>
        <v>0.8883625592208193</v>
      </c>
      <c r="S23" s="664">
        <f t="shared" si="37"/>
        <v>0</v>
      </c>
      <c r="T23" s="664">
        <f t="shared" ref="T23" si="40">SUM(T24:T26)</f>
        <v>0</v>
      </c>
      <c r="V23" s="638">
        <f t="shared" si="3"/>
        <v>0</v>
      </c>
      <c r="W23" s="638">
        <f t="shared" si="4"/>
        <v>0</v>
      </c>
      <c r="Y23" s="638">
        <f t="shared" si="9"/>
        <v>0</v>
      </c>
      <c r="Z23" s="638">
        <f t="shared" si="10"/>
        <v>0</v>
      </c>
      <c r="AA23" s="527" t="s">
        <v>3439</v>
      </c>
      <c r="AB23">
        <f>_xlfn.XLOOKUP($H23,'[1]Baumaterialien Matériaux'!$A:$A,'[1]Baumaterialien Matériaux'!AK:AK,0,0)</f>
        <v>0</v>
      </c>
      <c r="AC23" cm="1">
        <f t="array" ref="AC23">_xlfn.SWITCH(I23,"kg"," ",0," ",_xlfn.XLOOKUP(H23, '[1]Baumaterialien Matériaux'!$A:$A, '[1]Baumaterialien Matériaux'!$AL:$AL, "-", 0, 1))</f>
        <v>0</v>
      </c>
      <c r="AD23" s="622" cm="1">
        <f t="array" ref="AD23">IFERROR(_xlfn.SWITCH(I23,"kg",1,"m3",AC23,AC23)*J23/(_xlfn.XLOOKUP(AA23,Métrés!A:A,Métrés!D:D,0)),0)</f>
        <v>0</v>
      </c>
      <c r="AE23" s="1092">
        <f>IFERROR(N23*$G$1/(_xlfn.XLOOKUP($AA23,Métrés!$A:$A,Métrés!$D:$D,0)),0)</f>
        <v>89.890067515788914</v>
      </c>
      <c r="AF23" s="1092">
        <f>IFERROR(O23*$G$1/(_xlfn.XLOOKUP($AA23,Métrés!$A:$A,Métrés!$D:$D,0)),0)</f>
        <v>19.768135523082208</v>
      </c>
      <c r="AG23" s="1092">
        <f>IFERROR(Q23*$G$1/(_xlfn.XLOOKUP($AA23,Métrés!$A:$A,Métrés!$D:$D,0)),0)</f>
        <v>7.326600893163862</v>
      </c>
      <c r="AH23" s="1092">
        <f>IFERROR(R23*$G$1/(_xlfn.XLOOKUP($AA23,Métrés!$A:$A,Métrés!$D:$D,0)),0)</f>
        <v>2.1306334751473193</v>
      </c>
      <c r="AI23" s="1092">
        <f>IFERROR(S23*$G$1/(_xlfn.XLOOKUP($AA23,Métrés!$A:$A,Métrés!$D:$D,0)),0)</f>
        <v>0</v>
      </c>
      <c r="AJ23" s="1064"/>
      <c r="AK23" s="1064"/>
      <c r="AL23" s="1064"/>
      <c r="AM23" s="1021"/>
      <c r="AN23" s="1073"/>
      <c r="AO23" s="1064"/>
      <c r="AP23" s="1064"/>
      <c r="AQ23" s="1064"/>
      <c r="AR23" s="1074"/>
      <c r="AS23" s="1073"/>
      <c r="AT23" s="1064"/>
      <c r="AU23" s="1064"/>
      <c r="AV23" s="1064"/>
      <c r="AW23" s="1074"/>
      <c r="AX23" s="1073"/>
      <c r="AY23" s="1064"/>
      <c r="AZ23" s="1064"/>
      <c r="BA23" s="1064"/>
      <c r="BB23" s="1074"/>
      <c r="BC23" s="1073"/>
      <c r="BD23" s="1064"/>
      <c r="BE23" s="1064"/>
      <c r="BF23" s="1074"/>
      <c r="BG23" s="1073"/>
      <c r="BH23" s="1064"/>
      <c r="BI23" s="1074"/>
      <c r="BJ23" s="1078"/>
      <c r="BK23" s="1073"/>
      <c r="BL23" s="1064"/>
      <c r="BM23" s="1074"/>
    </row>
    <row r="24" spans="2:67">
      <c r="B24" s="1103"/>
      <c r="C24" s="1099"/>
      <c r="D24" s="478"/>
      <c r="E24" s="478"/>
      <c r="F24" s="638" t="s">
        <v>2993</v>
      </c>
      <c r="G24" s="478" t="str">
        <f>_xlfn.XLOOKUP(H24, 'Baumaterialien Matériaux'!A:A, 'Baumaterialien Matériaux'!AD:AD, "-", 0, 1)</f>
        <v>Béton pour bâtiment (sans armature)</v>
      </c>
      <c r="H24" s="891">
        <v>1.0019999999999998</v>
      </c>
      <c r="I24" s="641" t="str">
        <f>_xlfn.XLOOKUP(H24, 'Baumaterialien Matériaux'!A:A, 'Baumaterialien Matériaux'!F:F, "-", 0, 1)</f>
        <v>kg</v>
      </c>
      <c r="J24" s="649">
        <f>$J$23*K24</f>
        <v>180423.49999999997</v>
      </c>
      <c r="K24" s="893">
        <f>0.25*2300</f>
        <v>575</v>
      </c>
      <c r="L24" s="647">
        <v>60</v>
      </c>
      <c r="M24" s="648">
        <f t="shared" ref="M24:M26" si="41">SUM(N24:Q24)</f>
        <v>24.311709801458758</v>
      </c>
      <c r="N24" s="720">
        <f>IFERROR(($J24*VLOOKUP($H24, 'Baumaterialien Matériaux'!$A$11:$AD$318, 26,FALSE)),0)/$G$1</f>
        <v>17.652328948238246</v>
      </c>
      <c r="O24" s="720">
        <f>IFERROR(($J24*VLOOKUP($H24, 'Baumaterialien Matériaux'!$A$11:$AH$318, 33,FALSE)),0)/$G$1</f>
        <v>4.1347797536413911</v>
      </c>
      <c r="P24" s="720">
        <f>(N24+Q24)*($L$2/L24-1)</f>
        <v>0</v>
      </c>
      <c r="Q24" s="720">
        <f>IFERROR(($J24*VLOOKUP($H24, 'Baumaterialien Matériaux'!$A$11:$AH$318, 27,FALSE)),0)/$G$1</f>
        <v>2.5246010995791188</v>
      </c>
      <c r="R24" s="720">
        <f>IFERROR(($J24*VLOOKUP($H24, 'Baumaterialien Matériaux'!$A$11:$AH$318, 34,FALSE)),0)/$G$1</f>
        <v>0.53275046825764083</v>
      </c>
      <c r="S24" s="720">
        <f>IFERROR((J24*VLOOKUP(H24, 'Baumaterialien Matériaux'!$A$11:$AD$318, 29,FALSE)),0)/$G$1</f>
        <v>0</v>
      </c>
      <c r="T24" s="720">
        <f>S24*AJ24</f>
        <v>0</v>
      </c>
      <c r="V24" s="638">
        <f t="shared" si="3"/>
        <v>0</v>
      </c>
      <c r="W24" s="638">
        <f t="shared" si="4"/>
        <v>0</v>
      </c>
      <c r="Y24" s="638" t="str">
        <f t="shared" si="9"/>
        <v>Structure</v>
      </c>
      <c r="Z24" s="638">
        <f t="shared" si="10"/>
        <v>60</v>
      </c>
      <c r="AA24" s="527" t="s">
        <v>3439</v>
      </c>
      <c r="AB24" t="str">
        <f>_xlfn.XLOOKUP($H24,'[1]Baumaterialien Matériaux'!$A:$A,'[1]Baumaterialien Matériaux'!AK:AK,0,0)</f>
        <v>concrete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622" cm="1">
        <f t="array" ref="AD24">IFERROR(_xlfn.SWITCH(I24,"kg",1,"m3",AC24,AC24)*J24/(_xlfn.XLOOKUP(AA24,Métrés!A:A,Métrés!D:D,0)),0)</f>
        <v>476.76849087017411</v>
      </c>
      <c r="AE24" s="1092">
        <f>IFERROR(N24*$G$1/(_xlfn.XLOOKUP($AA24,Métrés!$A:$A,Métrés!$D:$D,0)),0)</f>
        <v>42.337041989271462</v>
      </c>
      <c r="AF24" s="1092">
        <f>IFERROR(O24*$G$1/(_xlfn.XLOOKUP($AA24,Métrés!$A:$A,Métrés!$D:$D,0)),0)</f>
        <v>9.9167846100996222</v>
      </c>
      <c r="AG24" s="1092">
        <f>IFERROR(Q24*$G$1/(_xlfn.XLOOKUP($AA24,Métrés!$A:$A,Métrés!$D:$D,0)),0)</f>
        <v>6.0549598340512114</v>
      </c>
      <c r="AH24" s="1092">
        <f>IFERROR(R24*$G$1/(_xlfn.XLOOKUP($AA24,Métrés!$A:$A,Métrés!$D:$D,0)),0)</f>
        <v>1.2777395555320668</v>
      </c>
      <c r="AI24" s="1092">
        <f>IFERROR(S24*$G$1/(_xlfn.XLOOKUP($AA24,Métrés!$A:$A,Métrés!$D:$D,0)),0)</f>
        <v>0</v>
      </c>
      <c r="AJ24" s="1030"/>
      <c r="AK24" s="1030">
        <f>IF(L24=60,0,T24)</f>
        <v>0</v>
      </c>
      <c r="AL24" s="1030">
        <f>IF(L24=60,0,S24)</f>
        <v>0</v>
      </c>
      <c r="AM24" s="638" t="str">
        <f>IF(L24=$L$2, "Structure", IF(L24&gt;0,"Revêtement",0))</f>
        <v>Structure</v>
      </c>
      <c r="AN24" s="1032">
        <f>IF(AM24="Structure",N24,0)</f>
        <v>17.652328948238246</v>
      </c>
      <c r="AO24" s="1030">
        <f>IF(AM24="Structure",P24,0)</f>
        <v>0</v>
      </c>
      <c r="AP24" s="1030">
        <f>IF(AM24="Structure",Q24,0)</f>
        <v>2.5246010995791188</v>
      </c>
      <c r="AQ24" s="1030">
        <f>IF(AM24="Structure",S24,0)</f>
        <v>0</v>
      </c>
      <c r="AR24" s="1033">
        <f>IF(AM24="Structure",T24,0)</f>
        <v>0</v>
      </c>
      <c r="AS24" s="1032">
        <f>IF($AM24="Insulation",N24,0)</f>
        <v>0</v>
      </c>
      <c r="AT24" s="1030">
        <f t="shared" ref="AT24:AU26" si="42">IF($AM24="Insulation",P24,0)</f>
        <v>0</v>
      </c>
      <c r="AU24" s="1030">
        <f t="shared" si="42"/>
        <v>0</v>
      </c>
      <c r="AV24" s="1030">
        <f t="shared" ref="AV24:AW26" si="43">IF($AM24="Insulation",S24,0)</f>
        <v>0</v>
      </c>
      <c r="AW24" s="1033">
        <f t="shared" si="43"/>
        <v>0</v>
      </c>
      <c r="AX24" s="1032">
        <f>IF($AM24="Revêtement",N24,0)</f>
        <v>0</v>
      </c>
      <c r="AY24" s="1030">
        <f t="shared" ref="AY24:AZ26" si="44">IF($AM24="Revêtement",P24,0)</f>
        <v>0</v>
      </c>
      <c r="AZ24" s="1030">
        <f t="shared" si="44"/>
        <v>0</v>
      </c>
      <c r="BA24" s="1030">
        <f t="shared" ref="BA24:BB26" si="45">IF($AM24="Revêtement",S24,0)</f>
        <v>0</v>
      </c>
      <c r="BB24" s="1033">
        <f t="shared" si="45"/>
        <v>0</v>
      </c>
      <c r="BC24" s="1032">
        <f>IF($AM24="Installation",N24,0)</f>
        <v>0</v>
      </c>
      <c r="BD24" s="1030">
        <f t="shared" ref="BD24:BE26" si="46">IF($AM24="Installation",P24,0)</f>
        <v>0</v>
      </c>
      <c r="BE24" s="1030">
        <f t="shared" si="46"/>
        <v>0</v>
      </c>
      <c r="BF24" s="1033">
        <f>IF($AM24="Installation",S24,0)</f>
        <v>0</v>
      </c>
      <c r="BG24" s="1032">
        <f>IF($AM24="Structure", IF($I24="kg",$J24,0), 0)</f>
        <v>180423.49999999997</v>
      </c>
      <c r="BH24" s="1030">
        <f>IF($AM24="Insulation", IF($I24="kg",$J24,0), 0)</f>
        <v>0</v>
      </c>
      <c r="BI24" s="1033">
        <f>IF($AM24="Revêtement", IF($I24="kg",$J24,0), 0)</f>
        <v>0</v>
      </c>
      <c r="BJ24" s="1030">
        <f>_xlfn.XLOOKUP(H24, 'Baumaterialien Matériaux'!A:A, 'Baumaterialien Matériaux'!E:E, "-", 0, 1)</f>
        <v>2300</v>
      </c>
      <c r="BK24" s="1032">
        <f t="shared" si="5"/>
        <v>78.444999999999993</v>
      </c>
      <c r="BL24" s="1030">
        <f t="shared" si="6"/>
        <v>0</v>
      </c>
      <c r="BM24" s="1033">
        <f t="shared" si="7"/>
        <v>0</v>
      </c>
      <c r="BN24" s="720">
        <f>IFERROR((J24*VLOOKUP(H24, 'Baumaterialien Matériaux'!$A$11:$AH$318, 32,FALSE))*($L$2/L24-1),0)/$G$1</f>
        <v>0</v>
      </c>
      <c r="BO24" s="720">
        <f>IFERROR((N24+Q24)*($L$2/L24-1),0)</f>
        <v>0</v>
      </c>
    </row>
    <row r="25" spans="2:67">
      <c r="B25" s="1103"/>
      <c r="C25" s="1099"/>
      <c r="D25" s="478"/>
      <c r="E25" s="478"/>
      <c r="F25" s="483" t="s">
        <v>3008</v>
      </c>
      <c r="G25" s="478" t="str">
        <f>_xlfn.XLOOKUP(H25, 'Baumaterialien Matériaux'!A:A, 'Baumaterialien Matériaux'!AD:AD, "-", 0, 1)</f>
        <v>Acier d'armature</v>
      </c>
      <c r="H25" s="892" t="s">
        <v>497</v>
      </c>
      <c r="I25" s="641" t="str">
        <f>_xlfn.XLOOKUP(H25, 'Baumaterialien Matériaux'!A:A, 'Baumaterialien Matériaux'!F:F, "-", 0, 1)</f>
        <v>kg</v>
      </c>
      <c r="J25" s="649">
        <f t="shared" ref="J25" si="47">$J$23*K25</f>
        <v>11766.749999999998</v>
      </c>
      <c r="K25" s="893">
        <f>0.25*150</f>
        <v>37.5</v>
      </c>
      <c r="L25" s="647">
        <v>60</v>
      </c>
      <c r="M25" s="648">
        <f t="shared" si="41"/>
        <v>23.380001487406616</v>
      </c>
      <c r="N25" s="720">
        <f>IFERROR(($J25*VLOOKUP($H25, 'Baumaterialien Matériaux'!$A$11:$AD$318, 26,FALSE)),0)/$G$1</f>
        <v>19.446602102201357</v>
      </c>
      <c r="O25" s="720">
        <f>IFERROR(($J25*VLOOKUP($H25, 'Baumaterialien Matériaux'!$A$11:$AH$318, 33,FALSE)),0)/$G$1</f>
        <v>3.7726408078270635</v>
      </c>
      <c r="P25" s="720">
        <f t="shared" ref="P25:P26" si="48">(N25+Q25)*($L$2/L25-1)</f>
        <v>0</v>
      </c>
      <c r="Q25" s="720">
        <f>IFERROR(($J25*VLOOKUP($H25, 'Baumaterialien Matériaux'!$A$11:$AH$318, 27,FALSE)),0)/$G$1</f>
        <v>0.1607585773781979</v>
      </c>
      <c r="R25" s="720">
        <f>IFERROR(($J25*VLOOKUP($H25, 'Baumaterialien Matériaux'!$A$11:$AH$318, 34,FALSE)),0)/$G$1</f>
        <v>0</v>
      </c>
      <c r="S25" s="720">
        <f>IFERROR((J25*VLOOKUP(H25, 'Baumaterialien Matériaux'!$A$11:$AD$318, 29,FALSE)),0)/$G$1</f>
        <v>0</v>
      </c>
      <c r="T25" s="720">
        <f>S25*AJ25</f>
        <v>0</v>
      </c>
      <c r="V25" s="638">
        <f t="shared" si="3"/>
        <v>0</v>
      </c>
      <c r="W25" s="638">
        <f t="shared" si="4"/>
        <v>0</v>
      </c>
      <c r="Y25" s="638" t="str">
        <f t="shared" si="9"/>
        <v>Structure</v>
      </c>
      <c r="Z25" s="638">
        <f t="shared" si="10"/>
        <v>60</v>
      </c>
      <c r="AA25" s="527" t="s">
        <v>3439</v>
      </c>
      <c r="AB25" t="str">
        <f>_xlfn.XLOOKUP($H25,'[1]Baumaterialien Matériaux'!$A:$A,'[1]Baumaterialien Matériaux'!AK:AK,0,0)</f>
        <v>metal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622" cm="1">
        <f t="array" ref="AD25">IFERROR(_xlfn.SWITCH(I25,"kg",1,"m3",AC25,AC25)*J25/(_xlfn.XLOOKUP(AA25,Métrés!A:A,Métrés!D:D,0)),0)</f>
        <v>31.09359723066353</v>
      </c>
      <c r="AE25" s="1092">
        <f>IFERROR(N25*$G$1/(_xlfn.XLOOKUP($AA25,Métrés!$A:$A,Métrés!$D:$D,0)),0)</f>
        <v>46.640395845995293</v>
      </c>
      <c r="AF25" s="1092">
        <f>IFERROR(O25*$G$1/(_xlfn.XLOOKUP($AA25,Métrés!$A:$A,Métrés!$D:$D,0)),0)</f>
        <v>9.0482367941230866</v>
      </c>
      <c r="AG25" s="1092">
        <f>IFERROR(Q25*$G$1/(_xlfn.XLOOKUP($AA25,Métrés!$A:$A,Métrés!$D:$D,0)),0)</f>
        <v>0.38556060566022776</v>
      </c>
      <c r="AH25" s="1092">
        <f>IFERROR(R25*$G$1/(_xlfn.XLOOKUP($AA25,Métrés!$A:$A,Métrés!$D:$D,0)),0)</f>
        <v>0</v>
      </c>
      <c r="AI25" s="1092">
        <f>IFERROR(S25*$G$1/(_xlfn.XLOOKUP($AA25,Métrés!$A:$A,Métrés!$D:$D,0)),0)</f>
        <v>0</v>
      </c>
      <c r="AJ25" s="1030"/>
      <c r="AK25" s="1030">
        <f>IF(L25=60,0,T25)</f>
        <v>0</v>
      </c>
      <c r="AL25" s="1030">
        <f>IF(L25=60,0,S25)</f>
        <v>0</v>
      </c>
      <c r="AM25" s="638" t="str">
        <f>IF(L25=$L$2, "Structure", IF(L25&gt;0,"Revêtement",0))</f>
        <v>Structure</v>
      </c>
      <c r="AN25" s="1032">
        <f>IF(AM25="Structure",N25,0)</f>
        <v>19.446602102201357</v>
      </c>
      <c r="AO25" s="1030">
        <f>IF(AM25="Structure",P25,0)</f>
        <v>0</v>
      </c>
      <c r="AP25" s="1030">
        <f>IF(AM25="Structure",Q25,0)</f>
        <v>0.1607585773781979</v>
      </c>
      <c r="AQ25" s="1030">
        <f>IF(AM25="Structure",S25,0)</f>
        <v>0</v>
      </c>
      <c r="AR25" s="1033">
        <f>IF(AM25="Structure",T25,0)</f>
        <v>0</v>
      </c>
      <c r="AS25" s="1032">
        <f>IF($AM25="Insulation",N25,0)</f>
        <v>0</v>
      </c>
      <c r="AT25" s="1030">
        <f t="shared" si="42"/>
        <v>0</v>
      </c>
      <c r="AU25" s="1030">
        <f t="shared" si="42"/>
        <v>0</v>
      </c>
      <c r="AV25" s="1030">
        <f t="shared" si="43"/>
        <v>0</v>
      </c>
      <c r="AW25" s="1033">
        <f t="shared" si="43"/>
        <v>0</v>
      </c>
      <c r="AX25" s="1032">
        <f>IF($AM25="Revêtement",N25,0)</f>
        <v>0</v>
      </c>
      <c r="AY25" s="1030">
        <f t="shared" si="44"/>
        <v>0</v>
      </c>
      <c r="AZ25" s="1030">
        <f t="shared" si="44"/>
        <v>0</v>
      </c>
      <c r="BA25" s="1030">
        <f t="shared" si="45"/>
        <v>0</v>
      </c>
      <c r="BB25" s="1033">
        <f t="shared" si="45"/>
        <v>0</v>
      </c>
      <c r="BC25" s="1032">
        <f>IF($AM25="Installation",N25,0)</f>
        <v>0</v>
      </c>
      <c r="BD25" s="1030">
        <f t="shared" si="46"/>
        <v>0</v>
      </c>
      <c r="BE25" s="1030">
        <f t="shared" si="46"/>
        <v>0</v>
      </c>
      <c r="BF25" s="1033">
        <f>IF($AM25="Installation",S25,0)</f>
        <v>0</v>
      </c>
      <c r="BG25" s="1032">
        <f>IF($AM25="Structure", IF($I25="kg",$J25,0), 0)</f>
        <v>11766.749999999998</v>
      </c>
      <c r="BH25" s="1030">
        <f>IF($AM25="Insulation", IF($I25="kg",$J25,0), 0)</f>
        <v>0</v>
      </c>
      <c r="BI25" s="1033">
        <f>IF($AM25="Revêtement", IF($I25="kg",$J25,0), 0)</f>
        <v>0</v>
      </c>
      <c r="BJ25" s="1030">
        <f>_xlfn.XLOOKUP(H25, 'Baumaterialien Matériaux'!A:A, 'Baumaterialien Matériaux'!E:E, "-", 0, 1)</f>
        <v>7850</v>
      </c>
      <c r="BK25" s="1032">
        <f t="shared" si="5"/>
        <v>1.498949044585987</v>
      </c>
      <c r="BL25" s="1030">
        <f t="shared" si="6"/>
        <v>0</v>
      </c>
      <c r="BM25" s="1033">
        <f t="shared" si="7"/>
        <v>0</v>
      </c>
      <c r="BN25" s="720">
        <f>IFERROR((J25*VLOOKUP(H25, 'Baumaterialien Matériaux'!$A$11:$AH$318, 32,FALSE))*($L$2/L25-1),0)/$G$1</f>
        <v>0</v>
      </c>
      <c r="BO25" s="720">
        <f>IFERROR((N25+Q25)*($L$2/L25-1),0)</f>
        <v>0</v>
      </c>
    </row>
    <row r="26" spans="2:67">
      <c r="B26" s="1103"/>
      <c r="C26" s="1099"/>
      <c r="D26" s="478"/>
      <c r="E26" s="478"/>
      <c r="F26" s="638" t="s">
        <v>3060</v>
      </c>
      <c r="G26" s="478" t="str">
        <f>_xlfn.XLOOKUP(H26, 'Baumaterialien Matériaux'!A:A, 'Baumaterialien Matériaux'!AD:AD, "-", 0, 1)</f>
        <v>Feuille de polyéthylène (PE)</v>
      </c>
      <c r="H26" s="892" t="s">
        <v>716</v>
      </c>
      <c r="I26" s="641" t="str">
        <f>_xlfn.XLOOKUP(H26, 'Baumaterialien Matériaux'!A:A, 'Baumaterialien Matériaux'!F:F, "-", 0, 1)</f>
        <v>kg</v>
      </c>
      <c r="J26" s="890">
        <f>($J$23-81.21)*K26</f>
        <v>125.5878</v>
      </c>
      <c r="K26" s="894">
        <v>0.54</v>
      </c>
      <c r="L26" s="647">
        <v>60</v>
      </c>
      <c r="M26" s="648">
        <f t="shared" si="41"/>
        <v>1.084824433132809</v>
      </c>
      <c r="N26" s="720">
        <f>IFERROR(($J26*VLOOKUP($H26, 'Baumaterialien Matériaux'!$A$11:$AD$318, 26,FALSE)),0)/$G$1</f>
        <v>0.38051877437694187</v>
      </c>
      <c r="O26" s="720">
        <f>IFERROR(($J26*VLOOKUP($H26, 'Baumaterialien Matériaux'!$A$11:$AH$318, 33,FALSE)),0)/$G$1</f>
        <v>0.33485652145170886</v>
      </c>
      <c r="P26" s="720">
        <f t="shared" si="48"/>
        <v>0</v>
      </c>
      <c r="Q26" s="720">
        <f>IFERROR(($J26*VLOOKUP($H26, 'Baumaterialien Matériaux'!$A$11:$AH$318, 27,FALSE)),0)/$G$1</f>
        <v>0.36944913730415813</v>
      </c>
      <c r="R26" s="720">
        <f>IFERROR(($J26*VLOOKUP($H26, 'Baumaterialien Matériaux'!$A$11:$AH$318, 34,FALSE)),0)/$G$1</f>
        <v>0.35561209096317842</v>
      </c>
      <c r="S26" s="720">
        <f>IFERROR((J26*VLOOKUP(H26, 'Baumaterialien Matériaux'!$A$11:$AD$318, 29,FALSE)),0)/$G$1</f>
        <v>0</v>
      </c>
      <c r="T26" s="720">
        <f>S26*AJ26</f>
        <v>0</v>
      </c>
      <c r="V26" s="638">
        <f t="shared" si="3"/>
        <v>0</v>
      </c>
      <c r="W26" s="638">
        <f t="shared" si="4"/>
        <v>0</v>
      </c>
      <c r="Z26" s="638">
        <f t="shared" si="10"/>
        <v>60</v>
      </c>
      <c r="AA26" s="527" t="s">
        <v>3439</v>
      </c>
      <c r="AB26" t="str">
        <f>_xlfn.XLOOKUP($H26,'[1]Baumaterialien Matériaux'!$A:$A,'[1]Baumaterialien Matériaux'!AK:AK,0,0)</f>
        <v>oil_product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622" cm="1">
        <f t="array" ref="AD26">IFERROR(_xlfn.SWITCH(I26,"kg",1,"m3",AC26,AC26)*J26/(_xlfn.XLOOKUP(AA26,Métrés!A:A,Métrés!D:D,0)),0)</f>
        <v>0.33186533837169363</v>
      </c>
      <c r="AE26" s="1092">
        <f>IFERROR(N26*$G$1/(_xlfn.XLOOKUP($AA26,Métrés!$A:$A,Métrés!$D:$D,0)),0)</f>
        <v>0.91262968052215743</v>
      </c>
      <c r="AF26" s="1092">
        <f>IFERROR(O26*$G$1/(_xlfn.XLOOKUP($AA26,Métrés!$A:$A,Métrés!$D:$D,0)),0)</f>
        <v>0.80311411885949857</v>
      </c>
      <c r="AG26" s="1092">
        <f>IFERROR(Q26*$G$1/(_xlfn.XLOOKUP($AA26,Métrés!$A:$A,Métrés!$D:$D,0)),0)</f>
        <v>0.88608045345242203</v>
      </c>
      <c r="AH26" s="1092">
        <f>IFERROR(R26*$G$1/(_xlfn.XLOOKUP($AA26,Métrés!$A:$A,Métrés!$D:$D,0)),0)</f>
        <v>0.85289391961525263</v>
      </c>
      <c r="AI26" s="1092">
        <f>IFERROR(S26*$G$1/(_xlfn.XLOOKUP($AA26,Métrés!$A:$A,Métrés!$D:$D,0)),0)</f>
        <v>0</v>
      </c>
      <c r="AJ26" s="1030"/>
      <c r="AK26" s="1030">
        <f>IF(L26=60,0,T26)</f>
        <v>0</v>
      </c>
      <c r="AL26" s="1030">
        <f>IF(L26=60,0,S26)</f>
        <v>0</v>
      </c>
      <c r="AM26" s="638" t="str">
        <f>IF(L26=$L$2, "Structure", IF(L26&gt;0,"Revêtement",0))</f>
        <v>Structure</v>
      </c>
      <c r="AN26" s="1032">
        <f>IF(AM26="Structure",N26,0)</f>
        <v>0.38051877437694187</v>
      </c>
      <c r="AO26" s="1030">
        <f>IF(AM26="Structure",P26,0)</f>
        <v>0</v>
      </c>
      <c r="AP26" s="1030">
        <f>IF(AM26="Structure",Q26,0)</f>
        <v>0.36944913730415813</v>
      </c>
      <c r="AQ26" s="1030">
        <f>IF(AM26="Structure",S26,0)</f>
        <v>0</v>
      </c>
      <c r="AR26" s="1033">
        <f>IF(AM26="Structure",T26,0)</f>
        <v>0</v>
      </c>
      <c r="AS26" s="1032">
        <f>IF($AM26="Insulation",N26,0)</f>
        <v>0</v>
      </c>
      <c r="AT26" s="1030">
        <f t="shared" si="42"/>
        <v>0</v>
      </c>
      <c r="AU26" s="1030">
        <f t="shared" si="42"/>
        <v>0</v>
      </c>
      <c r="AV26" s="1030">
        <f t="shared" si="43"/>
        <v>0</v>
      </c>
      <c r="AW26" s="1033">
        <f t="shared" si="43"/>
        <v>0</v>
      </c>
      <c r="AX26" s="1032">
        <f>IF($AM26="Revêtement",N26,0)</f>
        <v>0</v>
      </c>
      <c r="AY26" s="1030">
        <f t="shared" si="44"/>
        <v>0</v>
      </c>
      <c r="AZ26" s="1030">
        <f t="shared" si="44"/>
        <v>0</v>
      </c>
      <c r="BA26" s="1030">
        <f t="shared" si="45"/>
        <v>0</v>
      </c>
      <c r="BB26" s="1033">
        <f t="shared" si="45"/>
        <v>0</v>
      </c>
      <c r="BC26" s="1032">
        <f>IF($AM26="Installation",N26,0)</f>
        <v>0</v>
      </c>
      <c r="BD26" s="1030">
        <f t="shared" si="46"/>
        <v>0</v>
      </c>
      <c r="BE26" s="1030">
        <f t="shared" si="46"/>
        <v>0</v>
      </c>
      <c r="BF26" s="1033">
        <f>IF($AM26="Installation",S26,0)</f>
        <v>0</v>
      </c>
      <c r="BG26" s="1032">
        <f>IF($AM26="Structure", IF($I26="kg",$J26,0), 0)</f>
        <v>125.5878</v>
      </c>
      <c r="BH26" s="1030">
        <f>IF($AM26="Insulation", IF($I26="kg",$J26,0), 0)</f>
        <v>0</v>
      </c>
      <c r="BI26" s="1033">
        <f>IF($AM26="Revêtement", IF($I26="kg",$J26,0), 0)</f>
        <v>0</v>
      </c>
      <c r="BJ26" s="1030">
        <f>_xlfn.XLOOKUP(H26, 'Baumaterialien Matériaux'!A:A, 'Baumaterialien Matériaux'!E:E, "-", 0, 1)</f>
        <v>920</v>
      </c>
      <c r="BK26" s="1032">
        <f t="shared" si="5"/>
        <v>0.13650847826086956</v>
      </c>
      <c r="BL26" s="1030">
        <f t="shared" si="6"/>
        <v>0</v>
      </c>
      <c r="BM26" s="1033">
        <f t="shared" si="7"/>
        <v>0</v>
      </c>
      <c r="BN26" s="720"/>
      <c r="BO26" s="720"/>
    </row>
    <row r="27" spans="2:67">
      <c r="B27" s="1103"/>
      <c r="C27" s="1099"/>
      <c r="D27" s="478"/>
      <c r="E27" s="478"/>
      <c r="F27" s="479" t="s">
        <v>3068</v>
      </c>
      <c r="G27" s="479"/>
      <c r="H27" s="479"/>
      <c r="I27" s="459" t="s">
        <v>39</v>
      </c>
      <c r="J27" s="662">
        <v>44.84</v>
      </c>
      <c r="K27" s="663"/>
      <c r="L27" s="663"/>
      <c r="M27" s="664">
        <f>SUM(M28:M33)</f>
        <v>2.3835769668451556</v>
      </c>
      <c r="N27" s="664">
        <f t="shared" ref="N27:T27" si="49">SUM(N28:N33)</f>
        <v>0.85929870760891136</v>
      </c>
      <c r="O27" s="664">
        <f t="shared" ref="O27" si="50">SUM(O28:O33)</f>
        <v>0.39007056169762683</v>
      </c>
      <c r="P27" s="664">
        <f t="shared" si="49"/>
        <v>0.99675320257376443</v>
      </c>
      <c r="Q27" s="664">
        <f t="shared" si="49"/>
        <v>0.13745449496485315</v>
      </c>
      <c r="R27" s="664">
        <f t="shared" ref="R27" si="51">SUM(R28:R33)</f>
        <v>4.7219975311253611E-2</v>
      </c>
      <c r="S27" s="664">
        <f t="shared" si="49"/>
        <v>4.2764911196315643</v>
      </c>
      <c r="T27" s="664">
        <f t="shared" si="49"/>
        <v>3.6435970626473635E-2</v>
      </c>
      <c r="V27" s="638">
        <f t="shared" si="3"/>
        <v>3.6435970626473635E-2</v>
      </c>
      <c r="W27" s="638">
        <f t="shared" si="4"/>
        <v>4.2764911196315643</v>
      </c>
      <c r="Y27" s="638">
        <f t="shared" si="9"/>
        <v>0</v>
      </c>
      <c r="Z27" s="638">
        <f t="shared" si="10"/>
        <v>0</v>
      </c>
      <c r="AA27" s="527" t="s">
        <v>3439</v>
      </c>
      <c r="AB27">
        <f>_xlfn.XLOOKUP($H27,'[1]Baumaterialien Matériaux'!$A:$A,'[1]Baumaterialien Matériaux'!AK:AK,0,0)</f>
        <v>0</v>
      </c>
      <c r="AC27" cm="1">
        <f t="array" ref="AC27">_xlfn.SWITCH(I27,"kg"," ",0," ",_xlfn.XLOOKUP(H27, '[1]Baumaterialien Matériaux'!$A:$A, '[1]Baumaterialien Matériaux'!$AL:$AL, "-", 0, 1))</f>
        <v>0</v>
      </c>
      <c r="AD27" s="622" cm="1">
        <f t="array" ref="AD27">IFERROR(_xlfn.SWITCH(I27,"kg",1,"m3",AC27,AC27)*J27/(_xlfn.XLOOKUP(AA27,Métrés!A:A,Métrés!D:D,0)),0)</f>
        <v>0</v>
      </c>
      <c r="AE27" s="1092">
        <f>IFERROR(N27*$G$1/(_xlfn.XLOOKUP($AA27,Métrés!$A:$A,Métrés!$D:$D,0)),0)</f>
        <v>2.0609272335702777</v>
      </c>
      <c r="AF27" s="1092">
        <f>IFERROR(O27*$G$1/(_xlfn.XLOOKUP($AA27,Métrés!$A:$A,Métrés!$D:$D,0)),0)</f>
        <v>0.93553852286552364</v>
      </c>
      <c r="AG27" s="1092">
        <f>IFERROR(Q27*$G$1/(_xlfn.XLOOKUP($AA27,Métrés!$A:$A,Métrés!$D:$D,0)),0)</f>
        <v>0.32966849541526844</v>
      </c>
      <c r="AH27" s="1092">
        <f>IFERROR(R27*$G$1/(_xlfn.XLOOKUP($AA27,Métrés!$A:$A,Métrés!$D:$D,0)),0)</f>
        <v>0.11325157622810034</v>
      </c>
      <c r="AI27" s="1092">
        <f>IFERROR(S27*$G$1/(_xlfn.XLOOKUP($AA27,Métrés!$A:$A,Métrés!$D:$D,0)),0)</f>
        <v>10.256662711730044</v>
      </c>
      <c r="AJ27" s="1064"/>
      <c r="AK27" s="1064"/>
      <c r="AL27" s="1064"/>
      <c r="AM27" s="1021"/>
      <c r="AN27" s="1073"/>
      <c r="AO27" s="1064"/>
      <c r="AP27" s="1064"/>
      <c r="AQ27" s="1064"/>
      <c r="AR27" s="1074"/>
      <c r="AS27" s="1073"/>
      <c r="AT27" s="1064"/>
      <c r="AU27" s="1064"/>
      <c r="AV27" s="1064"/>
      <c r="AW27" s="1074"/>
      <c r="AX27" s="1073"/>
      <c r="AY27" s="1064"/>
      <c r="AZ27" s="1064"/>
      <c r="BA27" s="1064"/>
      <c r="BB27" s="1074"/>
      <c r="BC27" s="1073"/>
      <c r="BD27" s="1064"/>
      <c r="BE27" s="1064"/>
      <c r="BF27" s="1074"/>
      <c r="BG27" s="1073"/>
      <c r="BH27" s="1064"/>
      <c r="BI27" s="1074"/>
      <c r="BJ27" s="1078"/>
      <c r="BK27" s="1073"/>
      <c r="BL27" s="1064"/>
      <c r="BM27" s="1074"/>
      <c r="BN27" s="720">
        <f>IFERROR((J27*VLOOKUP(H27, 'Baumaterialien Matériaux'!$A$11:$AH$318, 32,FALSE))*($L$2/L27-1),0)/$G$1</f>
        <v>0</v>
      </c>
      <c r="BO27" s="720">
        <f>IFERROR((N27+Q27)*($L$2/L27-1),0)</f>
        <v>0</v>
      </c>
    </row>
    <row r="28" spans="2:67">
      <c r="B28" s="1103"/>
      <c r="C28" s="1099"/>
      <c r="D28" s="478"/>
      <c r="E28" s="478"/>
      <c r="F28" s="483" t="s">
        <v>3256</v>
      </c>
      <c r="G28" s="478" t="str">
        <f>_xlfn.XLOOKUP(H28, 'Baumaterialien Matériaux'!A:A, 'Baumaterialien Matériaux'!AD:AD, "-", 0, 1)</f>
        <v>Bois massif épicéa / sapin / mélèze, séché en cellule, raboté</v>
      </c>
      <c r="H28" s="875" t="s">
        <v>129</v>
      </c>
      <c r="I28" s="641" t="str">
        <f>_xlfn.XLOOKUP(H28, 'Baumaterialien Matériaux'!A:A, 'Baumaterialien Matériaux'!F:F, "-", 0, 1)</f>
        <v>kg</v>
      </c>
      <c r="J28" s="649">
        <f>$J$27*K28</f>
        <v>625.51800000000003</v>
      </c>
      <c r="K28" s="528">
        <f>0.03*465</f>
        <v>13.95</v>
      </c>
      <c r="L28" s="647">
        <v>30</v>
      </c>
      <c r="M28" s="648">
        <f t="shared" ref="M28:M33" si="52">SUM(N28:Q28)</f>
        <v>0.26974697031797451</v>
      </c>
      <c r="N28" s="720">
        <f>IFERROR(($J28*VLOOKUP($H28, 'Baumaterialien Matériaux'!$A$11:$AD$318, 26,FALSE)),0)/$G$1</f>
        <v>9.3039961657962592E-2</v>
      </c>
      <c r="O28" s="720">
        <f>IFERROR(($J28*VLOOKUP($H28, 'Baumaterialien Matériaux'!$A$11:$AH$318, 33,FALSE)),0)/$G$1</f>
        <v>2.9634950750314009E-2</v>
      </c>
      <c r="P28" s="720">
        <f t="shared" ref="P28:P33" si="53">IFERROR((N28+Q28)*($L$2/L28-1),0)</f>
        <v>0.12005600978383024</v>
      </c>
      <c r="Q28" s="720">
        <f>IFERROR(($J28*VLOOKUP($H28, 'Baumaterialien Matériaux'!$A$11:$AH$318, 27,FALSE)),0)/$G$1</f>
        <v>2.7016048125867654E-2</v>
      </c>
      <c r="R28" s="720">
        <f>IFERROR(($J28*VLOOKUP($H28, 'Baumaterialien Matériaux'!$A$11:$AH$318, 34,FALSE)),0)/$G$1</f>
        <v>5.0172660805182789E-3</v>
      </c>
      <c r="S28" s="720">
        <f>IFERROR((J28*VLOOKUP(H28, 'Baumaterialien Matériaux'!$A$11:$AD$318, 29,FALSE)),0)/$G$1</f>
        <v>1.139682098234944</v>
      </c>
      <c r="T28" s="720">
        <f t="shared" ref="T28:T33" si="54">S28*AJ28</f>
        <v>1.139682098234944E-2</v>
      </c>
      <c r="U28" s="638">
        <v>0.01</v>
      </c>
      <c r="V28" s="638">
        <f t="shared" si="3"/>
        <v>1.139682098234944E-2</v>
      </c>
      <c r="W28" s="638">
        <f t="shared" si="4"/>
        <v>1.139682098234944</v>
      </c>
      <c r="Y28" s="638" t="str">
        <f t="shared" si="9"/>
        <v>Revêtement</v>
      </c>
      <c r="Z28" s="638">
        <f t="shared" si="10"/>
        <v>30</v>
      </c>
      <c r="AA28" s="527" t="s">
        <v>3439</v>
      </c>
      <c r="AB28" t="str">
        <f>_xlfn.XLOOKUP($H28,'[1]Baumaterialien Matériaux'!$A:$A,'[1]Baumaterialien Matériaux'!AK:AK,0,0)</f>
        <v>timber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622" cm="1">
        <f t="array" ref="AD28">IFERROR(_xlfn.SWITCH(I28,"kg",1,"m3",AC28,AC28)*J28/(_xlfn.XLOOKUP(AA28,Métrés!A:A,Métrés!D:D,0)),0)</f>
        <v>1.6529292075152606</v>
      </c>
      <c r="AE28" s="1092">
        <f>IFERROR(N28*$G$1/(_xlfn.XLOOKUP($AA28,Métrés!$A:$A,Métrés!$D:$D,0)),0)</f>
        <v>0.22314544301456021</v>
      </c>
      <c r="AF28" s="1092">
        <f>IFERROR(O28*$G$1/(_xlfn.XLOOKUP($AA28,Métrés!$A:$A,Métrés!$D:$D,0)),0)</f>
        <v>7.10759559231562E-2</v>
      </c>
      <c r="AG28" s="1092">
        <f>IFERROR(Q28*$G$1/(_xlfn.XLOOKUP($AA28,Métrés!$A:$A,Métrés!$D:$D,0)),0)</f>
        <v>6.4794824934598219E-2</v>
      </c>
      <c r="AH28" s="1092">
        <f>IFERROR(R28*$G$1/(_xlfn.XLOOKUP($AA28,Métrés!$A:$A,Métrés!$D:$D,0)),0)</f>
        <v>1.2033324630711098E-2</v>
      </c>
      <c r="AI28" s="1092">
        <f>IFERROR(S28*$G$1/(_xlfn.XLOOKUP($AA28,Métrés!$A:$A,Métrés!$D:$D,0)),0)</f>
        <v>2.7333939328277359</v>
      </c>
      <c r="AJ28" s="1030">
        <v>0.01</v>
      </c>
      <c r="AK28" s="1030">
        <f t="shared" ref="AK28:AK33" si="55">IF(L28=60,0,T28)</f>
        <v>1.139682098234944E-2</v>
      </c>
      <c r="AL28" s="1030">
        <f t="shared" ref="AL28:AL33" si="56">IF(L28=60,0,S28)</f>
        <v>1.139682098234944</v>
      </c>
      <c r="AM28" s="638" t="str">
        <f>IF(L28=$L$2, "Structure", IF(L28&gt;0,"Revêtement",0))</f>
        <v>Revêtement</v>
      </c>
      <c r="AN28" s="1032">
        <f t="shared" ref="AN28:AN33" si="57">IF(AM28="Structure",N28,0)</f>
        <v>0</v>
      </c>
      <c r="AO28" s="1030">
        <f t="shared" ref="AO28:AO33" si="58">IF(AM28="Structure",P28,0)</f>
        <v>0</v>
      </c>
      <c r="AP28" s="1030">
        <f t="shared" ref="AP28:AP33" si="59">IF(AM28="Structure",Q28,0)</f>
        <v>0</v>
      </c>
      <c r="AQ28" s="1030">
        <f t="shared" ref="AQ28:AQ33" si="60">IF(AM28="Structure",S28,0)</f>
        <v>0</v>
      </c>
      <c r="AR28" s="1033">
        <f t="shared" ref="AR28:AR33" si="61">IF(AM28="Structure",T28,0)</f>
        <v>0</v>
      </c>
      <c r="AS28" s="1032">
        <f t="shared" ref="AS28:AS33" si="62">IF($AM28="Insulation",N28,0)</f>
        <v>0</v>
      </c>
      <c r="AT28" s="1030">
        <f t="shared" ref="AT28:AU33" si="63">IF($AM28="Insulation",P28,0)</f>
        <v>0</v>
      </c>
      <c r="AU28" s="1030">
        <f t="shared" si="63"/>
        <v>0</v>
      </c>
      <c r="AV28" s="1030">
        <f t="shared" ref="AV28:AW33" si="64">IF($AM28="Insulation",S28,0)</f>
        <v>0</v>
      </c>
      <c r="AW28" s="1033">
        <f t="shared" si="64"/>
        <v>0</v>
      </c>
      <c r="AX28" s="1032">
        <f t="shared" ref="AX28:AX33" si="65">IF($AM28="Revêtement",N28,0)</f>
        <v>9.3039961657962592E-2</v>
      </c>
      <c r="AY28" s="1030">
        <f t="shared" ref="AY28:AZ33" si="66">IF($AM28="Revêtement",P28,0)</f>
        <v>0.12005600978383024</v>
      </c>
      <c r="AZ28" s="1030">
        <f t="shared" si="66"/>
        <v>2.7016048125867654E-2</v>
      </c>
      <c r="BA28" s="1030">
        <f t="shared" ref="BA28:BB33" si="67">IF($AM28="Revêtement",S28,0)</f>
        <v>1.139682098234944</v>
      </c>
      <c r="BB28" s="1033">
        <f t="shared" si="67"/>
        <v>1.139682098234944E-2</v>
      </c>
      <c r="BC28" s="1032">
        <f t="shared" ref="BC28:BC33" si="68">IF($AM28="Installation",N28,0)</f>
        <v>0</v>
      </c>
      <c r="BD28" s="1030">
        <f t="shared" ref="BD28:BE33" si="69">IF($AM28="Installation",P28,0)</f>
        <v>0</v>
      </c>
      <c r="BE28" s="1030">
        <f t="shared" si="69"/>
        <v>0</v>
      </c>
      <c r="BF28" s="1033">
        <f t="shared" ref="BF28:BF33" si="70">IF($AM28="Installation",S28,0)</f>
        <v>0</v>
      </c>
      <c r="BG28" s="1032">
        <f t="shared" ref="BG28:BG33" si="71">IF($AM28="Structure", IF($I28="kg",$J28,0), 0)</f>
        <v>0</v>
      </c>
      <c r="BH28" s="1030">
        <f t="shared" ref="BH28:BH33" si="72">IF($AM28="Insulation", IF($I28="kg",$J28,0), 0)</f>
        <v>0</v>
      </c>
      <c r="BI28" s="1033">
        <f t="shared" ref="BI28:BI33" si="73">IF($AM28="Revêtement", IF($I28="kg",$J28,0), 0)</f>
        <v>625.51800000000003</v>
      </c>
      <c r="BJ28" s="1030">
        <f>_xlfn.XLOOKUP(H28, 'Baumaterialien Matériaux'!A:A, 'Baumaterialien Matériaux'!E:E, "-", 0, 1)</f>
        <v>465</v>
      </c>
      <c r="BK28" s="1032">
        <f t="shared" si="5"/>
        <v>0</v>
      </c>
      <c r="BL28" s="1030">
        <f t="shared" si="6"/>
        <v>0</v>
      </c>
      <c r="BM28" s="1033">
        <f t="shared" si="7"/>
        <v>1.3452000000000002</v>
      </c>
      <c r="BN28" s="720">
        <f>IFERROR((J28*VLOOKUP(H28, 'Baumaterialien Matériaux'!$A$11:$AH$318, 32,FALSE))*($L$2/L28-1),0)/$G$1</f>
        <v>3.4666000528855691E-2</v>
      </c>
      <c r="BO28" s="720">
        <f>IFERROR((N28+Q28)*($L$2/L28-1),0)</f>
        <v>0.12005600978383024</v>
      </c>
    </row>
    <row r="29" spans="2:67">
      <c r="B29" s="1103"/>
      <c r="C29" s="1099"/>
      <c r="D29" s="478"/>
      <c r="E29" s="478"/>
      <c r="F29" s="483" t="s">
        <v>2996</v>
      </c>
      <c r="G29" s="478" t="str">
        <f>_xlfn.XLOOKUP(H29, 'Baumaterialien Matériaux'!A:A, 'Baumaterialien Matériaux'!AD:AD, "-", 0, 1)</f>
        <v>Bois massif de construction</v>
      </c>
      <c r="H29" s="875" t="s">
        <v>547</v>
      </c>
      <c r="I29" s="641" t="str">
        <f>_xlfn.XLOOKUP(H29, 'Baumaterialien Matériaux'!A:A, 'Baumaterialien Matériaux'!F:F, "-", 0, 1)</f>
        <v>kg</v>
      </c>
      <c r="J29" s="649">
        <f t="shared" ref="J29:J33" si="74">$J$27*K29</f>
        <v>332.35408000000007</v>
      </c>
      <c r="K29" s="528">
        <f>0.017*436</f>
        <v>7.4120000000000008</v>
      </c>
      <c r="L29" s="647">
        <v>30</v>
      </c>
      <c r="M29" s="648">
        <f t="shared" si="52"/>
        <v>0.23681720391529498</v>
      </c>
      <c r="N29" s="720">
        <f>IFERROR(($J29*VLOOKUP($H29, 'Baumaterialien Matériaux'!$A$11:$AD$318, 26,FALSE)),0)/$G$1</f>
        <v>8.9714582754897437E-2</v>
      </c>
      <c r="O29" s="720">
        <f>IFERROR(($J29*VLOOKUP($H29, 'Baumaterialien Matériaux'!$A$11:$AH$318, 33,FALSE)),0)/$G$1</f>
        <v>2.494431582556577E-2</v>
      </c>
      <c r="P29" s="720">
        <f t="shared" si="53"/>
        <v>0.1059364440448646</v>
      </c>
      <c r="Q29" s="720">
        <f>IFERROR(($J29*VLOOKUP($H29, 'Baumaterialien Matériaux'!$A$11:$AH$318, 27,FALSE)),0)/$G$1</f>
        <v>1.6221861289967172E-2</v>
      </c>
      <c r="R29" s="720">
        <f>IFERROR(($J29*VLOOKUP($H29, 'Baumaterialien Matériaux'!$A$11:$AH$318, 34,FALSE)),0)/$G$1</f>
        <v>2.6658047447169525E-3</v>
      </c>
      <c r="S29" s="720">
        <f>IFERROR((J29*VLOOKUP(H29, 'Baumaterialien Matériaux'!$A$11:$AD$318, 29,FALSE)),0)/$G$1</f>
        <v>0.60420025120645215</v>
      </c>
      <c r="T29" s="720">
        <f t="shared" si="54"/>
        <v>6.0420025120645213E-3</v>
      </c>
      <c r="U29" s="638">
        <v>0.01</v>
      </c>
      <c r="V29" s="638">
        <f t="shared" si="3"/>
        <v>6.0420025120645213E-3</v>
      </c>
      <c r="W29" s="638">
        <f t="shared" si="4"/>
        <v>0.60420025120645215</v>
      </c>
      <c r="Z29" s="638">
        <f t="shared" si="10"/>
        <v>30</v>
      </c>
      <c r="AA29" s="527" t="s">
        <v>3439</v>
      </c>
      <c r="AB29" t="str">
        <f>_xlfn.XLOOKUP($H29,'[1]Baumaterialien Matériaux'!$A:$A,'[1]Baumaterialien Matériaux'!AK:AK,0,0)</f>
        <v>timber</v>
      </c>
      <c r="AC29" t="str" cm="1">
        <f t="array" ref="AC29">_xlfn.SWITCH(I29,"kg"," ",0," ",_xlfn.XLOOKUP(H29, '[1]Baumaterialien Matériaux'!$A:$A, '[1]Baumaterialien Matériaux'!$AL:$AL, "-", 0, 1))</f>
        <v xml:space="preserve"> </v>
      </c>
      <c r="AD29" s="622" cm="1">
        <f t="array" ref="AD29">IFERROR(_xlfn.SWITCH(I29,"kg",1,"m3",AC29,AC29)*J29/(_xlfn.XLOOKUP(AA29,Métrés!A:A,Métrés!D:D,0)),0)</f>
        <v>0.87824453663821611</v>
      </c>
      <c r="AE29" s="1092">
        <f>IFERROR(N29*$G$1/(_xlfn.XLOOKUP($AA29,Métrés!$A:$A,Métrés!$D:$D,0)),0)</f>
        <v>0.21516991147636291</v>
      </c>
      <c r="AF29" s="1092">
        <f>IFERROR(O29*$G$1/(_xlfn.XLOOKUP($AA29,Métrés!$A:$A,Métrés!$D:$D,0)),0)</f>
        <v>5.9826017835795275E-2</v>
      </c>
      <c r="AG29" s="1092">
        <f>IFERROR(Q29*$G$1/(_xlfn.XLOOKUP($AA29,Métrés!$A:$A,Métrés!$D:$D,0)),0)</f>
        <v>3.8906232973072975E-2</v>
      </c>
      <c r="AH29" s="1092">
        <f>IFERROR(R29*$G$1/(_xlfn.XLOOKUP($AA29,Métrés!$A:$A,Métrés!$D:$D,0)),0)</f>
        <v>6.3936202267262125E-3</v>
      </c>
      <c r="AI29" s="1092">
        <f>IFERROR(S29*$G$1/(_xlfn.XLOOKUP($AA29,Métrés!$A:$A,Métrés!$D:$D,0)),0)</f>
        <v>1.4491034854530565</v>
      </c>
      <c r="AJ29" s="1030">
        <v>0.01</v>
      </c>
      <c r="AK29" s="1030">
        <f t="shared" si="55"/>
        <v>6.0420025120645213E-3</v>
      </c>
      <c r="AL29" s="1030">
        <f t="shared" si="56"/>
        <v>0.60420025120645215</v>
      </c>
      <c r="AM29" s="638" t="str">
        <f>IF(L29=$L$2, "Structure", IF(L29&gt;0,"Revêtement",0))</f>
        <v>Revêtement</v>
      </c>
      <c r="AN29" s="1032">
        <f t="shared" si="57"/>
        <v>0</v>
      </c>
      <c r="AO29" s="1030">
        <f t="shared" si="58"/>
        <v>0</v>
      </c>
      <c r="AP29" s="1030">
        <f t="shared" si="59"/>
        <v>0</v>
      </c>
      <c r="AQ29" s="1030">
        <f t="shared" si="60"/>
        <v>0</v>
      </c>
      <c r="AR29" s="1033">
        <f t="shared" si="61"/>
        <v>0</v>
      </c>
      <c r="AS29" s="1032">
        <f t="shared" si="62"/>
        <v>0</v>
      </c>
      <c r="AT29" s="1030">
        <f t="shared" si="63"/>
        <v>0</v>
      </c>
      <c r="AU29" s="1030">
        <f t="shared" si="63"/>
        <v>0</v>
      </c>
      <c r="AV29" s="1030">
        <f t="shared" si="64"/>
        <v>0</v>
      </c>
      <c r="AW29" s="1033">
        <f t="shared" si="64"/>
        <v>0</v>
      </c>
      <c r="AX29" s="1032">
        <f t="shared" si="65"/>
        <v>8.9714582754897437E-2</v>
      </c>
      <c r="AY29" s="1030">
        <f t="shared" si="66"/>
        <v>0.1059364440448646</v>
      </c>
      <c r="AZ29" s="1030">
        <f t="shared" si="66"/>
        <v>1.6221861289967172E-2</v>
      </c>
      <c r="BA29" s="1030">
        <f t="shared" si="67"/>
        <v>0.60420025120645215</v>
      </c>
      <c r="BB29" s="1033">
        <f t="shared" si="67"/>
        <v>6.0420025120645213E-3</v>
      </c>
      <c r="BC29" s="1032">
        <f t="shared" si="68"/>
        <v>0</v>
      </c>
      <c r="BD29" s="1030">
        <f t="shared" si="69"/>
        <v>0</v>
      </c>
      <c r="BE29" s="1030">
        <f t="shared" si="69"/>
        <v>0</v>
      </c>
      <c r="BF29" s="1033">
        <f t="shared" si="70"/>
        <v>0</v>
      </c>
      <c r="BG29" s="1032">
        <f t="shared" si="71"/>
        <v>0</v>
      </c>
      <c r="BH29" s="1030">
        <f t="shared" si="72"/>
        <v>0</v>
      </c>
      <c r="BI29" s="1033">
        <f t="shared" si="73"/>
        <v>332.35408000000007</v>
      </c>
      <c r="BJ29" s="1030">
        <f>_xlfn.XLOOKUP(H29, 'Baumaterialien Matériaux'!A:A, 'Baumaterialien Matériaux'!E:E, "-", 0, 1)</f>
        <v>436</v>
      </c>
      <c r="BK29" s="1032">
        <f t="shared" si="5"/>
        <v>0</v>
      </c>
      <c r="BL29" s="1030">
        <f t="shared" si="6"/>
        <v>0</v>
      </c>
      <c r="BM29" s="1033">
        <f t="shared" si="7"/>
        <v>0.76228000000000018</v>
      </c>
      <c r="BN29" s="720"/>
      <c r="BO29" s="720"/>
    </row>
    <row r="30" spans="2:67">
      <c r="B30" s="1103"/>
      <c r="C30" s="1099"/>
      <c r="D30" s="478"/>
      <c r="E30" s="478"/>
      <c r="F30" s="483" t="s">
        <v>3257</v>
      </c>
      <c r="G30" s="478" t="str">
        <f>_xlfn.XLOOKUP(H30, 'Baumaterialien Matériaux'!A:A, 'Baumaterialien Matériaux'!AD:AD, "-", 0, 1)</f>
        <v>Panneau de fibres mou</v>
      </c>
      <c r="H30" s="875" t="s">
        <v>542</v>
      </c>
      <c r="I30" s="641" t="str">
        <f>_xlfn.XLOOKUP(H30, 'Baumaterialien Matériaux'!A:A, 'Baumaterialien Matériaux'!F:F, "-", 0, 1)</f>
        <v>kg</v>
      </c>
      <c r="J30" s="649">
        <f t="shared" si="74"/>
        <v>403.56000000000006</v>
      </c>
      <c r="K30" s="528">
        <f>0.06*150</f>
        <v>9</v>
      </c>
      <c r="L30" s="647">
        <v>30</v>
      </c>
      <c r="M30" s="648">
        <f t="shared" si="52"/>
        <v>0.75241205790969812</v>
      </c>
      <c r="N30" s="720">
        <f>IFERROR(($J30*VLOOKUP($H30, 'Baumaterialien Matériaux'!$A$11:$AD$318, 26,FALSE)),0)/$G$1</f>
        <v>0.28189885634957368</v>
      </c>
      <c r="O30" s="720">
        <f>IFERROR(($J30*VLOOKUP($H30, 'Baumaterialien Matériaux'!$A$11:$AH$318, 33,FALSE)),0)/$G$1</f>
        <v>0.10626786540622729</v>
      </c>
      <c r="P30" s="720">
        <f t="shared" si="53"/>
        <v>0.32307209625173539</v>
      </c>
      <c r="Q30" s="720">
        <f>IFERROR(($J30*VLOOKUP($H30, 'Baumaterialien Matériaux'!$A$11:$AH$318, 27,FALSE)),0)/$G$1</f>
        <v>4.1173239902161707E-2</v>
      </c>
      <c r="R30" s="720">
        <f>IFERROR(($J30*VLOOKUP($H30, 'Baumaterialien Matériaux'!$A$11:$AH$318, 34,FALSE)),0)/$G$1</f>
        <v>1.6718291796126133E-2</v>
      </c>
      <c r="S30" s="720">
        <f>IFERROR((J30*VLOOKUP(H30, 'Baumaterialien Matériaux'!$A$11:$AD$318, 29,FALSE)),0)/$G$1</f>
        <v>0.71082382494876717</v>
      </c>
      <c r="T30" s="720">
        <f t="shared" si="54"/>
        <v>7.1082382494876721E-3</v>
      </c>
      <c r="U30" s="638">
        <v>0.01</v>
      </c>
      <c r="V30" s="638">
        <f t="shared" si="3"/>
        <v>7.1082382494876721E-3</v>
      </c>
      <c r="W30" s="638">
        <f t="shared" si="4"/>
        <v>0.71082382494876717</v>
      </c>
      <c r="Z30" s="638">
        <f t="shared" si="10"/>
        <v>30</v>
      </c>
      <c r="AA30" s="527" t="s">
        <v>3439</v>
      </c>
      <c r="AB30" t="str">
        <f>_xlfn.XLOOKUP($H30,'[1]Baumaterialien Matériaux'!$A:$A,'[1]Baumaterialien Matériaux'!AK:AK,0,0)</f>
        <v>vegetal_fiber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622" cm="1">
        <f t="array" ref="AD30">IFERROR(_xlfn.SWITCH(I30,"kg",1,"m3",AC30,AC30)*J30/(_xlfn.XLOOKUP(AA30,Métrés!A:A,Métrés!D:D,0)),0)</f>
        <v>1.0664059403324264</v>
      </c>
      <c r="AE30" s="1092">
        <f>IFERROR(N30*$G$1/(_xlfn.XLOOKUP($AA30,Métrés!$A:$A,Métrés!$D:$D,0)),0)</f>
        <v>0.67610136617075844</v>
      </c>
      <c r="AF30" s="1092">
        <f>IFERROR(O30*$G$1/(_xlfn.XLOOKUP($AA30,Métrés!$A:$A,Métrés!$D:$D,0)),0)</f>
        <v>0.25487101973944992</v>
      </c>
      <c r="AG30" s="1092">
        <f>IFERROR(Q30*$G$1/(_xlfn.XLOOKUP($AA30,Métrés!$A:$A,Métrés!$D:$D,0)),0)</f>
        <v>9.8749190074782681E-2</v>
      </c>
      <c r="AH30" s="1092">
        <f>IFERROR(R30*$G$1/(_xlfn.XLOOKUP($AA30,Métrés!$A:$A,Métrés!$D:$D,0)),0)</f>
        <v>4.0096863356499229E-2</v>
      </c>
      <c r="AI30" s="1092">
        <f>IFERROR(S30*$G$1/(_xlfn.XLOOKUP($AA30,Métrés!$A:$A,Métrés!$D:$D,0)),0)</f>
        <v>1.7048276299447722</v>
      </c>
      <c r="AJ30" s="1030">
        <v>0.01</v>
      </c>
      <c r="AK30" s="1030">
        <f t="shared" si="55"/>
        <v>7.1082382494876721E-3</v>
      </c>
      <c r="AL30" s="1030">
        <f t="shared" si="56"/>
        <v>0.71082382494876717</v>
      </c>
      <c r="AM30" s="638" t="str">
        <f>IF(L30=$L$2, "Structure", IF(L30&gt;0,"Revêtement",0))</f>
        <v>Revêtement</v>
      </c>
      <c r="AN30" s="1032">
        <f t="shared" si="57"/>
        <v>0</v>
      </c>
      <c r="AO30" s="1030">
        <f t="shared" si="58"/>
        <v>0</v>
      </c>
      <c r="AP30" s="1030">
        <f t="shared" si="59"/>
        <v>0</v>
      </c>
      <c r="AQ30" s="1030">
        <f t="shared" si="60"/>
        <v>0</v>
      </c>
      <c r="AR30" s="1033">
        <f t="shared" si="61"/>
        <v>0</v>
      </c>
      <c r="AS30" s="1032">
        <f t="shared" si="62"/>
        <v>0</v>
      </c>
      <c r="AT30" s="1030">
        <f t="shared" si="63"/>
        <v>0</v>
      </c>
      <c r="AU30" s="1030">
        <f t="shared" si="63"/>
        <v>0</v>
      </c>
      <c r="AV30" s="1030">
        <f t="shared" si="64"/>
        <v>0</v>
      </c>
      <c r="AW30" s="1033">
        <f t="shared" si="64"/>
        <v>0</v>
      </c>
      <c r="AX30" s="1032">
        <f t="shared" si="65"/>
        <v>0.28189885634957368</v>
      </c>
      <c r="AY30" s="1030">
        <f t="shared" si="66"/>
        <v>0.32307209625173539</v>
      </c>
      <c r="AZ30" s="1030">
        <f t="shared" si="66"/>
        <v>4.1173239902161707E-2</v>
      </c>
      <c r="BA30" s="1030">
        <f t="shared" si="67"/>
        <v>0.71082382494876717</v>
      </c>
      <c r="BB30" s="1033">
        <f t="shared" si="67"/>
        <v>7.1082382494876721E-3</v>
      </c>
      <c r="BC30" s="1032">
        <f t="shared" si="68"/>
        <v>0</v>
      </c>
      <c r="BD30" s="1030">
        <f t="shared" si="69"/>
        <v>0</v>
      </c>
      <c r="BE30" s="1030">
        <f t="shared" si="69"/>
        <v>0</v>
      </c>
      <c r="BF30" s="1033">
        <f t="shared" si="70"/>
        <v>0</v>
      </c>
      <c r="BG30" s="1032">
        <f t="shared" si="71"/>
        <v>0</v>
      </c>
      <c r="BH30" s="1030">
        <f t="shared" si="72"/>
        <v>0</v>
      </c>
      <c r="BI30" s="1033">
        <f t="shared" si="73"/>
        <v>403.56000000000006</v>
      </c>
      <c r="BJ30" s="1030">
        <f>_xlfn.XLOOKUP(H30, 'Baumaterialien Matériaux'!A:A, 'Baumaterialien Matériaux'!E:E, "-", 0, 1)</f>
        <v>147.5</v>
      </c>
      <c r="BK30" s="1032">
        <f t="shared" si="5"/>
        <v>0</v>
      </c>
      <c r="BL30" s="1030">
        <f t="shared" si="6"/>
        <v>0</v>
      </c>
      <c r="BM30" s="1033">
        <f t="shared" si="7"/>
        <v>2.7360000000000002</v>
      </c>
      <c r="BN30" s="720"/>
      <c r="BO30" s="720"/>
    </row>
    <row r="31" spans="2:67">
      <c r="B31" s="1103"/>
      <c r="C31" s="1099"/>
      <c r="D31" s="478"/>
      <c r="E31" s="478"/>
      <c r="F31" s="483" t="s">
        <v>3258</v>
      </c>
      <c r="G31" s="478" t="str">
        <f>_xlfn.XLOOKUP(H31, 'Baumaterialien Matériaux'!A:A, 'Baumaterialien Matériaux'!AD:AD, "-", 0, 1)</f>
        <v>Bois massif de construction</v>
      </c>
      <c r="H31" s="875" t="s">
        <v>547</v>
      </c>
      <c r="I31" s="641" t="str">
        <f>_xlfn.XLOOKUP(H31, 'Baumaterialien Matériaux'!A:A, 'Baumaterialien Matériaux'!F:F, "-", 0, 1)</f>
        <v>kg</v>
      </c>
      <c r="J31" s="649">
        <f t="shared" si="74"/>
        <v>351.90431999999998</v>
      </c>
      <c r="K31" s="528">
        <f>0.018*436</f>
        <v>7.847999999999999</v>
      </c>
      <c r="L31" s="647">
        <v>30</v>
      </c>
      <c r="M31" s="648">
        <f t="shared" si="52"/>
        <v>0.25074762767501818</v>
      </c>
      <c r="N31" s="720">
        <f>IFERROR(($J31*VLOOKUP($H31, 'Baumaterialien Matériaux'!$A$11:$AD$318, 26,FALSE)),0)/$G$1</f>
        <v>9.4991911152244327E-2</v>
      </c>
      <c r="O31" s="720">
        <f>IFERROR(($J31*VLOOKUP($H31, 'Baumaterialien Matériaux'!$A$11:$AH$318, 33,FALSE)),0)/$G$1</f>
        <v>2.641162852118728E-2</v>
      </c>
      <c r="P31" s="720">
        <f t="shared" si="53"/>
        <v>0.11216799957691545</v>
      </c>
      <c r="Q31" s="720">
        <f>IFERROR(($J31*VLOOKUP($H31, 'Baumaterialien Matériaux'!$A$11:$AH$318, 27,FALSE)),0)/$G$1</f>
        <v>1.7176088424671117E-2</v>
      </c>
      <c r="R31" s="720">
        <f>IFERROR(($J31*VLOOKUP($H31, 'Baumaterialien Matériaux'!$A$11:$AH$318, 34,FALSE)),0)/$G$1</f>
        <v>2.8226167885238313E-3</v>
      </c>
      <c r="S31" s="720">
        <f>IFERROR((J31*VLOOKUP(H31, 'Baumaterialien Matériaux'!$A$11:$AD$318, 29,FALSE)),0)/$G$1</f>
        <v>0.63974144245389031</v>
      </c>
      <c r="T31" s="720">
        <f t="shared" si="54"/>
        <v>6.3974144245389029E-3</v>
      </c>
      <c r="U31" s="638">
        <v>0.01</v>
      </c>
      <c r="V31" s="638">
        <f t="shared" si="3"/>
        <v>6.3974144245389029E-3</v>
      </c>
      <c r="W31" s="638">
        <f t="shared" si="4"/>
        <v>0.63974144245389031</v>
      </c>
      <c r="Z31" s="638">
        <f t="shared" si="10"/>
        <v>30</v>
      </c>
      <c r="AA31" s="527" t="s">
        <v>3439</v>
      </c>
      <c r="AB31" t="str">
        <f>_xlfn.XLOOKUP($H31,'[1]Baumaterialien Matériaux'!$A:$A,'[1]Baumaterialien Matériaux'!AK:AK,0,0)</f>
        <v>timber</v>
      </c>
      <c r="AC31" t="str" cm="1">
        <f t="array" ref="AC31">_xlfn.SWITCH(I31,"kg"," ",0," ",_xlfn.XLOOKUP(H31, '[1]Baumaterialien Matériaux'!$A:$A, '[1]Baumaterialien Matériaux'!$AL:$AL, "-", 0, 1))</f>
        <v xml:space="preserve"> </v>
      </c>
      <c r="AD31" s="622" cm="1">
        <f t="array" ref="AD31">IFERROR(_xlfn.SWITCH(I31,"kg",1,"m3",AC31,AC31)*J31/(_xlfn.XLOOKUP(AA31,Métrés!A:A,Métrés!D:D,0)),0)</f>
        <v>0.92990597996987567</v>
      </c>
      <c r="AE31" s="1092">
        <f>IFERROR(N31*$G$1/(_xlfn.XLOOKUP($AA31,Métrés!$A:$A,Métrés!$D:$D,0)),0)</f>
        <v>0.22782696509261952</v>
      </c>
      <c r="AF31" s="1092">
        <f>IFERROR(O31*$G$1/(_xlfn.XLOOKUP($AA31,Métrés!$A:$A,Métrés!$D:$D,0)),0)</f>
        <v>6.3345195355547931E-2</v>
      </c>
      <c r="AG31" s="1092">
        <f>IFERROR(Q31*$G$1/(_xlfn.XLOOKUP($AA31,Métrés!$A:$A,Métrés!$D:$D,0)),0)</f>
        <v>4.1194834912665491E-2</v>
      </c>
      <c r="AH31" s="1092">
        <f>IFERROR(R31*$G$1/(_xlfn.XLOOKUP($AA31,Métrés!$A:$A,Métrés!$D:$D,0)),0)</f>
        <v>6.7697155341806935E-3</v>
      </c>
      <c r="AI31" s="1092">
        <f>IFERROR(S31*$G$1/(_xlfn.XLOOKUP($AA31,Métrés!$A:$A,Métrés!$D:$D,0)),0)</f>
        <v>1.5343448669502948</v>
      </c>
      <c r="AJ31" s="1030">
        <v>0.01</v>
      </c>
      <c r="AK31" s="1030">
        <f t="shared" si="55"/>
        <v>6.3974144245389029E-3</v>
      </c>
      <c r="AL31" s="1030">
        <f t="shared" si="56"/>
        <v>0.63974144245389031</v>
      </c>
      <c r="AM31" s="638" t="str">
        <f>IF(L31=$L$2, "Structure", IF(L31&gt;0,"Revêtement",0))</f>
        <v>Revêtement</v>
      </c>
      <c r="AN31" s="1032">
        <f t="shared" si="57"/>
        <v>0</v>
      </c>
      <c r="AO31" s="1030">
        <f t="shared" si="58"/>
        <v>0</v>
      </c>
      <c r="AP31" s="1030">
        <f t="shared" si="59"/>
        <v>0</v>
      </c>
      <c r="AQ31" s="1030">
        <f t="shared" si="60"/>
        <v>0</v>
      </c>
      <c r="AR31" s="1033">
        <f t="shared" si="61"/>
        <v>0</v>
      </c>
      <c r="AS31" s="1032">
        <f t="shared" si="62"/>
        <v>0</v>
      </c>
      <c r="AT31" s="1030">
        <f t="shared" si="63"/>
        <v>0</v>
      </c>
      <c r="AU31" s="1030">
        <f t="shared" si="63"/>
        <v>0</v>
      </c>
      <c r="AV31" s="1030">
        <f t="shared" si="64"/>
        <v>0</v>
      </c>
      <c r="AW31" s="1033">
        <f t="shared" si="64"/>
        <v>0</v>
      </c>
      <c r="AX31" s="1032">
        <f t="shared" si="65"/>
        <v>9.4991911152244327E-2</v>
      </c>
      <c r="AY31" s="1030">
        <f t="shared" si="66"/>
        <v>0.11216799957691545</v>
      </c>
      <c r="AZ31" s="1030">
        <f t="shared" si="66"/>
        <v>1.7176088424671117E-2</v>
      </c>
      <c r="BA31" s="1030">
        <f t="shared" si="67"/>
        <v>0.63974144245389031</v>
      </c>
      <c r="BB31" s="1033">
        <f t="shared" si="67"/>
        <v>6.3974144245389029E-3</v>
      </c>
      <c r="BC31" s="1032">
        <f t="shared" si="68"/>
        <v>0</v>
      </c>
      <c r="BD31" s="1030">
        <f t="shared" si="69"/>
        <v>0</v>
      </c>
      <c r="BE31" s="1030">
        <f t="shared" si="69"/>
        <v>0</v>
      </c>
      <c r="BF31" s="1033">
        <f t="shared" si="70"/>
        <v>0</v>
      </c>
      <c r="BG31" s="1032">
        <f t="shared" si="71"/>
        <v>0</v>
      </c>
      <c r="BH31" s="1030">
        <f t="shared" si="72"/>
        <v>0</v>
      </c>
      <c r="BI31" s="1033">
        <f t="shared" si="73"/>
        <v>351.90431999999998</v>
      </c>
      <c r="BJ31" s="1030">
        <f>_xlfn.XLOOKUP(H31, 'Baumaterialien Matériaux'!A:A, 'Baumaterialien Matériaux'!E:E, "-", 0, 1)</f>
        <v>436</v>
      </c>
      <c r="BK31" s="1032">
        <f t="shared" si="5"/>
        <v>0</v>
      </c>
      <c r="BL31" s="1030">
        <f t="shared" si="6"/>
        <v>0</v>
      </c>
      <c r="BM31" s="1033">
        <f t="shared" si="7"/>
        <v>0.80711999999999995</v>
      </c>
      <c r="BN31" s="720"/>
      <c r="BO31" s="720"/>
    </row>
    <row r="32" spans="2:67">
      <c r="B32" s="1103"/>
      <c r="C32" s="1099"/>
      <c r="D32" s="478"/>
      <c r="E32" s="478"/>
      <c r="F32" s="483" t="s">
        <v>3259</v>
      </c>
      <c r="G32" s="478" t="str">
        <f>_xlfn.XLOOKUP(H32, 'Baumaterialien Matériaux'!A:A, 'Baumaterialien Matériaux'!AD:AD, "-", 0, 1)</f>
        <v>Gramitherm</v>
      </c>
      <c r="H32" s="875" t="s">
        <v>545</v>
      </c>
      <c r="I32" s="641" t="str">
        <f>_xlfn.XLOOKUP(H32, 'Baumaterialien Matériaux'!A:A, 'Baumaterialien Matériaux'!F:F, "-", 0, 1)</f>
        <v>kg</v>
      </c>
      <c r="J32" s="649">
        <f t="shared" si="74"/>
        <v>286.97600000000006</v>
      </c>
      <c r="K32" s="528">
        <f>0.16*40</f>
        <v>6.4</v>
      </c>
      <c r="L32" s="647">
        <v>30</v>
      </c>
      <c r="M32" s="648">
        <f t="shared" si="52"/>
        <v>0.24662444635420117</v>
      </c>
      <c r="N32" s="720">
        <f>IFERROR(($J32*VLOOKUP($H32, 'Baumaterialien Matériaux'!$A$11:$AD$318, 26,FALSE)),0)/$G$1</f>
        <v>8.2208148784733717E-2</v>
      </c>
      <c r="O32" s="720">
        <f>IFERROR(($J32*VLOOKUP($H32, 'Baumaterialien Matériaux'!$A$11:$AH$318, 33,FALSE)),0)/$G$1</f>
        <v>8.2208148784733717E-2</v>
      </c>
      <c r="P32" s="720">
        <f t="shared" si="53"/>
        <v>8.2208148784733717E-2</v>
      </c>
      <c r="Q32" s="720">
        <f>IFERROR(($J32*VLOOKUP($H32, 'Baumaterialien Matériaux'!$A$11:$AH$318, 27,FALSE)),0)/$G$1</f>
        <v>0</v>
      </c>
      <c r="R32" s="720">
        <f>IFERROR(($J32*VLOOKUP($H32, 'Baumaterialien Matériaux'!$A$11:$AH$318, 34,FALSE)),0)/$G$1</f>
        <v>0</v>
      </c>
      <c r="S32" s="720">
        <f>IFERROR((J32*VLOOKUP(H32, 'Baumaterialien Matériaux'!$A$11:$AD$318, 29,FALSE)),0)/$G$1</f>
        <v>0.45214481831603537</v>
      </c>
      <c r="T32" s="720">
        <f t="shared" si="54"/>
        <v>-0.10399330821268814</v>
      </c>
      <c r="U32" s="638">
        <v>-0.23</v>
      </c>
      <c r="V32" s="638">
        <f t="shared" si="3"/>
        <v>-0.10399330821268814</v>
      </c>
      <c r="W32" s="638">
        <f t="shared" si="4"/>
        <v>0.45214481831603537</v>
      </c>
      <c r="Z32" s="638">
        <f t="shared" si="10"/>
        <v>30</v>
      </c>
      <c r="AA32" s="527" t="s">
        <v>3439</v>
      </c>
      <c r="AB32" t="str">
        <f>_xlfn.XLOOKUP($H32,'[1]Baumaterialien Matériaux'!$A:$A,'[1]Baumaterialien Matériaux'!AK:AK,0,0)</f>
        <v>vegetal_fiber</v>
      </c>
      <c r="AC32" t="str" cm="1">
        <f t="array" ref="AC32">_xlfn.SWITCH(I32,"kg"," ",0," ",_xlfn.XLOOKUP(H32, '[1]Baumaterialien Matériaux'!$A:$A, '[1]Baumaterialien Matériaux'!$AL:$AL, "-", 0, 1))</f>
        <v xml:space="preserve"> </v>
      </c>
      <c r="AD32" s="622" cm="1">
        <f t="array" ref="AD32">IFERROR(_xlfn.SWITCH(I32,"kg",1,"m3",AC32,AC32)*J32/(_xlfn.XLOOKUP(AA32,Métrés!A:A,Métrés!D:D,0)),0)</f>
        <v>0.75833311312528107</v>
      </c>
      <c r="AE32" s="1092">
        <f>IFERROR(N32*$G$1/(_xlfn.XLOOKUP($AA32,Métrés!$A:$A,Métrés!$D:$D,0)),0)</f>
        <v>0.19716660941257305</v>
      </c>
      <c r="AF32" s="1092">
        <f>IFERROR(O32*$G$1/(_xlfn.XLOOKUP($AA32,Métrés!$A:$A,Métrés!$D:$D,0)),0)</f>
        <v>0.19716660941257305</v>
      </c>
      <c r="AG32" s="1092">
        <f>IFERROR(Q32*$G$1/(_xlfn.XLOOKUP($AA32,Métrés!$A:$A,Métrés!$D:$D,0)),0)</f>
        <v>0</v>
      </c>
      <c r="AH32" s="1092">
        <f>IFERROR(R32*$G$1/(_xlfn.XLOOKUP($AA32,Métrés!$A:$A,Métrés!$D:$D,0)),0)</f>
        <v>0</v>
      </c>
      <c r="AI32" s="1092">
        <f>IFERROR(S32*$G$1/(_xlfn.XLOOKUP($AA32,Métrés!$A:$A,Métrés!$D:$D,0)),0)</f>
        <v>1.0844163517691519</v>
      </c>
      <c r="AJ32" s="1030">
        <v>-0.23</v>
      </c>
      <c r="AK32" s="1030">
        <f t="shared" si="55"/>
        <v>-0.10399330821268814</v>
      </c>
      <c r="AL32" s="1030">
        <f t="shared" si="56"/>
        <v>0.45214481831603537</v>
      </c>
      <c r="AM32" s="638" t="s">
        <v>3388</v>
      </c>
      <c r="AN32" s="1032">
        <f t="shared" si="57"/>
        <v>0</v>
      </c>
      <c r="AO32" s="1030">
        <f t="shared" si="58"/>
        <v>0</v>
      </c>
      <c r="AP32" s="1030">
        <f t="shared" si="59"/>
        <v>0</v>
      </c>
      <c r="AQ32" s="1030">
        <f t="shared" si="60"/>
        <v>0</v>
      </c>
      <c r="AR32" s="1033">
        <f t="shared" si="61"/>
        <v>0</v>
      </c>
      <c r="AS32" s="1032">
        <f t="shared" si="62"/>
        <v>8.2208148784733717E-2</v>
      </c>
      <c r="AT32" s="1030">
        <f t="shared" si="63"/>
        <v>8.2208148784733717E-2</v>
      </c>
      <c r="AU32" s="1030">
        <f t="shared" si="63"/>
        <v>0</v>
      </c>
      <c r="AV32" s="1030">
        <f t="shared" si="64"/>
        <v>0.45214481831603537</v>
      </c>
      <c r="AW32" s="1033">
        <f t="shared" si="64"/>
        <v>-0.10399330821268814</v>
      </c>
      <c r="AX32" s="1032">
        <f t="shared" si="65"/>
        <v>0</v>
      </c>
      <c r="AY32" s="1030">
        <f t="shared" si="66"/>
        <v>0</v>
      </c>
      <c r="AZ32" s="1030">
        <f t="shared" si="66"/>
        <v>0</v>
      </c>
      <c r="BA32" s="1030">
        <f t="shared" si="67"/>
        <v>0</v>
      </c>
      <c r="BB32" s="1033">
        <f t="shared" si="67"/>
        <v>0</v>
      </c>
      <c r="BC32" s="1032">
        <f t="shared" si="68"/>
        <v>0</v>
      </c>
      <c r="BD32" s="1030">
        <f t="shared" si="69"/>
        <v>0</v>
      </c>
      <c r="BE32" s="1030">
        <f t="shared" si="69"/>
        <v>0</v>
      </c>
      <c r="BF32" s="1033">
        <f t="shared" si="70"/>
        <v>0</v>
      </c>
      <c r="BG32" s="1032">
        <f t="shared" si="71"/>
        <v>0</v>
      </c>
      <c r="BH32" s="1030">
        <f t="shared" si="72"/>
        <v>286.97600000000006</v>
      </c>
      <c r="BI32" s="1033">
        <f t="shared" si="73"/>
        <v>0</v>
      </c>
      <c r="BJ32" s="1030">
        <f>_xlfn.XLOOKUP(H32, 'Baumaterialien Matériaux'!A:A, 'Baumaterialien Matériaux'!E:E, "-", 0, 1)</f>
        <v>0</v>
      </c>
      <c r="BK32" s="1032">
        <f t="shared" si="5"/>
        <v>0</v>
      </c>
      <c r="BL32" s="1030">
        <f t="shared" si="6"/>
        <v>0</v>
      </c>
      <c r="BM32" s="1033">
        <f t="shared" si="7"/>
        <v>0</v>
      </c>
      <c r="BN32" s="720"/>
      <c r="BO32" s="720"/>
    </row>
    <row r="33" spans="2:67">
      <c r="B33" s="1103"/>
      <c r="C33" s="1099"/>
      <c r="D33" s="478"/>
      <c r="E33" s="478"/>
      <c r="F33" s="483" t="s">
        <v>3260</v>
      </c>
      <c r="G33" s="478" t="str">
        <f>_xlfn.XLOOKUP(H33, 'Baumaterialien Matériaux'!A:A, 'Baumaterialien Matériaux'!AD:AD, "-", 0, 1)</f>
        <v>Panneau d'aggloméré type OSB, colle PF, zone humide</v>
      </c>
      <c r="H33" s="875" t="s">
        <v>1526</v>
      </c>
      <c r="I33" s="641" t="str">
        <f>_xlfn.XLOOKUP(H33, 'Baumaterialien Matériaux'!A:A, 'Baumaterialien Matériaux'!F:F, "-", 0, 1)</f>
        <v>kg</v>
      </c>
      <c r="J33" s="649">
        <f t="shared" si="74"/>
        <v>406.923</v>
      </c>
      <c r="K33" s="528">
        <f>605*0.015</f>
        <v>9.0749999999999993</v>
      </c>
      <c r="L33" s="647">
        <v>30</v>
      </c>
      <c r="M33" s="648">
        <f t="shared" si="52"/>
        <v>0.6272286606729689</v>
      </c>
      <c r="N33" s="720">
        <f>IFERROR(($J33*VLOOKUP($H33, 'Baumaterialien Matériaux'!$A$11:$AD$318, 26,FALSE)),0)/$G$1</f>
        <v>0.21744524690949957</v>
      </c>
      <c r="O33" s="720">
        <f>IFERROR(($J33*VLOOKUP($H33, 'Baumaterialien Matériaux'!$A$11:$AH$318, 33,FALSE)),0)/$G$1</f>
        <v>0.12060365240959874</v>
      </c>
      <c r="P33" s="720">
        <f t="shared" si="53"/>
        <v>0.25331250413168505</v>
      </c>
      <c r="Q33" s="720">
        <f>IFERROR(($J33*VLOOKUP($H33, 'Baumaterialien Matériaux'!$A$11:$AH$318, 27,FALSE)),0)/$G$1</f>
        <v>3.5867257222185499E-2</v>
      </c>
      <c r="R33" s="720">
        <f>IFERROR(($J33*VLOOKUP($H33, 'Baumaterialien Matériaux'!$A$11:$AH$318, 34,FALSE)),0)/$G$1</f>
        <v>1.9995995901368413E-2</v>
      </c>
      <c r="S33" s="720">
        <f>IFERROR((J33*VLOOKUP(H33, 'Baumaterialien Matériaux'!$A$11:$AD$318, 29,FALSE)),0)/$G$1</f>
        <v>0.72989868447147488</v>
      </c>
      <c r="T33" s="720">
        <f t="shared" si="54"/>
        <v>0.10948480267072123</v>
      </c>
      <c r="U33" s="638">
        <v>0.15</v>
      </c>
      <c r="V33" s="638">
        <f t="shared" si="3"/>
        <v>0.10948480267072123</v>
      </c>
      <c r="W33" s="638">
        <f t="shared" si="4"/>
        <v>0.72989868447147488</v>
      </c>
      <c r="Z33" s="638">
        <f t="shared" si="10"/>
        <v>30</v>
      </c>
      <c r="AA33" s="527" t="s">
        <v>3439</v>
      </c>
      <c r="AB33" t="str">
        <f>_xlfn.XLOOKUP($H33,'[1]Baumaterialien Matériaux'!$A:$A,'[1]Baumaterialien Matériaux'!AK:AK,0,0)</f>
        <v>timber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622" cm="1">
        <f t="array" ref="AD33">IFERROR(_xlfn.SWITCH(I33,"kg",1,"m3",AC33,AC33)*J33/(_xlfn.XLOOKUP(AA33,Métrés!A:A,Métrés!D:D,0)),0)</f>
        <v>1.075292656501863</v>
      </c>
      <c r="AE33" s="1092">
        <f>IFERROR(N33*$G$1/(_xlfn.XLOOKUP($AA33,Métrés!$A:$A,Métrés!$D:$D,0)),0)</f>
        <v>0.52151693840340363</v>
      </c>
      <c r="AF33" s="1092">
        <f>IFERROR(O33*$G$1/(_xlfn.XLOOKUP($AA33,Métrés!$A:$A,Métrés!$D:$D,0)),0)</f>
        <v>0.28925372459900117</v>
      </c>
      <c r="AG33" s="1092">
        <f>IFERROR(Q33*$G$1/(_xlfn.XLOOKUP($AA33,Métrés!$A:$A,Métrés!$D:$D,0)),0)</f>
        <v>8.6023412520149056E-2</v>
      </c>
      <c r="AH33" s="1092">
        <f>IFERROR(R33*$G$1/(_xlfn.XLOOKUP($AA33,Métrés!$A:$A,Métrés!$D:$D,0)),0)</f>
        <v>4.7958052479983096E-2</v>
      </c>
      <c r="AI33" s="1092">
        <f>IFERROR(S33*$G$1/(_xlfn.XLOOKUP($AA33,Métrés!$A:$A,Métrés!$D:$D,0)),0)</f>
        <v>1.7505764447850332</v>
      </c>
      <c r="AJ33" s="1030">
        <v>0.15</v>
      </c>
      <c r="AK33" s="1030">
        <f t="shared" si="55"/>
        <v>0.10948480267072123</v>
      </c>
      <c r="AL33" s="1030">
        <f t="shared" si="56"/>
        <v>0.72989868447147488</v>
      </c>
      <c r="AM33" s="638" t="str">
        <f>IF(L33=$L$2, "Structure", IF(L33&gt;0,"Revêtement",0))</f>
        <v>Revêtement</v>
      </c>
      <c r="AN33" s="1032">
        <f t="shared" si="57"/>
        <v>0</v>
      </c>
      <c r="AO33" s="1030">
        <f t="shared" si="58"/>
        <v>0</v>
      </c>
      <c r="AP33" s="1030">
        <f t="shared" si="59"/>
        <v>0</v>
      </c>
      <c r="AQ33" s="1030">
        <f t="shared" si="60"/>
        <v>0</v>
      </c>
      <c r="AR33" s="1033">
        <f t="shared" si="61"/>
        <v>0</v>
      </c>
      <c r="AS33" s="1032">
        <f t="shared" si="62"/>
        <v>0</v>
      </c>
      <c r="AT33" s="1030">
        <f t="shared" si="63"/>
        <v>0</v>
      </c>
      <c r="AU33" s="1030">
        <f t="shared" si="63"/>
        <v>0</v>
      </c>
      <c r="AV33" s="1030">
        <f t="shared" si="64"/>
        <v>0</v>
      </c>
      <c r="AW33" s="1033">
        <f t="shared" si="64"/>
        <v>0</v>
      </c>
      <c r="AX33" s="1032">
        <f t="shared" si="65"/>
        <v>0.21744524690949957</v>
      </c>
      <c r="AY33" s="1030">
        <f t="shared" si="66"/>
        <v>0.25331250413168505</v>
      </c>
      <c r="AZ33" s="1030">
        <f t="shared" si="66"/>
        <v>3.5867257222185499E-2</v>
      </c>
      <c r="BA33" s="1030">
        <f t="shared" si="67"/>
        <v>0.72989868447147488</v>
      </c>
      <c r="BB33" s="1033">
        <f t="shared" si="67"/>
        <v>0.10948480267072123</v>
      </c>
      <c r="BC33" s="1032">
        <f t="shared" si="68"/>
        <v>0</v>
      </c>
      <c r="BD33" s="1030">
        <f t="shared" si="69"/>
        <v>0</v>
      </c>
      <c r="BE33" s="1030">
        <f t="shared" si="69"/>
        <v>0</v>
      </c>
      <c r="BF33" s="1033">
        <f t="shared" si="70"/>
        <v>0</v>
      </c>
      <c r="BG33" s="1032">
        <f t="shared" si="71"/>
        <v>0</v>
      </c>
      <c r="BH33" s="1030">
        <f t="shared" si="72"/>
        <v>0</v>
      </c>
      <c r="BI33" s="1033">
        <f t="shared" si="73"/>
        <v>406.923</v>
      </c>
      <c r="BJ33" s="1030">
        <f>_xlfn.XLOOKUP(H33, 'Baumaterialien Matériaux'!A:A, 'Baumaterialien Matériaux'!E:E, "-", 0, 1)</f>
        <v>605</v>
      </c>
      <c r="BK33" s="1032">
        <f t="shared" si="5"/>
        <v>0</v>
      </c>
      <c r="BL33" s="1030">
        <f t="shared" si="6"/>
        <v>0</v>
      </c>
      <c r="BM33" s="1033">
        <f t="shared" si="7"/>
        <v>0.67259999999999998</v>
      </c>
      <c r="BN33" s="720"/>
      <c r="BO33" s="720"/>
    </row>
    <row r="34" spans="2:67">
      <c r="B34" s="1103"/>
      <c r="C34" s="1099"/>
      <c r="D34" s="483"/>
      <c r="E34" s="478"/>
      <c r="F34" s="479" t="s">
        <v>3070</v>
      </c>
      <c r="G34" s="479"/>
      <c r="H34" s="479"/>
      <c r="I34" s="459" t="s">
        <v>39</v>
      </c>
      <c r="J34" s="662">
        <v>64.650000000000006</v>
      </c>
      <c r="K34" s="663"/>
      <c r="L34" s="663"/>
      <c r="M34" s="664">
        <f>SUM(M35:M37)</f>
        <v>1.152373321709526</v>
      </c>
      <c r="N34" s="664">
        <f t="shared" ref="N34:T34" si="75">SUM(N35:N37)</f>
        <v>0.50126508065049258</v>
      </c>
      <c r="O34" s="664">
        <f t="shared" ref="O34" si="76">SUM(O35:O37)</f>
        <v>0.19091665978052491</v>
      </c>
      <c r="P34" s="664">
        <f t="shared" si="75"/>
        <v>0.43373346086467912</v>
      </c>
      <c r="Q34" s="664">
        <f t="shared" si="75"/>
        <v>2.6458120413829576E-2</v>
      </c>
      <c r="R34" s="664">
        <f t="shared" ref="R34" si="77">SUM(R35:R37)</f>
        <v>5.7129153996165801E-3</v>
      </c>
      <c r="S34" s="664">
        <f t="shared" si="75"/>
        <v>0</v>
      </c>
      <c r="T34" s="664">
        <f t="shared" si="75"/>
        <v>0</v>
      </c>
      <c r="V34" s="638">
        <f t="shared" si="3"/>
        <v>0</v>
      </c>
      <c r="W34" s="638">
        <f t="shared" si="4"/>
        <v>0</v>
      </c>
      <c r="Y34" s="638">
        <f t="shared" si="9"/>
        <v>0</v>
      </c>
      <c r="Z34" s="638">
        <f t="shared" si="10"/>
        <v>0</v>
      </c>
      <c r="AA34" s="527" t="s">
        <v>3439</v>
      </c>
      <c r="AB34">
        <f>_xlfn.XLOOKUP($H34,'[1]Baumaterialien Matériaux'!$A:$A,'[1]Baumaterialien Matériaux'!AK:AK,0,0)</f>
        <v>0</v>
      </c>
      <c r="AC34" cm="1">
        <f t="array" ref="AC34">_xlfn.SWITCH(I34,"kg"," ",0," ",_xlfn.XLOOKUP(H34, '[1]Baumaterialien Matériaux'!$A:$A, '[1]Baumaterialien Matériaux'!$AL:$AL, "-", 0, 1))</f>
        <v>0</v>
      </c>
      <c r="AD34" s="622" cm="1">
        <f t="array" ref="AD34">IFERROR(_xlfn.SWITCH(I34,"kg",1,"m3",AC34,AC34)*J34/(_xlfn.XLOOKUP(AA34,Métrés!A:A,Métrés!D:D,0)),0)</f>
        <v>0</v>
      </c>
      <c r="AE34" s="1092">
        <f>IFERROR(N34*$G$1/(_xlfn.XLOOKUP($AA34,Métrés!$A:$A,Métrés!$D:$D,0)),0)</f>
        <v>1.2022255436936822</v>
      </c>
      <c r="AF34" s="1092">
        <f>IFERROR(O34*$G$1/(_xlfn.XLOOKUP($AA34,Métrés!$A:$A,Métrés!$D:$D,0)),0)</f>
        <v>0.45789123153555489</v>
      </c>
      <c r="AG34" s="1092">
        <f>IFERROR(Q34*$G$1/(_xlfn.XLOOKUP($AA34,Métrés!$A:$A,Métrés!$D:$D,0)),0)</f>
        <v>6.3456700710831607E-2</v>
      </c>
      <c r="AH34" s="1092">
        <f>IFERROR(R34*$G$1/(_xlfn.XLOOKUP($AA34,Métrés!$A:$A,Métrés!$D:$D,0)),0)</f>
        <v>1.370175798694607E-2</v>
      </c>
      <c r="AI34" s="1092">
        <f>IFERROR(S34*$G$1/(_xlfn.XLOOKUP($AA34,Métrés!$A:$A,Métrés!$D:$D,0)),0)</f>
        <v>0</v>
      </c>
      <c r="AJ34" s="1064"/>
      <c r="AK34" s="1064"/>
      <c r="AL34" s="1064"/>
      <c r="AM34" s="1021"/>
      <c r="AN34" s="1073"/>
      <c r="AO34" s="1064"/>
      <c r="AP34" s="1064"/>
      <c r="AQ34" s="1064"/>
      <c r="AR34" s="1074"/>
      <c r="AS34" s="1073"/>
      <c r="AT34" s="1064"/>
      <c r="AU34" s="1064"/>
      <c r="AV34" s="1064"/>
      <c r="AW34" s="1074"/>
      <c r="AX34" s="1073"/>
      <c r="AY34" s="1064"/>
      <c r="AZ34" s="1064"/>
      <c r="BA34" s="1064"/>
      <c r="BB34" s="1074"/>
      <c r="BC34" s="1073"/>
      <c r="BD34" s="1064"/>
      <c r="BE34" s="1064"/>
      <c r="BF34" s="1074"/>
      <c r="BG34" s="1073"/>
      <c r="BH34" s="1064"/>
      <c r="BI34" s="1074"/>
      <c r="BJ34" s="1078"/>
      <c r="BK34" s="1073"/>
      <c r="BL34" s="1064"/>
      <c r="BM34" s="1074"/>
      <c r="BN34" s="720">
        <f>IFERROR((J34*VLOOKUP(H34, 'Baumaterialien Matériaux'!$A$11:$AH$318, 32,FALSE))*($L$2/L34-1),0)/$G$1</f>
        <v>0</v>
      </c>
      <c r="BO34" s="720">
        <f>IFERROR((N34+Q34)*($L$2/L34-1),0)</f>
        <v>0</v>
      </c>
    </row>
    <row r="35" spans="2:67">
      <c r="B35" s="1103"/>
      <c r="C35" s="1099"/>
      <c r="D35" s="478"/>
      <c r="E35" s="478"/>
      <c r="F35" s="483" t="s">
        <v>3069</v>
      </c>
      <c r="G35" s="478" t="str">
        <f>_xlfn.XLOOKUP(H35, 'Baumaterialien Matériaux'!A:A, 'Baumaterialien Matériaux'!AD:AD, "-", 0, 1)</f>
        <v>Laine de verre</v>
      </c>
      <c r="H35" s="875" t="s">
        <v>130</v>
      </c>
      <c r="I35" s="641" t="str">
        <f>_xlfn.XLOOKUP(H35, 'Baumaterialien Matériaux'!A:A, 'Baumaterialien Matériaux'!F:F, "-", 0, 1)</f>
        <v>kg</v>
      </c>
      <c r="J35" s="649">
        <f>$J$34*K35</f>
        <v>77.58</v>
      </c>
      <c r="K35" s="650">
        <f>0.06*20</f>
        <v>1.2</v>
      </c>
      <c r="L35" s="647">
        <v>60</v>
      </c>
      <c r="M35" s="648">
        <f t="shared" ref="M35:M36" si="78">SUM(N35:Q35)</f>
        <v>0.13006073907582469</v>
      </c>
      <c r="N35" s="720">
        <f>IFERROR(($J35*VLOOKUP($H35, 'Baumaterialien Matériaux'!$A$11:$AD$318, 26,FALSE)),0)/$G$1</f>
        <v>8.8895352680637266E-2</v>
      </c>
      <c r="O35" s="720">
        <f>IFERROR(($J35*VLOOKUP($H35, 'Baumaterialien Matériaux'!$A$11:$AH$318, 33,FALSE)),0)/$G$1</f>
        <v>3.6070998876181662E-2</v>
      </c>
      <c r="P35" s="720">
        <f>(N35+Q35)*($L$2/L35-1)</f>
        <v>0</v>
      </c>
      <c r="Q35" s="720">
        <f>IFERROR(($J35*VLOOKUP($H35, 'Baumaterialien Matériaux'!$A$11:$AH$318, 27,FALSE)),0)/$G$1</f>
        <v>5.0943875190057513E-3</v>
      </c>
      <c r="R35" s="720">
        <f>IFERROR(($J35*VLOOKUP($H35, 'Baumaterialien Matériaux'!$A$11:$AH$318, 34,FALSE)),0)/$G$1</f>
        <v>2.97457526277517E-4</v>
      </c>
      <c r="S35" s="720">
        <f>IFERROR((J35*VLOOKUP(H35, 'Baumaterialien Matériaux'!$A$11:$AD$318, 29,FALSE)),0)/$G$1</f>
        <v>0</v>
      </c>
      <c r="T35" s="720">
        <f>S35*AJ35</f>
        <v>0</v>
      </c>
      <c r="V35" s="638">
        <f t="shared" si="3"/>
        <v>0</v>
      </c>
      <c r="W35" s="638">
        <f t="shared" si="4"/>
        <v>0</v>
      </c>
      <c r="Y35" s="638" t="str">
        <f t="shared" si="9"/>
        <v>Structure</v>
      </c>
      <c r="Z35" s="638">
        <f t="shared" si="10"/>
        <v>60</v>
      </c>
      <c r="AA35" s="527" t="s">
        <v>3439</v>
      </c>
      <c r="AB35" t="str">
        <f>_xlfn.XLOOKUP($H35,'[1]Baumaterialien Matériaux'!$A:$A,'[1]Baumaterialien Matériaux'!AK:AK,0,0)</f>
        <v>mineral_fiber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622" cm="1">
        <f t="array" ref="AD35">IFERROR(_xlfn.SWITCH(I35,"kg",1,"m3",AC35,AC35)*J35/(_xlfn.XLOOKUP(AA35,Métrés!A:A,Métrés!D:D,0)),0)</f>
        <v>0.20500488861876703</v>
      </c>
      <c r="AE35" s="1092">
        <f>IFERROR(N35*$G$1/(_xlfn.XLOOKUP($AA35,Métrés!$A:$A,Métrés!$D:$D,0)),0)</f>
        <v>0.21320508416351772</v>
      </c>
      <c r="AF35" s="1092">
        <f>IFERROR(O35*$G$1/(_xlfn.XLOOKUP($AA35,Métrés!$A:$A,Métrés!$D:$D,0)),0)</f>
        <v>8.6512062997119693E-2</v>
      </c>
      <c r="AG35" s="1092">
        <f>IFERROR(Q35*$G$1/(_xlfn.XLOOKUP($AA35,Métrés!$A:$A,Métrés!$D:$D,0)),0)</f>
        <v>1.2218291361678516E-2</v>
      </c>
      <c r="AH35" s="1092">
        <f>IFERROR(R35*$G$1/(_xlfn.XLOOKUP($AA35,Métrés!$A:$A,Métrés!$D:$D,0)),0)</f>
        <v>7.134170123933093E-4</v>
      </c>
      <c r="AI35" s="1092">
        <f>IFERROR(S35*$G$1/(_xlfn.XLOOKUP($AA35,Métrés!$A:$A,Métrés!$D:$D,0)),0)</f>
        <v>0</v>
      </c>
      <c r="AJ35" s="1030"/>
      <c r="AK35" s="1030">
        <f>IF(L35=60,0,T35)</f>
        <v>0</v>
      </c>
      <c r="AL35" s="1030">
        <f>IF(L35=60,0,S35)</f>
        <v>0</v>
      </c>
      <c r="AM35" s="638" t="str">
        <f>IF(L35=$L$2, "Structure", IF(L35&gt;0,"Revêtement",0))</f>
        <v>Structure</v>
      </c>
      <c r="AN35" s="1032">
        <f>IF(AM35="Structure",N35,0)</f>
        <v>8.8895352680637266E-2</v>
      </c>
      <c r="AO35" s="1030">
        <f>IF(AM35="Structure",P35,0)</f>
        <v>0</v>
      </c>
      <c r="AP35" s="1030">
        <f>IF(AM35="Structure",Q35,0)</f>
        <v>5.0943875190057513E-3</v>
      </c>
      <c r="AQ35" s="1030">
        <f>IF(AM35="Structure",S35,0)</f>
        <v>0</v>
      </c>
      <c r="AR35" s="1033">
        <f>IF(AM35="Structure",T35,0)</f>
        <v>0</v>
      </c>
      <c r="AS35" s="1032">
        <f>IF($AM35="Insulation",N35,0)</f>
        <v>0</v>
      </c>
      <c r="AT35" s="1030">
        <f t="shared" ref="AT35:AU37" si="79">IF($AM35="Insulation",P35,0)</f>
        <v>0</v>
      </c>
      <c r="AU35" s="1030">
        <f t="shared" si="79"/>
        <v>0</v>
      </c>
      <c r="AV35" s="1030">
        <f t="shared" ref="AV35:AW37" si="80">IF($AM35="Insulation",S35,0)</f>
        <v>0</v>
      </c>
      <c r="AW35" s="1033">
        <f t="shared" si="80"/>
        <v>0</v>
      </c>
      <c r="AX35" s="1032">
        <f>IF($AM35="Revêtement",N35,0)</f>
        <v>0</v>
      </c>
      <c r="AY35" s="1030">
        <f t="shared" ref="AY35:AZ37" si="81">IF($AM35="Revêtement",P35,0)</f>
        <v>0</v>
      </c>
      <c r="AZ35" s="1030">
        <f t="shared" si="81"/>
        <v>0</v>
      </c>
      <c r="BA35" s="1030">
        <f t="shared" ref="BA35:BB37" si="82">IF($AM35="Revêtement",S35,0)</f>
        <v>0</v>
      </c>
      <c r="BB35" s="1033">
        <f t="shared" si="82"/>
        <v>0</v>
      </c>
      <c r="BC35" s="1032">
        <f>IF($AM35="Installation",N35,0)</f>
        <v>0</v>
      </c>
      <c r="BD35" s="1030">
        <f t="shared" ref="BD35:BE37" si="83">IF($AM35="Installation",P35,0)</f>
        <v>0</v>
      </c>
      <c r="BE35" s="1030">
        <f t="shared" si="83"/>
        <v>0</v>
      </c>
      <c r="BF35" s="1033">
        <f>IF($AM35="Installation",S35,0)</f>
        <v>0</v>
      </c>
      <c r="BG35" s="1032">
        <f>IF($AM35="Structure", IF($I35="kg",$J35,0), 0)</f>
        <v>77.58</v>
      </c>
      <c r="BH35" s="1030">
        <f>IF($AM35="Insulation", IF($I35="kg",$J35,0), 0)</f>
        <v>0</v>
      </c>
      <c r="BI35" s="1033">
        <f>IF($AM35="Revêtement", IF($I35="kg",$J35,0), 0)</f>
        <v>0</v>
      </c>
      <c r="BJ35" s="1030">
        <v>20</v>
      </c>
      <c r="BK35" s="1032">
        <f t="shared" si="5"/>
        <v>3.879</v>
      </c>
      <c r="BL35" s="1030">
        <f t="shared" si="6"/>
        <v>0</v>
      </c>
      <c r="BM35" s="1033">
        <f t="shared" si="7"/>
        <v>0</v>
      </c>
      <c r="BN35" s="720">
        <f>IFERROR((J35*VLOOKUP(H35, 'Baumaterialien Matériaux'!$A$11:$AH$318, 32,FALSE))*($L$2/L35-1),0)/$G$1</f>
        <v>0</v>
      </c>
      <c r="BO35" s="720">
        <f>IFERROR((N35+Q35)*($L$2/L35-1),0)</f>
        <v>0</v>
      </c>
    </row>
    <row r="36" spans="2:67">
      <c r="B36" s="1103"/>
      <c r="C36" s="1099"/>
      <c r="D36" s="478"/>
      <c r="E36" s="478"/>
      <c r="F36" s="483" t="s">
        <v>2986</v>
      </c>
      <c r="G36" s="478" t="str">
        <f>_xlfn.XLOOKUP(H36, 'Baumaterialien Matériaux'!A:A, 'Baumaterialien Matériaux'!AD:AD, "-", 0, 1)</f>
        <v>Enduit de ciment</v>
      </c>
      <c r="H36" s="875">
        <v>4.0090000000000003</v>
      </c>
      <c r="I36" s="641" t="str">
        <f>_xlfn.XLOOKUP(H36, 'Baumaterialien Matériaux'!A:A, 'Baumaterialien Matériaux'!F:F, "-", 0, 1)</f>
        <v>kg</v>
      </c>
      <c r="J36" s="649">
        <f>$J$34*K36</f>
        <v>1503.1125000000002</v>
      </c>
      <c r="K36" s="649">
        <f>0.015*1550</f>
        <v>23.25</v>
      </c>
      <c r="L36" s="638">
        <v>30</v>
      </c>
      <c r="M36" s="648">
        <f t="shared" si="78"/>
        <v>1.0223125826337014</v>
      </c>
      <c r="N36" s="720">
        <f>IFERROR(($J36*VLOOKUP($H36, 'Baumaterialien Matériaux'!$A$11:$AD$318, 26,FALSE)),0)/$G$1</f>
        <v>0.41236972796985527</v>
      </c>
      <c r="O36" s="720">
        <f>IFERROR(($J36*VLOOKUP($H36, 'Baumaterialien Matériaux'!$A$11:$AH$318, 33,FALSE)),0)/$G$1</f>
        <v>0.15484566090434324</v>
      </c>
      <c r="P36" s="720">
        <f>(N36+Q36)*($L$2/L36-1)</f>
        <v>0.43373346086467912</v>
      </c>
      <c r="Q36" s="720">
        <f>IFERROR(($J36*VLOOKUP($H36, 'Baumaterialien Matériaux'!$A$11:$AH$318, 27,FALSE)),0)/$G$1</f>
        <v>2.1363732894823826E-2</v>
      </c>
      <c r="R36" s="720">
        <f>IFERROR(($J36*VLOOKUP($H36, 'Baumaterialien Matériaux'!$A$11:$AH$318, 34,FALSE)),0)/$G$1</f>
        <v>5.4154578733390628E-3</v>
      </c>
      <c r="S36" s="720">
        <f>IFERROR((J36*VLOOKUP(H36, 'Baumaterialien Matériaux'!$A$11:$AD$318, 29,FALSE)),0)/$G$1</f>
        <v>0</v>
      </c>
      <c r="T36" s="720">
        <f>S36*AJ36</f>
        <v>0</v>
      </c>
      <c r="V36" s="638">
        <f t="shared" si="3"/>
        <v>0</v>
      </c>
      <c r="W36" s="638">
        <f t="shared" si="4"/>
        <v>0</v>
      </c>
      <c r="Y36" s="638" t="str">
        <f t="shared" si="9"/>
        <v>Revêtement</v>
      </c>
      <c r="Z36" s="638">
        <f t="shared" si="10"/>
        <v>30</v>
      </c>
      <c r="AA36" s="527" t="s">
        <v>3439</v>
      </c>
      <c r="AB36" t="str">
        <f>_xlfn.XLOOKUP($H36,'[1]Baumaterialien Matériaux'!$A:$A,'[1]Baumaterialien Matériaux'!AK:AK,0,0)</f>
        <v>concrete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622" cm="1">
        <f t="array" ref="AD36">IFERROR(_xlfn.SWITCH(I36,"kg",1,"m3",AC36,AC36)*J36/(_xlfn.XLOOKUP(AA36,Métrés!A:A,Métrés!D:D,0)),0)</f>
        <v>3.9719697169886117</v>
      </c>
      <c r="AE36" s="1092">
        <f>IFERROR(N36*$G$1/(_xlfn.XLOOKUP($AA36,Métrés!$A:$A,Métrés!$D:$D,0)),0)</f>
        <v>0.98902045953016438</v>
      </c>
      <c r="AF36" s="1092">
        <f>IFERROR(O36*$G$1/(_xlfn.XLOOKUP($AA36,Métrés!$A:$A,Métrés!$D:$D,0)),0)</f>
        <v>0.37137916853843517</v>
      </c>
      <c r="AG36" s="1092">
        <f>IFERROR(Q36*$G$1/(_xlfn.XLOOKUP($AA36,Métrés!$A:$A,Métrés!$D:$D,0)),0)</f>
        <v>5.1238409349153094E-2</v>
      </c>
      <c r="AH36" s="1092">
        <f>IFERROR(R36*$G$1/(_xlfn.XLOOKUP($AA36,Métrés!$A:$A,Métrés!$D:$D,0)),0)</f>
        <v>1.2988340974552761E-2</v>
      </c>
      <c r="AI36" s="1092">
        <f>IFERROR(S36*$G$1/(_xlfn.XLOOKUP($AA36,Métrés!$A:$A,Métrés!$D:$D,0)),0)</f>
        <v>0</v>
      </c>
      <c r="AJ36" s="1030"/>
      <c r="AK36" s="1030">
        <f>IF(L36=60,0,T36)</f>
        <v>0</v>
      </c>
      <c r="AL36" s="1030">
        <f>IF(L36=60,0,S36)</f>
        <v>0</v>
      </c>
      <c r="AM36" s="638" t="str">
        <f>IF(L36=$L$2, "Structure", IF(L36&gt;0,"Revêtement",0))</f>
        <v>Revêtement</v>
      </c>
      <c r="AN36" s="1032">
        <f>IF(AM36="Structure",N36,0)</f>
        <v>0</v>
      </c>
      <c r="AO36" s="1030">
        <f>IF(AM36="Structure",P36,0)</f>
        <v>0</v>
      </c>
      <c r="AP36" s="1030">
        <f>IF(AM36="Structure",Q36,0)</f>
        <v>0</v>
      </c>
      <c r="AQ36" s="1030">
        <f>IF(AM36="Structure",S36,0)</f>
        <v>0</v>
      </c>
      <c r="AR36" s="1033">
        <f>IF(AM36="Structure",T36,0)</f>
        <v>0</v>
      </c>
      <c r="AS36" s="1032">
        <f>IF($AM36="Insulation",N36,0)</f>
        <v>0</v>
      </c>
      <c r="AT36" s="1030">
        <f t="shared" si="79"/>
        <v>0</v>
      </c>
      <c r="AU36" s="1030">
        <f t="shared" si="79"/>
        <v>0</v>
      </c>
      <c r="AV36" s="1030">
        <f t="shared" si="80"/>
        <v>0</v>
      </c>
      <c r="AW36" s="1033">
        <f t="shared" si="80"/>
        <v>0</v>
      </c>
      <c r="AX36" s="1032">
        <f>IF($AM36="Revêtement",N36,0)</f>
        <v>0.41236972796985527</v>
      </c>
      <c r="AY36" s="1030">
        <f t="shared" si="81"/>
        <v>0.43373346086467912</v>
      </c>
      <c r="AZ36" s="1030">
        <f t="shared" si="81"/>
        <v>2.1363732894823826E-2</v>
      </c>
      <c r="BA36" s="1030">
        <f t="shared" si="82"/>
        <v>0</v>
      </c>
      <c r="BB36" s="1033">
        <f t="shared" si="82"/>
        <v>0</v>
      </c>
      <c r="BC36" s="1032">
        <f>IF($AM36="Installation",N36,0)</f>
        <v>0</v>
      </c>
      <c r="BD36" s="1030">
        <f t="shared" si="83"/>
        <v>0</v>
      </c>
      <c r="BE36" s="1030">
        <f t="shared" si="83"/>
        <v>0</v>
      </c>
      <c r="BF36" s="1033">
        <f>IF($AM36="Installation",S36,0)</f>
        <v>0</v>
      </c>
      <c r="BG36" s="1032">
        <f>IF($AM36="Structure", IF($I36="kg",$J36,0), 0)</f>
        <v>0</v>
      </c>
      <c r="BH36" s="1030">
        <f>IF($AM36="Insulation", IF($I36="kg",$J36,0), 0)</f>
        <v>0</v>
      </c>
      <c r="BI36" s="1033">
        <f>IF($AM36="Revêtement", IF($I36="kg",$J36,0), 0)</f>
        <v>1503.1125000000002</v>
      </c>
      <c r="BJ36" s="1030">
        <f>_xlfn.XLOOKUP(H36, 'Baumaterialien Matériaux'!A:A, 'Baumaterialien Matériaux'!E:E, "-", 0, 1)</f>
        <v>1550</v>
      </c>
      <c r="BK36" s="1032">
        <f t="shared" si="5"/>
        <v>0</v>
      </c>
      <c r="BL36" s="1030">
        <f t="shared" si="6"/>
        <v>0</v>
      </c>
      <c r="BM36" s="1033">
        <f t="shared" si="7"/>
        <v>0.96975000000000011</v>
      </c>
    </row>
    <row r="37" spans="2:67">
      <c r="B37" s="1103"/>
      <c r="C37" s="1099"/>
      <c r="D37" s="478"/>
      <c r="E37" s="478"/>
      <c r="F37" s="478"/>
      <c r="G37" s="478"/>
      <c r="H37" s="478"/>
      <c r="I37" s="641"/>
      <c r="J37" s="649"/>
      <c r="K37" s="647"/>
      <c r="L37" s="647"/>
      <c r="M37" s="648"/>
      <c r="T37" s="720">
        <f>S37*AJ37</f>
        <v>0</v>
      </c>
      <c r="V37" s="638">
        <f t="shared" si="3"/>
        <v>0</v>
      </c>
      <c r="W37" s="638">
        <f t="shared" si="4"/>
        <v>0</v>
      </c>
      <c r="Y37" s="638">
        <f t="shared" si="9"/>
        <v>0</v>
      </c>
      <c r="Z37" s="638">
        <f t="shared" si="10"/>
        <v>0</v>
      </c>
      <c r="AA37" s="527" t="s">
        <v>3439</v>
      </c>
      <c r="AB37">
        <f>_xlfn.XLOOKUP($H37,'[1]Baumaterialien Matériaux'!$A:$A,'[1]Baumaterialien Matériaux'!AK:AK,0,0)</f>
        <v>0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622" cm="1">
        <f t="array" ref="AD37">IFERROR(_xlfn.SWITCH(I37,"kg",1,"m3",AC37,AC37)*J37/(_xlfn.XLOOKUP(AA37,Métrés!A:A,Métrés!D:D,0)),0)</f>
        <v>0</v>
      </c>
      <c r="AE37" s="1092">
        <f>IFERROR(N37*$G$1/(_xlfn.XLOOKUP($AA37,Métrés!$A:$A,Métrés!$D:$D,0)),0)</f>
        <v>0</v>
      </c>
      <c r="AF37" s="1092">
        <f>IFERROR(O37*$G$1/(_xlfn.XLOOKUP($AA37,Métrés!$A:$A,Métrés!$D:$D,0)),0)</f>
        <v>0</v>
      </c>
      <c r="AG37" s="1092">
        <f>IFERROR(Q37*$G$1/(_xlfn.XLOOKUP($AA37,Métrés!$A:$A,Métrés!$D:$D,0)),0)</f>
        <v>0</v>
      </c>
      <c r="AH37" s="1092">
        <f>IFERROR(R37*$G$1/(_xlfn.XLOOKUP($AA37,Métrés!$A:$A,Métrés!$D:$D,0)),0)</f>
        <v>0</v>
      </c>
      <c r="AI37" s="1092">
        <f>IFERROR(S37*$G$1/(_xlfn.XLOOKUP($AA37,Métrés!$A:$A,Métrés!$D:$D,0)),0)</f>
        <v>0</v>
      </c>
      <c r="AJ37" s="1030"/>
      <c r="AK37" s="1030">
        <f>IF(L37=60,0,T37)</f>
        <v>0</v>
      </c>
      <c r="AL37" s="1030">
        <f>IF(L37=60,0,S37)</f>
        <v>0</v>
      </c>
      <c r="AM37" s="638">
        <f>IF(L37=$L$2, "Structure", IF(L37&gt;0,"Revêtement",0))</f>
        <v>0</v>
      </c>
      <c r="AN37" s="1032">
        <f>IF(AM37="Structure",N37,0)</f>
        <v>0</v>
      </c>
      <c r="AO37" s="1030">
        <f>IF(AM37="Structure",P37,0)</f>
        <v>0</v>
      </c>
      <c r="AP37" s="1030">
        <f>IF(AM37="Structure",Q37,0)</f>
        <v>0</v>
      </c>
      <c r="AQ37" s="1030">
        <f>IF(AM37="Structure",S37,0)</f>
        <v>0</v>
      </c>
      <c r="AR37" s="1033">
        <f>IF(AM37="Structure",T37,0)</f>
        <v>0</v>
      </c>
      <c r="AS37" s="1032">
        <f>IF($AM37="Insulation",N37,0)</f>
        <v>0</v>
      </c>
      <c r="AT37" s="1030">
        <f t="shared" si="79"/>
        <v>0</v>
      </c>
      <c r="AU37" s="1030">
        <f t="shared" si="79"/>
        <v>0</v>
      </c>
      <c r="AV37" s="1030">
        <f t="shared" si="80"/>
        <v>0</v>
      </c>
      <c r="AW37" s="1033">
        <f t="shared" si="80"/>
        <v>0</v>
      </c>
      <c r="AX37" s="1032">
        <f>IF($AM37="Revêtement",N37,0)</f>
        <v>0</v>
      </c>
      <c r="AY37" s="1030">
        <f t="shared" si="81"/>
        <v>0</v>
      </c>
      <c r="AZ37" s="1030">
        <f t="shared" si="81"/>
        <v>0</v>
      </c>
      <c r="BA37" s="1030">
        <f t="shared" si="82"/>
        <v>0</v>
      </c>
      <c r="BB37" s="1033">
        <f t="shared" si="82"/>
        <v>0</v>
      </c>
      <c r="BC37" s="1032">
        <f>IF($AM37="Installation",N37,0)</f>
        <v>0</v>
      </c>
      <c r="BD37" s="1030">
        <f t="shared" si="83"/>
        <v>0</v>
      </c>
      <c r="BE37" s="1030">
        <f t="shared" si="83"/>
        <v>0</v>
      </c>
      <c r="BF37" s="1033">
        <f>IF($AM37="Installation",S37,0)</f>
        <v>0</v>
      </c>
      <c r="BG37" s="1032">
        <f>IF($AM37="Structure", IF($I37="kg",$J37,0), 0)</f>
        <v>0</v>
      </c>
      <c r="BH37" s="1030">
        <f>IF($AM37="Insulation", IF($I37="kg",$J37,0), 0)</f>
        <v>0</v>
      </c>
      <c r="BI37" s="1033">
        <f>IF($AM37="Revêtement", IF($I37="kg",$J37,0), 0)</f>
        <v>0</v>
      </c>
      <c r="BJ37" s="1030">
        <f>_xlfn.XLOOKUP(H37, 'Baumaterialien Matériaux'!A:A, 'Baumaterialien Matériaux'!E:E, "-", 0, 1)</f>
        <v>0</v>
      </c>
      <c r="BK37" s="1032">
        <f t="shared" si="5"/>
        <v>0</v>
      </c>
      <c r="BL37" s="1030">
        <f t="shared" si="6"/>
        <v>0</v>
      </c>
      <c r="BM37" s="1033">
        <f t="shared" si="7"/>
        <v>0</v>
      </c>
    </row>
    <row r="38" spans="2:67" ht="15.6" customHeight="1">
      <c r="B38" s="1103"/>
      <c r="C38" s="1097" t="s">
        <v>111</v>
      </c>
      <c r="D38" s="473" t="s">
        <v>112</v>
      </c>
      <c r="E38" s="473"/>
      <c r="F38" s="473"/>
      <c r="G38" s="473"/>
      <c r="H38" s="473"/>
      <c r="I38" s="463"/>
      <c r="J38" s="654"/>
      <c r="K38" s="652"/>
      <c r="L38" s="652"/>
      <c r="M38" s="653">
        <f>M39+M46</f>
        <v>59.891901903880481</v>
      </c>
      <c r="N38" s="653">
        <f t="shared" ref="N38:S38" si="84">N39+N46</f>
        <v>42.635146757453562</v>
      </c>
      <c r="O38" s="653">
        <f t="shared" ref="O38" si="85">O39+O46</f>
        <v>9.7938984398757185</v>
      </c>
      <c r="P38" s="653">
        <f t="shared" si="84"/>
        <v>0</v>
      </c>
      <c r="Q38" s="653">
        <f t="shared" si="84"/>
        <v>7.4628567065511993</v>
      </c>
      <c r="R38" s="653">
        <f t="shared" ref="R38" si="86">R39+R46</f>
        <v>4.2582457724598397</v>
      </c>
      <c r="S38" s="653">
        <f t="shared" si="84"/>
        <v>0</v>
      </c>
      <c r="T38" s="653">
        <f t="shared" ref="T38" si="87">T39+T46</f>
        <v>0</v>
      </c>
      <c r="V38" s="638">
        <f t="shared" si="3"/>
        <v>0</v>
      </c>
      <c r="W38" s="638">
        <f t="shared" si="4"/>
        <v>0</v>
      </c>
      <c r="Y38" s="638">
        <f t="shared" si="9"/>
        <v>0</v>
      </c>
      <c r="Z38" s="638">
        <f t="shared" si="10"/>
        <v>0</v>
      </c>
      <c r="AB38">
        <f>_xlfn.XLOOKUP($H38,'[1]Baumaterialien Matériaux'!$A:$A,'[1]Baumaterialien Matériaux'!AK:AK,0,0)</f>
        <v>0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622" cm="1">
        <f t="array" ref="AD38">IFERROR(_xlfn.SWITCH(I38,"kg",1,"m3",AC38,AC38)*J38/(_xlfn.XLOOKUP(AA38,Métrés!A:A,Métrés!D:D,0)),0)</f>
        <v>0</v>
      </c>
      <c r="AE38" s="1092">
        <f>IFERROR(N38*$G$1/(_xlfn.XLOOKUP($AA38,Métrés!$A:$A,Métrés!$D:$D,0)),0)</f>
        <v>0</v>
      </c>
      <c r="AF38" s="1092">
        <f>IFERROR(O38*$G$1/(_xlfn.XLOOKUP($AA38,Métrés!$A:$A,Métrés!$D:$D,0)),0)</f>
        <v>0</v>
      </c>
      <c r="AG38" s="1092">
        <f>IFERROR(Q38*$G$1/(_xlfn.XLOOKUP($AA38,Métrés!$A:$A,Métrés!$D:$D,0)),0)</f>
        <v>0</v>
      </c>
      <c r="AH38" s="1092">
        <f>IFERROR(R38*$G$1/(_xlfn.XLOOKUP($AA38,Métrés!$A:$A,Métrés!$D:$D,0)),0)</f>
        <v>0</v>
      </c>
      <c r="AI38" s="1092">
        <f>IFERROR(S38*$G$1/(_xlfn.XLOOKUP($AA38,Métrés!$A:$A,Métrés!$D:$D,0)),0)</f>
        <v>0</v>
      </c>
      <c r="AJ38" s="1063"/>
      <c r="AK38" s="1063"/>
      <c r="AL38" s="1063"/>
      <c r="AM38" s="1020"/>
      <c r="AN38" s="1071"/>
      <c r="AO38" s="1063"/>
      <c r="AP38" s="1063"/>
      <c r="AQ38" s="1063"/>
      <c r="AR38" s="1072"/>
      <c r="AS38" s="1071"/>
      <c r="AT38" s="1063"/>
      <c r="AU38" s="1063"/>
      <c r="AV38" s="1063"/>
      <c r="AW38" s="1072"/>
      <c r="AX38" s="1071"/>
      <c r="AY38" s="1063"/>
      <c r="AZ38" s="1063"/>
      <c r="BA38" s="1063"/>
      <c r="BB38" s="1072"/>
      <c r="BC38" s="1071"/>
      <c r="BD38" s="1063"/>
      <c r="BE38" s="1063"/>
      <c r="BF38" s="1072"/>
      <c r="BG38" s="1071"/>
      <c r="BH38" s="1063"/>
      <c r="BI38" s="1072"/>
      <c r="BJ38" s="1077"/>
      <c r="BK38" s="1071"/>
      <c r="BL38" s="1063"/>
      <c r="BM38" s="1072"/>
    </row>
    <row r="39" spans="2:67">
      <c r="B39" s="1103"/>
      <c r="C39" s="1099"/>
      <c r="D39" s="478"/>
      <c r="E39" s="479" t="str">
        <f>BillQuantities!E12</f>
        <v>non-isolés</v>
      </c>
      <c r="F39" s="479" t="s">
        <v>3027</v>
      </c>
      <c r="G39" s="479"/>
      <c r="H39" s="479"/>
      <c r="I39" s="459" t="s">
        <v>39</v>
      </c>
      <c r="J39" s="662">
        <v>129.62</v>
      </c>
      <c r="K39" s="663"/>
      <c r="L39" s="663"/>
      <c r="M39" s="664">
        <f>SUM(M40:M45)</f>
        <v>35.723258861197422</v>
      </c>
      <c r="N39" s="664">
        <f>SUM(N40:N45)</f>
        <v>25.100339891143872</v>
      </c>
      <c r="O39" s="664">
        <f>SUM(O40:O45)</f>
        <v>5.8413945214957801</v>
      </c>
      <c r="P39" s="664">
        <f t="shared" ref="P39:S39" si="88">SUM(P40:P45)</f>
        <v>0</v>
      </c>
      <c r="Q39" s="664">
        <f t="shared" si="88"/>
        <v>4.7815244485577661</v>
      </c>
      <c r="R39" s="664">
        <f t="shared" ref="R39" si="89">SUM(R40:R45)</f>
        <v>2.5451631484541988</v>
      </c>
      <c r="S39" s="664">
        <f t="shared" si="88"/>
        <v>0</v>
      </c>
      <c r="T39" s="664">
        <f t="shared" ref="T39" si="90">SUM(T40:T45)</f>
        <v>0</v>
      </c>
      <c r="V39" s="638">
        <f t="shared" si="3"/>
        <v>0</v>
      </c>
      <c r="W39" s="638">
        <f t="shared" si="4"/>
        <v>0</v>
      </c>
      <c r="Y39" s="638">
        <f t="shared" si="9"/>
        <v>0</v>
      </c>
      <c r="Z39" s="638">
        <f t="shared" si="10"/>
        <v>0</v>
      </c>
      <c r="AA39" t="s">
        <v>3452</v>
      </c>
      <c r="AB39">
        <f>_xlfn.XLOOKUP($H39,'[1]Baumaterialien Matériaux'!$A:$A,'[1]Baumaterialien Matériaux'!AK:AK,0,0)</f>
        <v>0</v>
      </c>
      <c r="AC39" cm="1">
        <f t="array" ref="AC39">_xlfn.SWITCH(I39,"kg"," ",0," ",_xlfn.XLOOKUP(H39, '[1]Baumaterialien Matériaux'!$A:$A, '[1]Baumaterialien Matériaux'!$AL:$AL, "-", 0, 1))</f>
        <v>0</v>
      </c>
      <c r="AD39" s="622" cm="1">
        <f t="array" ref="AD39">IFERROR(_xlfn.SWITCH(I39,"kg",1,"m3",AC39,AC39)*J39/(_xlfn.XLOOKUP(AA39,Métrés!A:A,Métrés!D:D,0)),0)</f>
        <v>0</v>
      </c>
      <c r="AE39" s="1092">
        <f>IFERROR(N39*$G$1/(_xlfn.XLOOKUP($AA39,Métrés!$A:$A,Métrés!$D:$D,0)),0)</f>
        <v>99.526301843599839</v>
      </c>
      <c r="AF39" s="1092">
        <f>IFERROR(O39*$G$1/(_xlfn.XLOOKUP($AA39,Métrés!$A:$A,Métrés!$D:$D,0)),0)</f>
        <v>23.161933139362166</v>
      </c>
      <c r="AG39" s="1092">
        <f>IFERROR(Q39*$G$1/(_xlfn.XLOOKUP($AA39,Métrés!$A:$A,Métrés!$D:$D,0)),0)</f>
        <v>18.959402446483178</v>
      </c>
      <c r="AH39" s="1092">
        <f>IFERROR(R39*$G$1/(_xlfn.XLOOKUP($AA39,Métrés!$A:$A,Métrés!$D:$D,0)),0)</f>
        <v>10.091922135430318</v>
      </c>
      <c r="AI39" s="1092">
        <f>IFERROR(S39*$G$1/(_xlfn.XLOOKUP($AA39,Métrés!$A:$A,Métrés!$D:$D,0)),0)</f>
        <v>0</v>
      </c>
      <c r="AJ39" s="1064"/>
      <c r="AK39" s="1064"/>
      <c r="AL39" s="1064"/>
      <c r="AM39" s="1021"/>
      <c r="AN39" s="1073"/>
      <c r="AO39" s="1064"/>
      <c r="AP39" s="1064"/>
      <c r="AQ39" s="1064"/>
      <c r="AR39" s="1074"/>
      <c r="AS39" s="1073"/>
      <c r="AT39" s="1064"/>
      <c r="AU39" s="1064"/>
      <c r="AV39" s="1064"/>
      <c r="AW39" s="1074"/>
      <c r="AX39" s="1073"/>
      <c r="AY39" s="1064"/>
      <c r="AZ39" s="1064"/>
      <c r="BA39" s="1064"/>
      <c r="BB39" s="1074"/>
      <c r="BC39" s="1073"/>
      <c r="BD39" s="1064"/>
      <c r="BE39" s="1064"/>
      <c r="BF39" s="1074"/>
      <c r="BG39" s="1073"/>
      <c r="BH39" s="1064"/>
      <c r="BI39" s="1074"/>
      <c r="BJ39" s="1078"/>
      <c r="BK39" s="1073"/>
      <c r="BL39" s="1064"/>
      <c r="BM39" s="1074"/>
    </row>
    <row r="40" spans="2:67">
      <c r="B40" s="1103"/>
      <c r="C40" s="1099"/>
      <c r="D40" s="478"/>
      <c r="E40" s="478"/>
      <c r="F40" s="478" t="s">
        <v>3023</v>
      </c>
      <c r="G40" s="478" t="str">
        <f>_xlfn.XLOOKUP(H40, 'Baumaterialien Matériaux'!A:A, 'Baumaterialien Matériaux'!AD:AD, "-", 0, 1)</f>
        <v>Sable</v>
      </c>
      <c r="H40" s="892" t="s">
        <v>699</v>
      </c>
      <c r="I40" s="641" t="str">
        <f>_xlfn.XLOOKUP(H40, 'Baumaterialien Matériaux'!A:A, 'Baumaterialien Matériaux'!F:F, "-", 0, 1)</f>
        <v>kg</v>
      </c>
      <c r="J40" s="649">
        <f>$J$39*K40</f>
        <v>42774.6</v>
      </c>
      <c r="K40" s="893">
        <f>0.33*1000</f>
        <v>330</v>
      </c>
      <c r="L40" s="647">
        <v>60</v>
      </c>
      <c r="M40" s="648">
        <f t="shared" ref="M40:M45" si="91">SUM(N40:Q40)</f>
        <v>0.7969397831691678</v>
      </c>
      <c r="N40" s="720">
        <f>IFERROR(($J40*VLOOKUP($H40, 'Baumaterialien Matériaux'!$A$11:$AD$318, 26,FALSE)),0)/$G$1</f>
        <v>0.14515520592318371</v>
      </c>
      <c r="O40" s="720">
        <f>IFERROR(($J40*VLOOKUP($H40, 'Baumaterialien Matériaux'!$A$11:$AH$318, 33,FALSE)),0)/$G$1</f>
        <v>4.8542163019765987E-2</v>
      </c>
      <c r="P40" s="720">
        <f>(N40+Q40)*($L$2/L40-1)</f>
        <v>0</v>
      </c>
      <c r="Q40" s="720">
        <f>IFERROR(($J40*VLOOKUP($H40, 'Baumaterialien Matériaux'!$A$11:$AH$318, 27,FALSE)),0)/$G$1</f>
        <v>0.60324241422621805</v>
      </c>
      <c r="R40" s="720">
        <f>IFERROR(($J40*VLOOKUP($H40, 'Baumaterialien Matériaux'!$A$11:$AH$318, 34,FALSE)),0)/$G$1</f>
        <v>2.4883749586831493E-2</v>
      </c>
      <c r="S40" s="720">
        <f>IFERROR((J40*VLOOKUP(H40, 'Baumaterialien Matériaux'!$A$11:$AD$318, 29,FALSE)),0)/$G$1</f>
        <v>0</v>
      </c>
      <c r="T40" s="720">
        <f t="shared" ref="T40:T45" si="92">S40*AJ40</f>
        <v>0</v>
      </c>
      <c r="V40" s="638">
        <f t="shared" si="3"/>
        <v>0</v>
      </c>
      <c r="W40" s="638">
        <f t="shared" si="4"/>
        <v>0</v>
      </c>
      <c r="Y40" s="638" t="str">
        <f t="shared" si="9"/>
        <v>Structure</v>
      </c>
      <c r="Z40" s="638">
        <f t="shared" si="10"/>
        <v>60</v>
      </c>
      <c r="AA40" t="s">
        <v>3452</v>
      </c>
      <c r="AB40" t="str">
        <f>_xlfn.XLOOKUP($H40,'[1]Baumaterialien Matériaux'!$A:$A,'[1]Baumaterialien Matériaux'!AK:AK,0,0)</f>
        <v>stone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622" cm="1">
        <f t="array" ref="AD40">IFERROR(_xlfn.SWITCH(I40,"kg",1,"m3",AC40,AC40)*J40/(_xlfn.XLOOKUP(AA40,Métrés!A:A,Métrés!D:D,0)),0)</f>
        <v>186.87024901703799</v>
      </c>
      <c r="AE40" s="1092">
        <f>IFERROR(N40*$G$1/(_xlfn.XLOOKUP($AA40,Métrés!$A:$A,Métrés!$D:$D,0)),0)</f>
        <v>0.57556036697247703</v>
      </c>
      <c r="AF40" s="1092">
        <f>IFERROR(O40*$G$1/(_xlfn.XLOOKUP($AA40,Métrés!$A:$A,Métrés!$D:$D,0)),0)</f>
        <v>0.19247635648754916</v>
      </c>
      <c r="AG40" s="1092">
        <f>IFERROR(Q40*$G$1/(_xlfn.XLOOKUP($AA40,Métrés!$A:$A,Métrés!$D:$D,0)),0)</f>
        <v>2.3919391874180866</v>
      </c>
      <c r="AH40" s="1092">
        <f>IFERROR(R40*$G$1/(_xlfn.XLOOKUP($AA40,Métrés!$A:$A,Métrés!$D:$D,0)),0)</f>
        <v>9.8667491480996072E-2</v>
      </c>
      <c r="AI40" s="1092">
        <f>IFERROR(S40*$G$1/(_xlfn.XLOOKUP($AA40,Métrés!$A:$A,Métrés!$D:$D,0)),0)</f>
        <v>0</v>
      </c>
      <c r="AJ40" s="1030"/>
      <c r="AK40" s="1030">
        <f t="shared" ref="AK40:AK45" si="93">IF(L40=60,0,T40)</f>
        <v>0</v>
      </c>
      <c r="AL40" s="1030">
        <f t="shared" ref="AL40:AL45" si="94">IF(L40=60,0,S40)</f>
        <v>0</v>
      </c>
      <c r="AM40" s="638" t="str">
        <f t="shared" ref="AM40:AM45" si="95">IF(L40=$L$2, "Structure", IF(L40&gt;0,"Revêtement",0))</f>
        <v>Structure</v>
      </c>
      <c r="AN40" s="1032">
        <f t="shared" ref="AN40:AN45" si="96">IF(AM40="Structure",N40,0)</f>
        <v>0.14515520592318371</v>
      </c>
      <c r="AO40" s="1030">
        <f t="shared" ref="AO40:AO45" si="97">IF(AM40="Structure",P40,0)</f>
        <v>0</v>
      </c>
      <c r="AP40" s="1030">
        <f t="shared" ref="AP40:AP45" si="98">IF(AM40="Structure",Q40,0)</f>
        <v>0.60324241422621805</v>
      </c>
      <c r="AQ40" s="1030">
        <f t="shared" ref="AQ40:AQ45" si="99">IF(AM40="Structure",S40,0)</f>
        <v>0</v>
      </c>
      <c r="AR40" s="1033">
        <f t="shared" ref="AR40:AR45" si="100">IF(AM40="Structure",T40,0)</f>
        <v>0</v>
      </c>
      <c r="AS40" s="1032">
        <f t="shared" ref="AS40:AS45" si="101">IF($AM40="Insulation",N40,0)</f>
        <v>0</v>
      </c>
      <c r="AT40" s="1030">
        <f t="shared" ref="AT40:AU45" si="102">IF($AM40="Insulation",P40,0)</f>
        <v>0</v>
      </c>
      <c r="AU40" s="1030">
        <f t="shared" si="102"/>
        <v>0</v>
      </c>
      <c r="AV40" s="1030">
        <f t="shared" ref="AV40:AW45" si="103">IF($AM40="Insulation",S40,0)</f>
        <v>0</v>
      </c>
      <c r="AW40" s="1033">
        <f t="shared" si="103"/>
        <v>0</v>
      </c>
      <c r="AX40" s="1032">
        <f t="shared" ref="AX40:AX45" si="104">IF($AM40="Revêtement",N40,0)</f>
        <v>0</v>
      </c>
      <c r="AY40" s="1030">
        <f t="shared" ref="AY40:AZ45" si="105">IF($AM40="Revêtement",P40,0)</f>
        <v>0</v>
      </c>
      <c r="AZ40" s="1030">
        <f t="shared" si="105"/>
        <v>0</v>
      </c>
      <c r="BA40" s="1030">
        <f t="shared" ref="BA40:BB45" si="106">IF($AM40="Revêtement",S40,0)</f>
        <v>0</v>
      </c>
      <c r="BB40" s="1033">
        <f t="shared" si="106"/>
        <v>0</v>
      </c>
      <c r="BC40" s="1032">
        <f t="shared" ref="BC40:BC45" si="107">IF($AM40="Installation",N40,0)</f>
        <v>0</v>
      </c>
      <c r="BD40" s="1030">
        <f t="shared" ref="BD40:BE45" si="108">IF($AM40="Installation",P40,0)</f>
        <v>0</v>
      </c>
      <c r="BE40" s="1030">
        <f t="shared" si="108"/>
        <v>0</v>
      </c>
      <c r="BF40" s="1033">
        <f t="shared" ref="BF40:BF45" si="109">IF($AM40="Installation",S40,0)</f>
        <v>0</v>
      </c>
      <c r="BG40" s="1032">
        <f t="shared" ref="BG40:BG45" si="110">IF($AM40="Structure", IF($I40="kg",$J40,0), 0)</f>
        <v>42774.6</v>
      </c>
      <c r="BH40" s="1030">
        <f t="shared" ref="BH40:BH45" si="111">IF($AM40="Insulation", IF($I40="kg",$J40,0), 0)</f>
        <v>0</v>
      </c>
      <c r="BI40" s="1033">
        <f t="shared" ref="BI40:BI45" si="112">IF($AM40="Revêtement", IF($I40="kg",$J40,0), 0)</f>
        <v>0</v>
      </c>
      <c r="BJ40" s="1030">
        <f>_xlfn.XLOOKUP(H40, 'Baumaterialien Matériaux'!A:A, 'Baumaterialien Matériaux'!E:E, "-", 0, 1)</f>
        <v>2000</v>
      </c>
      <c r="BK40" s="1032">
        <f t="shared" si="5"/>
        <v>21.3873</v>
      </c>
      <c r="BL40" s="1030">
        <f t="shared" si="6"/>
        <v>0</v>
      </c>
      <c r="BM40" s="1033">
        <f t="shared" si="7"/>
        <v>0</v>
      </c>
      <c r="BN40" s="720">
        <f>IFERROR((J40*VLOOKUP(H40, 'Baumaterialien Matériaux'!$A$11:$AH$318, 32,FALSE))*($L$2/L40-1),0)/$G$1</f>
        <v>0</v>
      </c>
      <c r="BO40" s="720">
        <f t="shared" ref="BO40:BO46" si="113">IFERROR((N40+Q40)*($L$2/L40-1),0)</f>
        <v>0</v>
      </c>
    </row>
    <row r="41" spans="2:67">
      <c r="B41" s="1103"/>
      <c r="C41" s="1099"/>
      <c r="D41" s="478"/>
      <c r="E41" s="478"/>
      <c r="F41" s="478" t="s">
        <v>3024</v>
      </c>
      <c r="G41" s="478" t="str">
        <f>_xlfn.XLOOKUP(H41, 'Baumaterialien Matériaux'!A:A, 'Baumaterialien Matériaux'!AD:AD, "-", 0, 1)</f>
        <v>Feuille de polyéthylène (PE)</v>
      </c>
      <c r="H41" s="892" t="s">
        <v>716</v>
      </c>
      <c r="I41" s="641" t="str">
        <f>_xlfn.XLOOKUP(H41, 'Baumaterialien Matériaux'!A:A, 'Baumaterialien Matériaux'!F:F, "-", 0, 1)</f>
        <v>kg</v>
      </c>
      <c r="J41" s="649">
        <f t="shared" ref="J41:J45" si="114">$J$39*K41</f>
        <v>69.994800000000012</v>
      </c>
      <c r="K41" s="894">
        <v>0.54</v>
      </c>
      <c r="L41" s="647">
        <v>60</v>
      </c>
      <c r="M41" s="648">
        <f t="shared" si="91"/>
        <v>0.6046134197130959</v>
      </c>
      <c r="N41" s="720">
        <f>IFERROR(($J41*VLOOKUP($H41, 'Baumaterialien Matériaux'!$A$11:$AD$318, 26,FALSE)),0)/$G$1</f>
        <v>0.21207741125140481</v>
      </c>
      <c r="O41" s="720">
        <f>IFERROR(($J41*VLOOKUP($H41, 'Baumaterialien Matériaux'!$A$11:$AH$318, 33,FALSE)),0)/$G$1</f>
        <v>0.18662812190123623</v>
      </c>
      <c r="P41" s="720">
        <f t="shared" ref="P41:P45" si="115">(N41+Q41)*($L$2/L41-1)</f>
        <v>0</v>
      </c>
      <c r="Q41" s="720">
        <f>IFERROR(($J41*VLOOKUP($H41, 'Baumaterialien Matériaux'!$A$11:$AH$318, 27,FALSE)),0)/$G$1</f>
        <v>0.20590788656045483</v>
      </c>
      <c r="R41" s="720">
        <f>IFERROR(($J41*VLOOKUP($H41, 'Baumaterialien Matériaux'!$A$11:$AH$318, 34,FALSE)),0)/$G$1</f>
        <v>0.19819598069676739</v>
      </c>
      <c r="S41" s="720">
        <f>IFERROR((J41*VLOOKUP(H41, 'Baumaterialien Matériaux'!$A$11:$AD$318, 29,FALSE)),0)/$G$1</f>
        <v>0</v>
      </c>
      <c r="T41" s="720">
        <f t="shared" si="92"/>
        <v>0</v>
      </c>
      <c r="V41" s="638">
        <f t="shared" si="3"/>
        <v>0</v>
      </c>
      <c r="W41" s="638">
        <f t="shared" si="4"/>
        <v>0</v>
      </c>
      <c r="Y41" s="638" t="str">
        <f t="shared" si="9"/>
        <v>Structure</v>
      </c>
      <c r="Z41" s="638">
        <f t="shared" si="10"/>
        <v>60</v>
      </c>
      <c r="AA41" t="s">
        <v>3452</v>
      </c>
      <c r="AB41" t="str">
        <f>_xlfn.XLOOKUP($H41,'[1]Baumaterialien Matériaux'!$A:$A,'[1]Baumaterialien Matériaux'!AK:AK,0,0)</f>
        <v>oil_product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622" cm="1">
        <f t="array" ref="AD41">IFERROR(_xlfn.SWITCH(I41,"kg",1,"m3",AC41,AC41)*J41/(_xlfn.XLOOKUP(AA41,Métrés!A:A,Métrés!D:D,0)),0)</f>
        <v>0.3057876802096986</v>
      </c>
      <c r="AE41" s="1092">
        <f>IFERROR(N41*$G$1/(_xlfn.XLOOKUP($AA41,Métrés!$A:$A,Métrés!$D:$D,0)),0)</f>
        <v>0.8409161205766712</v>
      </c>
      <c r="AF41" s="1092">
        <f>IFERROR(O41*$G$1/(_xlfn.XLOOKUP($AA41,Métrés!$A:$A,Métrés!$D:$D,0)),0)</f>
        <v>0.7400061861074706</v>
      </c>
      <c r="AG41" s="1092">
        <f>IFERROR(Q41*$G$1/(_xlfn.XLOOKUP($AA41,Métrés!$A:$A,Métrés!$D:$D,0)),0)</f>
        <v>0.81645310615989519</v>
      </c>
      <c r="AH41" s="1092">
        <f>IFERROR(R41*$G$1/(_xlfn.XLOOKUP($AA41,Métrés!$A:$A,Métrés!$D:$D,0)),0)</f>
        <v>0.78587433813892527</v>
      </c>
      <c r="AI41" s="1092">
        <f>IFERROR(S41*$G$1/(_xlfn.XLOOKUP($AA41,Métrés!$A:$A,Métrés!$D:$D,0)),0)</f>
        <v>0</v>
      </c>
      <c r="AJ41" s="1030"/>
      <c r="AK41" s="1030">
        <f t="shared" si="93"/>
        <v>0</v>
      </c>
      <c r="AL41" s="1030">
        <f t="shared" si="94"/>
        <v>0</v>
      </c>
      <c r="AM41" s="638" t="str">
        <f t="shared" si="95"/>
        <v>Structure</v>
      </c>
      <c r="AN41" s="1032">
        <f t="shared" si="96"/>
        <v>0.21207741125140481</v>
      </c>
      <c r="AO41" s="1030">
        <f t="shared" si="97"/>
        <v>0</v>
      </c>
      <c r="AP41" s="1030">
        <f t="shared" si="98"/>
        <v>0.20590788656045483</v>
      </c>
      <c r="AQ41" s="1030">
        <f t="shared" si="99"/>
        <v>0</v>
      </c>
      <c r="AR41" s="1033">
        <f t="shared" si="100"/>
        <v>0</v>
      </c>
      <c r="AS41" s="1032">
        <f t="shared" si="101"/>
        <v>0</v>
      </c>
      <c r="AT41" s="1030">
        <f t="shared" si="102"/>
        <v>0</v>
      </c>
      <c r="AU41" s="1030">
        <f t="shared" si="102"/>
        <v>0</v>
      </c>
      <c r="AV41" s="1030">
        <f t="shared" si="103"/>
        <v>0</v>
      </c>
      <c r="AW41" s="1033">
        <f t="shared" si="103"/>
        <v>0</v>
      </c>
      <c r="AX41" s="1032">
        <f t="shared" si="104"/>
        <v>0</v>
      </c>
      <c r="AY41" s="1030">
        <f t="shared" si="105"/>
        <v>0</v>
      </c>
      <c r="AZ41" s="1030">
        <f t="shared" si="105"/>
        <v>0</v>
      </c>
      <c r="BA41" s="1030">
        <f t="shared" si="106"/>
        <v>0</v>
      </c>
      <c r="BB41" s="1033">
        <f t="shared" si="106"/>
        <v>0</v>
      </c>
      <c r="BC41" s="1032">
        <f t="shared" si="107"/>
        <v>0</v>
      </c>
      <c r="BD41" s="1030">
        <f t="shared" si="108"/>
        <v>0</v>
      </c>
      <c r="BE41" s="1030">
        <f t="shared" si="108"/>
        <v>0</v>
      </c>
      <c r="BF41" s="1033">
        <f t="shared" si="109"/>
        <v>0</v>
      </c>
      <c r="BG41" s="1032">
        <f t="shared" si="110"/>
        <v>69.994800000000012</v>
      </c>
      <c r="BH41" s="1030">
        <f t="shared" si="111"/>
        <v>0</v>
      </c>
      <c r="BI41" s="1033">
        <f t="shared" si="112"/>
        <v>0</v>
      </c>
      <c r="BJ41" s="1030">
        <f>_xlfn.XLOOKUP(H41, 'Baumaterialien Matériaux'!A:A, 'Baumaterialien Matériaux'!E:E, "-", 0, 1)</f>
        <v>920</v>
      </c>
      <c r="BK41" s="1032">
        <f t="shared" si="5"/>
        <v>7.6081304347826104E-2</v>
      </c>
      <c r="BL41" s="1030">
        <f t="shared" si="6"/>
        <v>0</v>
      </c>
      <c r="BM41" s="1033">
        <f t="shared" si="7"/>
        <v>0</v>
      </c>
      <c r="BN41" s="720">
        <f>IFERROR((J41*VLOOKUP(H41, 'Baumaterialien Matériaux'!$A$11:$AH$318, 32,FALSE))*($L$2/L41-1),0)/$G$1</f>
        <v>0</v>
      </c>
      <c r="BO41" s="720">
        <f t="shared" si="113"/>
        <v>0</v>
      </c>
    </row>
    <row r="42" spans="2:67">
      <c r="B42" s="1103"/>
      <c r="C42" s="1099"/>
      <c r="D42" s="478"/>
      <c r="E42" s="478"/>
      <c r="F42" s="478" t="s">
        <v>2994</v>
      </c>
      <c r="G42" s="478" t="str">
        <f>_xlfn.XLOOKUP(H42, 'Baumaterialien Matériaux'!A:A, 'Baumaterialien Matériaux'!AD:AD, "-", 0, 1)</f>
        <v>Lé d'étanchéité bitumineux</v>
      </c>
      <c r="H42" s="892" t="s">
        <v>696</v>
      </c>
      <c r="I42" s="641" t="str">
        <f>_xlfn.XLOOKUP(H42, 'Baumaterialien Matériaux'!A:A, 'Baumaterialien Matériaux'!F:F, "-", 0, 1)</f>
        <v>kg</v>
      </c>
      <c r="J42" s="649">
        <f t="shared" si="114"/>
        <v>741.42639999999994</v>
      </c>
      <c r="K42" s="893">
        <f>0.0052*1100</f>
        <v>5.72</v>
      </c>
      <c r="L42" s="647">
        <v>60</v>
      </c>
      <c r="M42" s="648">
        <f t="shared" si="91"/>
        <v>3.1850571093629494</v>
      </c>
      <c r="N42" s="720">
        <f>IFERROR(($J42*VLOOKUP($H42, 'Baumaterialien Matériaux'!$A$11:$AD$318, 26,FALSE)),0)/$G$1</f>
        <v>0.82505967695731686</v>
      </c>
      <c r="O42" s="720">
        <f>IFERROR(($J42*VLOOKUP($H42, 'Baumaterialien Matériaux'!$A$11:$AH$318, 33,FALSE)),0)/$G$1</f>
        <v>0.4566419400189507</v>
      </c>
      <c r="P42" s="720">
        <f t="shared" si="115"/>
        <v>0</v>
      </c>
      <c r="Q42" s="720">
        <f>IFERROR(($J42*VLOOKUP($H42, 'Baumaterialien Matériaux'!$A$11:$AH$318, 27,FALSE)),0)/$G$1</f>
        <v>1.9033554923866816</v>
      </c>
      <c r="R42" s="720">
        <f>IFERROR(($J42*VLOOKUP($H42, 'Baumaterialien Matériaux'!$A$11:$AH$318, 34,FALSE)),0)/$G$1</f>
        <v>1.9196933077719751</v>
      </c>
      <c r="S42" s="720">
        <f>IFERROR((J42*VLOOKUP(H42, 'Baumaterialien Matériaux'!$A$11:$AD$318, 29,FALSE)),0)/$G$1</f>
        <v>0</v>
      </c>
      <c r="T42" s="720">
        <f t="shared" si="92"/>
        <v>0</v>
      </c>
      <c r="V42" s="638">
        <f t="shared" si="3"/>
        <v>0</v>
      </c>
      <c r="W42" s="638">
        <f t="shared" si="4"/>
        <v>0</v>
      </c>
      <c r="Y42" s="638" t="str">
        <f t="shared" si="9"/>
        <v>Structure</v>
      </c>
      <c r="Z42" s="638">
        <f t="shared" si="10"/>
        <v>60</v>
      </c>
      <c r="AA42" t="s">
        <v>3452</v>
      </c>
      <c r="AB42" t="str">
        <f>_xlfn.XLOOKUP($H42,'[1]Baumaterialien Matériaux'!$A:$A,'[1]Baumaterialien Matériaux'!AK:AK,0,0)</f>
        <v>oil_product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622" cm="1">
        <f t="array" ref="AD42">IFERROR(_xlfn.SWITCH(I42,"kg",1,"m3",AC42,AC42)*J42/(_xlfn.XLOOKUP(AA42,Métrés!A:A,Métrés!D:D,0)),0)</f>
        <v>3.2390843162953251</v>
      </c>
      <c r="AE42" s="1092">
        <f>IFERROR(N42*$G$1/(_xlfn.XLOOKUP($AA42,Métrés!$A:$A,Métrés!$D:$D,0)),0)</f>
        <v>3.2714751594582783</v>
      </c>
      <c r="AF42" s="1092">
        <f>IFERROR(O42*$G$1/(_xlfn.XLOOKUP($AA42,Métrés!$A:$A,Métrés!$D:$D,0)),0)</f>
        <v>1.8106481328090871</v>
      </c>
      <c r="AG42" s="1092">
        <f>IFERROR(Q42*$G$1/(_xlfn.XLOOKUP($AA42,Métrés!$A:$A,Métrés!$D:$D,0)),0)</f>
        <v>7.5470664569681079</v>
      </c>
      <c r="AH42" s="1092">
        <f>IFERROR(R42*$G$1/(_xlfn.XLOOKUP($AA42,Métrés!$A:$A,Métrés!$D:$D,0)),0)</f>
        <v>7.611848143294015</v>
      </c>
      <c r="AI42" s="1092">
        <f>IFERROR(S42*$G$1/(_xlfn.XLOOKUP($AA42,Métrés!$A:$A,Métrés!$D:$D,0)),0)</f>
        <v>0</v>
      </c>
      <c r="AJ42" s="1030"/>
      <c r="AK42" s="1030">
        <f t="shared" si="93"/>
        <v>0</v>
      </c>
      <c r="AL42" s="1030">
        <f t="shared" si="94"/>
        <v>0</v>
      </c>
      <c r="AM42" s="638" t="str">
        <f t="shared" si="95"/>
        <v>Structure</v>
      </c>
      <c r="AN42" s="1032">
        <f t="shared" si="96"/>
        <v>0.82505967695731686</v>
      </c>
      <c r="AO42" s="1030">
        <f t="shared" si="97"/>
        <v>0</v>
      </c>
      <c r="AP42" s="1030">
        <f t="shared" si="98"/>
        <v>1.9033554923866816</v>
      </c>
      <c r="AQ42" s="1030">
        <f t="shared" si="99"/>
        <v>0</v>
      </c>
      <c r="AR42" s="1033">
        <f t="shared" si="100"/>
        <v>0</v>
      </c>
      <c r="AS42" s="1032">
        <f t="shared" si="101"/>
        <v>0</v>
      </c>
      <c r="AT42" s="1030">
        <f t="shared" si="102"/>
        <v>0</v>
      </c>
      <c r="AU42" s="1030">
        <f t="shared" si="102"/>
        <v>0</v>
      </c>
      <c r="AV42" s="1030">
        <f t="shared" si="103"/>
        <v>0</v>
      </c>
      <c r="AW42" s="1033">
        <f t="shared" si="103"/>
        <v>0</v>
      </c>
      <c r="AX42" s="1032">
        <f t="shared" si="104"/>
        <v>0</v>
      </c>
      <c r="AY42" s="1030">
        <f t="shared" si="105"/>
        <v>0</v>
      </c>
      <c r="AZ42" s="1030">
        <f t="shared" si="105"/>
        <v>0</v>
      </c>
      <c r="BA42" s="1030">
        <f t="shared" si="106"/>
        <v>0</v>
      </c>
      <c r="BB42" s="1033">
        <f t="shared" si="106"/>
        <v>0</v>
      </c>
      <c r="BC42" s="1032">
        <f t="shared" si="107"/>
        <v>0</v>
      </c>
      <c r="BD42" s="1030">
        <f t="shared" si="108"/>
        <v>0</v>
      </c>
      <c r="BE42" s="1030">
        <f t="shared" si="108"/>
        <v>0</v>
      </c>
      <c r="BF42" s="1033">
        <f t="shared" si="109"/>
        <v>0</v>
      </c>
      <c r="BG42" s="1032">
        <f t="shared" si="110"/>
        <v>741.42639999999994</v>
      </c>
      <c r="BH42" s="1030">
        <f t="shared" si="111"/>
        <v>0</v>
      </c>
      <c r="BI42" s="1033">
        <f t="shared" si="112"/>
        <v>0</v>
      </c>
      <c r="BJ42" s="1030">
        <f>_xlfn.XLOOKUP(H42, 'Baumaterialien Matériaux'!A:A, 'Baumaterialien Matériaux'!E:E, "-", 0, 1)</f>
        <v>1100</v>
      </c>
      <c r="BK42" s="1032">
        <f t="shared" si="5"/>
        <v>0.67402399999999996</v>
      </c>
      <c r="BL42" s="1030">
        <f t="shared" si="6"/>
        <v>0</v>
      </c>
      <c r="BM42" s="1033">
        <f t="shared" si="7"/>
        <v>0</v>
      </c>
      <c r="BN42" s="720">
        <f>IFERROR((J42*VLOOKUP(H42, 'Baumaterialien Matériaux'!$A$11:$AH$318, 32,FALSE))*($L$2/L42-1),0)/$G$1</f>
        <v>0</v>
      </c>
      <c r="BO42" s="720">
        <f t="shared" si="113"/>
        <v>0</v>
      </c>
    </row>
    <row r="43" spans="2:67">
      <c r="B43" s="1103"/>
      <c r="C43" s="1099"/>
      <c r="D43" s="478"/>
      <c r="E43" s="478"/>
      <c r="F43" s="478" t="s">
        <v>3025</v>
      </c>
      <c r="G43" s="478" t="str">
        <f>_xlfn.XLOOKUP(H43, 'Baumaterialien Matériaux'!A:A, 'Baumaterialien Matériaux'!AD:AD, "-", 0, 1)</f>
        <v>Béton maigre (sans armature)</v>
      </c>
      <c r="H43" s="891">
        <v>1.0009999999999999</v>
      </c>
      <c r="I43" s="641" t="str">
        <f>_xlfn.XLOOKUP(H43, 'Baumaterialien Matériaux'!A:A, 'Baumaterialien Matériaux'!F:F, "-", 0, 1)</f>
        <v>kg</v>
      </c>
      <c r="J43" s="649">
        <f t="shared" si="114"/>
        <v>33441.96</v>
      </c>
      <c r="K43" s="893">
        <f>0.12*2150</f>
        <v>258</v>
      </c>
      <c r="L43" s="647">
        <v>60</v>
      </c>
      <c r="M43" s="648">
        <f t="shared" si="91"/>
        <v>2.7671175117339857</v>
      </c>
      <c r="N43" s="720">
        <f>IFERROR(($J43*VLOOKUP($H43, 'Baumaterialien Matériaux'!$A$11:$AD$318, 26,FALSE)),0)/$G$1</f>
        <v>1.8496577774839691</v>
      </c>
      <c r="O43" s="720">
        <f>IFERROR(($J43*VLOOKUP($H43, 'Baumaterialien Matériaux'!$A$11:$AH$318, 33,FALSE)),0)/$G$1</f>
        <v>0.44583384676406423</v>
      </c>
      <c r="P43" s="720">
        <f t="shared" si="115"/>
        <v>0</v>
      </c>
      <c r="Q43" s="720">
        <f>IFERROR(($J43*VLOOKUP($H43, 'Baumaterialien Matériaux'!$A$11:$AH$318, 27,FALSE)),0)/$G$1</f>
        <v>0.4716258874859523</v>
      </c>
      <c r="R43" s="720">
        <f>IFERROR(($J43*VLOOKUP($H43, 'Baumaterialien Matériaux'!$A$11:$AH$318, 34,FALSE)),0)/$G$1</f>
        <v>8.548219210682885E-2</v>
      </c>
      <c r="S43" s="720">
        <f>IFERROR((J43*VLOOKUP(H43, 'Baumaterialien Matériaux'!$A$11:$AD$318, 29,FALSE)),0)/$G$1</f>
        <v>0</v>
      </c>
      <c r="T43" s="720">
        <f t="shared" si="92"/>
        <v>0</v>
      </c>
      <c r="V43" s="638">
        <f t="shared" si="3"/>
        <v>0</v>
      </c>
      <c r="W43" s="638">
        <f t="shared" si="4"/>
        <v>0</v>
      </c>
      <c r="Y43" s="638" t="str">
        <f t="shared" si="9"/>
        <v>Structure</v>
      </c>
      <c r="Z43" s="638">
        <f t="shared" si="10"/>
        <v>60</v>
      </c>
      <c r="AA43" t="s">
        <v>3452</v>
      </c>
      <c r="AB43" t="str">
        <f>_xlfn.XLOOKUP($H43,'[1]Baumaterialien Matériaux'!$A:$A,'[1]Baumaterialien Matériaux'!AK:AK,0,0)</f>
        <v>concrete</v>
      </c>
      <c r="AC43" t="str" cm="1">
        <f t="array" ref="AC43">_xlfn.SWITCH(I43,"kg"," ",0," ",_xlfn.XLOOKUP(H43, '[1]Baumaterialien Matériaux'!$A:$A, '[1]Baumaterialien Matériaux'!$AL:$AL, "-", 0, 1))</f>
        <v xml:space="preserve"> </v>
      </c>
      <c r="AD43" s="622" cm="1">
        <f t="array" ref="AD43">IFERROR(_xlfn.SWITCH(I43,"kg",1,"m3",AC43,AC43)*J43/(_xlfn.XLOOKUP(AA43,Métrés!A:A,Métrés!D:D,0)),0)</f>
        <v>146.09855832241152</v>
      </c>
      <c r="AE43" s="1092">
        <f>IFERROR(N43*$G$1/(_xlfn.XLOOKUP($AA43,Métrés!$A:$A,Métrés!$D:$D,0)),0)</f>
        <v>7.3341476277850584</v>
      </c>
      <c r="AF43" s="1092">
        <f>IFERROR(O43*$G$1/(_xlfn.XLOOKUP($AA43,Métrés!$A:$A,Métrés!$D:$D,0)),0)</f>
        <v>1.7677925557011795</v>
      </c>
      <c r="AG43" s="1092">
        <f>IFERROR(Q43*$G$1/(_xlfn.XLOOKUP($AA43,Métrés!$A:$A,Métrés!$D:$D,0)),0)</f>
        <v>1.8700615465268677</v>
      </c>
      <c r="AH43" s="1092">
        <f>IFERROR(R43*$G$1/(_xlfn.XLOOKUP($AA43,Métrés!$A:$A,Métrés!$D:$D,0)),0)</f>
        <v>0.33894865530799473</v>
      </c>
      <c r="AI43" s="1092">
        <f>IFERROR(S43*$G$1/(_xlfn.XLOOKUP($AA43,Métrés!$A:$A,Métrés!$D:$D,0)),0)</f>
        <v>0</v>
      </c>
      <c r="AJ43" s="1030"/>
      <c r="AK43" s="1030">
        <f t="shared" si="93"/>
        <v>0</v>
      </c>
      <c r="AL43" s="1030">
        <f t="shared" si="94"/>
        <v>0</v>
      </c>
      <c r="AM43" s="638" t="str">
        <f t="shared" si="95"/>
        <v>Structure</v>
      </c>
      <c r="AN43" s="1032">
        <f t="shared" si="96"/>
        <v>1.8496577774839691</v>
      </c>
      <c r="AO43" s="1030">
        <f t="shared" si="97"/>
        <v>0</v>
      </c>
      <c r="AP43" s="1030">
        <f t="shared" si="98"/>
        <v>0.4716258874859523</v>
      </c>
      <c r="AQ43" s="1030">
        <f t="shared" si="99"/>
        <v>0</v>
      </c>
      <c r="AR43" s="1033">
        <f t="shared" si="100"/>
        <v>0</v>
      </c>
      <c r="AS43" s="1032">
        <f t="shared" si="101"/>
        <v>0</v>
      </c>
      <c r="AT43" s="1030">
        <f t="shared" si="102"/>
        <v>0</v>
      </c>
      <c r="AU43" s="1030">
        <f t="shared" si="102"/>
        <v>0</v>
      </c>
      <c r="AV43" s="1030">
        <f t="shared" si="103"/>
        <v>0</v>
      </c>
      <c r="AW43" s="1033">
        <f t="shared" si="103"/>
        <v>0</v>
      </c>
      <c r="AX43" s="1032">
        <f t="shared" si="104"/>
        <v>0</v>
      </c>
      <c r="AY43" s="1030">
        <f t="shared" si="105"/>
        <v>0</v>
      </c>
      <c r="AZ43" s="1030">
        <f t="shared" si="105"/>
        <v>0</v>
      </c>
      <c r="BA43" s="1030">
        <f t="shared" si="106"/>
        <v>0</v>
      </c>
      <c r="BB43" s="1033">
        <f t="shared" si="106"/>
        <v>0</v>
      </c>
      <c r="BC43" s="1032">
        <f t="shared" si="107"/>
        <v>0</v>
      </c>
      <c r="BD43" s="1030">
        <f t="shared" si="108"/>
        <v>0</v>
      </c>
      <c r="BE43" s="1030">
        <f t="shared" si="108"/>
        <v>0</v>
      </c>
      <c r="BF43" s="1033">
        <f t="shared" si="109"/>
        <v>0</v>
      </c>
      <c r="BG43" s="1032">
        <f t="shared" si="110"/>
        <v>33441.96</v>
      </c>
      <c r="BH43" s="1030">
        <f t="shared" si="111"/>
        <v>0</v>
      </c>
      <c r="BI43" s="1033">
        <f t="shared" si="112"/>
        <v>0</v>
      </c>
      <c r="BJ43" s="1030">
        <f>_xlfn.XLOOKUP(H43, 'Baumaterialien Matériaux'!A:A, 'Baumaterialien Matériaux'!E:E, "-", 0, 1)</f>
        <v>2150</v>
      </c>
      <c r="BK43" s="1032">
        <f t="shared" si="5"/>
        <v>15.554399999999999</v>
      </c>
      <c r="BL43" s="1030">
        <f t="shared" si="6"/>
        <v>0</v>
      </c>
      <c r="BM43" s="1033">
        <f t="shared" si="7"/>
        <v>0</v>
      </c>
      <c r="BN43" s="720">
        <f>IFERROR((J43*VLOOKUP(H43, 'Baumaterialien Matériaux'!$A$11:$AH$318, 32,FALSE))*($L$2/L43-1),0)/$G$1</f>
        <v>0</v>
      </c>
      <c r="BO43" s="720">
        <f t="shared" si="113"/>
        <v>0</v>
      </c>
    </row>
    <row r="44" spans="2:67">
      <c r="B44" s="1103"/>
      <c r="C44" s="1099"/>
      <c r="D44" s="478"/>
      <c r="E44" s="478"/>
      <c r="F44" s="478" t="s">
        <v>3026</v>
      </c>
      <c r="G44" s="478" t="str">
        <f>_xlfn.XLOOKUP(H44, 'Baumaterialien Matériaux'!A:A, 'Baumaterialien Matériaux'!AD:AD, "-", 0, 1)</f>
        <v>Béton pour bâtiment (sans armature)</v>
      </c>
      <c r="H44" s="891">
        <v>1.0019999999999998</v>
      </c>
      <c r="I44" s="641" t="str">
        <f>_xlfn.XLOOKUP(H44, 'Baumaterialien Matériaux'!A:A, 'Baumaterialien Matériaux'!F:F, "-", 0, 1)</f>
        <v>kg</v>
      </c>
      <c r="J44" s="649">
        <f t="shared" si="114"/>
        <v>107325.36</v>
      </c>
      <c r="K44" s="893">
        <f>0.36*2300</f>
        <v>828</v>
      </c>
      <c r="L44" s="647">
        <v>60</v>
      </c>
      <c r="M44" s="648">
        <f t="shared" si="91"/>
        <v>14.461880002644278</v>
      </c>
      <c r="N44" s="720">
        <f>IFERROR(($J44*VLOOKUP($H44, 'Baumaterialien Matériaux'!$A$11:$AD$318, 26,FALSE)),0)/$G$1</f>
        <v>10.500531023996826</v>
      </c>
      <c r="O44" s="720">
        <f>IFERROR(($J44*VLOOKUP($H44, 'Baumaterialien Matériaux'!$A$11:$AH$318, 33,FALSE)),0)/$G$1</f>
        <v>2.4595838434587161</v>
      </c>
      <c r="P44" s="720">
        <f t="shared" si="115"/>
        <v>0</v>
      </c>
      <c r="Q44" s="720">
        <f>IFERROR(($J44*VLOOKUP($H44, 'Baumaterialien Matériaux'!$A$11:$AH$318, 27,FALSE)),0)/$G$1</f>
        <v>1.5017651351887353</v>
      </c>
      <c r="R44" s="720">
        <f>IFERROR(($J44*VLOOKUP($H44, 'Baumaterialien Matériaux'!$A$11:$AH$318, 34,FALSE)),0)/$G$1</f>
        <v>0.3169079182917961</v>
      </c>
      <c r="S44" s="720">
        <f>IFERROR((J44*VLOOKUP(H44, 'Baumaterialien Matériaux'!$A$11:$AD$318, 29,FALSE)),0)/$G$1</f>
        <v>0</v>
      </c>
      <c r="T44" s="720">
        <f t="shared" si="92"/>
        <v>0</v>
      </c>
      <c r="V44" s="638">
        <f t="shared" si="3"/>
        <v>0</v>
      </c>
      <c r="W44" s="638">
        <f t="shared" si="4"/>
        <v>0</v>
      </c>
      <c r="Y44" s="638" t="str">
        <f t="shared" si="9"/>
        <v>Structure</v>
      </c>
      <c r="Z44" s="638">
        <f t="shared" si="10"/>
        <v>60</v>
      </c>
      <c r="AA44" t="s">
        <v>3452</v>
      </c>
      <c r="AB44" t="str">
        <f>_xlfn.XLOOKUP($H44,'[1]Baumaterialien Matériaux'!$A:$A,'[1]Baumaterialien Matériaux'!AK:AK,0,0)</f>
        <v>concrete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622" cm="1">
        <f t="array" ref="AD44">IFERROR(_xlfn.SWITCH(I44,"kg",1,"m3",AC44,AC44)*J44/(_xlfn.XLOOKUP(AA44,Métrés!A:A,Métrés!D:D,0)),0)</f>
        <v>468.87444298820446</v>
      </c>
      <c r="AE44" s="1092">
        <f>IFERROR(N44*$G$1/(_xlfn.XLOOKUP($AA44,Métrés!$A:$A,Métrés!$D:$D,0)),0)</f>
        <v>41.636050537352553</v>
      </c>
      <c r="AF44" s="1092">
        <f>IFERROR(O44*$G$1/(_xlfn.XLOOKUP($AA44,Métrés!$A:$A,Métrés!$D:$D,0)),0)</f>
        <v>9.7525884141546513</v>
      </c>
      <c r="AG44" s="1092">
        <f>IFERROR(Q44*$G$1/(_xlfn.XLOOKUP($AA44,Métrés!$A:$A,Métrés!$D:$D,0)),0)</f>
        <v>5.9547054259501966</v>
      </c>
      <c r="AH44" s="1092">
        <f>IFERROR(R44*$G$1/(_xlfn.XLOOKUP($AA44,Métrés!$A:$A,Métrés!$D:$D,0)),0)</f>
        <v>1.256583507208388</v>
      </c>
      <c r="AI44" s="1092">
        <f>IFERROR(S44*$G$1/(_xlfn.XLOOKUP($AA44,Métrés!$A:$A,Métrés!$D:$D,0)),0)</f>
        <v>0</v>
      </c>
      <c r="AJ44" s="1030"/>
      <c r="AK44" s="1030">
        <f t="shared" si="93"/>
        <v>0</v>
      </c>
      <c r="AL44" s="1030">
        <f t="shared" si="94"/>
        <v>0</v>
      </c>
      <c r="AM44" s="638" t="str">
        <f t="shared" si="95"/>
        <v>Structure</v>
      </c>
      <c r="AN44" s="1032">
        <f t="shared" si="96"/>
        <v>10.500531023996826</v>
      </c>
      <c r="AO44" s="1030">
        <f t="shared" si="97"/>
        <v>0</v>
      </c>
      <c r="AP44" s="1030">
        <f t="shared" si="98"/>
        <v>1.5017651351887353</v>
      </c>
      <c r="AQ44" s="1030">
        <f t="shared" si="99"/>
        <v>0</v>
      </c>
      <c r="AR44" s="1033">
        <f t="shared" si="100"/>
        <v>0</v>
      </c>
      <c r="AS44" s="1032">
        <f t="shared" si="101"/>
        <v>0</v>
      </c>
      <c r="AT44" s="1030">
        <f t="shared" si="102"/>
        <v>0</v>
      </c>
      <c r="AU44" s="1030">
        <f t="shared" si="102"/>
        <v>0</v>
      </c>
      <c r="AV44" s="1030">
        <f t="shared" si="103"/>
        <v>0</v>
      </c>
      <c r="AW44" s="1033">
        <f t="shared" si="103"/>
        <v>0</v>
      </c>
      <c r="AX44" s="1032">
        <f t="shared" si="104"/>
        <v>0</v>
      </c>
      <c r="AY44" s="1030">
        <f t="shared" si="105"/>
        <v>0</v>
      </c>
      <c r="AZ44" s="1030">
        <f t="shared" si="105"/>
        <v>0</v>
      </c>
      <c r="BA44" s="1030">
        <f t="shared" si="106"/>
        <v>0</v>
      </c>
      <c r="BB44" s="1033">
        <f t="shared" si="106"/>
        <v>0</v>
      </c>
      <c r="BC44" s="1032">
        <f t="shared" si="107"/>
        <v>0</v>
      </c>
      <c r="BD44" s="1030">
        <f t="shared" si="108"/>
        <v>0</v>
      </c>
      <c r="BE44" s="1030">
        <f t="shared" si="108"/>
        <v>0</v>
      </c>
      <c r="BF44" s="1033">
        <f t="shared" si="109"/>
        <v>0</v>
      </c>
      <c r="BG44" s="1032">
        <f t="shared" si="110"/>
        <v>107325.36</v>
      </c>
      <c r="BH44" s="1030">
        <f t="shared" si="111"/>
        <v>0</v>
      </c>
      <c r="BI44" s="1033">
        <f t="shared" si="112"/>
        <v>0</v>
      </c>
      <c r="BJ44" s="1030">
        <f>_xlfn.XLOOKUP(H44, 'Baumaterialien Matériaux'!A:A, 'Baumaterialien Matériaux'!E:E, "-", 0, 1)</f>
        <v>2300</v>
      </c>
      <c r="BK44" s="1032">
        <f t="shared" si="5"/>
        <v>46.663200000000003</v>
      </c>
      <c r="BL44" s="1030">
        <f t="shared" si="6"/>
        <v>0</v>
      </c>
      <c r="BM44" s="1033">
        <f t="shared" si="7"/>
        <v>0</v>
      </c>
      <c r="BN44" s="720">
        <f>IFERROR((J44*VLOOKUP(H44, 'Baumaterialien Matériaux'!$A$11:$AH$318, 32,FALSE))*($L$2/L44-1),0)/$G$1</f>
        <v>0</v>
      </c>
      <c r="BO44" s="720">
        <f t="shared" si="113"/>
        <v>0</v>
      </c>
    </row>
    <row r="45" spans="2:67">
      <c r="B45" s="1103"/>
      <c r="C45" s="1099"/>
      <c r="D45" s="478"/>
      <c r="E45" s="478"/>
      <c r="F45" s="478" t="s">
        <v>3004</v>
      </c>
      <c r="G45" s="478" t="str">
        <f>_xlfn.XLOOKUP(H45, 'Baumaterialien Matériaux'!A:A, 'Baumaterialien Matériaux'!AD:AD, "-", 0, 1)</f>
        <v>Acier d'armature</v>
      </c>
      <c r="H45" s="892" t="s">
        <v>497</v>
      </c>
      <c r="I45" s="641" t="str">
        <f>_xlfn.XLOOKUP(H45, 'Baumaterialien Matériaux'!A:A, 'Baumaterialien Matériaux'!F:F, "-", 0, 1)</f>
        <v>kg</v>
      </c>
      <c r="J45" s="649">
        <f t="shared" si="114"/>
        <v>6999.4800000000005</v>
      </c>
      <c r="K45" s="893">
        <f>0.36*150</f>
        <v>54</v>
      </c>
      <c r="L45" s="647">
        <v>60</v>
      </c>
      <c r="M45" s="648">
        <f t="shared" si="91"/>
        <v>13.907651034573943</v>
      </c>
      <c r="N45" s="720">
        <f>IFERROR(($J45*VLOOKUP($H45, 'Baumaterialien Matériaux'!$A$11:$AD$318, 26,FALSE)),0)/$G$1</f>
        <v>11.567858795531171</v>
      </c>
      <c r="O45" s="720">
        <f>IFERROR(($J45*VLOOKUP($H45, 'Baumaterialien Matériaux'!$A$11:$AH$318, 33,FALSE)),0)/$G$1</f>
        <v>2.2441646063330469</v>
      </c>
      <c r="P45" s="720">
        <f t="shared" si="115"/>
        <v>0</v>
      </c>
      <c r="Q45" s="720">
        <f>IFERROR(($J45*VLOOKUP($H45, 'Baumaterialien Matériaux'!$A$11:$AH$318, 27,FALSE)),0)/$G$1</f>
        <v>9.5627632709724339E-2</v>
      </c>
      <c r="R45" s="720">
        <f>IFERROR(($J45*VLOOKUP($H45, 'Baumaterialien Matériaux'!$A$11:$AH$318, 34,FALSE)),0)/$G$1</f>
        <v>0</v>
      </c>
      <c r="S45" s="720">
        <f>IFERROR((J45*VLOOKUP(H45, 'Baumaterialien Matériaux'!$A$11:$AD$318, 29,FALSE)),0)/$G$1</f>
        <v>0</v>
      </c>
      <c r="T45" s="720">
        <f t="shared" si="92"/>
        <v>0</v>
      </c>
      <c r="V45" s="638">
        <f t="shared" si="3"/>
        <v>0</v>
      </c>
      <c r="W45" s="638">
        <f t="shared" si="4"/>
        <v>0</v>
      </c>
      <c r="Y45" s="638" t="str">
        <f t="shared" si="9"/>
        <v>Structure</v>
      </c>
      <c r="Z45" s="638">
        <f t="shared" si="10"/>
        <v>60</v>
      </c>
      <c r="AA45" t="s">
        <v>3452</v>
      </c>
      <c r="AB45" t="str">
        <f>_xlfn.XLOOKUP($H45,'[1]Baumaterialien Matériaux'!$A:$A,'[1]Baumaterialien Matériaux'!AK:AK,0,0)</f>
        <v>metal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622" cm="1">
        <f t="array" ref="AD45">IFERROR(_xlfn.SWITCH(I45,"kg",1,"m3",AC45,AC45)*J45/(_xlfn.XLOOKUP(AA45,Métrés!A:A,Métrés!D:D,0)),0)</f>
        <v>30.578768020969857</v>
      </c>
      <c r="AE45" s="1092">
        <f>IFERROR(N45*$G$1/(_xlfn.XLOOKUP($AA45,Métrés!$A:$A,Métrés!$D:$D,0)),0)</f>
        <v>45.868152031454791</v>
      </c>
      <c r="AF45" s="1092">
        <f>IFERROR(O45*$G$1/(_xlfn.XLOOKUP($AA45,Métrés!$A:$A,Métrés!$D:$D,0)),0)</f>
        <v>8.8984214941022284</v>
      </c>
      <c r="AG45" s="1092">
        <f>IFERROR(Q45*$G$1/(_xlfn.XLOOKUP($AA45,Métrés!$A:$A,Métrés!$D:$D,0)),0)</f>
        <v>0.37917672346002623</v>
      </c>
      <c r="AH45" s="1092">
        <f>IFERROR(R45*$G$1/(_xlfn.XLOOKUP($AA45,Métrés!$A:$A,Métrés!$D:$D,0)),0)</f>
        <v>0</v>
      </c>
      <c r="AI45" s="1092">
        <f>IFERROR(S45*$G$1/(_xlfn.XLOOKUP($AA45,Métrés!$A:$A,Métrés!$D:$D,0)),0)</f>
        <v>0</v>
      </c>
      <c r="AJ45" s="1030"/>
      <c r="AK45" s="1030">
        <f t="shared" si="93"/>
        <v>0</v>
      </c>
      <c r="AL45" s="1030">
        <f t="shared" si="94"/>
        <v>0</v>
      </c>
      <c r="AM45" s="638" t="str">
        <f t="shared" si="95"/>
        <v>Structure</v>
      </c>
      <c r="AN45" s="1032">
        <f t="shared" si="96"/>
        <v>11.567858795531171</v>
      </c>
      <c r="AO45" s="1030">
        <f t="shared" si="97"/>
        <v>0</v>
      </c>
      <c r="AP45" s="1030">
        <f t="shared" si="98"/>
        <v>9.5627632709724339E-2</v>
      </c>
      <c r="AQ45" s="1030">
        <f t="shared" si="99"/>
        <v>0</v>
      </c>
      <c r="AR45" s="1033">
        <f t="shared" si="100"/>
        <v>0</v>
      </c>
      <c r="AS45" s="1032">
        <f t="shared" si="101"/>
        <v>0</v>
      </c>
      <c r="AT45" s="1030">
        <f t="shared" si="102"/>
        <v>0</v>
      </c>
      <c r="AU45" s="1030">
        <f t="shared" si="102"/>
        <v>0</v>
      </c>
      <c r="AV45" s="1030">
        <f t="shared" si="103"/>
        <v>0</v>
      </c>
      <c r="AW45" s="1033">
        <f t="shared" si="103"/>
        <v>0</v>
      </c>
      <c r="AX45" s="1032">
        <f t="shared" si="104"/>
        <v>0</v>
      </c>
      <c r="AY45" s="1030">
        <f t="shared" si="105"/>
        <v>0</v>
      </c>
      <c r="AZ45" s="1030">
        <f t="shared" si="105"/>
        <v>0</v>
      </c>
      <c r="BA45" s="1030">
        <f t="shared" si="106"/>
        <v>0</v>
      </c>
      <c r="BB45" s="1033">
        <f t="shared" si="106"/>
        <v>0</v>
      </c>
      <c r="BC45" s="1032">
        <f t="shared" si="107"/>
        <v>0</v>
      </c>
      <c r="BD45" s="1030">
        <f t="shared" si="108"/>
        <v>0</v>
      </c>
      <c r="BE45" s="1030">
        <f t="shared" si="108"/>
        <v>0</v>
      </c>
      <c r="BF45" s="1033">
        <f t="shared" si="109"/>
        <v>0</v>
      </c>
      <c r="BG45" s="1032">
        <f t="shared" si="110"/>
        <v>6999.4800000000005</v>
      </c>
      <c r="BH45" s="1030">
        <f t="shared" si="111"/>
        <v>0</v>
      </c>
      <c r="BI45" s="1033">
        <f t="shared" si="112"/>
        <v>0</v>
      </c>
      <c r="BJ45" s="1030">
        <f>_xlfn.XLOOKUP(H45, 'Baumaterialien Matériaux'!A:A, 'Baumaterialien Matériaux'!E:E, "-", 0, 1)</f>
        <v>7850</v>
      </c>
      <c r="BK45" s="1032">
        <f t="shared" si="5"/>
        <v>0.89165350318471348</v>
      </c>
      <c r="BL45" s="1030">
        <f t="shared" si="6"/>
        <v>0</v>
      </c>
      <c r="BM45" s="1033">
        <f t="shared" si="7"/>
        <v>0</v>
      </c>
      <c r="BN45" s="720">
        <f>IFERROR((J45*VLOOKUP(H45, 'Baumaterialien Matériaux'!$A$11:$AH$318, 32,FALSE))*($L$2/L45-1),0)/$G$1</f>
        <v>0</v>
      </c>
      <c r="BO45" s="720">
        <f t="shared" si="113"/>
        <v>0</v>
      </c>
    </row>
    <row r="46" spans="2:67">
      <c r="B46" s="1103"/>
      <c r="C46" s="1099"/>
      <c r="D46" s="478"/>
      <c r="E46" s="478"/>
      <c r="F46" s="479" t="s">
        <v>3029</v>
      </c>
      <c r="G46" s="479"/>
      <c r="H46" s="479"/>
      <c r="I46" s="459" t="s">
        <v>39</v>
      </c>
      <c r="J46" s="662">
        <v>99.28</v>
      </c>
      <c r="K46" s="663"/>
      <c r="L46" s="663"/>
      <c r="M46" s="664">
        <f>SUM(M47:M49)</f>
        <v>24.168643042683058</v>
      </c>
      <c r="N46" s="664">
        <f>SUM(N47:N49)</f>
        <v>17.53480686630969</v>
      </c>
      <c r="O46" s="664">
        <f>SUM(O47:O49)</f>
        <v>3.9525039183799384</v>
      </c>
      <c r="P46" s="664">
        <f t="shared" ref="P46:T46" si="116">SUM(P47:P49)</f>
        <v>0</v>
      </c>
      <c r="Q46" s="664">
        <f t="shared" si="116"/>
        <v>2.6813322579934331</v>
      </c>
      <c r="R46" s="664">
        <f t="shared" ref="R46" si="117">SUM(R47:R49)</f>
        <v>1.7130826240056409</v>
      </c>
      <c r="S46" s="664">
        <f t="shared" si="116"/>
        <v>0</v>
      </c>
      <c r="T46" s="664">
        <f t="shared" si="116"/>
        <v>0</v>
      </c>
      <c r="V46" s="638">
        <f t="shared" si="3"/>
        <v>0</v>
      </c>
      <c r="W46" s="638">
        <f t="shared" si="4"/>
        <v>0</v>
      </c>
      <c r="Y46" s="638">
        <f t="shared" si="9"/>
        <v>0</v>
      </c>
      <c r="Z46" s="638">
        <f t="shared" si="10"/>
        <v>0</v>
      </c>
      <c r="AA46" t="s">
        <v>3452</v>
      </c>
      <c r="AB46">
        <f>_xlfn.XLOOKUP($H46,'[1]Baumaterialien Matériaux'!$A:$A,'[1]Baumaterialien Matériaux'!AK:AK,0,0)</f>
        <v>0</v>
      </c>
      <c r="AC46" cm="1">
        <f t="array" ref="AC46">_xlfn.SWITCH(I46,"kg"," ",0," ",_xlfn.XLOOKUP(H46, '[1]Baumaterialien Matériaux'!$A:$A, '[1]Baumaterialien Matériaux'!$AL:$AL, "-", 0, 1))</f>
        <v>0</v>
      </c>
      <c r="AD46" s="622" cm="1">
        <f t="array" ref="AD46">IFERROR(_xlfn.SWITCH(I46,"kg",1,"m3",AC46,AC46)*J46/(_xlfn.XLOOKUP(AA46,Métrés!A:A,Métrés!D:D,0)),0)</f>
        <v>0</v>
      </c>
      <c r="AE46" s="1092">
        <f>IFERROR(N46*$G$1/(_xlfn.XLOOKUP($AA46,Métrés!$A:$A,Métrés!$D:$D,0)),0)</f>
        <v>69.527922271734383</v>
      </c>
      <c r="AF46" s="1092">
        <f>IFERROR(O46*$G$1/(_xlfn.XLOOKUP($AA46,Métrés!$A:$A,Métrés!$D:$D,0)),0)</f>
        <v>15.672221958934029</v>
      </c>
      <c r="AG46" s="1092">
        <f>IFERROR(Q46*$G$1/(_xlfn.XLOOKUP($AA46,Métrés!$A:$A,Métrés!$D:$D,0)),0)</f>
        <v>10.631851393621668</v>
      </c>
      <c r="AH46" s="1092">
        <f>IFERROR(R46*$G$1/(_xlfn.XLOOKUP($AA46,Métrés!$A:$A,Métrés!$D:$D,0)),0)</f>
        <v>6.7926083494975966</v>
      </c>
      <c r="AI46" s="1092">
        <f>IFERROR(S46*$G$1/(_xlfn.XLOOKUP($AA46,Métrés!$A:$A,Métrés!$D:$D,0)),0)</f>
        <v>0</v>
      </c>
      <c r="AJ46" s="1064"/>
      <c r="AK46" s="1064"/>
      <c r="AL46" s="1064"/>
      <c r="AM46" s="1021"/>
      <c r="AN46" s="1073"/>
      <c r="AO46" s="1064"/>
      <c r="AP46" s="1064"/>
      <c r="AQ46" s="1064"/>
      <c r="AR46" s="1074"/>
      <c r="AS46" s="1073"/>
      <c r="AT46" s="1064"/>
      <c r="AU46" s="1064"/>
      <c r="AV46" s="1064"/>
      <c r="AW46" s="1074"/>
      <c r="AX46" s="1073"/>
      <c r="AY46" s="1064"/>
      <c r="AZ46" s="1064"/>
      <c r="BA46" s="1064"/>
      <c r="BB46" s="1074"/>
      <c r="BC46" s="1073"/>
      <c r="BD46" s="1064"/>
      <c r="BE46" s="1064"/>
      <c r="BF46" s="1074"/>
      <c r="BG46" s="1073"/>
      <c r="BH46" s="1064"/>
      <c r="BI46" s="1074"/>
      <c r="BJ46" s="1078"/>
      <c r="BK46" s="1073"/>
      <c r="BL46" s="1064"/>
      <c r="BM46" s="1074"/>
      <c r="BN46" s="720">
        <f>IFERROR((J46*VLOOKUP(H46, 'Baumaterialien Matériaux'!$A$11:$AH$318, 32,FALSE))*($L$2/L46-1),0)/$G$1</f>
        <v>0</v>
      </c>
      <c r="BO46" s="720">
        <f t="shared" si="113"/>
        <v>0</v>
      </c>
    </row>
    <row r="47" spans="2:67">
      <c r="B47" s="1103"/>
      <c r="C47" s="1099"/>
      <c r="D47" s="478"/>
      <c r="E47" s="478"/>
      <c r="F47" s="478" t="s">
        <v>2994</v>
      </c>
      <c r="G47" s="478" t="str">
        <f>_xlfn.XLOOKUP(H47, 'Baumaterialien Matériaux'!A:A, 'Baumaterialien Matériaux'!AD:AD, "-", 0, 1)</f>
        <v>Lé d'étanchéité bitumineux</v>
      </c>
      <c r="H47" s="892" t="s">
        <v>696</v>
      </c>
      <c r="I47" s="641" t="str">
        <f>_xlfn.XLOOKUP(H47, 'Baumaterialien Matériaux'!A:A, 'Baumaterialien Matériaux'!F:F, "-", 0, 1)</f>
        <v>kg</v>
      </c>
      <c r="J47" s="649">
        <f>$J$46*K47</f>
        <v>567.88159999999993</v>
      </c>
      <c r="K47" s="893">
        <f>0.0052*1100</f>
        <v>5.72</v>
      </c>
      <c r="L47" s="478">
        <v>60</v>
      </c>
      <c r="M47" s="648">
        <f t="shared" ref="M47:M49" si="118">SUM(N47:Q47)</f>
        <v>2.4395345611599568</v>
      </c>
      <c r="N47" s="720">
        <f>IFERROR(($J47*VLOOKUP($H47, 'Baumaterialien Matériaux'!$A$11:$AD$318, 26,FALSE)),0)/$G$1</f>
        <v>0.63193893479650065</v>
      </c>
      <c r="O47" s="720">
        <f>IFERROR(($J47*VLOOKUP($H47, 'Baumaterialien Matériaux'!$A$11:$AH$318, 33,FALSE)),0)/$G$1</f>
        <v>0.34975630153588511</v>
      </c>
      <c r="P47" s="720">
        <f>IFERROR((N47+Q47)*($L$2/L47-1),0)</f>
        <v>0</v>
      </c>
      <c r="Q47" s="720">
        <f>IFERROR(($J47*VLOOKUP($H47, 'Baumaterialien Matériaux'!$A$11:$AH$318, 27,FALSE)),0)/$G$1</f>
        <v>1.4578393248275709</v>
      </c>
      <c r="R47" s="720">
        <f>IFERROR(($J47*VLOOKUP($H47, 'Baumaterialien Matériaux'!$A$11:$AH$318, 34,FALSE)),0)/$G$1</f>
        <v>1.4703529671007689</v>
      </c>
      <c r="S47" s="720">
        <f>IFERROR((J47*VLOOKUP(H47, 'Baumaterialien Matériaux'!$A$11:$AD$318, 29,FALSE)),0)/$G$1</f>
        <v>0</v>
      </c>
      <c r="T47" s="720"/>
      <c r="V47" s="638">
        <f t="shared" si="3"/>
        <v>0</v>
      </c>
      <c r="W47" s="638">
        <f t="shared" si="4"/>
        <v>0</v>
      </c>
      <c r="Y47" s="638" t="str">
        <f t="shared" si="9"/>
        <v>Structure</v>
      </c>
      <c r="Z47" s="638">
        <f t="shared" si="10"/>
        <v>60</v>
      </c>
      <c r="AA47" t="s">
        <v>3452</v>
      </c>
      <c r="AB47" t="str">
        <f>_xlfn.XLOOKUP($H47,'[1]Baumaterialien Matériaux'!$A:$A,'[1]Baumaterialien Matériaux'!AK:AK,0,0)</f>
        <v>oil_product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622" cm="1">
        <f t="array" ref="AD47">IFERROR(_xlfn.SWITCH(I47,"kg",1,"m3",AC47,AC47)*J47/(_xlfn.XLOOKUP(AA47,Métrés!A:A,Métrés!D:D,0)),0)</f>
        <v>2.4809156837046742</v>
      </c>
      <c r="AE47" s="1092">
        <f>IFERROR(N47*$G$1/(_xlfn.XLOOKUP($AA47,Métrés!$A:$A,Métrés!$D:$D,0)),0)</f>
        <v>2.505724840541721</v>
      </c>
      <c r="AF47" s="1092">
        <f>IFERROR(O47*$G$1/(_xlfn.XLOOKUP($AA47,Métrés!$A:$A,Métrés!$D:$D,0)),0)</f>
        <v>1.386831867190913</v>
      </c>
      <c r="AG47" s="1092">
        <f>IFERROR(Q47*$G$1/(_xlfn.XLOOKUP($AA47,Métrés!$A:$A,Métrés!$D:$D,0)),0)</f>
        <v>5.7805335430318907</v>
      </c>
      <c r="AH47" s="1092">
        <f>IFERROR(R47*$G$1/(_xlfn.XLOOKUP($AA47,Métrés!$A:$A,Métrés!$D:$D,0)),0)</f>
        <v>5.8301518567059842</v>
      </c>
      <c r="AI47" s="1092">
        <f>IFERROR(S47*$G$1/(_xlfn.XLOOKUP($AA47,Métrés!$A:$A,Métrés!$D:$D,0)),0)</f>
        <v>0</v>
      </c>
      <c r="AJ47" s="1030"/>
      <c r="AK47" s="1030"/>
      <c r="AL47" s="1030"/>
      <c r="AM47" s="638" t="str">
        <f>IF(L47=$L$2, "Structure", IF(L47&gt;0,"Revêtement",0))</f>
        <v>Structure</v>
      </c>
      <c r="AN47" s="1032">
        <f>IF(AM47="Structure",N47,0)</f>
        <v>0.63193893479650065</v>
      </c>
      <c r="AO47" s="1030">
        <f>IF(AM47="Structure",P47,0)</f>
        <v>0</v>
      </c>
      <c r="AP47" s="1030">
        <f>IF(AM47="Structure",Q47,0)</f>
        <v>1.4578393248275709</v>
      </c>
      <c r="AQ47" s="1030">
        <f>IF(AM47="Structure",S47,0)</f>
        <v>0</v>
      </c>
      <c r="AR47" s="1033">
        <f>IF(AM47="Structure",T47,0)</f>
        <v>0</v>
      </c>
      <c r="AS47" s="1032">
        <f>IF($AM47="Insulation",N47,0)</f>
        <v>0</v>
      </c>
      <c r="AT47" s="1030">
        <f t="shared" ref="AT47:AU49" si="119">IF($AM47="Insulation",P47,0)</f>
        <v>0</v>
      </c>
      <c r="AU47" s="1030">
        <f t="shared" si="119"/>
        <v>0</v>
      </c>
      <c r="AV47" s="1030">
        <f t="shared" ref="AV47:AW49" si="120">IF($AM47="Insulation",S47,0)</f>
        <v>0</v>
      </c>
      <c r="AW47" s="1033">
        <f t="shared" si="120"/>
        <v>0</v>
      </c>
      <c r="AX47" s="1032">
        <f>IF($AM47="Revêtement",N47,0)</f>
        <v>0</v>
      </c>
      <c r="AY47" s="1030">
        <f t="shared" ref="AY47:AZ49" si="121">IF($AM47="Revêtement",P47,0)</f>
        <v>0</v>
      </c>
      <c r="AZ47" s="1030">
        <f t="shared" si="121"/>
        <v>0</v>
      </c>
      <c r="BA47" s="1030">
        <f t="shared" ref="BA47:BB49" si="122">IF($AM47="Revêtement",S47,0)</f>
        <v>0</v>
      </c>
      <c r="BB47" s="1033">
        <f t="shared" si="122"/>
        <v>0</v>
      </c>
      <c r="BC47" s="1032">
        <f>IF($AM47="Installation",N47,0)</f>
        <v>0</v>
      </c>
      <c r="BD47" s="1030">
        <f t="shared" ref="BD47:BE49" si="123">IF($AM47="Installation",P47,0)</f>
        <v>0</v>
      </c>
      <c r="BE47" s="1030">
        <f t="shared" si="123"/>
        <v>0</v>
      </c>
      <c r="BF47" s="1033">
        <f>IF($AM47="Installation",S47,0)</f>
        <v>0</v>
      </c>
      <c r="BG47" s="1032">
        <f>IF($AM47="Structure", IF($I47="kg",$J47,0), 0)</f>
        <v>567.88159999999993</v>
      </c>
      <c r="BH47" s="1030">
        <f>IF($AM47="Insulation", IF($I47="kg",$J47,0), 0)</f>
        <v>0</v>
      </c>
      <c r="BI47" s="1033">
        <f>IF($AM47="Revêtement", IF($I47="kg",$J47,0), 0)</f>
        <v>0</v>
      </c>
      <c r="BJ47" s="1030">
        <f>_xlfn.XLOOKUP(H47, 'Baumaterialien Matériaux'!A:A, 'Baumaterialien Matériaux'!E:E, "-", 0, 1)</f>
        <v>1100</v>
      </c>
      <c r="BK47" s="1032">
        <f t="shared" si="5"/>
        <v>0.51625599999999994</v>
      </c>
      <c r="BL47" s="1030">
        <f t="shared" si="6"/>
        <v>0</v>
      </c>
      <c r="BM47" s="1033">
        <f t="shared" si="7"/>
        <v>0</v>
      </c>
      <c r="BN47" s="720"/>
      <c r="BO47" s="720"/>
    </row>
    <row r="48" spans="2:67">
      <c r="B48" s="1103"/>
      <c r="C48" s="1099"/>
      <c r="D48" s="478"/>
      <c r="E48" s="478"/>
      <c r="F48" s="478" t="s">
        <v>3026</v>
      </c>
      <c r="G48" s="478" t="str">
        <f>_xlfn.XLOOKUP(H48, 'Baumaterialien Matériaux'!A:A, 'Baumaterialien Matériaux'!AD:AD, "-", 0, 1)</f>
        <v>Béton pour bâtiment (sans armature)</v>
      </c>
      <c r="H48" s="891">
        <v>1.0019999999999998</v>
      </c>
      <c r="I48" s="641" t="str">
        <f>_xlfn.XLOOKUP(H48, 'Baumaterialien Matériaux'!A:A, 'Baumaterialien Matériaux'!F:F, "-", 0, 1)</f>
        <v>kg</v>
      </c>
      <c r="J48" s="649">
        <f>$J$46*K48</f>
        <v>82203.839999999997</v>
      </c>
      <c r="K48" s="728">
        <f>0.36*2300</f>
        <v>828</v>
      </c>
      <c r="L48" s="478">
        <v>60</v>
      </c>
      <c r="M48" s="648">
        <f t="shared" si="118"/>
        <v>11.076804865472333</v>
      </c>
      <c r="N48" s="720">
        <f>IFERROR(($J48*VLOOKUP($H48, 'Baumaterialien Matériaux'!$A$11:$AD$318, 26,FALSE)),0)/$G$1</f>
        <v>8.0426841541614333</v>
      </c>
      <c r="O48" s="720">
        <f>IFERROR(($J48*VLOOKUP($H48, 'Baumaterialien Matériaux'!$A$11:$AH$318, 33,FALSE)),0)/$G$1</f>
        <v>1.883871964037813</v>
      </c>
      <c r="P48" s="720">
        <f t="shared" ref="P48:P49" si="124">IFERROR((N48+Q48)*($L$2/L48-1),0)</f>
        <v>0</v>
      </c>
      <c r="Q48" s="720">
        <f>IFERROR(($J48*VLOOKUP($H48, 'Baumaterialien Matériaux'!$A$11:$AH$318, 27,FALSE)),0)/$G$1</f>
        <v>1.1502487472730878</v>
      </c>
      <c r="R48" s="720">
        <f>IFERROR(($J48*VLOOKUP($H48, 'Baumaterialien Matériaux'!$A$11:$AH$318, 34,FALSE)),0)/$G$1</f>
        <v>0.24272965690487208</v>
      </c>
      <c r="S48" s="720">
        <f>IFERROR((J48*VLOOKUP(H48, 'Baumaterialien Matériaux'!$A$11:$AD$318, 29,FALSE)),0)/$G$1</f>
        <v>0</v>
      </c>
      <c r="T48" s="720">
        <f>S48*AJ48</f>
        <v>0</v>
      </c>
      <c r="Y48" s="638" t="str">
        <f t="shared" si="9"/>
        <v>Structure</v>
      </c>
      <c r="Z48" s="638">
        <f t="shared" si="10"/>
        <v>60</v>
      </c>
      <c r="AA48" t="s">
        <v>3452</v>
      </c>
      <c r="AB48" t="str">
        <f>_xlfn.XLOOKUP($H48,'[1]Baumaterialien Matériaux'!$A:$A,'[1]Baumaterialien Matériaux'!AK:AK,0,0)</f>
        <v>concrete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622" cm="1">
        <f t="array" ref="AD48">IFERROR(_xlfn.SWITCH(I48,"kg",1,"m3",AC48,AC48)*J48/(_xlfn.XLOOKUP(AA48,Métrés!A:A,Métrés!D:D,0)),0)</f>
        <v>359.12555701179554</v>
      </c>
      <c r="AE48" s="1092">
        <f>IFERROR(N48*$G$1/(_xlfn.XLOOKUP($AA48,Métrés!$A:$A,Métrés!$D:$D,0)),0)</f>
        <v>31.890349462647443</v>
      </c>
      <c r="AF48" s="1092">
        <f>IFERROR(O48*$G$1/(_xlfn.XLOOKUP($AA48,Métrés!$A:$A,Métrés!$D:$D,0)),0)</f>
        <v>7.4698115858453464</v>
      </c>
      <c r="AG48" s="1092">
        <f>IFERROR(Q48*$G$1/(_xlfn.XLOOKUP($AA48,Métrés!$A:$A,Métrés!$D:$D,0)),0)</f>
        <v>4.5608945740498026</v>
      </c>
      <c r="AH48" s="1092">
        <f>IFERROR(R48*$G$1/(_xlfn.XLOOKUP($AA48,Métrés!$A:$A,Métrés!$D:$D,0)),0)</f>
        <v>0.96245649279161205</v>
      </c>
      <c r="AI48" s="1092">
        <f>IFERROR(S48*$G$1/(_xlfn.XLOOKUP($AA48,Métrés!$A:$A,Métrés!$D:$D,0)),0)</f>
        <v>0</v>
      </c>
      <c r="AJ48" s="1030"/>
      <c r="AK48" s="1030">
        <f>IF(L48=60,0,T48)</f>
        <v>0</v>
      </c>
      <c r="AL48" s="1030">
        <f>IF(L48=60,0,S48)</f>
        <v>0</v>
      </c>
      <c r="AM48" s="638" t="str">
        <f>IF(L48=$L$2, "Structure", IF(L48&gt;0,"Revêtement",0))</f>
        <v>Structure</v>
      </c>
      <c r="AN48" s="1032">
        <f>IF(AM48="Structure",N48,0)</f>
        <v>8.0426841541614333</v>
      </c>
      <c r="AO48" s="1030">
        <f>IF(AM48="Structure",P48,0)</f>
        <v>0</v>
      </c>
      <c r="AP48" s="1030">
        <f>IF(AM48="Structure",Q48,0)</f>
        <v>1.1502487472730878</v>
      </c>
      <c r="AQ48" s="1030">
        <f>IF(AM48="Structure",S48,0)</f>
        <v>0</v>
      </c>
      <c r="AR48" s="1033">
        <f>IF(AM48="Structure",T48,0)</f>
        <v>0</v>
      </c>
      <c r="AS48" s="1032">
        <f>IF($AM48="Insulation",N48,0)</f>
        <v>0</v>
      </c>
      <c r="AT48" s="1030">
        <f t="shared" si="119"/>
        <v>0</v>
      </c>
      <c r="AU48" s="1030">
        <f t="shared" si="119"/>
        <v>0</v>
      </c>
      <c r="AV48" s="1030">
        <f t="shared" si="120"/>
        <v>0</v>
      </c>
      <c r="AW48" s="1033">
        <f t="shared" si="120"/>
        <v>0</v>
      </c>
      <c r="AX48" s="1032">
        <f>IF($AM48="Revêtement",N48,0)</f>
        <v>0</v>
      </c>
      <c r="AY48" s="1030">
        <f t="shared" si="121"/>
        <v>0</v>
      </c>
      <c r="AZ48" s="1030">
        <f t="shared" si="121"/>
        <v>0</v>
      </c>
      <c r="BA48" s="1030">
        <f t="shared" si="122"/>
        <v>0</v>
      </c>
      <c r="BB48" s="1033">
        <f t="shared" si="122"/>
        <v>0</v>
      </c>
      <c r="BC48" s="1032">
        <f>IF($AM48="Installation",N48,0)</f>
        <v>0</v>
      </c>
      <c r="BD48" s="1030">
        <f t="shared" si="123"/>
        <v>0</v>
      </c>
      <c r="BE48" s="1030">
        <f t="shared" si="123"/>
        <v>0</v>
      </c>
      <c r="BF48" s="1033">
        <f>IF($AM48="Installation",S48,0)</f>
        <v>0</v>
      </c>
      <c r="BG48" s="1032">
        <f>IF($AM48="Structure", IF($I48="kg",$J48,0), 0)</f>
        <v>82203.839999999997</v>
      </c>
      <c r="BH48" s="1030">
        <f>IF($AM48="Insulation", IF($I48="kg",$J48,0), 0)</f>
        <v>0</v>
      </c>
      <c r="BI48" s="1033">
        <f>IF($AM48="Revêtement", IF($I48="kg",$J48,0), 0)</f>
        <v>0</v>
      </c>
      <c r="BJ48" s="1030">
        <f>_xlfn.XLOOKUP(H48, 'Baumaterialien Matériaux'!A:A, 'Baumaterialien Matériaux'!E:E, "-", 0, 1)</f>
        <v>2300</v>
      </c>
      <c r="BK48" s="1032">
        <f t="shared" si="5"/>
        <v>35.7408</v>
      </c>
      <c r="BL48" s="1030">
        <f t="shared" si="6"/>
        <v>0</v>
      </c>
      <c r="BM48" s="1033">
        <f t="shared" si="7"/>
        <v>0</v>
      </c>
      <c r="BN48" s="720">
        <f>IFERROR((J48*VLOOKUP(H48, 'Baumaterialien Matériaux'!$A$11:$AH$318, 32,FALSE))*($L$2/L48-1),0)/$G$1</f>
        <v>0</v>
      </c>
      <c r="BO48" s="720">
        <f>IFERROR((N48+Q48)*($L$2/L48-1),0)</f>
        <v>0</v>
      </c>
    </row>
    <row r="49" spans="2:67">
      <c r="B49" s="1104"/>
      <c r="C49" s="1098"/>
      <c r="D49" s="478"/>
      <c r="E49" s="478"/>
      <c r="F49" s="478" t="s">
        <v>3008</v>
      </c>
      <c r="G49" s="478" t="str">
        <f>_xlfn.XLOOKUP(H49, 'Baumaterialien Matériaux'!A:A, 'Baumaterialien Matériaux'!AD:AD, "-", 0, 1)</f>
        <v>Acier d'armature</v>
      </c>
      <c r="H49" s="892" t="s">
        <v>497</v>
      </c>
      <c r="I49" s="641" t="str">
        <f>_xlfn.XLOOKUP(H49, 'Baumaterialien Matériaux'!A:A, 'Baumaterialien Matériaux'!F:F, "-", 0, 1)</f>
        <v>kg</v>
      </c>
      <c r="J49" s="649">
        <f>$J$46*K49</f>
        <v>5361.12</v>
      </c>
      <c r="K49" s="728">
        <f>0.36*150</f>
        <v>54</v>
      </c>
      <c r="L49" s="478">
        <v>60</v>
      </c>
      <c r="M49" s="648">
        <f t="shared" si="118"/>
        <v>10.652303616050769</v>
      </c>
      <c r="N49" s="720">
        <f>IFERROR(($J49*VLOOKUP($H49, 'Baumaterialien Matériaux'!$A$11:$AD$318, 26,FALSE)),0)/$G$1</f>
        <v>8.8601837773517556</v>
      </c>
      <c r="O49" s="720">
        <f>IFERROR(($J49*VLOOKUP($H49, 'Baumaterialien Matériaux'!$A$11:$AH$318, 33,FALSE)),0)/$G$1</f>
        <v>1.7188756528062403</v>
      </c>
      <c r="P49" s="720">
        <f t="shared" si="124"/>
        <v>0</v>
      </c>
      <c r="Q49" s="720">
        <f>IFERROR(($J49*VLOOKUP($H49, 'Baumaterialien Matériaux'!$A$11:$AH$318, 27,FALSE)),0)/$G$1</f>
        <v>7.3244185892774497E-2</v>
      </c>
      <c r="R49" s="720">
        <f>IFERROR(($J49*VLOOKUP($H49, 'Baumaterialien Matériaux'!$A$11:$AH$318, 34,FALSE)),0)/$G$1</f>
        <v>0</v>
      </c>
      <c r="S49" s="720">
        <f>IFERROR((J49*VLOOKUP(H49, 'Baumaterialien Matériaux'!$A$11:$AD$318, 29,FALSE)),0)/$G$1</f>
        <v>0</v>
      </c>
      <c r="T49" s="720">
        <f>S49*AJ49</f>
        <v>0</v>
      </c>
      <c r="V49" s="638">
        <f t="shared" si="3"/>
        <v>0</v>
      </c>
      <c r="W49" s="638">
        <f t="shared" si="4"/>
        <v>0</v>
      </c>
      <c r="Y49" s="638" t="str">
        <f t="shared" si="9"/>
        <v>Structure</v>
      </c>
      <c r="Z49" s="638">
        <f t="shared" si="10"/>
        <v>60</v>
      </c>
      <c r="AA49" t="s">
        <v>3452</v>
      </c>
      <c r="AB49" t="str">
        <f>_xlfn.XLOOKUP($H49,'[1]Baumaterialien Matériaux'!$A:$A,'[1]Baumaterialien Matériaux'!AK:AK,0,0)</f>
        <v>metal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622" cm="1">
        <f t="array" ref="AD49">IFERROR(_xlfn.SWITCH(I49,"kg",1,"m3",AC49,AC49)*J49/(_xlfn.XLOOKUP(AA49,Métrés!A:A,Métrés!D:D,0)),0)</f>
        <v>23.421231979030143</v>
      </c>
      <c r="AE49" s="1092">
        <f>IFERROR(N49*$G$1/(_xlfn.XLOOKUP($AA49,Métrés!$A:$A,Métrés!$D:$D,0)),0)</f>
        <v>35.131847968545216</v>
      </c>
      <c r="AF49" s="1092">
        <f>IFERROR(O49*$G$1/(_xlfn.XLOOKUP($AA49,Métrés!$A:$A,Métrés!$D:$D,0)),0)</f>
        <v>6.8155785058977711</v>
      </c>
      <c r="AG49" s="1092">
        <f>IFERROR(Q49*$G$1/(_xlfn.XLOOKUP($AA49,Métrés!$A:$A,Métrés!$D:$D,0)),0)</f>
        <v>0.29042327653997374</v>
      </c>
      <c r="AH49" s="1092">
        <f>IFERROR(R49*$G$1/(_xlfn.XLOOKUP($AA49,Métrés!$A:$A,Métrés!$D:$D,0)),0)</f>
        <v>0</v>
      </c>
      <c r="AI49" s="1092">
        <f>IFERROR(S49*$G$1/(_xlfn.XLOOKUP($AA49,Métrés!$A:$A,Métrés!$D:$D,0)),0)</f>
        <v>0</v>
      </c>
      <c r="AJ49" s="1030"/>
      <c r="AK49" s="1030">
        <f>IF(L49=60,0,T49)</f>
        <v>0</v>
      </c>
      <c r="AL49" s="1030">
        <f>IF(L49=60,0,S49)</f>
        <v>0</v>
      </c>
      <c r="AM49" s="638" t="str">
        <f>IF(L49=$L$2, "Structure", IF(L49&gt;0,"Revêtement",0))</f>
        <v>Structure</v>
      </c>
      <c r="AN49" s="1032">
        <f>IF(AM49="Structure",N49,0)</f>
        <v>8.8601837773517556</v>
      </c>
      <c r="AO49" s="1030">
        <f>IF(AM49="Structure",P49,0)</f>
        <v>0</v>
      </c>
      <c r="AP49" s="1030">
        <f>IF(AM49="Structure",Q49,0)</f>
        <v>7.3244185892774497E-2</v>
      </c>
      <c r="AQ49" s="1030">
        <f>IF(AM49="Structure",S49,0)</f>
        <v>0</v>
      </c>
      <c r="AR49" s="1033">
        <f>IF(AM49="Structure",T49,0)</f>
        <v>0</v>
      </c>
      <c r="AS49" s="1032">
        <f>IF($AM49="Insulation",N49,0)</f>
        <v>0</v>
      </c>
      <c r="AT49" s="1030">
        <f t="shared" si="119"/>
        <v>0</v>
      </c>
      <c r="AU49" s="1030">
        <f t="shared" si="119"/>
        <v>0</v>
      </c>
      <c r="AV49" s="1030">
        <f t="shared" si="120"/>
        <v>0</v>
      </c>
      <c r="AW49" s="1033">
        <f t="shared" si="120"/>
        <v>0</v>
      </c>
      <c r="AX49" s="1032">
        <f>IF($AM49="Revêtement",N49,0)</f>
        <v>0</v>
      </c>
      <c r="AY49" s="1030">
        <f t="shared" si="121"/>
        <v>0</v>
      </c>
      <c r="AZ49" s="1030">
        <f t="shared" si="121"/>
        <v>0</v>
      </c>
      <c r="BA49" s="1030">
        <f t="shared" si="122"/>
        <v>0</v>
      </c>
      <c r="BB49" s="1033">
        <f t="shared" si="122"/>
        <v>0</v>
      </c>
      <c r="BC49" s="1032">
        <f>IF($AM49="Installation",N49,0)</f>
        <v>0</v>
      </c>
      <c r="BD49" s="1030">
        <f t="shared" si="123"/>
        <v>0</v>
      </c>
      <c r="BE49" s="1030">
        <f t="shared" si="123"/>
        <v>0</v>
      </c>
      <c r="BF49" s="1033">
        <f>IF($AM49="Installation",S49,0)</f>
        <v>0</v>
      </c>
      <c r="BG49" s="1032">
        <f>IF($AM49="Structure", IF($I49="kg",$J49,0), 0)</f>
        <v>5361.12</v>
      </c>
      <c r="BH49" s="1030">
        <f>IF($AM49="Insulation", IF($I49="kg",$J49,0), 0)</f>
        <v>0</v>
      </c>
      <c r="BI49" s="1033">
        <f>IF($AM49="Revêtement", IF($I49="kg",$J49,0), 0)</f>
        <v>0</v>
      </c>
      <c r="BJ49" s="1030">
        <f>_xlfn.XLOOKUP(H49, 'Baumaterialien Matériaux'!A:A, 'Baumaterialien Matériaux'!E:E, "-", 0, 1)</f>
        <v>7850</v>
      </c>
      <c r="BK49" s="1032">
        <f t="shared" si="5"/>
        <v>0.68294522292993631</v>
      </c>
      <c r="BL49" s="1030">
        <f t="shared" si="6"/>
        <v>0</v>
      </c>
      <c r="BM49" s="1033">
        <f t="shared" si="7"/>
        <v>0</v>
      </c>
      <c r="BN49" s="720">
        <f>IFERROR((J49*VLOOKUP(H49, 'Baumaterialien Matériaux'!$A$11:$AH$318, 32,FALSE))*($L$2/L49-1),0)/$G$1</f>
        <v>0</v>
      </c>
      <c r="BO49" s="720">
        <f>IFERROR((N49+Q49)*($L$2/L49-1),0)</f>
        <v>0</v>
      </c>
    </row>
    <row r="50" spans="2:67" ht="15.6" customHeight="1">
      <c r="B50" s="1102" t="s">
        <v>113</v>
      </c>
      <c r="C50" s="1097" t="s">
        <v>114</v>
      </c>
      <c r="D50" s="473" t="s">
        <v>115</v>
      </c>
      <c r="E50" s="473"/>
      <c r="F50" s="473"/>
      <c r="G50" s="473"/>
      <c r="H50" s="473"/>
      <c r="I50" s="463"/>
      <c r="J50" s="654"/>
      <c r="K50" s="652"/>
      <c r="L50" s="652"/>
      <c r="M50" s="653">
        <f>M51+M54+M58</f>
        <v>18.107599066770234</v>
      </c>
      <c r="N50" s="653">
        <f t="shared" ref="N50:S50" si="125">N51+N54+N58</f>
        <v>11.078428654337719</v>
      </c>
      <c r="O50" s="653">
        <f t="shared" ref="O50" si="126">O51+O54+O58</f>
        <v>3.2496766787884797</v>
      </c>
      <c r="P50" s="653">
        <f t="shared" si="125"/>
        <v>2.5323906384279762</v>
      </c>
      <c r="Q50" s="653">
        <f t="shared" si="125"/>
        <v>1.2471030952160596</v>
      </c>
      <c r="R50" s="653">
        <f t="shared" ref="R50" si="127">R51+R54+R58</f>
        <v>0.36232279834952952</v>
      </c>
      <c r="S50" s="653">
        <f t="shared" si="125"/>
        <v>22.450702548423347</v>
      </c>
      <c r="T50" s="653">
        <f t="shared" ref="T50" si="128">T51+T54+T58</f>
        <v>-2.8454656655318309</v>
      </c>
      <c r="V50" s="638">
        <f t="shared" si="3"/>
        <v>-2.8454656655318309</v>
      </c>
      <c r="W50" s="638">
        <f t="shared" si="4"/>
        <v>22.450702548423347</v>
      </c>
      <c r="Y50" s="638">
        <f t="shared" si="9"/>
        <v>0</v>
      </c>
      <c r="Z50" s="638">
        <f t="shared" si="10"/>
        <v>0</v>
      </c>
      <c r="AB50">
        <f>_xlfn.XLOOKUP($H50,'[1]Baumaterialien Matériaux'!$A:$A,'[1]Baumaterialien Matériaux'!AK:AK,0,0)</f>
        <v>0</v>
      </c>
      <c r="AC50" t="str" cm="1">
        <f t="array" ref="AC50">_xlfn.SWITCH(I50,"kg"," ",0," ",_xlfn.XLOOKUP(H50, '[1]Baumaterialien Matériaux'!$A:$A, '[1]Baumaterialien Matériaux'!$AL:$AL, "-", 0, 1))</f>
        <v xml:space="preserve"> </v>
      </c>
      <c r="AD50" s="622" cm="1">
        <f t="array" ref="AD50">IFERROR(_xlfn.SWITCH(I50,"kg",1,"m3",AC50,AC50)*J50/(_xlfn.XLOOKUP(AA50,Métrés!A:A,Métrés!D:D,0)),0)</f>
        <v>0</v>
      </c>
      <c r="AE50" s="1092">
        <f>IFERROR(N50*$G$1/(_xlfn.XLOOKUP($AA50,Métrés!$A:$A,Métrés!$D:$D,0)),0)</f>
        <v>0</v>
      </c>
      <c r="AF50" s="1092">
        <f>IFERROR(O50*$G$1/(_xlfn.XLOOKUP($AA50,Métrés!$A:$A,Métrés!$D:$D,0)),0)</f>
        <v>0</v>
      </c>
      <c r="AG50" s="1092">
        <f>IFERROR(Q50*$G$1/(_xlfn.XLOOKUP($AA50,Métrés!$A:$A,Métrés!$D:$D,0)),0)</f>
        <v>0</v>
      </c>
      <c r="AH50" s="1092">
        <f>IFERROR(R50*$G$1/(_xlfn.XLOOKUP($AA50,Métrés!$A:$A,Métrés!$D:$D,0)),0)</f>
        <v>0</v>
      </c>
      <c r="AI50" s="1092">
        <f>IFERROR(S50*$G$1/(_xlfn.XLOOKUP($AA50,Métrés!$A:$A,Métrés!$D:$D,0)),0)</f>
        <v>0</v>
      </c>
      <c r="AJ50" s="1063"/>
      <c r="AK50" s="1063"/>
      <c r="AL50" s="1063"/>
      <c r="AM50" s="1020"/>
      <c r="AN50" s="1071"/>
      <c r="AO50" s="1063"/>
      <c r="AP50" s="1063"/>
      <c r="AQ50" s="1063"/>
      <c r="AR50" s="1072"/>
      <c r="AS50" s="1071"/>
      <c r="AT50" s="1063"/>
      <c r="AU50" s="1063"/>
      <c r="AV50" s="1063"/>
      <c r="AW50" s="1072"/>
      <c r="AX50" s="1071"/>
      <c r="AY50" s="1063"/>
      <c r="AZ50" s="1063"/>
      <c r="BA50" s="1063"/>
      <c r="BB50" s="1072"/>
      <c r="BC50" s="1071"/>
      <c r="BD50" s="1063"/>
      <c r="BE50" s="1063"/>
      <c r="BF50" s="1072"/>
      <c r="BG50" s="1071"/>
      <c r="BH50" s="1063"/>
      <c r="BI50" s="1072"/>
      <c r="BJ50" s="1077"/>
      <c r="BK50" s="1071"/>
      <c r="BL50" s="1063"/>
      <c r="BM50" s="1072"/>
    </row>
    <row r="51" spans="2:67">
      <c r="B51" s="1103"/>
      <c r="C51" s="1099"/>
      <c r="D51" s="478"/>
      <c r="E51" s="479" t="str">
        <f>BillQuantities!E14</f>
        <v>Paroi en béton (avec enduit intérieur)</v>
      </c>
      <c r="F51" s="663" t="s">
        <v>3030</v>
      </c>
      <c r="G51" s="663"/>
      <c r="H51" s="663"/>
      <c r="I51" s="459" t="s">
        <v>39</v>
      </c>
      <c r="J51" s="662">
        <v>411.84</v>
      </c>
      <c r="K51" s="663"/>
      <c r="L51" s="663"/>
      <c r="M51" s="664">
        <f t="shared" ref="M51:T51" si="129">SUM(M52:M53)</f>
        <v>8.9183773041581276</v>
      </c>
      <c r="N51" s="664">
        <f t="shared" si="129"/>
        <v>4.1615236332385797</v>
      </c>
      <c r="O51" s="664">
        <f t="shared" ref="O51" si="130">SUM(O52:O53)</f>
        <v>1.7094845825345408</v>
      </c>
      <c r="P51" s="664">
        <f t="shared" si="129"/>
        <v>2.3265883519534603</v>
      </c>
      <c r="Q51" s="664">
        <f t="shared" si="129"/>
        <v>0.72078073643154617</v>
      </c>
      <c r="R51" s="664">
        <f t="shared" ref="R51" si="131">SUM(R52:R53)</f>
        <v>0.24796887684273153</v>
      </c>
      <c r="S51" s="664">
        <f t="shared" si="129"/>
        <v>21.280195835261452</v>
      </c>
      <c r="T51" s="664">
        <f t="shared" si="129"/>
        <v>-2.7842647345805518</v>
      </c>
      <c r="V51" s="638">
        <f t="shared" si="3"/>
        <v>-2.7842647345805518</v>
      </c>
      <c r="W51" s="638">
        <f t="shared" si="4"/>
        <v>21.280195835261452</v>
      </c>
      <c r="Y51" s="638">
        <f t="shared" si="9"/>
        <v>0</v>
      </c>
      <c r="Z51" s="638">
        <f t="shared" si="10"/>
        <v>0</v>
      </c>
      <c r="AA51" s="648" t="s">
        <v>3443</v>
      </c>
      <c r="AB51">
        <f>_xlfn.XLOOKUP($H51,'[1]Baumaterialien Matériaux'!$A:$A,'[1]Baumaterialien Matériaux'!AK:AK,0,0)</f>
        <v>0</v>
      </c>
      <c r="AC51" cm="1">
        <f t="array" ref="AC51">_xlfn.SWITCH(I51,"kg"," ",0," ",_xlfn.XLOOKUP(H51, '[1]Baumaterialien Matériaux'!$A:$A, '[1]Baumaterialien Matériaux'!$AL:$AL, "-", 0, 1))</f>
        <v>0</v>
      </c>
      <c r="AD51" s="622" cm="1">
        <f t="array" ref="AD51">IFERROR(_xlfn.SWITCH(I51,"kg",1,"m3",AC51,AC51)*J51/(_xlfn.XLOOKUP(AA51,Métrés!A:A,Métrés!D:D,0)),0)</f>
        <v>0</v>
      </c>
      <c r="AE51" s="1092">
        <f>IFERROR(N51*$G$1/(_xlfn.XLOOKUP($AA51,Métrés!$A:$A,Métrés!$D:$D,0)),0)</f>
        <v>7.7165197352292232</v>
      </c>
      <c r="AF51" s="1092">
        <f>IFERROR(O51*$G$1/(_xlfn.XLOOKUP($AA51,Métrés!$A:$A,Métrés!$D:$D,0)),0)</f>
        <v>3.1698177592547196</v>
      </c>
      <c r="AG51" s="1092">
        <f>IFERROR(Q51*$G$1/(_xlfn.XLOOKUP($AA51,Métrés!$A:$A,Métrés!$D:$D,0)),0)</f>
        <v>1.3365101985780827</v>
      </c>
      <c r="AH51" s="1092">
        <f>IFERROR(R51*$G$1/(_xlfn.XLOOKUP($AA51,Métrés!$A:$A,Métrés!$D:$D,0)),0)</f>
        <v>0.45979715616572692</v>
      </c>
      <c r="AI51" s="1092">
        <f>IFERROR(S51*$G$1/(_xlfn.XLOOKUP($AA51,Métrés!$A:$A,Métrés!$D:$D,0)),0)</f>
        <v>39.45887746996813</v>
      </c>
      <c r="AJ51" s="1064"/>
      <c r="AK51" s="1064"/>
      <c r="AL51" s="1064"/>
      <c r="AM51" s="1021"/>
      <c r="AN51" s="1073"/>
      <c r="AO51" s="1064"/>
      <c r="AP51" s="1064"/>
      <c r="AQ51" s="1064"/>
      <c r="AR51" s="1074"/>
      <c r="AS51" s="1073"/>
      <c r="AT51" s="1064"/>
      <c r="AU51" s="1064"/>
      <c r="AV51" s="1064"/>
      <c r="AW51" s="1074"/>
      <c r="AX51" s="1073"/>
      <c r="AY51" s="1064"/>
      <c r="AZ51" s="1064"/>
      <c r="BA51" s="1064"/>
      <c r="BB51" s="1074"/>
      <c r="BC51" s="1073"/>
      <c r="BD51" s="1064"/>
      <c r="BE51" s="1064"/>
      <c r="BF51" s="1074"/>
      <c r="BG51" s="1073"/>
      <c r="BH51" s="1064"/>
      <c r="BI51" s="1074"/>
      <c r="BJ51" s="1078"/>
      <c r="BK51" s="1073"/>
      <c r="BL51" s="1064"/>
      <c r="BM51" s="1074"/>
    </row>
    <row r="52" spans="2:67">
      <c r="B52" s="1103"/>
      <c r="C52" s="1099"/>
      <c r="D52" s="478"/>
      <c r="F52" s="483" t="s">
        <v>3261</v>
      </c>
      <c r="G52" s="478" t="str">
        <f>_xlfn.XLOOKUP(H52, 'Baumaterialien Matériaux'!A:A, 'Baumaterialien Matériaux'!AD:AD, "-", 0, 1)</f>
        <v>Bois massif de construction</v>
      </c>
      <c r="H52" s="875" t="s">
        <v>547</v>
      </c>
      <c r="I52" s="641" t="str">
        <f>_xlfn.XLOOKUP(H52, 'Baumaterialien Matériaux'!A:A, 'Baumaterialien Matériaux'!F:F, "-", 0, 1)</f>
        <v>kg</v>
      </c>
      <c r="J52" s="649">
        <f>18.39*436</f>
        <v>8018.04</v>
      </c>
      <c r="K52" s="894"/>
      <c r="L52" s="650">
        <v>60</v>
      </c>
      <c r="M52" s="648">
        <f>SUM(N52:Q52)</f>
        <v>3.1574974733919481</v>
      </c>
      <c r="N52" s="720">
        <f>IFERROR(($J52*VLOOKUP($H52, 'Baumaterialien Matériaux'!$A$11:$AD$318, 26,FALSE)),0)/$G$1</f>
        <v>2.1643637204997686</v>
      </c>
      <c r="O52" s="720">
        <f>IFERROR(($J52*VLOOKUP($H52, 'Baumaterialien Matériaux'!$A$11:$AH$318, 33,FALSE)),0)/$G$1</f>
        <v>0.60178145567528263</v>
      </c>
      <c r="P52" s="720">
        <f>IFERROR((N52+Q52)*($L$2/L52-1),0)</f>
        <v>0</v>
      </c>
      <c r="Q52" s="720">
        <f>IFERROR(($J52*VLOOKUP($H52, 'Baumaterialien Matériaux'!$A$11:$AH$318, 27,FALSE)),0)/$G$1</f>
        <v>0.3913522972168969</v>
      </c>
      <c r="R52" s="720">
        <f>IFERROR(($J52*VLOOKUP($H52, 'Baumaterialien Matériaux'!$A$11:$AH$318, 34,FALSE)),0)/$G$1</f>
        <v>6.4312521980564558E-2</v>
      </c>
      <c r="S52" s="720">
        <f>IFERROR((J52*VLOOKUP(H52, 'Baumaterialien Matériaux'!$A$11:$AD$318, 29,FALSE)),0)/$G$1</f>
        <v>14.57632709724334</v>
      </c>
      <c r="T52" s="720">
        <f>S52*AJ52</f>
        <v>-3.7898450452832684</v>
      </c>
      <c r="U52" s="638">
        <v>-0.26</v>
      </c>
      <c r="V52" s="638">
        <f t="shared" si="3"/>
        <v>0</v>
      </c>
      <c r="W52" s="638">
        <f t="shared" si="4"/>
        <v>0</v>
      </c>
      <c r="Z52" s="638">
        <f t="shared" si="10"/>
        <v>60</v>
      </c>
      <c r="AA52" s="648" t="s">
        <v>3443</v>
      </c>
      <c r="AB52" t="str">
        <f>_xlfn.XLOOKUP($H52,'[1]Baumaterialien Matériaux'!$A:$A,'[1]Baumaterialien Matériaux'!AK:AK,0,0)</f>
        <v>timber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622" cm="1">
        <f t="array" ref="AD52">IFERROR(_xlfn.SWITCH(I52,"kg",1,"m3",AC52,AC52)*J52/(_xlfn.XLOOKUP(AA52,Métrés!A:A,Métrés!D:D,0)),0)</f>
        <v>16.380730571218436</v>
      </c>
      <c r="AE52" s="1092">
        <f>IFERROR(N52*$G$1/(_xlfn.XLOOKUP($AA52,Métrés!$A:$A,Métrés!$D:$D,0)),0)</f>
        <v>4.0132789899485166</v>
      </c>
      <c r="AF52" s="1092">
        <f>IFERROR(O52*$G$1/(_xlfn.XLOOKUP($AA52,Métrés!$A:$A,Métrés!$D:$D,0)),0)</f>
        <v>1.1158553665113999</v>
      </c>
      <c r="AG52" s="1092">
        <f>IFERROR(Q52*$G$1/(_xlfn.XLOOKUP($AA52,Métrés!$A:$A,Métrés!$D:$D,0)),0)</f>
        <v>0.72566636430497666</v>
      </c>
      <c r="AH52" s="1092">
        <f>IFERROR(R52*$G$1/(_xlfn.XLOOKUP($AA52,Métrés!$A:$A,Métrés!$D:$D,0)),0)</f>
        <v>0.11925171855847023</v>
      </c>
      <c r="AI52" s="1092">
        <f>IFERROR(S52*$G$1/(_xlfn.XLOOKUP($AA52,Métrés!$A:$A,Métrés!$D:$D,0)),0)</f>
        <v>27.028205442510419</v>
      </c>
      <c r="AJ52" s="1030">
        <v>-0.26</v>
      </c>
      <c r="AK52" s="1030">
        <f>IF(L52=60,0,T52)</f>
        <v>0</v>
      </c>
      <c r="AL52" s="1030">
        <f>IF(L52=60,0,S52)</f>
        <v>0</v>
      </c>
      <c r="AM52" s="638" t="str">
        <f>IF(L52=$L$2, "Structure", IF(L52&gt;0,"Revêtement",0))</f>
        <v>Structure</v>
      </c>
      <c r="AN52" s="1032">
        <f>IF(AM52="Structure",N52,0)</f>
        <v>2.1643637204997686</v>
      </c>
      <c r="AO52" s="1030">
        <f>IF(AM52="Structure",P52,0)</f>
        <v>0</v>
      </c>
      <c r="AP52" s="1030">
        <f>IF(AM52="Structure",Q52,0)</f>
        <v>0.3913522972168969</v>
      </c>
      <c r="AQ52" s="1030">
        <f>IF(AM52="Structure",S52,0)</f>
        <v>14.57632709724334</v>
      </c>
      <c r="AR52" s="1033">
        <f>IF(AM52="Structure",T52,0)</f>
        <v>-3.7898450452832684</v>
      </c>
      <c r="AS52" s="1032">
        <f>IF($AM52="Insulation",N52,0)</f>
        <v>0</v>
      </c>
      <c r="AT52" s="1030">
        <f>IF($AM52="Insulation",P52,0)</f>
        <v>0</v>
      </c>
      <c r="AU52" s="1030">
        <f>IF($AM52="Insulation",Q52,0)</f>
        <v>0</v>
      </c>
      <c r="AV52" s="1030">
        <f>IF($AM52="Insulation",S52,0)</f>
        <v>0</v>
      </c>
      <c r="AW52" s="1033">
        <f>IF($AM52="Insulation",T52,0)</f>
        <v>0</v>
      </c>
      <c r="AX52" s="1032">
        <f>IF($AM52="Revêtement",N52,0)</f>
        <v>0</v>
      </c>
      <c r="AY52" s="1030">
        <f>IF($AM52="Revêtement",P52,0)</f>
        <v>0</v>
      </c>
      <c r="AZ52" s="1030">
        <f>IF($AM52="Revêtement",Q52,0)</f>
        <v>0</v>
      </c>
      <c r="BA52" s="1030">
        <f>IF($AM52="Revêtement",S52,0)</f>
        <v>0</v>
      </c>
      <c r="BB52" s="1033">
        <f>IF($AM52="Revêtement",T52,0)</f>
        <v>0</v>
      </c>
      <c r="BC52" s="1032">
        <f>IF($AM52="Installation",N52,0)</f>
        <v>0</v>
      </c>
      <c r="BD52" s="1030">
        <f>IF($AM52="Installation",P52,0)</f>
        <v>0</v>
      </c>
      <c r="BE52" s="1030">
        <f>IF($AM52="Installation",Q52,0)</f>
        <v>0</v>
      </c>
      <c r="BF52" s="1033">
        <f>IF($AM52="Installation",S52,0)</f>
        <v>0</v>
      </c>
      <c r="BG52" s="1032">
        <f>IF($AM52="Structure", IF($I52="kg",$J52,0), 0)</f>
        <v>8018.04</v>
      </c>
      <c r="BH52" s="1030">
        <f>IF($AM52="Insulation", IF($I52="kg",$J52,0), 0)</f>
        <v>0</v>
      </c>
      <c r="BI52" s="1033">
        <f>IF($AM52="Revêtement", IF($I52="kg",$J52,0), 0)</f>
        <v>0</v>
      </c>
      <c r="BJ52" s="1030">
        <f>_xlfn.XLOOKUP(H52, 'Baumaterialien Matériaux'!A:A, 'Baumaterialien Matériaux'!E:E, "-", 0, 1)</f>
        <v>436</v>
      </c>
      <c r="BK52" s="1032">
        <f t="shared" si="5"/>
        <v>18.39</v>
      </c>
      <c r="BL52" s="1030">
        <f t="shared" si="6"/>
        <v>0</v>
      </c>
      <c r="BM52" s="1033">
        <f t="shared" si="7"/>
        <v>0</v>
      </c>
      <c r="BN52" s="720"/>
      <c r="BO52" s="720"/>
    </row>
    <row r="53" spans="2:67">
      <c r="B53" s="1103"/>
      <c r="C53" s="1099"/>
      <c r="D53" s="478"/>
      <c r="F53" s="483" t="s">
        <v>3262</v>
      </c>
      <c r="G53" s="478" t="str">
        <f>_xlfn.XLOOKUP(H53, 'Baumaterialien Matériaux'!A:A, 'Baumaterialien Matériaux'!AD:AD, "-", 0, 1)</f>
        <v>Panneau d'aggloméré type OSB, colle PF, zone humide</v>
      </c>
      <c r="H53" s="892" t="s">
        <v>1526</v>
      </c>
      <c r="I53" s="641" t="str">
        <f>_xlfn.XLOOKUP(H53, 'Baumaterialien Matériaux'!A:A, 'Baumaterialien Matériaux'!F:F, "-", 0, 1)</f>
        <v>kg</v>
      </c>
      <c r="J53" s="649">
        <f>J51*K53</f>
        <v>3737.4479999999994</v>
      </c>
      <c r="K53" s="528">
        <f>605*0.015</f>
        <v>9.0749999999999993</v>
      </c>
      <c r="L53" s="650">
        <v>30</v>
      </c>
      <c r="M53" s="648">
        <f>SUM(N53:Q53)</f>
        <v>5.7608798307661786</v>
      </c>
      <c r="N53" s="720">
        <f>IFERROR(($J53*VLOOKUP($H53, 'Baumaterialien Matériaux'!$A$11:$AD$318, 26,FALSE)),0)/$G$1</f>
        <v>1.9971599127388109</v>
      </c>
      <c r="O53" s="720">
        <f>IFERROR(($J53*VLOOKUP($H53, 'Baumaterialien Matériaux'!$A$11:$AH$318, 33,FALSE)),0)/$G$1</f>
        <v>1.1077031268592581</v>
      </c>
      <c r="P53" s="720">
        <f>IFERROR((N53+Q53)*($L$2/L53-1),0)</f>
        <v>2.3265883519534603</v>
      </c>
      <c r="Q53" s="720">
        <f>IFERROR(($J53*VLOOKUP($H53, 'Baumaterialien Matériaux'!$A$11:$AH$318, 27,FALSE)),0)/$G$1</f>
        <v>0.32942843921464926</v>
      </c>
      <c r="R53" s="720">
        <f>IFERROR(($J53*VLOOKUP($H53, 'Baumaterialien Matériaux'!$A$11:$AH$318, 34,FALSE)),0)/$G$1</f>
        <v>0.18365635486216697</v>
      </c>
      <c r="S53" s="720">
        <f>IFERROR((J53*VLOOKUP(H53, 'Baumaterialien Matériaux'!$A$11:$AD$318, 29,FALSE)),0)/$G$1</f>
        <v>6.7038687380181115</v>
      </c>
      <c r="T53" s="720">
        <f>S53*AJ53</f>
        <v>1.0055803107027166</v>
      </c>
      <c r="U53" s="638">
        <v>0.15</v>
      </c>
      <c r="V53" s="638">
        <f t="shared" si="3"/>
        <v>1.0055803107027166</v>
      </c>
      <c r="W53" s="638">
        <f t="shared" si="4"/>
        <v>6.7038687380181115</v>
      </c>
      <c r="Z53" s="638">
        <f t="shared" si="10"/>
        <v>30</v>
      </c>
      <c r="AA53" s="648" t="s">
        <v>3443</v>
      </c>
      <c r="AB53" t="str">
        <f>_xlfn.XLOOKUP($H53,'[1]Baumaterialien Matériaux'!$A:$A,'[1]Baumaterialien Matériaux'!AK:AK,0,0)</f>
        <v>timber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622" cm="1">
        <f t="array" ref="AD53">IFERROR(_xlfn.SWITCH(I53,"kg",1,"m3",AC53,AC53)*J53/(_xlfn.XLOOKUP(AA53,Métrés!A:A,Métrés!D:D,0)),0)</f>
        <v>7.6355479284138266</v>
      </c>
      <c r="AE53" s="1092">
        <f>IFERROR(N53*$G$1/(_xlfn.XLOOKUP($AA53,Métrés!$A:$A,Métrés!$D:$D,0)),0)</f>
        <v>3.7032407452807052</v>
      </c>
      <c r="AF53" s="1092">
        <f>IFERROR(O53*$G$1/(_xlfn.XLOOKUP($AA53,Métrés!$A:$A,Métrés!$D:$D,0)),0)</f>
        <v>2.053962392743319</v>
      </c>
      <c r="AG53" s="1092">
        <f>IFERROR(Q53*$G$1/(_xlfn.XLOOKUP($AA53,Métrés!$A:$A,Métrés!$D:$D,0)),0)</f>
        <v>0.61084383427310618</v>
      </c>
      <c r="AH53" s="1092">
        <f>IFERROR(R53*$G$1/(_xlfn.XLOOKUP($AA53,Métrés!$A:$A,Métrés!$D:$D,0)),0)</f>
        <v>0.34054543760725664</v>
      </c>
      <c r="AI53" s="1092">
        <f>IFERROR(S53*$G$1/(_xlfn.XLOOKUP($AA53,Métrés!$A:$A,Métrés!$D:$D,0)),0)</f>
        <v>12.430672027457708</v>
      </c>
      <c r="AJ53" s="1030">
        <v>0.15</v>
      </c>
      <c r="AK53" s="1030">
        <f>IF(L53=60,0,T53)</f>
        <v>1.0055803107027166</v>
      </c>
      <c r="AL53" s="1030">
        <f>IF(L53=60,0,S53)</f>
        <v>6.7038687380181115</v>
      </c>
      <c r="AM53" s="638" t="str">
        <f>IF(L53=$L$2, "Structure", IF(L53&gt;0,"Revêtement",0))</f>
        <v>Revêtement</v>
      </c>
      <c r="AN53" s="1032">
        <f>IF(AM53="Structure",N53,0)</f>
        <v>0</v>
      </c>
      <c r="AO53" s="1030">
        <f>IF(AM53="Structure",P53,0)</f>
        <v>0</v>
      </c>
      <c r="AP53" s="1030">
        <f>IF(AM53="Structure",Q53,0)</f>
        <v>0</v>
      </c>
      <c r="AQ53" s="1030">
        <f>IF(AM53="Structure",S53,0)</f>
        <v>0</v>
      </c>
      <c r="AR53" s="1033">
        <f>IF(AM53="Structure",T53,0)</f>
        <v>0</v>
      </c>
      <c r="AS53" s="1032">
        <f>IF($AM53="Insulation",N53,0)</f>
        <v>0</v>
      </c>
      <c r="AT53" s="1030">
        <f>IF($AM53="Insulation",P53,0)</f>
        <v>0</v>
      </c>
      <c r="AU53" s="1030">
        <f>IF($AM53="Insulation",Q53,0)</f>
        <v>0</v>
      </c>
      <c r="AV53" s="1030">
        <f>IF($AM53="Insulation",S53,0)</f>
        <v>0</v>
      </c>
      <c r="AW53" s="1033">
        <f>IF($AM53="Insulation",T53,0)</f>
        <v>0</v>
      </c>
      <c r="AX53" s="1032">
        <f>IF($AM53="Revêtement",N53,0)</f>
        <v>1.9971599127388109</v>
      </c>
      <c r="AY53" s="1030">
        <f>IF($AM53="Revêtement",P53,0)</f>
        <v>2.3265883519534603</v>
      </c>
      <c r="AZ53" s="1030">
        <f>IF($AM53="Revêtement",Q53,0)</f>
        <v>0.32942843921464926</v>
      </c>
      <c r="BA53" s="1030">
        <f>IF($AM53="Revêtement",S53,0)</f>
        <v>6.7038687380181115</v>
      </c>
      <c r="BB53" s="1033">
        <f>IF($AM53="Revêtement",T53,0)</f>
        <v>1.0055803107027166</v>
      </c>
      <c r="BC53" s="1032">
        <f>IF($AM53="Installation",N53,0)</f>
        <v>0</v>
      </c>
      <c r="BD53" s="1030">
        <f>IF($AM53="Installation",P53,0)</f>
        <v>0</v>
      </c>
      <c r="BE53" s="1030">
        <f>IF($AM53="Installation",Q53,0)</f>
        <v>0</v>
      </c>
      <c r="BF53" s="1033">
        <f>IF($AM53="Installation",S53,0)</f>
        <v>0</v>
      </c>
      <c r="BG53" s="1032">
        <f>IF($AM53="Structure", IF($I53="kg",$J53,0), 0)</f>
        <v>0</v>
      </c>
      <c r="BH53" s="1030">
        <f>IF($AM53="Insulation", IF($I53="kg",$J53,0), 0)</f>
        <v>0</v>
      </c>
      <c r="BI53" s="1033">
        <f>IF($AM53="Revêtement", IF($I53="kg",$J53,0), 0)</f>
        <v>3737.4479999999994</v>
      </c>
      <c r="BJ53" s="1030">
        <f>_xlfn.XLOOKUP(H53, 'Baumaterialien Matériaux'!A:A, 'Baumaterialien Matériaux'!E:E, "-", 0, 1)</f>
        <v>605</v>
      </c>
      <c r="BK53" s="1032">
        <f t="shared" si="5"/>
        <v>0</v>
      </c>
      <c r="BL53" s="1030">
        <f t="shared" si="6"/>
        <v>0</v>
      </c>
      <c r="BM53" s="1033">
        <f t="shared" si="7"/>
        <v>6.1775999999999991</v>
      </c>
      <c r="BN53" s="720"/>
      <c r="BO53" s="720"/>
    </row>
    <row r="54" spans="2:67">
      <c r="B54" s="1103"/>
      <c r="C54" s="1099"/>
      <c r="D54" s="478"/>
      <c r="F54" s="663" t="s">
        <v>3032</v>
      </c>
      <c r="G54" s="663"/>
      <c r="H54" s="663"/>
      <c r="I54" s="459" t="s">
        <v>39</v>
      </c>
      <c r="J54" s="662">
        <v>41.21</v>
      </c>
      <c r="K54" s="663"/>
      <c r="L54" s="663"/>
      <c r="M54" s="664">
        <f>SUM(M55:M57)</f>
        <v>5.0108366937705213</v>
      </c>
      <c r="N54" s="664">
        <f t="shared" ref="N54:T54" si="132">SUM(N55:N57)</f>
        <v>3.8978824618232304</v>
      </c>
      <c r="O54" s="664">
        <f t="shared" ref="O54" si="133">SUM(O55:O57)</f>
        <v>0.83081089002005237</v>
      </c>
      <c r="P54" s="664">
        <f t="shared" si="132"/>
        <v>0</v>
      </c>
      <c r="Q54" s="664">
        <f t="shared" si="132"/>
        <v>0.28214334192723828</v>
      </c>
      <c r="R54" s="664">
        <f t="shared" ref="R54" si="134">SUM(R55:R57)</f>
        <v>5.5974623741213293E-2</v>
      </c>
      <c r="S54" s="664">
        <f t="shared" si="132"/>
        <v>0</v>
      </c>
      <c r="T54" s="664">
        <f t="shared" si="132"/>
        <v>0</v>
      </c>
      <c r="V54" s="638">
        <f t="shared" si="3"/>
        <v>0</v>
      </c>
      <c r="W54" s="638">
        <f t="shared" si="4"/>
        <v>0</v>
      </c>
      <c r="Z54" s="638">
        <f t="shared" si="10"/>
        <v>0</v>
      </c>
      <c r="AA54" s="648" t="s">
        <v>3443</v>
      </c>
      <c r="AB54">
        <f>_xlfn.XLOOKUP($H54,'[1]Baumaterialien Matériaux'!$A:$A,'[1]Baumaterialien Matériaux'!AK:AK,0,0)</f>
        <v>0</v>
      </c>
      <c r="AC54" cm="1">
        <f t="array" ref="AC54">_xlfn.SWITCH(I54,"kg"," ",0," ",_xlfn.XLOOKUP(H54, '[1]Baumaterialien Matériaux'!$A:$A, '[1]Baumaterialien Matériaux'!$AL:$AL, "-", 0, 1))</f>
        <v>0</v>
      </c>
      <c r="AD54" s="622" cm="1">
        <f t="array" ref="AD54">IFERROR(_xlfn.SWITCH(I54,"kg",1,"m3",AC54,AC54)*J54/(_xlfn.XLOOKUP(AA54,Métrés!A:A,Métrés!D:D,0)),0)</f>
        <v>0</v>
      </c>
      <c r="AE54" s="1092">
        <f>IFERROR(N54*$G$1/(_xlfn.XLOOKUP($AA54,Métrés!$A:$A,Métrés!$D:$D,0)),0)</f>
        <v>7.2276621721010068</v>
      </c>
      <c r="AF54" s="1092">
        <f>IFERROR(O54*$G$1/(_xlfn.XLOOKUP($AA54,Métrés!$A:$A,Métrés!$D:$D,0)),0)</f>
        <v>1.5405339952602763</v>
      </c>
      <c r="AG54" s="1092">
        <f>IFERROR(Q54*$G$1/(_xlfn.XLOOKUP($AA54,Métrés!$A:$A,Métrés!$D:$D,0)),0)</f>
        <v>0.52316527743728036</v>
      </c>
      <c r="AH54" s="1092">
        <f>IFERROR(R54*$G$1/(_xlfn.XLOOKUP($AA54,Métrés!$A:$A,Métrés!$D:$D,0)),0)</f>
        <v>0.10379114161967805</v>
      </c>
      <c r="AI54" s="1092">
        <f>IFERROR(S54*$G$1/(_xlfn.XLOOKUP($AA54,Métrés!$A:$A,Métrés!$D:$D,0)),0)</f>
        <v>0</v>
      </c>
      <c r="AJ54" s="1064"/>
      <c r="AK54" s="1064"/>
      <c r="AL54" s="1064"/>
      <c r="AM54" s="1021"/>
      <c r="AN54" s="1073"/>
      <c r="AO54" s="1064"/>
      <c r="AP54" s="1064"/>
      <c r="AQ54" s="1064"/>
      <c r="AR54" s="1074"/>
      <c r="AS54" s="1073"/>
      <c r="AT54" s="1064"/>
      <c r="AU54" s="1064"/>
      <c r="AV54" s="1064"/>
      <c r="AW54" s="1074"/>
      <c r="AX54" s="1073"/>
      <c r="AY54" s="1064"/>
      <c r="AZ54" s="1064"/>
      <c r="BA54" s="1064"/>
      <c r="BB54" s="1074"/>
      <c r="BC54" s="1073"/>
      <c r="BD54" s="1064"/>
      <c r="BE54" s="1064"/>
      <c r="BF54" s="1074"/>
      <c r="BG54" s="1073"/>
      <c r="BH54" s="1064"/>
      <c r="BI54" s="1074"/>
      <c r="BJ54" s="1078"/>
      <c r="BK54" s="1073"/>
      <c r="BL54" s="1064"/>
      <c r="BM54" s="1074"/>
      <c r="BN54" s="720"/>
      <c r="BO54" s="720"/>
    </row>
    <row r="55" spans="2:67">
      <c r="B55" s="1103"/>
      <c r="C55" s="1099"/>
      <c r="D55" s="478"/>
      <c r="F55" s="638" t="s">
        <v>2981</v>
      </c>
      <c r="G55" s="478" t="str">
        <f>_xlfn.XLOOKUP(H55, 'Baumaterialien Matériaux'!A:A, 'Baumaterialien Matériaux'!AD:AD, "-", 0, 1)</f>
        <v>Béton pour bâtiment (sans armature)</v>
      </c>
      <c r="H55" s="891">
        <v>1.0019999999999998</v>
      </c>
      <c r="I55" s="641" t="str">
        <f>_xlfn.XLOOKUP(H55, 'Baumaterialien Matériaux'!A:A, 'Baumaterialien Matériaux'!F:F, "-", 0, 1)</f>
        <v>kg</v>
      </c>
      <c r="J55" s="649">
        <f>$J$54*K55</f>
        <v>18956.600000000002</v>
      </c>
      <c r="K55" s="893">
        <f>0.2*2300</f>
        <v>460</v>
      </c>
      <c r="L55" s="650">
        <v>60</v>
      </c>
      <c r="M55" s="648">
        <f>SUM(N55:Q55)</f>
        <v>2.554364359533726</v>
      </c>
      <c r="N55" s="720">
        <f>IFERROR(($J55*VLOOKUP($H55, 'Baumaterialien Matériaux'!$A$11:$AD$318, 26,FALSE)),0)/$G$1</f>
        <v>1.8546815627685598</v>
      </c>
      <c r="O55" s="720">
        <f>IFERROR(($J55*VLOOKUP($H55, 'Baumaterialien Matériaux'!$A$11:$AH$318, 33,FALSE)),0)/$G$1</f>
        <v>0.43442991560344635</v>
      </c>
      <c r="P55" s="720">
        <f>IFERROR((N55+Q55)*($L$2/L55-1),0)</f>
        <v>0</v>
      </c>
      <c r="Q55" s="720">
        <f>IFERROR(($J55*VLOOKUP($H55, 'Baumaterialien Matériaux'!$A$11:$AH$318, 27,FALSE)),0)/$G$1</f>
        <v>0.26525288116171969</v>
      </c>
      <c r="R55" s="720">
        <f>IFERROR(($J55*VLOOKUP($H55, 'Baumaterialien Matériaux'!$A$11:$AH$318, 34,FALSE)),0)/$G$1</f>
        <v>5.5974623741213293E-2</v>
      </c>
      <c r="S55" s="720">
        <f>IFERROR((J55*VLOOKUP(H55, 'Baumaterialien Matériaux'!$A$11:$AD$318, 29,FALSE)),0)/$G$1</f>
        <v>0</v>
      </c>
      <c r="T55" s="720">
        <f>S55*AJ55</f>
        <v>0</v>
      </c>
      <c r="V55" s="638">
        <f t="shared" si="3"/>
        <v>0</v>
      </c>
      <c r="W55" s="638">
        <f t="shared" si="4"/>
        <v>0</v>
      </c>
      <c r="Z55" s="638">
        <f t="shared" si="10"/>
        <v>60</v>
      </c>
      <c r="AA55" s="648" t="s">
        <v>3443</v>
      </c>
      <c r="AB55" t="str">
        <f>_xlfn.XLOOKUP($H55,'[1]Baumaterialien Matériaux'!$A:$A,'[1]Baumaterialien Matériaux'!AK:AK,0,0)</f>
        <v>concrete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622" cm="1">
        <f t="array" ref="AD55">IFERROR(_xlfn.SWITCH(I55,"kg",1,"m3",AC55,AC55)*J55/(_xlfn.XLOOKUP(AA55,Métrés!A:A,Métrés!D:D,0)),0)</f>
        <v>38.728037917790317</v>
      </c>
      <c r="AE55" s="1092">
        <f>IFERROR(N55*$G$1/(_xlfn.XLOOKUP($AA55,Métrés!$A:$A,Métrés!$D:$D,0)),0)</f>
        <v>3.4390497670997799</v>
      </c>
      <c r="AF55" s="1092">
        <f>IFERROR(O55*$G$1/(_xlfn.XLOOKUP($AA55,Métrés!$A:$A,Métrés!$D:$D,0)),0)</f>
        <v>0.80554318869003849</v>
      </c>
      <c r="AG55" s="1092">
        <f>IFERROR(Q55*$G$1/(_xlfn.XLOOKUP($AA55,Métrés!$A:$A,Métrés!$D:$D,0)),0)</f>
        <v>0.49184608155593701</v>
      </c>
      <c r="AH55" s="1092">
        <f>IFERROR(R55*$G$1/(_xlfn.XLOOKUP($AA55,Métrés!$A:$A,Métrés!$D:$D,0)),0)</f>
        <v>0.10379114161967805</v>
      </c>
      <c r="AI55" s="1092">
        <f>IFERROR(S55*$G$1/(_xlfn.XLOOKUP($AA55,Métrés!$A:$A,Métrés!$D:$D,0)),0)</f>
        <v>0</v>
      </c>
      <c r="AJ55" s="1030"/>
      <c r="AK55" s="1030">
        <f>IF(L55=60,0,T55)</f>
        <v>0</v>
      </c>
      <c r="AL55" s="1030">
        <f>IF(L55=60,0,S55)</f>
        <v>0</v>
      </c>
      <c r="AM55" s="638" t="str">
        <f>IF(L55=$L$2, "Structure", IF(L55&gt;0,"Revêtement",0))</f>
        <v>Structure</v>
      </c>
      <c r="AN55" s="1032">
        <f>IF(AM55="Structure",N55,0)</f>
        <v>1.8546815627685598</v>
      </c>
      <c r="AO55" s="1030">
        <f>IF(AM55="Structure",P55,0)</f>
        <v>0</v>
      </c>
      <c r="AP55" s="1030">
        <f>IF(AM55="Structure",Q55,0)</f>
        <v>0.26525288116171969</v>
      </c>
      <c r="AQ55" s="1030">
        <f>IF(AM55="Structure",S55,0)</f>
        <v>0</v>
      </c>
      <c r="AR55" s="1033">
        <f>IF(AM55="Structure",T55,0)</f>
        <v>0</v>
      </c>
      <c r="AS55" s="1032">
        <f>IF($AM55="Insulation",N55,0)</f>
        <v>0</v>
      </c>
      <c r="AT55" s="1030">
        <f t="shared" ref="AT55:AU57" si="135">IF($AM55="Insulation",P55,0)</f>
        <v>0</v>
      </c>
      <c r="AU55" s="1030">
        <f t="shared" si="135"/>
        <v>0</v>
      </c>
      <c r="AV55" s="1030">
        <f t="shared" ref="AV55:AW57" si="136">IF($AM55="Insulation",S55,0)</f>
        <v>0</v>
      </c>
      <c r="AW55" s="1033">
        <f t="shared" si="136"/>
        <v>0</v>
      </c>
      <c r="AX55" s="1032">
        <f>IF($AM55="Revêtement",N55,0)</f>
        <v>0</v>
      </c>
      <c r="AY55" s="1030">
        <f t="shared" ref="AY55:AZ57" si="137">IF($AM55="Revêtement",P55,0)</f>
        <v>0</v>
      </c>
      <c r="AZ55" s="1030">
        <f t="shared" si="137"/>
        <v>0</v>
      </c>
      <c r="BA55" s="1030">
        <f t="shared" ref="BA55:BB57" si="138">IF($AM55="Revêtement",S55,0)</f>
        <v>0</v>
      </c>
      <c r="BB55" s="1033">
        <f t="shared" si="138"/>
        <v>0</v>
      </c>
      <c r="BC55" s="1032">
        <f>IF($AM55="Installation",N55,0)</f>
        <v>0</v>
      </c>
      <c r="BD55" s="1030">
        <f t="shared" ref="BD55:BE57" si="139">IF($AM55="Installation",P55,0)</f>
        <v>0</v>
      </c>
      <c r="BE55" s="1030">
        <f t="shared" si="139"/>
        <v>0</v>
      </c>
      <c r="BF55" s="1033">
        <f>IF($AM55="Installation",S55,0)</f>
        <v>0</v>
      </c>
      <c r="BG55" s="1032">
        <f>IF($AM55="Structure", IF($I55="kg",$J55,0), 0)</f>
        <v>18956.600000000002</v>
      </c>
      <c r="BH55" s="1030">
        <f>IF($AM55="Insulation", IF($I55="kg",$J55,0), 0)</f>
        <v>0</v>
      </c>
      <c r="BI55" s="1033">
        <f>IF($AM55="Revêtement", IF($I55="kg",$J55,0), 0)</f>
        <v>0</v>
      </c>
      <c r="BJ55" s="1030">
        <f>_xlfn.XLOOKUP(H55, 'Baumaterialien Matériaux'!A:A, 'Baumaterialien Matériaux'!E:E, "-", 0, 1)</f>
        <v>2300</v>
      </c>
      <c r="BK55" s="1032">
        <f t="shared" si="5"/>
        <v>8.2420000000000009</v>
      </c>
      <c r="BL55" s="1030">
        <f t="shared" si="6"/>
        <v>0</v>
      </c>
      <c r="BM55" s="1033">
        <f t="shared" si="7"/>
        <v>0</v>
      </c>
      <c r="BN55" s="720"/>
      <c r="BO55" s="720"/>
    </row>
    <row r="56" spans="2:67">
      <c r="B56" s="1103"/>
      <c r="C56" s="1099"/>
      <c r="D56" s="478"/>
      <c r="F56" s="638" t="s">
        <v>3004</v>
      </c>
      <c r="G56" s="478" t="str">
        <f>_xlfn.XLOOKUP(H56, 'Baumaterialien Matériaux'!A:A, 'Baumaterialien Matériaux'!AD:AD, "-", 0, 1)</f>
        <v>Acier d'armature</v>
      </c>
      <c r="H56" s="892" t="s">
        <v>497</v>
      </c>
      <c r="I56" s="641" t="str">
        <f>_xlfn.XLOOKUP(H56, 'Baumaterialien Matériaux'!A:A, 'Baumaterialien Matériaux'!F:F, "-", 0, 1)</f>
        <v>kg</v>
      </c>
      <c r="J56" s="649">
        <f>$J$54*K56</f>
        <v>1236.3</v>
      </c>
      <c r="K56" s="894">
        <f>0.2*150</f>
        <v>30</v>
      </c>
      <c r="L56" s="650">
        <v>60</v>
      </c>
      <c r="M56" s="648">
        <f>SUM(N56:Q56)</f>
        <v>2.4564723342367949</v>
      </c>
      <c r="N56" s="720">
        <f>IFERROR(($J56*VLOOKUP($H56, 'Baumaterialien Matériaux'!$A$11:$AD$318, 26,FALSE)),0)/$G$1</f>
        <v>2.0432008990546704</v>
      </c>
      <c r="O56" s="720">
        <f>IFERROR(($J56*VLOOKUP($H56, 'Baumaterialien Matériaux'!$A$11:$AH$318, 33,FALSE)),0)/$G$1</f>
        <v>0.39638097441660602</v>
      </c>
      <c r="P56" s="720">
        <f>IFERROR((N56+Q56)*($L$2/L56-1),0)</f>
        <v>0</v>
      </c>
      <c r="Q56" s="720">
        <f>IFERROR(($J56*VLOOKUP($H56, 'Baumaterialien Matériaux'!$A$11:$AH$318, 27,FALSE)),0)/$G$1</f>
        <v>1.6890460765518606E-2</v>
      </c>
      <c r="R56" s="720">
        <f>IFERROR(($J56*VLOOKUP($H56, 'Baumaterialien Matériaux'!$A$11:$AH$318, 34,FALSE)),0)/$G$1</f>
        <v>0</v>
      </c>
      <c r="S56" s="720">
        <f>IFERROR((J56*VLOOKUP(H56, 'Baumaterialien Matériaux'!$A$11:$AD$318, 29,FALSE)),0)/$G$1</f>
        <v>0</v>
      </c>
      <c r="T56" s="720">
        <f>S56*AJ56</f>
        <v>0</v>
      </c>
      <c r="V56" s="638">
        <f t="shared" si="3"/>
        <v>0</v>
      </c>
      <c r="W56" s="638">
        <f t="shared" si="4"/>
        <v>0</v>
      </c>
      <c r="Z56" s="638">
        <f t="shared" si="10"/>
        <v>60</v>
      </c>
      <c r="AA56" s="648" t="s">
        <v>3443</v>
      </c>
      <c r="AB56" t="str">
        <f>_xlfn.XLOOKUP($H56,'[1]Baumaterialien Matériaux'!$A:$A,'[1]Baumaterialien Matériaux'!AK:AK,0,0)</f>
        <v>metal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622" cm="1">
        <f t="array" ref="AD56">IFERROR(_xlfn.SWITCH(I56,"kg",1,"m3",AC56,AC56)*J56/(_xlfn.XLOOKUP(AA56,Métrés!A:A,Métrés!D:D,0)),0)</f>
        <v>2.5257416033341507</v>
      </c>
      <c r="AE56" s="1092">
        <f>IFERROR(N56*$G$1/(_xlfn.XLOOKUP($AA56,Métrés!$A:$A,Métrés!$D:$D,0)),0)</f>
        <v>3.788612405001226</v>
      </c>
      <c r="AF56" s="1092">
        <f>IFERROR(O56*$G$1/(_xlfn.XLOOKUP($AA56,Métrés!$A:$A,Métrés!$D:$D,0)),0)</f>
        <v>0.73499080657023774</v>
      </c>
      <c r="AG56" s="1092">
        <f>IFERROR(Q56*$G$1/(_xlfn.XLOOKUP($AA56,Métrés!$A:$A,Métrés!$D:$D,0)),0)</f>
        <v>3.1319195881343465E-2</v>
      </c>
      <c r="AH56" s="1092">
        <f>IFERROR(R56*$G$1/(_xlfn.XLOOKUP($AA56,Métrés!$A:$A,Métrés!$D:$D,0)),0)</f>
        <v>0</v>
      </c>
      <c r="AI56" s="1092">
        <f>IFERROR(S56*$G$1/(_xlfn.XLOOKUP($AA56,Métrés!$A:$A,Métrés!$D:$D,0)),0)</f>
        <v>0</v>
      </c>
      <c r="AJ56" s="1030"/>
      <c r="AK56" s="1030">
        <f>IF(L56=60,0,T56)</f>
        <v>0</v>
      </c>
      <c r="AL56" s="1030">
        <f>IF(L56=60,0,S56)</f>
        <v>0</v>
      </c>
      <c r="AM56" s="638" t="str">
        <f>IF(L56=$L$2, "Structure", IF(L56&gt;0,"Revêtement",0))</f>
        <v>Structure</v>
      </c>
      <c r="AN56" s="1032">
        <f>IF(AM56="Structure",N56,0)</f>
        <v>2.0432008990546704</v>
      </c>
      <c r="AO56" s="1030">
        <f>IF(AM56="Structure",P56,0)</f>
        <v>0</v>
      </c>
      <c r="AP56" s="1030">
        <f>IF(AM56="Structure",Q56,0)</f>
        <v>1.6890460765518606E-2</v>
      </c>
      <c r="AQ56" s="1030">
        <f>IF(AM56="Structure",S56,0)</f>
        <v>0</v>
      </c>
      <c r="AR56" s="1033">
        <f>IF(AM56="Structure",T56,0)</f>
        <v>0</v>
      </c>
      <c r="AS56" s="1032">
        <f>IF($AM56="Insulation",N56,0)</f>
        <v>0</v>
      </c>
      <c r="AT56" s="1030">
        <f t="shared" si="135"/>
        <v>0</v>
      </c>
      <c r="AU56" s="1030">
        <f t="shared" si="135"/>
        <v>0</v>
      </c>
      <c r="AV56" s="1030">
        <f t="shared" si="136"/>
        <v>0</v>
      </c>
      <c r="AW56" s="1033">
        <f t="shared" si="136"/>
        <v>0</v>
      </c>
      <c r="AX56" s="1032">
        <f>IF($AM56="Revêtement",N56,0)</f>
        <v>0</v>
      </c>
      <c r="AY56" s="1030">
        <f t="shared" si="137"/>
        <v>0</v>
      </c>
      <c r="AZ56" s="1030">
        <f t="shared" si="137"/>
        <v>0</v>
      </c>
      <c r="BA56" s="1030">
        <f t="shared" si="138"/>
        <v>0</v>
      </c>
      <c r="BB56" s="1033">
        <f t="shared" si="138"/>
        <v>0</v>
      </c>
      <c r="BC56" s="1032">
        <f>IF($AM56="Installation",N56,0)</f>
        <v>0</v>
      </c>
      <c r="BD56" s="1030">
        <f t="shared" si="139"/>
        <v>0</v>
      </c>
      <c r="BE56" s="1030">
        <f t="shared" si="139"/>
        <v>0</v>
      </c>
      <c r="BF56" s="1033">
        <f>IF($AM56="Installation",S56,0)</f>
        <v>0</v>
      </c>
      <c r="BG56" s="1032">
        <f>IF($AM56="Structure", IF($I56="kg",$J56,0), 0)</f>
        <v>1236.3</v>
      </c>
      <c r="BH56" s="1030">
        <f>IF($AM56="Insulation", IF($I56="kg",$J56,0), 0)</f>
        <v>0</v>
      </c>
      <c r="BI56" s="1033">
        <f>IF($AM56="Revêtement", IF($I56="kg",$J56,0), 0)</f>
        <v>0</v>
      </c>
      <c r="BJ56" s="1030">
        <f>_xlfn.XLOOKUP(H56, 'Baumaterialien Matériaux'!A:A, 'Baumaterialien Matériaux'!E:E, "-", 0, 1)</f>
        <v>7850</v>
      </c>
      <c r="BK56" s="1032">
        <f t="shared" si="5"/>
        <v>0.1574904458598726</v>
      </c>
      <c r="BL56" s="1030">
        <f t="shared" si="6"/>
        <v>0</v>
      </c>
      <c r="BM56" s="1033">
        <f t="shared" si="7"/>
        <v>0</v>
      </c>
      <c r="BN56" s="720"/>
      <c r="BO56" s="720"/>
    </row>
    <row r="57" spans="2:67">
      <c r="B57" s="1103"/>
      <c r="C57" s="1099"/>
      <c r="D57" s="478"/>
      <c r="G57" s="478"/>
      <c r="H57" s="883"/>
      <c r="I57" s="641"/>
      <c r="J57" s="649"/>
      <c r="K57" s="650"/>
      <c r="L57" s="650"/>
      <c r="M57" s="648"/>
      <c r="N57" s="720"/>
      <c r="O57" s="720"/>
      <c r="P57" s="720"/>
      <c r="Q57" s="720"/>
      <c r="R57" s="720"/>
      <c r="S57" s="720"/>
      <c r="T57" s="720">
        <f>S57*AJ57</f>
        <v>0</v>
      </c>
      <c r="V57" s="638">
        <f t="shared" si="3"/>
        <v>0</v>
      </c>
      <c r="W57" s="638">
        <f t="shared" si="4"/>
        <v>0</v>
      </c>
      <c r="Z57" s="638">
        <f t="shared" si="10"/>
        <v>0</v>
      </c>
      <c r="AA57" s="648" t="s">
        <v>3443</v>
      </c>
      <c r="AB57">
        <f>_xlfn.XLOOKUP($H57,'[1]Baumaterialien Matériaux'!$A:$A,'[1]Baumaterialien Matériaux'!AK:AK,0,0)</f>
        <v>0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622" cm="1">
        <f t="array" ref="AD57">IFERROR(_xlfn.SWITCH(I57,"kg",1,"m3",AC57,AC57)*J57/(_xlfn.XLOOKUP(AA57,Métrés!A:A,Métrés!D:D,0)),0)</f>
        <v>0</v>
      </c>
      <c r="AE57" s="1092">
        <f>IFERROR(N57*$G$1/(_xlfn.XLOOKUP($AA57,Métrés!$A:$A,Métrés!$D:$D,0)),0)</f>
        <v>0</v>
      </c>
      <c r="AF57" s="1092">
        <f>IFERROR(O57*$G$1/(_xlfn.XLOOKUP($AA57,Métrés!$A:$A,Métrés!$D:$D,0)),0)</f>
        <v>0</v>
      </c>
      <c r="AG57" s="1092">
        <f>IFERROR(Q57*$G$1/(_xlfn.XLOOKUP($AA57,Métrés!$A:$A,Métrés!$D:$D,0)),0)</f>
        <v>0</v>
      </c>
      <c r="AH57" s="1092">
        <f>IFERROR(R57*$G$1/(_xlfn.XLOOKUP($AA57,Métrés!$A:$A,Métrés!$D:$D,0)),0)</f>
        <v>0</v>
      </c>
      <c r="AI57" s="1092">
        <f>IFERROR(S57*$G$1/(_xlfn.XLOOKUP($AA57,Métrés!$A:$A,Métrés!$D:$D,0)),0)</f>
        <v>0</v>
      </c>
      <c r="AJ57" s="1030"/>
      <c r="AK57" s="1030">
        <f>IF(L57=60,0,T57)</f>
        <v>0</v>
      </c>
      <c r="AL57" s="1030">
        <f>IF(L57=60,0,S57)</f>
        <v>0</v>
      </c>
      <c r="AM57" s="638">
        <f>IF(L57=$L$2, "Structure", IF(L57&gt;0,"Revêtement",0))</f>
        <v>0</v>
      </c>
      <c r="AN57" s="1032">
        <f>IF(AM57="Structure",N57,0)</f>
        <v>0</v>
      </c>
      <c r="AO57" s="1030">
        <f>IF(AM57="Structure",P57,0)</f>
        <v>0</v>
      </c>
      <c r="AP57" s="1030">
        <f>IF(AM57="Structure",Q57,0)</f>
        <v>0</v>
      </c>
      <c r="AQ57" s="1030">
        <f>IF(AM57="Structure",S57,0)</f>
        <v>0</v>
      </c>
      <c r="AR57" s="1033">
        <f>IF(AM57="Structure",T57,0)</f>
        <v>0</v>
      </c>
      <c r="AS57" s="1032">
        <f>IF($AM57="Insulation",N57,0)</f>
        <v>0</v>
      </c>
      <c r="AT57" s="1030">
        <f t="shared" si="135"/>
        <v>0</v>
      </c>
      <c r="AU57" s="1030">
        <f t="shared" si="135"/>
        <v>0</v>
      </c>
      <c r="AV57" s="1030">
        <f t="shared" si="136"/>
        <v>0</v>
      </c>
      <c r="AW57" s="1033">
        <f t="shared" si="136"/>
        <v>0</v>
      </c>
      <c r="AX57" s="1032">
        <f>IF($AM57="Revêtement",N57,0)</f>
        <v>0</v>
      </c>
      <c r="AY57" s="1030">
        <f t="shared" si="137"/>
        <v>0</v>
      </c>
      <c r="AZ57" s="1030">
        <f t="shared" si="137"/>
        <v>0</v>
      </c>
      <c r="BA57" s="1030">
        <f t="shared" si="138"/>
        <v>0</v>
      </c>
      <c r="BB57" s="1033">
        <f t="shared" si="138"/>
        <v>0</v>
      </c>
      <c r="BC57" s="1032">
        <f>IF($AM57="Installation",N57,0)</f>
        <v>0</v>
      </c>
      <c r="BD57" s="1030">
        <f t="shared" si="139"/>
        <v>0</v>
      </c>
      <c r="BE57" s="1030">
        <f t="shared" si="139"/>
        <v>0</v>
      </c>
      <c r="BF57" s="1033">
        <f>IF($AM57="Installation",S57,0)</f>
        <v>0</v>
      </c>
      <c r="BG57" s="1032">
        <f>IF($AM57="Structure", IF($I57="kg",$J57,0), 0)</f>
        <v>0</v>
      </c>
      <c r="BH57" s="1030">
        <f>IF($AM57="Insulation", IF($I57="kg",$J57,0), 0)</f>
        <v>0</v>
      </c>
      <c r="BI57" s="1033">
        <f>IF($AM57="Revêtement", IF($I57="kg",$J57,0), 0)</f>
        <v>0</v>
      </c>
      <c r="BJ57" s="1030">
        <f>_xlfn.XLOOKUP(H57, 'Baumaterialien Matériaux'!A:A, 'Baumaterialien Matériaux'!E:E, "-", 0, 1)</f>
        <v>0</v>
      </c>
      <c r="BK57" s="1032">
        <f t="shared" si="5"/>
        <v>0</v>
      </c>
      <c r="BL57" s="1030">
        <f t="shared" si="6"/>
        <v>0</v>
      </c>
      <c r="BM57" s="1033">
        <f t="shared" si="7"/>
        <v>0</v>
      </c>
      <c r="BN57" s="720"/>
      <c r="BO57" s="720"/>
    </row>
    <row r="58" spans="2:67">
      <c r="B58" s="1103"/>
      <c r="C58" s="1099"/>
      <c r="D58" s="478"/>
      <c r="F58" s="663" t="s">
        <v>3033</v>
      </c>
      <c r="G58" s="663"/>
      <c r="H58" s="663"/>
      <c r="I58" s="459" t="s">
        <v>39</v>
      </c>
      <c r="J58" s="662">
        <v>36.43</v>
      </c>
      <c r="K58" s="663"/>
      <c r="L58" s="663"/>
      <c r="M58" s="664">
        <f>SUM(M59:M62)</f>
        <v>4.1783850688415862</v>
      </c>
      <c r="N58" s="664">
        <f t="shared" ref="N58:T58" si="140">SUM(N59:N62)</f>
        <v>3.0190225592759088</v>
      </c>
      <c r="O58" s="664">
        <f t="shared" ref="O58" si="141">SUM(O59:O62)</f>
        <v>0.70938120623388645</v>
      </c>
      <c r="P58" s="664">
        <f t="shared" si="140"/>
        <v>0.20580228647451573</v>
      </c>
      <c r="Q58" s="664">
        <f t="shared" si="140"/>
        <v>0.24417901685727506</v>
      </c>
      <c r="R58" s="664">
        <f t="shared" ref="R58" si="142">SUM(R59:R62)</f>
        <v>5.8379297765584717E-2</v>
      </c>
      <c r="S58" s="664">
        <f t="shared" si="140"/>
        <v>1.1705067131618958</v>
      </c>
      <c r="T58" s="664">
        <f t="shared" si="140"/>
        <v>-6.1200930951279167E-2</v>
      </c>
      <c r="V58" s="638">
        <f t="shared" si="3"/>
        <v>-6.1200930951279167E-2</v>
      </c>
      <c r="W58" s="638">
        <f t="shared" si="4"/>
        <v>1.1705067131618958</v>
      </c>
      <c r="Z58" s="638">
        <f t="shared" si="10"/>
        <v>0</v>
      </c>
      <c r="AA58" s="648" t="s">
        <v>3443</v>
      </c>
      <c r="AB58">
        <f>_xlfn.XLOOKUP($H58,'[1]Baumaterialien Matériaux'!$A:$A,'[1]Baumaterialien Matériaux'!AK:AK,0,0)</f>
        <v>0</v>
      </c>
      <c r="AC58" cm="1">
        <f t="array" ref="AC58">_xlfn.SWITCH(I58,"kg"," ",0," ",_xlfn.XLOOKUP(H58, '[1]Baumaterialien Matériaux'!$A:$A, '[1]Baumaterialien Matériaux'!$AL:$AL, "-", 0, 1))</f>
        <v>0</v>
      </c>
      <c r="AD58" s="622" cm="1">
        <f t="array" ref="AD58">IFERROR(_xlfn.SWITCH(I58,"kg",1,"m3",AC58,AC58)*J58/(_xlfn.XLOOKUP(AA58,Métrés!A:A,Métrés!D:D,0)),0)</f>
        <v>0</v>
      </c>
      <c r="AE58" s="1092">
        <f>IFERROR(N58*$G$1/(_xlfn.XLOOKUP($AA58,Métrés!$A:$A,Métrés!$D:$D,0)),0)</f>
        <v>5.5980331275026574</v>
      </c>
      <c r="AF58" s="1092">
        <f>IFERROR(O58*$G$1/(_xlfn.XLOOKUP($AA58,Métrés!$A:$A,Métrés!$D:$D,0)),0)</f>
        <v>1.315372579884776</v>
      </c>
      <c r="AG58" s="1092">
        <f>IFERROR(Q58*$G$1/(_xlfn.XLOOKUP($AA58,Métrés!$A:$A,Métrés!$D:$D,0)),0)</f>
        <v>0.45276979504780585</v>
      </c>
      <c r="AH58" s="1092">
        <f>IFERROR(R58*$G$1/(_xlfn.XLOOKUP($AA58,Métrés!$A:$A,Métrés!$D:$D,0)),0)</f>
        <v>0.10825001683010542</v>
      </c>
      <c r="AI58" s="1092">
        <f>IFERROR(S58*$G$1/(_xlfn.XLOOKUP($AA58,Métrés!$A:$A,Métrés!$D:$D,0)),0)</f>
        <v>2.1704161620495217</v>
      </c>
      <c r="AJ58" s="1064"/>
      <c r="AK58" s="1064"/>
      <c r="AL58" s="1064"/>
      <c r="AM58" s="1021"/>
      <c r="AN58" s="1073"/>
      <c r="AO58" s="1064"/>
      <c r="AP58" s="1064"/>
      <c r="AQ58" s="1064"/>
      <c r="AR58" s="1074"/>
      <c r="AS58" s="1073"/>
      <c r="AT58" s="1064"/>
      <c r="AU58" s="1064"/>
      <c r="AV58" s="1064"/>
      <c r="AW58" s="1074"/>
      <c r="AX58" s="1073"/>
      <c r="AY58" s="1064"/>
      <c r="AZ58" s="1064"/>
      <c r="BA58" s="1064"/>
      <c r="BB58" s="1074"/>
      <c r="BC58" s="1073"/>
      <c r="BD58" s="1064"/>
      <c r="BE58" s="1064"/>
      <c r="BF58" s="1074"/>
      <c r="BG58" s="1073"/>
      <c r="BH58" s="1064"/>
      <c r="BI58" s="1074"/>
      <c r="BJ58" s="1078"/>
      <c r="BK58" s="1073"/>
      <c r="BL58" s="1064"/>
      <c r="BM58" s="1074"/>
      <c r="BN58" s="720"/>
      <c r="BO58" s="720"/>
    </row>
    <row r="59" spans="2:67">
      <c r="B59" s="1103"/>
      <c r="C59" s="1099"/>
      <c r="D59" s="478"/>
      <c r="F59" s="638" t="s">
        <v>3267</v>
      </c>
      <c r="G59" s="478" t="str">
        <f>_xlfn.XLOOKUP(H59, 'Baumaterialien Matériaux'!A:A, 'Baumaterialien Matériaux'!AD:AD, "-", 0, 1)</f>
        <v>Béton pour bâtiment (sans armature)</v>
      </c>
      <c r="H59" s="891">
        <v>1.0019999999999998</v>
      </c>
      <c r="I59" s="641" t="str">
        <f>_xlfn.XLOOKUP(H59, 'Baumaterialien Matériaux'!A:A, 'Baumaterialien Matériaux'!F:F, "-", 0, 1)</f>
        <v>kg</v>
      </c>
      <c r="J59" s="649">
        <f>$J$58*K59</f>
        <v>13406.24</v>
      </c>
      <c r="K59" s="893">
        <f>0.16*2300</f>
        <v>368</v>
      </c>
      <c r="L59" s="650">
        <v>60</v>
      </c>
      <c r="M59" s="648">
        <f t="shared" ref="M59:M62" si="143">SUM(N59:Q59)</f>
        <v>1.8064643264802451</v>
      </c>
      <c r="N59" s="720">
        <f>IFERROR(($J59*VLOOKUP($H59, 'Baumaterialien Matériaux'!$A$11:$AD$318, 26,FALSE)),0)/$G$1</f>
        <v>1.3116437628082238</v>
      </c>
      <c r="O59" s="720">
        <f>IFERROR(($J59*VLOOKUP($H59, 'Baumaterialien Matériaux'!$A$11:$AH$318, 33,FALSE)),0)/$G$1</f>
        <v>0.30723187236949384</v>
      </c>
      <c r="P59" s="720">
        <f t="shared" ref="P59:P62" si="144">IFERROR((N59+Q59)*($L$2/L59-1),0)</f>
        <v>0</v>
      </c>
      <c r="Q59" s="720">
        <f>IFERROR(($J59*VLOOKUP($H59, 'Baumaterialien Matériaux'!$A$11:$AH$318, 27,FALSE)),0)/$G$1</f>
        <v>0.18758869130252748</v>
      </c>
      <c r="R59" s="720">
        <f>IFERROR(($J59*VLOOKUP($H59, 'Baumaterialien Matériaux'!$A$11:$AH$318, 34,FALSE)),0)/$G$1</f>
        <v>3.9585645093761709E-2</v>
      </c>
      <c r="S59" s="720">
        <f>IFERROR((J59*VLOOKUP(H59, 'Baumaterialien Matériaux'!$A$11:$AD$318, 29,FALSE)),0)/$G$1</f>
        <v>0</v>
      </c>
      <c r="T59" s="720">
        <f>S59*AJ59</f>
        <v>0</v>
      </c>
      <c r="V59" s="638">
        <f t="shared" si="3"/>
        <v>0</v>
      </c>
      <c r="W59" s="638">
        <f t="shared" si="4"/>
        <v>0</v>
      </c>
      <c r="Y59" s="638">
        <f>IF(L54=$L$2, "Structure", IF(L54&gt;0,"Revêtement",0))</f>
        <v>0</v>
      </c>
      <c r="Z59" s="638">
        <f t="shared" si="10"/>
        <v>60</v>
      </c>
      <c r="AA59" s="648" t="s">
        <v>3443</v>
      </c>
      <c r="AB59" t="str">
        <f>_xlfn.XLOOKUP($H59,'[1]Baumaterialien Matériaux'!$A:$A,'[1]Baumaterialien Matériaux'!AK:AK,0,0)</f>
        <v>concrete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622" cm="1">
        <f t="array" ref="AD59">IFERROR(_xlfn.SWITCH(I59,"kg",1,"m3",AC59,AC59)*J59/(_xlfn.XLOOKUP(AA59,Métrés!A:A,Métrés!D:D,0)),0)</f>
        <v>27.388739070033505</v>
      </c>
      <c r="AE59" s="1092">
        <f>IFERROR(N59*$G$1/(_xlfn.XLOOKUP($AA59,Métrés!$A:$A,Métrés!$D:$D,0)),0)</f>
        <v>2.4321200294189755</v>
      </c>
      <c r="AF59" s="1092">
        <f>IFERROR(O59*$G$1/(_xlfn.XLOOKUP($AA59,Métrés!$A:$A,Métrés!$D:$D,0)),0)</f>
        <v>0.56968577265669695</v>
      </c>
      <c r="AG59" s="1092">
        <f>IFERROR(Q59*$G$1/(_xlfn.XLOOKUP($AA59,Métrés!$A:$A,Métrés!$D:$D,0)),0)</f>
        <v>0.34783698618942549</v>
      </c>
      <c r="AH59" s="1092">
        <f>IFERROR(R59*$G$1/(_xlfn.XLOOKUP($AA59,Métrés!$A:$A,Métrés!$D:$D,0)),0)</f>
        <v>7.3401820707689802E-2</v>
      </c>
      <c r="AI59" s="1092">
        <f>IFERROR(S59*$G$1/(_xlfn.XLOOKUP($AA59,Métrés!$A:$A,Métrés!$D:$D,0)),0)</f>
        <v>0</v>
      </c>
      <c r="AJ59" s="1030"/>
      <c r="AK59" s="1030">
        <f>IF(L59=60,0,T59)</f>
        <v>0</v>
      </c>
      <c r="AL59" s="1030">
        <f>IF(L59=60,0,S59)</f>
        <v>0</v>
      </c>
      <c r="AM59" s="638" t="str">
        <f>IF(L59=$L$2, "Structure", IF(L59&gt;0,"Revêtement",0))</f>
        <v>Structure</v>
      </c>
      <c r="AN59" s="1032">
        <f>IF(AM59="Structure",N59,0)</f>
        <v>1.3116437628082238</v>
      </c>
      <c r="AO59" s="1030">
        <f>IF(AM59="Structure",P59,0)</f>
        <v>0</v>
      </c>
      <c r="AP59" s="1030">
        <f>IF(AM59="Structure",Q59,0)</f>
        <v>0.18758869130252748</v>
      </c>
      <c r="AQ59" s="1030">
        <f>IF(AM59="Structure",S59,0)</f>
        <v>0</v>
      </c>
      <c r="AR59" s="1033">
        <f>IF(AM59="Structure",T59,0)</f>
        <v>0</v>
      </c>
      <c r="AS59" s="1032">
        <f>IF($AM59="Insulation",N59,0)</f>
        <v>0</v>
      </c>
      <c r="AT59" s="1030">
        <f t="shared" ref="AT59:AU63" si="145">IF($AM59="Insulation",P59,0)</f>
        <v>0</v>
      </c>
      <c r="AU59" s="1030">
        <f t="shared" si="145"/>
        <v>0</v>
      </c>
      <c r="AV59" s="1030">
        <f t="shared" ref="AV59:AW63" si="146">IF($AM59="Insulation",S59,0)</f>
        <v>0</v>
      </c>
      <c r="AW59" s="1033">
        <f t="shared" si="146"/>
        <v>0</v>
      </c>
      <c r="AX59" s="1032">
        <f>IF($AM59="Revêtement",N59,0)</f>
        <v>0</v>
      </c>
      <c r="AY59" s="1030">
        <f t="shared" ref="AY59:AZ63" si="147">IF($AM59="Revêtement",P59,0)</f>
        <v>0</v>
      </c>
      <c r="AZ59" s="1030">
        <f t="shared" si="147"/>
        <v>0</v>
      </c>
      <c r="BA59" s="1030">
        <f t="shared" ref="BA59:BB63" si="148">IF($AM59="Revêtement",S59,0)</f>
        <v>0</v>
      </c>
      <c r="BB59" s="1033">
        <f t="shared" si="148"/>
        <v>0</v>
      </c>
      <c r="BC59" s="1032">
        <f>IF($AM59="Installation",N59,0)</f>
        <v>0</v>
      </c>
      <c r="BD59" s="1030">
        <f t="shared" ref="BD59:BE63" si="149">IF($AM59="Installation",P59,0)</f>
        <v>0</v>
      </c>
      <c r="BE59" s="1030">
        <f t="shared" si="149"/>
        <v>0</v>
      </c>
      <c r="BF59" s="1033">
        <f>IF($AM59="Installation",S59,0)</f>
        <v>0</v>
      </c>
      <c r="BG59" s="1032">
        <f>IF($AM59="Structure", IF($I59="kg",$J59,0), 0)</f>
        <v>13406.24</v>
      </c>
      <c r="BH59" s="1030">
        <f>IF($AM59="Insulation", IF($I59="kg",$J59,0), 0)</f>
        <v>0</v>
      </c>
      <c r="BI59" s="1033">
        <f>IF($AM59="Revêtement", IF($I59="kg",$J59,0), 0)</f>
        <v>0</v>
      </c>
      <c r="BJ59" s="1030">
        <f>_xlfn.XLOOKUP(H59, 'Baumaterialien Matériaux'!A:A, 'Baumaterialien Matériaux'!E:E, "-", 0, 1)</f>
        <v>2300</v>
      </c>
      <c r="BK59" s="1032">
        <f t="shared" si="5"/>
        <v>5.8288000000000002</v>
      </c>
      <c r="BL59" s="1030">
        <f t="shared" si="6"/>
        <v>0</v>
      </c>
      <c r="BM59" s="1033">
        <f t="shared" si="7"/>
        <v>0</v>
      </c>
      <c r="BN59" s="720">
        <f>IFERROR((J54*VLOOKUP(H54, 'Baumaterialien Matériaux'!$A$11:$AH$318, 32,FALSE))*($L$2/L54-1),0)/$G$1</f>
        <v>0</v>
      </c>
      <c r="BO59" s="720">
        <f>IFERROR((N54+Q54)*($L$2/L54-1),0)</f>
        <v>0</v>
      </c>
    </row>
    <row r="60" spans="2:67">
      <c r="B60" s="1103"/>
      <c r="C60" s="1099"/>
      <c r="D60" s="478"/>
      <c r="F60" s="483" t="s">
        <v>3008</v>
      </c>
      <c r="G60" s="478" t="str">
        <f>_xlfn.XLOOKUP(H60, 'Baumaterialien Matériaux'!A:A, 'Baumaterialien Matériaux'!AD:AD, "-", 0, 1)</f>
        <v>Acier d'armature</v>
      </c>
      <c r="H60" s="892" t="s">
        <v>497</v>
      </c>
      <c r="I60" s="641" t="str">
        <f>_xlfn.XLOOKUP(H60, 'Baumaterialien Matériaux'!A:A, 'Baumaterialien Matériaux'!F:F, "-", 0, 1)</f>
        <v>kg</v>
      </c>
      <c r="J60" s="649">
        <f t="shared" ref="J60:J62" si="150">$J$58*K60</f>
        <v>874.31999999999994</v>
      </c>
      <c r="K60" s="894">
        <f>0.16*150</f>
        <v>24</v>
      </c>
      <c r="L60" s="650">
        <v>60</v>
      </c>
      <c r="M60" s="648">
        <f t="shared" si="143"/>
        <v>1.7372344020625372</v>
      </c>
      <c r="N60" s="720">
        <f>IFERROR(($J60*VLOOKUP($H60, 'Baumaterialien Matériaux'!$A$11:$AD$318, 26,FALSE)),0)/$G$1</f>
        <v>1.4449659549150526</v>
      </c>
      <c r="O60" s="720">
        <f>IFERROR(($J60*VLOOKUP($H60, 'Baumaterialien Matériaux'!$A$11:$AH$318, 33,FALSE)),0)/$G$1</f>
        <v>0.28032339525352018</v>
      </c>
      <c r="P60" s="720">
        <f t="shared" si="144"/>
        <v>0</v>
      </c>
      <c r="Q60" s="720">
        <f>IFERROR(($J60*VLOOKUP($H60, 'Baumaterialien Matériaux'!$A$11:$AH$318, 27,FALSE)),0)/$G$1</f>
        <v>1.1945051893964434E-2</v>
      </c>
      <c r="R60" s="720">
        <f>IFERROR(($J60*VLOOKUP($H60, 'Baumaterialien Matériaux'!$A$11:$AH$318, 34,FALSE)),0)/$G$1</f>
        <v>0</v>
      </c>
      <c r="S60" s="720">
        <f>IFERROR((J60*VLOOKUP(H60, 'Baumaterialien Matériaux'!$A$11:$AD$318, 29,FALSE)),0)/$G$1</f>
        <v>0</v>
      </c>
      <c r="T60" s="720">
        <f>S60*AJ60</f>
        <v>0</v>
      </c>
      <c r="V60" s="638">
        <f t="shared" si="3"/>
        <v>0</v>
      </c>
      <c r="W60" s="638">
        <f t="shared" si="4"/>
        <v>0</v>
      </c>
      <c r="Z60" s="638">
        <f t="shared" si="10"/>
        <v>60</v>
      </c>
      <c r="AA60" s="648" t="s">
        <v>3443</v>
      </c>
      <c r="AB60" t="str">
        <f>_xlfn.XLOOKUP($H60,'[1]Baumaterialien Matériaux'!$A:$A,'[1]Baumaterialien Matériaux'!AK:AK,0,0)</f>
        <v>metal</v>
      </c>
      <c r="AC60" t="str" cm="1">
        <f t="array" ref="AC60">_xlfn.SWITCH(I60,"kg"," ",0," ",_xlfn.XLOOKUP(H60, '[1]Baumaterialien Matériaux'!$A:$A, '[1]Baumaterialien Matériaux'!$AL:$AL, "-", 0, 1))</f>
        <v xml:space="preserve"> </v>
      </c>
      <c r="AD60" s="622" cm="1">
        <f t="array" ref="AD60">IFERROR(_xlfn.SWITCH(I60,"kg",1,"m3",AC60,AC60)*J60/(_xlfn.XLOOKUP(AA60,Métrés!A:A,Métrés!D:D,0)),0)</f>
        <v>1.7862221132630547</v>
      </c>
      <c r="AE60" s="1092">
        <f>IFERROR(N60*$G$1/(_xlfn.XLOOKUP($AA60,Métrés!$A:$A,Métrés!$D:$D,0)),0)</f>
        <v>2.6793331698945821</v>
      </c>
      <c r="AF60" s="1092">
        <f>IFERROR(O60*$G$1/(_xlfn.XLOOKUP($AA60,Métrés!$A:$A,Métrés!$D:$D,0)),0)</f>
        <v>0.51979063495954891</v>
      </c>
      <c r="AG60" s="1092">
        <f>IFERROR(Q60*$G$1/(_xlfn.XLOOKUP($AA60,Métrés!$A:$A,Métrés!$D:$D,0)),0)</f>
        <v>2.2149154204461879E-2</v>
      </c>
      <c r="AH60" s="1092">
        <f>IFERROR(R60*$G$1/(_xlfn.XLOOKUP($AA60,Métrés!$A:$A,Métrés!$D:$D,0)),0)</f>
        <v>0</v>
      </c>
      <c r="AI60" s="1092">
        <f>IFERROR(S60*$G$1/(_xlfn.XLOOKUP($AA60,Métrés!$A:$A,Métrés!$D:$D,0)),0)</f>
        <v>0</v>
      </c>
      <c r="AJ60" s="1030"/>
      <c r="AK60" s="1030">
        <f>IF(L60=60,0,T60)</f>
        <v>0</v>
      </c>
      <c r="AL60" s="1030">
        <f>IF(L60=60,0,S60)</f>
        <v>0</v>
      </c>
      <c r="AM60" s="638" t="str">
        <f>IF(L60=$L$2, "Structure", IF(L60&gt;0,"Revêtement",0))</f>
        <v>Structure</v>
      </c>
      <c r="AN60" s="1032">
        <f>IF(AM60="Structure",N60,0)</f>
        <v>1.4449659549150526</v>
      </c>
      <c r="AO60" s="1030">
        <f>IF(AM60="Structure",P60,0)</f>
        <v>0</v>
      </c>
      <c r="AP60" s="1030">
        <f>IF(AM60="Structure",Q60,0)</f>
        <v>1.1945051893964434E-2</v>
      </c>
      <c r="AQ60" s="1030">
        <f>IF(AM60="Structure",S60,0)</f>
        <v>0</v>
      </c>
      <c r="AR60" s="1033">
        <f>IF(AM60="Structure",T60,0)</f>
        <v>0</v>
      </c>
      <c r="AS60" s="1032">
        <f>IF($AM60="Insulation",N60,0)</f>
        <v>0</v>
      </c>
      <c r="AT60" s="1030">
        <f t="shared" si="145"/>
        <v>0</v>
      </c>
      <c r="AU60" s="1030">
        <f t="shared" si="145"/>
        <v>0</v>
      </c>
      <c r="AV60" s="1030">
        <f t="shared" si="146"/>
        <v>0</v>
      </c>
      <c r="AW60" s="1033">
        <f t="shared" si="146"/>
        <v>0</v>
      </c>
      <c r="AX60" s="1032">
        <f>IF($AM60="Revêtement",N60,0)</f>
        <v>0</v>
      </c>
      <c r="AY60" s="1030">
        <f t="shared" si="147"/>
        <v>0</v>
      </c>
      <c r="AZ60" s="1030">
        <f t="shared" si="147"/>
        <v>0</v>
      </c>
      <c r="BA60" s="1030">
        <f t="shared" si="148"/>
        <v>0</v>
      </c>
      <c r="BB60" s="1033">
        <f t="shared" si="148"/>
        <v>0</v>
      </c>
      <c r="BC60" s="1032">
        <f>IF($AM60="Installation",N60,0)</f>
        <v>0</v>
      </c>
      <c r="BD60" s="1030">
        <f t="shared" si="149"/>
        <v>0</v>
      </c>
      <c r="BE60" s="1030">
        <f t="shared" si="149"/>
        <v>0</v>
      </c>
      <c r="BF60" s="1033">
        <f>IF($AM60="Installation",S60,0)</f>
        <v>0</v>
      </c>
      <c r="BG60" s="1032">
        <f>IF($AM60="Structure", IF($I60="kg",$J60,0), 0)</f>
        <v>874.31999999999994</v>
      </c>
      <c r="BH60" s="1030">
        <f>IF($AM60="Insulation", IF($I60="kg",$J60,0), 0)</f>
        <v>0</v>
      </c>
      <c r="BI60" s="1033">
        <f>IF($AM60="Revêtement", IF($I60="kg",$J60,0), 0)</f>
        <v>0</v>
      </c>
      <c r="BJ60" s="1030">
        <f>_xlfn.XLOOKUP(H60, 'Baumaterialien Matériaux'!A:A, 'Baumaterialien Matériaux'!E:E, "-", 0, 1)</f>
        <v>7850</v>
      </c>
      <c r="BK60" s="1032">
        <f t="shared" si="5"/>
        <v>0.11137834394904458</v>
      </c>
      <c r="BL60" s="1030">
        <f t="shared" si="6"/>
        <v>0</v>
      </c>
      <c r="BM60" s="1033">
        <f t="shared" si="7"/>
        <v>0</v>
      </c>
      <c r="BN60" s="720"/>
      <c r="BO60" s="720"/>
    </row>
    <row r="61" spans="2:67">
      <c r="B61" s="1103"/>
      <c r="C61" s="1099"/>
      <c r="D61" s="478"/>
      <c r="F61" s="483" t="s">
        <v>3268</v>
      </c>
      <c r="G61" s="478" t="str">
        <f>_xlfn.XLOOKUP(H61, 'Baumaterialien Matériaux'!A:A, 'Baumaterialien Matériaux'!AD:AD, "-", 0, 1)</f>
        <v>Bois massif de construction</v>
      </c>
      <c r="H61" s="875" t="s">
        <v>547</v>
      </c>
      <c r="I61" s="641" t="str">
        <f>_xlfn.XLOOKUP(H61, 'Baumaterialien Matériaux'!A:A, 'Baumaterialien Matériaux'!F:F, "-", 0, 1)</f>
        <v>kg</v>
      </c>
      <c r="J61" s="649">
        <f t="shared" si="150"/>
        <v>317.6696</v>
      </c>
      <c r="K61" s="894">
        <f>0.02*436</f>
        <v>8.7200000000000006</v>
      </c>
      <c r="L61" s="650">
        <v>60</v>
      </c>
      <c r="M61" s="648">
        <f t="shared" si="143"/>
        <v>0.12509802387783434</v>
      </c>
      <c r="N61" s="720">
        <f>IFERROR(($J61*VLOOKUP($H61, 'Baumaterialien Matériaux'!$A$11:$AD$318, 26,FALSE)),0)/$G$1</f>
        <v>8.5750701835569959E-2</v>
      </c>
      <c r="O61" s="720">
        <f>IFERROR(($J61*VLOOKUP($H61, 'Baumaterialien Matériaux'!$A$11:$AH$318, 33,FALSE)),0)/$G$1</f>
        <v>2.3842195138934798E-2</v>
      </c>
      <c r="P61" s="720">
        <f t="shared" si="144"/>
        <v>0</v>
      </c>
      <c r="Q61" s="720">
        <f>IFERROR(($J61*VLOOKUP($H61, 'Baumaterialien Matériaux'!$A$11:$AH$318, 27,FALSE)),0)/$G$1</f>
        <v>1.5505126903329587E-2</v>
      </c>
      <c r="R61" s="720">
        <f>IFERROR(($J61*VLOOKUP($H61, 'Baumaterialien Matériaux'!$A$11:$AH$318, 34,FALSE)),0)/$G$1</f>
        <v>2.54802085454265E-3</v>
      </c>
      <c r="S61" s="720">
        <f>IFERROR((J61*VLOOKUP(H61, 'Baumaterialien Matériaux'!$A$11:$AD$318, 29,FALSE)),0)/$G$1</f>
        <v>0.5775047266477159</v>
      </c>
      <c r="T61" s="720">
        <f>S61*AJ61</f>
        <v>-0.15015122892840613</v>
      </c>
      <c r="U61" s="638">
        <v>-0.26</v>
      </c>
      <c r="V61" s="638">
        <f t="shared" si="3"/>
        <v>0</v>
      </c>
      <c r="W61" s="638">
        <f t="shared" si="4"/>
        <v>0</v>
      </c>
      <c r="Z61" s="638">
        <f t="shared" si="10"/>
        <v>60</v>
      </c>
      <c r="AA61" s="648" t="s">
        <v>3443</v>
      </c>
      <c r="AB61" t="str">
        <f>_xlfn.XLOOKUP($H61,'[1]Baumaterialien Matériaux'!$A:$A,'[1]Baumaterialien Matériaux'!AK:AK,0,0)</f>
        <v>timber</v>
      </c>
      <c r="AC61" t="str" cm="1">
        <f t="array" ref="AC61">_xlfn.SWITCH(I61,"kg"," ",0," ",_xlfn.XLOOKUP(H61, '[1]Baumaterialien Matériaux'!$A:$A, '[1]Baumaterialien Matériaux'!$AL:$AL, "-", 0, 1))</f>
        <v xml:space="preserve"> </v>
      </c>
      <c r="AD61" s="622" cm="1">
        <f t="array" ref="AD61">IFERROR(_xlfn.SWITCH(I61,"kg",1,"m3",AC61,AC61)*J61/(_xlfn.XLOOKUP(AA61,Métrés!A:A,Métrés!D:D,0)),0)</f>
        <v>0.64899403448557658</v>
      </c>
      <c r="AE61" s="1092">
        <f>IFERROR(N61*$G$1/(_xlfn.XLOOKUP($AA61,Métrés!$A:$A,Métrés!$D:$D,0)),0)</f>
        <v>0.15900353844896628</v>
      </c>
      <c r="AF61" s="1092">
        <f>IFERROR(O61*$G$1/(_xlfn.XLOOKUP($AA61,Métrés!$A:$A,Métrés!$D:$D,0)),0)</f>
        <v>4.4209473629157482E-2</v>
      </c>
      <c r="AG61" s="1092">
        <f>IFERROR(Q61*$G$1/(_xlfn.XLOOKUP($AA61,Métrés!$A:$A,Métrés!$D:$D,0)),0)</f>
        <v>2.8750435727711042E-2</v>
      </c>
      <c r="AH61" s="1092">
        <f>IFERROR(R61*$G$1/(_xlfn.XLOOKUP($AA61,Métrés!$A:$A,Métrés!$D:$D,0)),0)</f>
        <v>4.7246765710549981E-3</v>
      </c>
      <c r="AI61" s="1092">
        <f>IFERROR(S61*$G$1/(_xlfn.XLOOKUP($AA61,Métrés!$A:$A,Métrés!$D:$D,0)),0)</f>
        <v>1.0708401569012012</v>
      </c>
      <c r="AJ61" s="1030">
        <v>-0.26</v>
      </c>
      <c r="AK61" s="1030">
        <f>IF(L61=60,0,T61)</f>
        <v>0</v>
      </c>
      <c r="AL61" s="1030">
        <f>IF(L61=60,0,S61)</f>
        <v>0</v>
      </c>
      <c r="AM61" s="638" t="str">
        <f>IF(L61=$L$2, "Structure", IF(L61&gt;0,"Revêtement",0))</f>
        <v>Structure</v>
      </c>
      <c r="AN61" s="1032">
        <f>IF(AM61="Structure",N61,0)</f>
        <v>8.5750701835569959E-2</v>
      </c>
      <c r="AO61" s="1030">
        <f>IF(AM61="Structure",P61,0)</f>
        <v>0</v>
      </c>
      <c r="AP61" s="1030">
        <f>IF(AM61="Structure",Q61,0)</f>
        <v>1.5505126903329587E-2</v>
      </c>
      <c r="AQ61" s="1030">
        <f>IF(AM61="Structure",S61,0)</f>
        <v>0.5775047266477159</v>
      </c>
      <c r="AR61" s="1033">
        <f>IF(AM61="Structure",T61,0)</f>
        <v>-0.15015122892840613</v>
      </c>
      <c r="AS61" s="1032">
        <f>IF($AM61="Insulation",N61,0)</f>
        <v>0</v>
      </c>
      <c r="AT61" s="1030">
        <f t="shared" si="145"/>
        <v>0</v>
      </c>
      <c r="AU61" s="1030">
        <f t="shared" si="145"/>
        <v>0</v>
      </c>
      <c r="AV61" s="1030">
        <f t="shared" si="146"/>
        <v>0</v>
      </c>
      <c r="AW61" s="1033">
        <f t="shared" si="146"/>
        <v>0</v>
      </c>
      <c r="AX61" s="1032">
        <f>IF($AM61="Revêtement",N61,0)</f>
        <v>0</v>
      </c>
      <c r="AY61" s="1030">
        <f t="shared" si="147"/>
        <v>0</v>
      </c>
      <c r="AZ61" s="1030">
        <f t="shared" si="147"/>
        <v>0</v>
      </c>
      <c r="BA61" s="1030">
        <f t="shared" si="148"/>
        <v>0</v>
      </c>
      <c r="BB61" s="1033">
        <f t="shared" si="148"/>
        <v>0</v>
      </c>
      <c r="BC61" s="1032">
        <f>IF($AM61="Installation",N61,0)</f>
        <v>0</v>
      </c>
      <c r="BD61" s="1030">
        <f t="shared" si="149"/>
        <v>0</v>
      </c>
      <c r="BE61" s="1030">
        <f t="shared" si="149"/>
        <v>0</v>
      </c>
      <c r="BF61" s="1033">
        <f>IF($AM61="Installation",S61,0)</f>
        <v>0</v>
      </c>
      <c r="BG61" s="1032">
        <f>IF($AM61="Structure", IF($I61="kg",$J61,0), 0)</f>
        <v>317.6696</v>
      </c>
      <c r="BH61" s="1030">
        <f>IF($AM61="Insulation", IF($I61="kg",$J61,0), 0)</f>
        <v>0</v>
      </c>
      <c r="BI61" s="1033">
        <f>IF($AM61="Revêtement", IF($I61="kg",$J61,0), 0)</f>
        <v>0</v>
      </c>
      <c r="BJ61" s="1030">
        <f>_xlfn.XLOOKUP(H61, 'Baumaterialien Matériaux'!A:A, 'Baumaterialien Matériaux'!E:E, "-", 0, 1)</f>
        <v>436</v>
      </c>
      <c r="BK61" s="1032">
        <f t="shared" si="5"/>
        <v>0.72860000000000003</v>
      </c>
      <c r="BL61" s="1030">
        <f t="shared" si="6"/>
        <v>0</v>
      </c>
      <c r="BM61" s="1033">
        <f t="shared" si="7"/>
        <v>0</v>
      </c>
      <c r="BN61" s="720"/>
      <c r="BO61" s="720"/>
    </row>
    <row r="62" spans="2:67">
      <c r="B62" s="1103"/>
      <c r="C62" s="1099"/>
      <c r="D62" s="478"/>
      <c r="F62" s="483" t="s">
        <v>3262</v>
      </c>
      <c r="G62" s="478" t="str">
        <f>_xlfn.XLOOKUP(H62, 'Baumaterialien Matériaux'!A:A, 'Baumaterialien Matériaux'!AD:AD, "-", 0, 1)</f>
        <v>Panneau d'aggloméré type OSB, colle PF, zone humide</v>
      </c>
      <c r="H62" s="892" t="s">
        <v>1526</v>
      </c>
      <c r="I62" s="641" t="str">
        <f>_xlfn.XLOOKUP(H62, 'Baumaterialien Matériaux'!A:A, 'Baumaterialien Matériaux'!F:F, "-", 0, 1)</f>
        <v>kg</v>
      </c>
      <c r="J62" s="649">
        <f t="shared" si="150"/>
        <v>330.60224999999997</v>
      </c>
      <c r="K62" s="528">
        <f>605*0.015</f>
        <v>9.0749999999999993</v>
      </c>
      <c r="L62" s="650">
        <v>30</v>
      </c>
      <c r="M62" s="648">
        <f t="shared" si="143"/>
        <v>0.50958831642096913</v>
      </c>
      <c r="N62" s="720">
        <f>IFERROR(($J62*VLOOKUP($H62, 'Baumaterialien Matériaux'!$A$11:$AD$318, 26,FALSE)),0)/$G$1</f>
        <v>0.17666213971706218</v>
      </c>
      <c r="O62" s="720">
        <f>IFERROR(($J62*VLOOKUP($H62, 'Baumaterialien Matériaux'!$A$11:$AH$318, 33,FALSE)),0)/$G$1</f>
        <v>9.7983743471937598E-2</v>
      </c>
      <c r="P62" s="720">
        <f t="shared" si="144"/>
        <v>0.20580228647451573</v>
      </c>
      <c r="Q62" s="720">
        <f>IFERROR(($J62*VLOOKUP($H62, 'Baumaterialien Matériaux'!$A$11:$AH$318, 27,FALSE)),0)/$G$1</f>
        <v>2.9140146757453557E-2</v>
      </c>
      <c r="R62" s="720">
        <f>IFERROR(($J62*VLOOKUP($H62, 'Baumaterialien Matériaux'!$A$11:$AH$318, 34,FALSE)),0)/$G$1</f>
        <v>1.6245631817280358E-2</v>
      </c>
      <c r="S62" s="720">
        <f>IFERROR((J62*VLOOKUP(H62, 'Baumaterialien Matériaux'!$A$11:$AD$318, 29,FALSE)),0)/$G$1</f>
        <v>0.59300198651417979</v>
      </c>
      <c r="T62" s="720">
        <f>S62*AJ62</f>
        <v>8.895029797712696E-2</v>
      </c>
      <c r="U62" s="638">
        <v>0.15</v>
      </c>
      <c r="V62" s="638">
        <f t="shared" si="3"/>
        <v>8.895029797712696E-2</v>
      </c>
      <c r="W62" s="638">
        <f t="shared" si="4"/>
        <v>0.59300198651417979</v>
      </c>
      <c r="Y62" s="638" t="str">
        <f t="shared" si="9"/>
        <v>Revêtement</v>
      </c>
      <c r="Z62" s="638">
        <f t="shared" si="10"/>
        <v>30</v>
      </c>
      <c r="AA62" s="648" t="s">
        <v>3443</v>
      </c>
      <c r="AB62" t="str">
        <f>_xlfn.XLOOKUP($H62,'[1]Baumaterialien Matériaux'!$A:$A,'[1]Baumaterialien Matériaux'!AK:AK,0,0)</f>
        <v>timber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622" cm="1">
        <f t="array" ref="AD62">IFERROR(_xlfn.SWITCH(I62,"kg",1,"m3",AC62,AC62)*J62/(_xlfn.XLOOKUP(AA62,Métrés!A:A,Métrés!D:D,0)),0)</f>
        <v>0.6754152365775925</v>
      </c>
      <c r="AE62" s="1092">
        <f>IFERROR(N62*$G$1/(_xlfn.XLOOKUP($AA62,Métrés!$A:$A,Métrés!$D:$D,0)),0)</f>
        <v>0.32757638974013237</v>
      </c>
      <c r="AF62" s="1092">
        <f>IFERROR(O62*$G$1/(_xlfn.XLOOKUP($AA62,Métrés!$A:$A,Métrés!$D:$D,0)),0)</f>
        <v>0.18168669863937242</v>
      </c>
      <c r="AG62" s="1092">
        <f>IFERROR(Q62*$G$1/(_xlfn.XLOOKUP($AA62,Métrés!$A:$A,Métrés!$D:$D,0)),0)</f>
        <v>5.4033218926207403E-2</v>
      </c>
      <c r="AH62" s="1092">
        <f>IFERROR(R62*$G$1/(_xlfn.XLOOKUP($AA62,Métrés!$A:$A,Métrés!$D:$D,0)),0)</f>
        <v>3.0123519551360625E-2</v>
      </c>
      <c r="AI62" s="1092">
        <f>IFERROR(S62*$G$1/(_xlfn.XLOOKUP($AA62,Métrés!$A:$A,Métrés!$D:$D,0)),0)</f>
        <v>1.0995760051483205</v>
      </c>
      <c r="AJ62" s="1030">
        <v>0.15</v>
      </c>
      <c r="AK62" s="1030">
        <f>IF(L62=60,0,T62)</f>
        <v>8.895029797712696E-2</v>
      </c>
      <c r="AL62" s="1030">
        <f>IF(L62=60,0,S62)</f>
        <v>0.59300198651417979</v>
      </c>
      <c r="AM62" s="638" t="str">
        <f>IF(L62=$L$2, "Structure", IF(L62&gt;0,"Revêtement",0))</f>
        <v>Revêtement</v>
      </c>
      <c r="AN62" s="1032">
        <f>IF(AM62="Structure",N62,0)</f>
        <v>0</v>
      </c>
      <c r="AO62" s="1030">
        <f>IF(AM62="Structure",P62,0)</f>
        <v>0</v>
      </c>
      <c r="AP62" s="1030">
        <f>IF(AM62="Structure",Q62,0)</f>
        <v>0</v>
      </c>
      <c r="AQ62" s="1030">
        <f>IF(AM62="Structure",S62,0)</f>
        <v>0</v>
      </c>
      <c r="AR62" s="1033">
        <f>IF(AM62="Structure",T62,0)</f>
        <v>0</v>
      </c>
      <c r="AS62" s="1032">
        <f>IF($AM62="Insulation",N62,0)</f>
        <v>0</v>
      </c>
      <c r="AT62" s="1030">
        <f t="shared" si="145"/>
        <v>0</v>
      </c>
      <c r="AU62" s="1030">
        <f t="shared" si="145"/>
        <v>0</v>
      </c>
      <c r="AV62" s="1030">
        <f t="shared" si="146"/>
        <v>0</v>
      </c>
      <c r="AW62" s="1033">
        <f t="shared" si="146"/>
        <v>0</v>
      </c>
      <c r="AX62" s="1032">
        <f>IF($AM62="Revêtement",N62,0)</f>
        <v>0.17666213971706218</v>
      </c>
      <c r="AY62" s="1030">
        <f t="shared" si="147"/>
        <v>0.20580228647451573</v>
      </c>
      <c r="AZ62" s="1030">
        <f t="shared" si="147"/>
        <v>2.9140146757453557E-2</v>
      </c>
      <c r="BA62" s="1030">
        <f t="shared" si="148"/>
        <v>0.59300198651417979</v>
      </c>
      <c r="BB62" s="1033">
        <f t="shared" si="148"/>
        <v>8.895029797712696E-2</v>
      </c>
      <c r="BC62" s="1032">
        <f>IF($AM62="Installation",N62,0)</f>
        <v>0</v>
      </c>
      <c r="BD62" s="1030">
        <f t="shared" si="149"/>
        <v>0</v>
      </c>
      <c r="BE62" s="1030">
        <f t="shared" si="149"/>
        <v>0</v>
      </c>
      <c r="BF62" s="1033">
        <f>IF($AM62="Installation",S62,0)</f>
        <v>0</v>
      </c>
      <c r="BG62" s="1032">
        <f>IF($AM62="Structure", IF($I62="kg",$J62,0), 0)</f>
        <v>0</v>
      </c>
      <c r="BH62" s="1030">
        <f>IF($AM62="Insulation", IF($I62="kg",$J62,0), 0)</f>
        <v>0</v>
      </c>
      <c r="BI62" s="1033">
        <f>IF($AM62="Revêtement", IF($I62="kg",$J62,0), 0)</f>
        <v>330.60224999999997</v>
      </c>
      <c r="BJ62" s="1030">
        <f>_xlfn.XLOOKUP(H62, 'Baumaterialien Matériaux'!A:A, 'Baumaterialien Matériaux'!E:E, "-", 0, 1)</f>
        <v>605</v>
      </c>
      <c r="BK62" s="1032">
        <f t="shared" si="5"/>
        <v>0</v>
      </c>
      <c r="BL62" s="1030">
        <f t="shared" si="6"/>
        <v>0</v>
      </c>
      <c r="BM62" s="1033">
        <f t="shared" si="7"/>
        <v>0.54644999999999999</v>
      </c>
      <c r="BN62" s="720">
        <f>IFERROR((J62*VLOOKUP(H62, 'Baumaterialien Matériaux'!$A$11:$AH$318, 32,FALSE))*($L$2/L62-1),0)/$G$1</f>
        <v>0.1143750760230052</v>
      </c>
      <c r="BO62" s="720">
        <f>IFERROR((N62+Q62)*($L$2/L62-1),0)</f>
        <v>0.20580228647451573</v>
      </c>
    </row>
    <row r="63" spans="2:67">
      <c r="B63" s="1103"/>
      <c r="C63" s="1099"/>
      <c r="D63" s="478"/>
      <c r="F63" s="483"/>
      <c r="G63" s="478"/>
      <c r="H63" s="895"/>
      <c r="I63" s="641"/>
      <c r="J63" s="649"/>
      <c r="K63" s="894"/>
      <c r="L63" s="650"/>
      <c r="M63" s="648"/>
      <c r="N63" s="720"/>
      <c r="O63" s="720"/>
      <c r="P63" s="720"/>
      <c r="Q63" s="720"/>
      <c r="R63" s="720"/>
      <c r="S63" s="720"/>
      <c r="T63" s="720">
        <f>S63*AJ63</f>
        <v>0</v>
      </c>
      <c r="V63" s="638">
        <f t="shared" si="3"/>
        <v>0</v>
      </c>
      <c r="W63" s="638">
        <f t="shared" si="4"/>
        <v>0</v>
      </c>
      <c r="Z63" s="638">
        <f t="shared" si="10"/>
        <v>0</v>
      </c>
      <c r="AA63" s="648" t="s">
        <v>3443</v>
      </c>
      <c r="AB63">
        <f>_xlfn.XLOOKUP($H63,'[1]Baumaterialien Matériaux'!$A:$A,'[1]Baumaterialien Matériaux'!AK:AK,0,0)</f>
        <v>0</v>
      </c>
      <c r="AC63" t="str" cm="1">
        <f t="array" ref="AC63">_xlfn.SWITCH(I63,"kg"," ",0," ",_xlfn.XLOOKUP(H63, '[1]Baumaterialien Matériaux'!$A:$A, '[1]Baumaterialien Matériaux'!$AL:$AL, "-", 0, 1))</f>
        <v xml:space="preserve"> </v>
      </c>
      <c r="AD63" s="622" cm="1">
        <f t="array" ref="AD63">IFERROR(_xlfn.SWITCH(I63,"kg",1,"m3",AC63,AC63)*J63/(_xlfn.XLOOKUP(AA63,Métrés!A:A,Métrés!D:D,0)),0)</f>
        <v>0</v>
      </c>
      <c r="AE63" s="1092">
        <f>IFERROR(N63*$G$1/(_xlfn.XLOOKUP($AA63,Métrés!$A:$A,Métrés!$D:$D,0)),0)</f>
        <v>0</v>
      </c>
      <c r="AF63" s="1092">
        <f>IFERROR(O63*$G$1/(_xlfn.XLOOKUP($AA63,Métrés!$A:$A,Métrés!$D:$D,0)),0)</f>
        <v>0</v>
      </c>
      <c r="AG63" s="1092">
        <f>IFERROR(Q63*$G$1/(_xlfn.XLOOKUP($AA63,Métrés!$A:$A,Métrés!$D:$D,0)),0)</f>
        <v>0</v>
      </c>
      <c r="AH63" s="1092">
        <f>IFERROR(R63*$G$1/(_xlfn.XLOOKUP($AA63,Métrés!$A:$A,Métrés!$D:$D,0)),0)</f>
        <v>0</v>
      </c>
      <c r="AI63" s="1092">
        <f>IFERROR(S63*$G$1/(_xlfn.XLOOKUP($AA63,Métrés!$A:$A,Métrés!$D:$D,0)),0)</f>
        <v>0</v>
      </c>
      <c r="AJ63" s="1030"/>
      <c r="AK63" s="1030">
        <f>IF(L63=60,0,T63)</f>
        <v>0</v>
      </c>
      <c r="AL63" s="1030">
        <f>IF(L63=60,0,S63)</f>
        <v>0</v>
      </c>
      <c r="AM63" s="638">
        <f>IF(L63=$L$2, "Structure", IF(L63&gt;0,"Revêtement",0))</f>
        <v>0</v>
      </c>
      <c r="AN63" s="1032">
        <f>IF(AM63="Structure",N63,0)</f>
        <v>0</v>
      </c>
      <c r="AO63" s="1030">
        <f>IF(AM63="Structure",P63,0)</f>
        <v>0</v>
      </c>
      <c r="AP63" s="1030">
        <f>IF(AM63="Structure",Q63,0)</f>
        <v>0</v>
      </c>
      <c r="AQ63" s="1030">
        <f>IF(AM63="Structure",S63,0)</f>
        <v>0</v>
      </c>
      <c r="AR63" s="1033">
        <f>IF(AM63="Structure",T63,0)</f>
        <v>0</v>
      </c>
      <c r="AS63" s="1032">
        <f>IF($AM63="Insulation",N63,0)</f>
        <v>0</v>
      </c>
      <c r="AT63" s="1030">
        <f t="shared" si="145"/>
        <v>0</v>
      </c>
      <c r="AU63" s="1030">
        <f t="shared" si="145"/>
        <v>0</v>
      </c>
      <c r="AV63" s="1030">
        <f t="shared" si="146"/>
        <v>0</v>
      </c>
      <c r="AW63" s="1033">
        <f t="shared" si="146"/>
        <v>0</v>
      </c>
      <c r="AX63" s="1032">
        <f>IF($AM63="Revêtement",N63,0)</f>
        <v>0</v>
      </c>
      <c r="AY63" s="1030">
        <f t="shared" si="147"/>
        <v>0</v>
      </c>
      <c r="AZ63" s="1030">
        <f t="shared" si="147"/>
        <v>0</v>
      </c>
      <c r="BA63" s="1030">
        <f t="shared" si="148"/>
        <v>0</v>
      </c>
      <c r="BB63" s="1033">
        <f t="shared" si="148"/>
        <v>0</v>
      </c>
      <c r="BC63" s="1032">
        <f>IF($AM63="Installation",N63,0)</f>
        <v>0</v>
      </c>
      <c r="BD63" s="1030">
        <f t="shared" si="149"/>
        <v>0</v>
      </c>
      <c r="BE63" s="1030">
        <f t="shared" si="149"/>
        <v>0</v>
      </c>
      <c r="BF63" s="1033">
        <f>IF($AM63="Installation",S63,0)</f>
        <v>0</v>
      </c>
      <c r="BG63" s="1032">
        <f>IF($AM63="Structure", IF($I63="kg",$J63,0), 0)</f>
        <v>0</v>
      </c>
      <c r="BH63" s="1030">
        <f>IF($AM63="Insulation", IF($I63="kg",$J63,0), 0)</f>
        <v>0</v>
      </c>
      <c r="BI63" s="1033">
        <f>IF($AM63="Revêtement", IF($I63="kg",$J63,0), 0)</f>
        <v>0</v>
      </c>
      <c r="BJ63" s="1030">
        <f>_xlfn.XLOOKUP(H63, 'Baumaterialien Matériaux'!A:A, 'Baumaterialien Matériaux'!E:E, "-", 0, 1)</f>
        <v>0</v>
      </c>
      <c r="BK63" s="1032">
        <f t="shared" si="5"/>
        <v>0</v>
      </c>
      <c r="BL63" s="1030">
        <f t="shared" si="6"/>
        <v>0</v>
      </c>
      <c r="BM63" s="1033">
        <f t="shared" si="7"/>
        <v>0</v>
      </c>
      <c r="BN63" s="720"/>
      <c r="BO63" s="720"/>
    </row>
    <row r="64" spans="2:67">
      <c r="B64" s="1103"/>
      <c r="C64" s="1099"/>
      <c r="D64" s="478"/>
      <c r="F64" s="663"/>
      <c r="G64" s="663"/>
      <c r="H64" s="663"/>
      <c r="I64" s="459"/>
      <c r="J64" s="662"/>
      <c r="K64" s="663"/>
      <c r="L64" s="663"/>
      <c r="M64" s="664"/>
      <c r="N64" s="664"/>
      <c r="O64" s="664"/>
      <c r="P64" s="664"/>
      <c r="Q64" s="664"/>
      <c r="R64" s="664"/>
      <c r="S64" s="664"/>
      <c r="T64" s="664"/>
      <c r="V64" s="638">
        <f t="shared" si="3"/>
        <v>0</v>
      </c>
      <c r="W64" s="638">
        <f t="shared" si="4"/>
        <v>0</v>
      </c>
      <c r="Z64" s="638">
        <f t="shared" si="10"/>
        <v>0</v>
      </c>
      <c r="AA64" s="648" t="s">
        <v>3443</v>
      </c>
      <c r="AB64">
        <f>_xlfn.XLOOKUP($H64,'[1]Baumaterialien Matériaux'!$A:$A,'[1]Baumaterialien Matériaux'!AK:AK,0,0)</f>
        <v>0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622" cm="1">
        <f t="array" ref="AD64">IFERROR(_xlfn.SWITCH(I64,"kg",1,"m3",AC64,AC64)*J64/(_xlfn.XLOOKUP(AA64,Métrés!A:A,Métrés!D:D,0)),0)</f>
        <v>0</v>
      </c>
      <c r="AE64" s="1092">
        <f>IFERROR(N64*$G$1/(_xlfn.XLOOKUP($AA64,Métrés!$A:$A,Métrés!$D:$D,0)),0)</f>
        <v>0</v>
      </c>
      <c r="AF64" s="1092">
        <f>IFERROR(O64*$G$1/(_xlfn.XLOOKUP($AA64,Métrés!$A:$A,Métrés!$D:$D,0)),0)</f>
        <v>0</v>
      </c>
      <c r="AG64" s="1092">
        <f>IFERROR(Q64*$G$1/(_xlfn.XLOOKUP($AA64,Métrés!$A:$A,Métrés!$D:$D,0)),0)</f>
        <v>0</v>
      </c>
      <c r="AH64" s="1092">
        <f>IFERROR(R64*$G$1/(_xlfn.XLOOKUP($AA64,Métrés!$A:$A,Métrés!$D:$D,0)),0)</f>
        <v>0</v>
      </c>
      <c r="AI64" s="1092">
        <f>IFERROR(S64*$G$1/(_xlfn.XLOOKUP($AA64,Métrés!$A:$A,Métrés!$D:$D,0)),0)</f>
        <v>0</v>
      </c>
      <c r="AJ64" s="1064"/>
      <c r="AK64" s="1064"/>
      <c r="AL64" s="1064"/>
      <c r="AM64" s="1021"/>
      <c r="AN64" s="1073"/>
      <c r="AO64" s="1064"/>
      <c r="AP64" s="1064"/>
      <c r="AQ64" s="1064"/>
      <c r="AR64" s="1074"/>
      <c r="AS64" s="1073"/>
      <c r="AT64" s="1064"/>
      <c r="AU64" s="1064"/>
      <c r="AV64" s="1064"/>
      <c r="AW64" s="1074"/>
      <c r="AX64" s="1073"/>
      <c r="AY64" s="1064"/>
      <c r="AZ64" s="1064"/>
      <c r="BA64" s="1064"/>
      <c r="BB64" s="1074"/>
      <c r="BC64" s="1073"/>
      <c r="BD64" s="1064"/>
      <c r="BE64" s="1064"/>
      <c r="BF64" s="1074"/>
      <c r="BG64" s="1073"/>
      <c r="BH64" s="1064"/>
      <c r="BI64" s="1074"/>
      <c r="BJ64" s="1078"/>
      <c r="BK64" s="1073"/>
      <c r="BL64" s="1064"/>
      <c r="BM64" s="1074"/>
      <c r="BN64" s="720"/>
      <c r="BO64" s="720"/>
    </row>
    <row r="65" spans="2:67">
      <c r="B65" s="1103"/>
      <c r="C65" s="1099"/>
      <c r="D65" s="478"/>
      <c r="F65" s="454"/>
      <c r="G65" s="478"/>
      <c r="H65" s="642"/>
      <c r="I65" s="641"/>
      <c r="J65" s="649"/>
      <c r="K65" s="650"/>
      <c r="L65" s="650"/>
      <c r="M65" s="648"/>
      <c r="N65" s="720"/>
      <c r="O65" s="720"/>
      <c r="P65" s="720"/>
      <c r="Q65" s="720"/>
      <c r="R65" s="720"/>
      <c r="S65" s="720"/>
      <c r="T65" s="720">
        <f>S65*AJ65</f>
        <v>0</v>
      </c>
      <c r="V65" s="638">
        <f t="shared" si="3"/>
        <v>0</v>
      </c>
      <c r="W65" s="638">
        <f t="shared" si="4"/>
        <v>0</v>
      </c>
      <c r="Y65" s="638">
        <f t="shared" si="9"/>
        <v>0</v>
      </c>
      <c r="Z65" s="638">
        <f t="shared" si="10"/>
        <v>0</v>
      </c>
      <c r="AA65" s="648" t="s">
        <v>3443</v>
      </c>
      <c r="AB65">
        <f>_xlfn.XLOOKUP($H65,'[1]Baumaterialien Matériaux'!$A:$A,'[1]Baumaterialien Matériaux'!AK:AK,0,0)</f>
        <v>0</v>
      </c>
      <c r="AC65" t="str" cm="1">
        <f t="array" ref="AC65">_xlfn.SWITCH(I65,"kg"," ",0," ",_xlfn.XLOOKUP(H65, '[1]Baumaterialien Matériaux'!$A:$A, '[1]Baumaterialien Matériaux'!$AL:$AL, "-", 0, 1))</f>
        <v xml:space="preserve"> </v>
      </c>
      <c r="AD65" s="622" cm="1">
        <f t="array" ref="AD65">IFERROR(_xlfn.SWITCH(I65,"kg",1,"m3",AC65,AC65)*J65/(_xlfn.XLOOKUP(AA65,Métrés!A:A,Métrés!D:D,0)),0)</f>
        <v>0</v>
      </c>
      <c r="AE65" s="1092">
        <f>IFERROR(N65*$G$1/(_xlfn.XLOOKUP($AA65,Métrés!$A:$A,Métrés!$D:$D,0)),0)</f>
        <v>0</v>
      </c>
      <c r="AF65" s="1092">
        <f>IFERROR(O65*$G$1/(_xlfn.XLOOKUP($AA65,Métrés!$A:$A,Métrés!$D:$D,0)),0)</f>
        <v>0</v>
      </c>
      <c r="AG65" s="1092">
        <f>IFERROR(Q65*$G$1/(_xlfn.XLOOKUP($AA65,Métrés!$A:$A,Métrés!$D:$D,0)),0)</f>
        <v>0</v>
      </c>
      <c r="AH65" s="1092">
        <f>IFERROR(R65*$G$1/(_xlfn.XLOOKUP($AA65,Métrés!$A:$A,Métrés!$D:$D,0)),0)</f>
        <v>0</v>
      </c>
      <c r="AI65" s="1092">
        <f>IFERROR(S65*$G$1/(_xlfn.XLOOKUP($AA65,Métrés!$A:$A,Métrés!$D:$D,0)),0)</f>
        <v>0</v>
      </c>
      <c r="AJ65" s="1030"/>
      <c r="AK65" s="1030">
        <f>IF(L65=60,0,T65)</f>
        <v>0</v>
      </c>
      <c r="AL65" s="1030">
        <f>IF(L65=60,0,S65)</f>
        <v>0</v>
      </c>
      <c r="AM65" s="638">
        <f>IF(L65=$L$2, "Structure", IF(L65&gt;0,"Revêtement",0))</f>
        <v>0</v>
      </c>
      <c r="AN65" s="1032">
        <f>IF(AM65="Structure",N65,0)</f>
        <v>0</v>
      </c>
      <c r="AO65" s="1030">
        <f>IF(AM65="Structure",P65,0)</f>
        <v>0</v>
      </c>
      <c r="AP65" s="1030">
        <f>IF(AM65="Structure",Q65,0)</f>
        <v>0</v>
      </c>
      <c r="AQ65" s="1030">
        <f>IF(AM65="Structure",S65,0)</f>
        <v>0</v>
      </c>
      <c r="AR65" s="1033">
        <f>IF(AM65="Structure",T65,0)</f>
        <v>0</v>
      </c>
      <c r="AS65" s="1032">
        <f>IF($AM65="Insulation",N65,0)</f>
        <v>0</v>
      </c>
      <c r="AT65" s="1030">
        <f>IF($AM65="Insulation",P65,0)</f>
        <v>0</v>
      </c>
      <c r="AU65" s="1030">
        <f>IF($AM65="Insulation",Q65,0)</f>
        <v>0</v>
      </c>
      <c r="AV65" s="1030">
        <f>IF($AM65="Insulation",S65,0)</f>
        <v>0</v>
      </c>
      <c r="AW65" s="1033">
        <f>IF($AM65="Insulation",T65,0)</f>
        <v>0</v>
      </c>
      <c r="AX65" s="1032">
        <f>IF($AM65="Revêtement",N65,0)</f>
        <v>0</v>
      </c>
      <c r="AY65" s="1030">
        <f>IF($AM65="Revêtement",P65,0)</f>
        <v>0</v>
      </c>
      <c r="AZ65" s="1030">
        <f>IF($AM65="Revêtement",Q65,0)</f>
        <v>0</v>
      </c>
      <c r="BA65" s="1030">
        <f>IF($AM65="Revêtement",S65,0)</f>
        <v>0</v>
      </c>
      <c r="BB65" s="1033">
        <f>IF($AM65="Revêtement",T65,0)</f>
        <v>0</v>
      </c>
      <c r="BC65" s="1032">
        <f>IF($AM65="Installation",N65,0)</f>
        <v>0</v>
      </c>
      <c r="BD65" s="1030">
        <f>IF($AM65="Installation",P65,0)</f>
        <v>0</v>
      </c>
      <c r="BE65" s="1030">
        <f>IF($AM65="Installation",Q65,0)</f>
        <v>0</v>
      </c>
      <c r="BF65" s="1033">
        <f>IF($AM65="Installation",S65,0)</f>
        <v>0</v>
      </c>
      <c r="BG65" s="1032">
        <f>IF($AM65="Structure", IF($I65="kg",$J65,0), 0)</f>
        <v>0</v>
      </c>
      <c r="BH65" s="1030">
        <f>IF($AM65="Insulation", IF($I65="kg",$J65,0), 0)</f>
        <v>0</v>
      </c>
      <c r="BI65" s="1033">
        <f>IF($AM65="Revêtement", IF($I65="kg",$J65,0), 0)</f>
        <v>0</v>
      </c>
      <c r="BJ65" s="1030">
        <f>_xlfn.XLOOKUP(H65, 'Baumaterialien Matériaux'!A:A, 'Baumaterialien Matériaux'!E:E, "-", 0, 1)</f>
        <v>0</v>
      </c>
      <c r="BK65" s="1032">
        <f t="shared" si="5"/>
        <v>0</v>
      </c>
      <c r="BL65" s="1030">
        <f t="shared" si="6"/>
        <v>0</v>
      </c>
      <c r="BM65" s="1033">
        <f t="shared" si="7"/>
        <v>0</v>
      </c>
      <c r="BN65" s="720">
        <f>IFERROR((J65*VLOOKUP(H65, 'Baumaterialien Matériaux'!$A$11:$AH$318, 32,FALSE))*($L$2/L65-1),0)/$G$1</f>
        <v>0</v>
      </c>
      <c r="BO65" s="720">
        <f>IFERROR((N65+Q65)*($L$2/L65-1),0)</f>
        <v>0</v>
      </c>
    </row>
    <row r="66" spans="2:67">
      <c r="B66" s="1103"/>
      <c r="C66" s="1097" t="s">
        <v>116</v>
      </c>
      <c r="D66" s="473" t="s">
        <v>117</v>
      </c>
      <c r="E66" s="655"/>
      <c r="F66" s="473"/>
      <c r="G66" s="473"/>
      <c r="H66" s="473"/>
      <c r="I66" s="463"/>
      <c r="J66" s="652"/>
      <c r="K66" s="652"/>
      <c r="L66" s="652"/>
      <c r="M66" s="653">
        <f ca="1">M67+M76+M80</f>
        <v>46.619468067972065</v>
      </c>
      <c r="N66" s="653">
        <f t="shared" ref="N66:S66" si="151">N67+N76+N80</f>
        <v>16.088142762169191</v>
      </c>
      <c r="O66" s="653">
        <f t="shared" ref="O66" si="152">O67+O76+O80</f>
        <v>9.7073455701602001</v>
      </c>
      <c r="P66" s="653">
        <f t="shared" ca="1" si="151"/>
        <v>18.456061248905929</v>
      </c>
      <c r="Q66" s="653">
        <f t="shared" si="151"/>
        <v>2.3679184867367398</v>
      </c>
      <c r="R66" s="653">
        <f t="shared" ref="R66" si="153">R67+R76+R80</f>
        <v>0.76044337011877217</v>
      </c>
      <c r="S66" s="653">
        <f t="shared" si="151"/>
        <v>44.229557354399418</v>
      </c>
      <c r="T66" s="653">
        <f t="shared" ref="T66" si="154">T67+T76+T80</f>
        <v>-1.5036040337806571</v>
      </c>
      <c r="V66" s="638">
        <f t="shared" si="3"/>
        <v>-1.5036040337806571</v>
      </c>
      <c r="W66" s="638">
        <f t="shared" si="4"/>
        <v>44.229557354399418</v>
      </c>
      <c r="Y66" s="638">
        <f t="shared" si="9"/>
        <v>0</v>
      </c>
      <c r="Z66" s="638">
        <f t="shared" si="10"/>
        <v>0</v>
      </c>
      <c r="AB66">
        <f>_xlfn.XLOOKUP($H66,'[1]Baumaterialien Matériaux'!$A:$A,'[1]Baumaterialien Matériaux'!AK:AK,0,0)</f>
        <v>0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622" cm="1">
        <f t="array" ref="AD66">IFERROR(_xlfn.SWITCH(I66,"kg",1,"m3",AC66,AC66)*J66/(_xlfn.XLOOKUP(AA66,Métrés!A:A,Métrés!D:D,0)),0)</f>
        <v>0</v>
      </c>
      <c r="AE66" s="1092">
        <f>IFERROR(N66*$G$1/(_xlfn.XLOOKUP($AA66,Métrés!$A:$A,Métrés!$D:$D,0)),0)</f>
        <v>0</v>
      </c>
      <c r="AF66" s="1092">
        <f>IFERROR(O66*$G$1/(_xlfn.XLOOKUP($AA66,Métrés!$A:$A,Métrés!$D:$D,0)),0)</f>
        <v>0</v>
      </c>
      <c r="AG66" s="1092">
        <f>IFERROR(Q66*$G$1/(_xlfn.XLOOKUP($AA66,Métrés!$A:$A,Métrés!$D:$D,0)),0)</f>
        <v>0</v>
      </c>
      <c r="AH66" s="1092">
        <f>IFERROR(R66*$G$1/(_xlfn.XLOOKUP($AA66,Métrés!$A:$A,Métrés!$D:$D,0)),0)</f>
        <v>0</v>
      </c>
      <c r="AI66" s="1092">
        <f>IFERROR(S66*$G$1/(_xlfn.XLOOKUP($AA66,Métrés!$A:$A,Métrés!$D:$D,0)),0)</f>
        <v>0</v>
      </c>
      <c r="AJ66" s="1063"/>
      <c r="AK66" s="1063"/>
      <c r="AL66" s="1063"/>
      <c r="AM66" s="1020"/>
      <c r="AN66" s="1071"/>
      <c r="AO66" s="1063"/>
      <c r="AP66" s="1063"/>
      <c r="AQ66" s="1063"/>
      <c r="AR66" s="1072"/>
      <c r="AS66" s="1071"/>
      <c r="AT66" s="1063"/>
      <c r="AU66" s="1063"/>
      <c r="AV66" s="1063"/>
      <c r="AW66" s="1072"/>
      <c r="AX66" s="1071"/>
      <c r="AY66" s="1063"/>
      <c r="AZ66" s="1063"/>
      <c r="BA66" s="1063"/>
      <c r="BB66" s="1072"/>
      <c r="BC66" s="1071"/>
      <c r="BD66" s="1063"/>
      <c r="BE66" s="1063"/>
      <c r="BF66" s="1072"/>
      <c r="BG66" s="1071"/>
      <c r="BH66" s="1063"/>
      <c r="BI66" s="1072"/>
      <c r="BJ66" s="1077"/>
      <c r="BK66" s="1071"/>
      <c r="BL66" s="1063"/>
      <c r="BM66" s="1072"/>
    </row>
    <row r="67" spans="2:67">
      <c r="B67" s="1103"/>
      <c r="C67" s="1099"/>
      <c r="D67" s="478"/>
      <c r="E67" s="479" t="str">
        <f>BillQuantities!E16</f>
        <v>Isolation thermique extérieure, enduit</v>
      </c>
      <c r="F67" s="663" t="s">
        <v>3030</v>
      </c>
      <c r="G67" s="479"/>
      <c r="H67" s="479"/>
      <c r="I67" s="459" t="s">
        <v>39</v>
      </c>
      <c r="J67" s="662">
        <v>411.84</v>
      </c>
      <c r="K67" s="663"/>
      <c r="L67" s="663"/>
      <c r="M67" s="664">
        <f ca="1">SUM(M68:M75)</f>
        <v>37.967996830391577</v>
      </c>
      <c r="N67" s="664">
        <f t="shared" ref="N67:S67" si="155">SUM(N68:N75)</f>
        <v>13.367510984773364</v>
      </c>
      <c r="O67" s="664">
        <f t="shared" ref="O67" si="156">SUM(O68:O75)</f>
        <v>8.4137363566250194</v>
      </c>
      <c r="P67" s="664">
        <f t="shared" ca="1" si="155"/>
        <v>14.777130236883277</v>
      </c>
      <c r="Q67" s="664">
        <f t="shared" si="155"/>
        <v>1.4096192521099138</v>
      </c>
      <c r="R67" s="664">
        <f t="shared" ref="R67" si="157">SUM(R68:R75)</f>
        <v>0.45211907785196448</v>
      </c>
      <c r="S67" s="664">
        <f t="shared" si="155"/>
        <v>39.508788206518147</v>
      </c>
      <c r="T67" s="664">
        <f t="shared" ref="T67" si="158">SUM(T68:T75)</f>
        <v>-1.4736698094797382</v>
      </c>
      <c r="V67" s="638">
        <f t="shared" si="3"/>
        <v>-1.4736698094797382</v>
      </c>
      <c r="W67" s="638">
        <f t="shared" si="4"/>
        <v>39.508788206518147</v>
      </c>
      <c r="Y67" s="638">
        <f t="shared" si="9"/>
        <v>0</v>
      </c>
      <c r="Z67" s="638">
        <f t="shared" si="10"/>
        <v>0</v>
      </c>
      <c r="AA67" s="648" t="s">
        <v>3443</v>
      </c>
      <c r="AB67">
        <f>_xlfn.XLOOKUP($H67,'[1]Baumaterialien Matériaux'!$A:$A,'[1]Baumaterialien Matériaux'!AK:AK,0,0)</f>
        <v>0</v>
      </c>
      <c r="AC67" cm="1">
        <f t="array" ref="AC67">_xlfn.SWITCH(I67,"kg"," ",0," ",_xlfn.XLOOKUP(H67, '[1]Baumaterialien Matériaux'!$A:$A, '[1]Baumaterialien Matériaux'!$AL:$AL, "-", 0, 1))</f>
        <v>0</v>
      </c>
      <c r="AD67" s="622" cm="1">
        <f t="array" ref="AD67">IFERROR(_xlfn.SWITCH(I67,"kg",1,"m3",AC67,AC67)*J67/(_xlfn.XLOOKUP(AA67,Métrés!A:A,Métrés!D:D,0)),0)</f>
        <v>0</v>
      </c>
      <c r="AE67" s="1092">
        <f>IFERROR(N67*$G$1/(_xlfn.XLOOKUP($AA67,Métrés!$A:$A,Métrés!$D:$D,0)),0)</f>
        <v>24.78675394295988</v>
      </c>
      <c r="AF67" s="1092">
        <f>IFERROR(O67*$G$1/(_xlfn.XLOOKUP($AA67,Métrés!$A:$A,Métrés!$D:$D,0)),0)</f>
        <v>15.601200032687752</v>
      </c>
      <c r="AG67" s="1092">
        <f>IFERROR(Q67*$G$1/(_xlfn.XLOOKUP($AA67,Métrés!$A:$A,Métrés!$D:$D,0)),0)</f>
        <v>2.6137914227343306</v>
      </c>
      <c r="AH67" s="1092">
        <f>IFERROR(R67*$G$1/(_xlfn.XLOOKUP($AA67,Métrés!$A:$A,Métrés!$D:$D,0)),0)</f>
        <v>0.83834337958649996</v>
      </c>
      <c r="AI67" s="1092">
        <f>IFERROR(S67*$G$1/(_xlfn.XLOOKUP($AA67,Métrés!$A:$A,Métrés!$D:$D,0)),0)</f>
        <v>73.259308556018638</v>
      </c>
      <c r="AJ67" s="1064"/>
      <c r="AK67" s="1064"/>
      <c r="AL67" s="1064"/>
      <c r="AM67" s="1021"/>
      <c r="AN67" s="1073"/>
      <c r="AO67" s="1064"/>
      <c r="AP67" s="1064"/>
      <c r="AQ67" s="1064"/>
      <c r="AR67" s="1074"/>
      <c r="AS67" s="1073"/>
      <c r="AT67" s="1064"/>
      <c r="AU67" s="1064"/>
      <c r="AV67" s="1064"/>
      <c r="AW67" s="1074"/>
      <c r="AX67" s="1073"/>
      <c r="AY67" s="1064"/>
      <c r="AZ67" s="1064"/>
      <c r="BA67" s="1064"/>
      <c r="BB67" s="1074"/>
      <c r="BC67" s="1073"/>
      <c r="BD67" s="1064"/>
      <c r="BE67" s="1064"/>
      <c r="BF67" s="1074"/>
      <c r="BG67" s="1073"/>
      <c r="BH67" s="1064"/>
      <c r="BI67" s="1074"/>
      <c r="BJ67" s="1078"/>
      <c r="BK67" s="1073"/>
      <c r="BL67" s="1064"/>
      <c r="BM67" s="1074"/>
    </row>
    <row r="68" spans="2:67">
      <c r="B68" s="1103"/>
      <c r="C68" s="1099"/>
      <c r="D68" s="454"/>
      <c r="E68" s="478"/>
      <c r="F68" s="454" t="s">
        <v>3256</v>
      </c>
      <c r="G68" s="478" t="str">
        <f>_xlfn.XLOOKUP(H68, 'Baumaterialien Matériaux'!A:A, 'Baumaterialien Matériaux'!AD:AD, "-", 0, 1)</f>
        <v>Bois massif épicéa / sapin / mélèze, séché en cellule, raboté</v>
      </c>
      <c r="H68" s="892" t="s">
        <v>129</v>
      </c>
      <c r="I68" s="641" t="str">
        <f>_xlfn.XLOOKUP(H68, 'Baumaterialien Matériaux'!A:A, 'Baumaterialien Matériaux'!F:F, "-", 0, 1)</f>
        <v>kg</v>
      </c>
      <c r="J68" s="649">
        <f>$J$67*K68</f>
        <v>5745.1679999999997</v>
      </c>
      <c r="K68" s="528">
        <f>0.03*465</f>
        <v>13.95</v>
      </c>
      <c r="L68" s="647" cm="1">
        <f t="array" aca="1" ref="L68" ca="1">INDEX('Enveloppe du bâtiment hors terr'!N49:N149, 'Enveloppe du bâtiment hors terr'!W48)</f>
        <v>30</v>
      </c>
      <c r="M68" s="648">
        <f ca="1">SUM(N68:Q68)</f>
        <v>2.4775332795663383</v>
      </c>
      <c r="N68" s="720">
        <f>IFERROR(($J68*VLOOKUP($H68, 'Baumaterialien Matériaux'!$A$11:$AD$318, 26,FALSE)),0)/$G$1</f>
        <v>0.85454009387188468</v>
      </c>
      <c r="O68" s="720">
        <f>IFERROR(($J68*VLOOKUP($H68, 'Baumaterialien Matériaux'!$A$11:$AH$318, 33,FALSE)),0)/$G$1</f>
        <v>0.27218684471474841</v>
      </c>
      <c r="P68" s="720">
        <f ca="1">IFERROR((N68+Q68)*($L$2/L68-1),0)</f>
        <v>1.1026732174257949</v>
      </c>
      <c r="Q68" s="720">
        <f>IFERROR(($J68*VLOOKUP($H68, 'Baumaterialien Matériaux'!$A$11:$AH$318, 27,FALSE)),0)/$G$1</f>
        <v>0.24813312355391021</v>
      </c>
      <c r="R68" s="720">
        <f>IFERROR(($J68*VLOOKUP($H68, 'Baumaterialien Matériaux'!$A$11:$AH$318, 34,FALSE)),0)/$G$1</f>
        <v>4.6081865802869042E-2</v>
      </c>
      <c r="S68" s="720">
        <f>IFERROR((J68*VLOOKUP(H68, 'Baumaterialien Matériaux'!$A$11:$AD$318, 29,FALSE)),0)/$G$1</f>
        <v>10.46758865604548</v>
      </c>
      <c r="T68" s="720">
        <f t="shared" ref="T68:T75" si="159">S68*AJ68</f>
        <v>0.1046758865604548</v>
      </c>
      <c r="U68" s="638">
        <v>0.01</v>
      </c>
      <c r="V68" s="638">
        <f t="shared" ca="1" si="3"/>
        <v>0.1046758865604548</v>
      </c>
      <c r="W68" s="638">
        <f t="shared" ca="1" si="4"/>
        <v>10.46758865604548</v>
      </c>
      <c r="Y68" s="638" t="str">
        <f t="shared" ca="1" si="9"/>
        <v>Revêtement</v>
      </c>
      <c r="Z68" s="638">
        <f t="shared" ca="1" si="10"/>
        <v>30</v>
      </c>
      <c r="AA68" s="648" t="s">
        <v>3443</v>
      </c>
      <c r="AB68" t="str">
        <f>_xlfn.XLOOKUP($H68,'[1]Baumaterialien Matériaux'!$A:$A,'[1]Baumaterialien Matériaux'!AK:AK,0,0)</f>
        <v>timber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622" cm="1">
        <f t="array" ref="AD68">IFERROR(_xlfn.SWITCH(I68,"kg",1,"m3",AC68,AC68)*J68/(_xlfn.XLOOKUP(AA68,Métrés!A:A,Métrés!D:D,0)),0)</f>
        <v>11.737288551115469</v>
      </c>
      <c r="AE68" s="1092">
        <f>IFERROR(N68*$G$1/(_xlfn.XLOOKUP($AA68,Métrés!$A:$A,Métrés!$D:$D,0)),0)</f>
        <v>1.5845339544005885</v>
      </c>
      <c r="AF68" s="1092">
        <f>IFERROR(O68*$G$1/(_xlfn.XLOOKUP($AA68,Métrés!$A:$A,Métrés!$D:$D,0)),0)</f>
        <v>0.50470340769796507</v>
      </c>
      <c r="AG68" s="1092">
        <f>IFERROR(Q68*$G$1/(_xlfn.XLOOKUP($AA68,Métrés!$A:$A,Métrés!$D:$D,0)),0)</f>
        <v>0.46010171120372639</v>
      </c>
      <c r="AH68" s="1092">
        <f>IFERROR(R68*$G$1/(_xlfn.XLOOKUP($AA68,Métrés!$A:$A,Métrés!$D:$D,0)),0)</f>
        <v>8.5447460652120624E-2</v>
      </c>
      <c r="AI68" s="1092">
        <f>IFERROR(S68*$G$1/(_xlfn.XLOOKUP($AA68,Métrés!$A:$A,Métrés!$D:$D,0)),0)</f>
        <v>19.409562834027948</v>
      </c>
      <c r="AJ68" s="1030">
        <v>0.01</v>
      </c>
      <c r="AK68" s="1030">
        <f t="shared" ref="AK68:AK75" ca="1" si="160">IF(L68=60,0,T68)</f>
        <v>0.1046758865604548</v>
      </c>
      <c r="AL68" s="1030">
        <f t="shared" ref="AL68:AL75" ca="1" si="161">IF(L68=60,0,S68)</f>
        <v>10.46758865604548</v>
      </c>
      <c r="AM68" s="638" t="str">
        <f ca="1">IF(L68=$L$2, "Structure", IF(L68&gt;0,"Revêtement",0))</f>
        <v>Revêtement</v>
      </c>
      <c r="AN68" s="1032">
        <f t="shared" ref="AN68:AN75" ca="1" si="162">IF(AM68="Structure",N68,0)</f>
        <v>0</v>
      </c>
      <c r="AO68" s="1030">
        <f t="shared" ref="AO68:AO75" ca="1" si="163">IF(AM68="Structure",P68,0)</f>
        <v>0</v>
      </c>
      <c r="AP68" s="1030">
        <f t="shared" ref="AP68:AP75" ca="1" si="164">IF(AM68="Structure",Q68,0)</f>
        <v>0</v>
      </c>
      <c r="AQ68" s="1030">
        <f t="shared" ref="AQ68:AQ75" ca="1" si="165">IF(AM68="Structure",S68,0)</f>
        <v>0</v>
      </c>
      <c r="AR68" s="1033">
        <f t="shared" ref="AR68:AR75" ca="1" si="166">IF(AM68="Structure",T68,0)</f>
        <v>0</v>
      </c>
      <c r="AS68" s="1032">
        <f t="shared" ref="AS68:AS75" ca="1" si="167">IF($AM68="Insulation",N68,0)</f>
        <v>0</v>
      </c>
      <c r="AT68" s="1030">
        <f t="shared" ref="AT68:AU75" ca="1" si="168">IF($AM68="Insulation",P68,0)</f>
        <v>0</v>
      </c>
      <c r="AU68" s="1030">
        <f t="shared" ca="1" si="168"/>
        <v>0</v>
      </c>
      <c r="AV68" s="1030">
        <f t="shared" ref="AV68:AW75" ca="1" si="169">IF($AM68="Insulation",S68,0)</f>
        <v>0</v>
      </c>
      <c r="AW68" s="1033">
        <f t="shared" ca="1" si="169"/>
        <v>0</v>
      </c>
      <c r="AX68" s="1032">
        <f t="shared" ref="AX68:AX75" ca="1" si="170">IF($AM68="Revêtement",N68,0)</f>
        <v>0.85454009387188468</v>
      </c>
      <c r="AY68" s="1030">
        <f t="shared" ref="AY68:AZ75" ca="1" si="171">IF($AM68="Revêtement",P68,0)</f>
        <v>1.1026732174257949</v>
      </c>
      <c r="AZ68" s="1030">
        <f t="shared" ca="1" si="171"/>
        <v>0.24813312355391021</v>
      </c>
      <c r="BA68" s="1030">
        <f t="shared" ref="BA68:BB75" ca="1" si="172">IF($AM68="Revêtement",S68,0)</f>
        <v>10.46758865604548</v>
      </c>
      <c r="BB68" s="1033">
        <f t="shared" ca="1" si="172"/>
        <v>0.1046758865604548</v>
      </c>
      <c r="BC68" s="1032">
        <f t="shared" ref="BC68:BC75" ca="1" si="173">IF($AM68="Installation",N68,0)</f>
        <v>0</v>
      </c>
      <c r="BD68" s="1030">
        <f t="shared" ref="BD68:BE75" ca="1" si="174">IF($AM68="Installation",P68,0)</f>
        <v>0</v>
      </c>
      <c r="BE68" s="1030">
        <f t="shared" ca="1" si="174"/>
        <v>0</v>
      </c>
      <c r="BF68" s="1033">
        <f t="shared" ref="BF68:BF75" ca="1" si="175">IF($AM68="Installation",S68,0)</f>
        <v>0</v>
      </c>
      <c r="BG68" s="1032">
        <f t="shared" ref="BG68:BG75" ca="1" si="176">IF($AM68="Structure", IF($I68="kg",$J68,0), 0)</f>
        <v>0</v>
      </c>
      <c r="BH68" s="1030">
        <f t="shared" ref="BH68:BH75" ca="1" si="177">IF($AM68="Insulation", IF($I68="kg",$J68,0), 0)</f>
        <v>0</v>
      </c>
      <c r="BI68" s="1033">
        <f t="shared" ref="BI68:BI75" ca="1" si="178">IF($AM68="Revêtement", IF($I68="kg",$J68,0), 0)</f>
        <v>5745.1679999999997</v>
      </c>
      <c r="BJ68" s="1030">
        <f>_xlfn.XLOOKUP(H68, 'Baumaterialien Matériaux'!A:A, 'Baumaterialien Matériaux'!E:E, "-", 0, 1)</f>
        <v>465</v>
      </c>
      <c r="BK68" s="1032">
        <f t="shared" ca="1" si="5"/>
        <v>0</v>
      </c>
      <c r="BL68" s="1030">
        <f t="shared" ca="1" si="6"/>
        <v>0</v>
      </c>
      <c r="BM68" s="1033">
        <f t="shared" ca="1" si="7"/>
        <v>12.3552</v>
      </c>
      <c r="BN68" s="720">
        <f ca="1">IFERROR((J68*VLOOKUP(H68, 'Baumaterialien Matériaux'!$A$11:$AH$318, 32,FALSE))*($L$2/L68-1),0)/$G$1</f>
        <v>0.31839530905004293</v>
      </c>
      <c r="BO68" s="720">
        <f t="shared" ref="BO68:BO75" ca="1" si="179">IFERROR((N68+Q68)*($L$2/L68-1),0)</f>
        <v>1.1026732174257949</v>
      </c>
    </row>
    <row r="69" spans="2:67">
      <c r="B69" s="1103"/>
      <c r="C69" s="1099"/>
      <c r="D69" s="478"/>
      <c r="E69" s="478"/>
      <c r="F69" s="638" t="s">
        <v>2996</v>
      </c>
      <c r="G69" s="478" t="str">
        <f>_xlfn.XLOOKUP(H69, 'Baumaterialien Matériaux'!A:A, 'Baumaterialien Matériaux'!AD:AD, "-", 0, 1)</f>
        <v>Bois massif de construction</v>
      </c>
      <c r="H69" s="875" t="s">
        <v>547</v>
      </c>
      <c r="I69" s="641" t="str">
        <f>_xlfn.XLOOKUP(H69, 'Baumaterialien Matériaux'!A:A, 'Baumaterialien Matériaux'!F:F, "-", 0, 1)</f>
        <v>kg</v>
      </c>
      <c r="J69" s="649">
        <f>5.9*436</f>
        <v>2572.4</v>
      </c>
      <c r="K69" s="893"/>
      <c r="L69" s="647" cm="1">
        <f t="array" aca="1" ref="L69" ca="1">INDEX('Enveloppe du bâtiment hors terr'!N50:N150, 'Enveloppe du bâtiment hors terr'!W49)</f>
        <v>30</v>
      </c>
      <c r="M69" s="648">
        <f t="shared" ref="M69:M73" ca="1" si="180">SUM(N69:Q69)</f>
        <v>1.8329504947004254</v>
      </c>
      <c r="N69" s="720">
        <f>IFERROR(($J69*VLOOKUP($H69, 'Baumaterialien Matériaux'!$A$11:$AD$318, 26,FALSE)),0)/$G$1</f>
        <v>0.69438531544038262</v>
      </c>
      <c r="O69" s="720">
        <f>IFERROR(($J69*VLOOKUP($H69, 'Baumaterialien Matériaux'!$A$11:$AH$318, 33,FALSE)),0)/$G$1</f>
        <v>0.19306745995019942</v>
      </c>
      <c r="P69" s="720">
        <f t="shared" ref="P69:P73" ca="1" si="181">IFERROR((N69+Q69)*($L$2/L69-1),0)</f>
        <v>0.819941517375113</v>
      </c>
      <c r="Q69" s="720">
        <f>IFERROR(($J69*VLOOKUP($H69, 'Baumaterialien Matériaux'!$A$11:$AH$318, 27,FALSE)),0)/$G$1</f>
        <v>0.12555620193473038</v>
      </c>
      <c r="R69" s="720">
        <f>IFERROR(($J69*VLOOKUP($H69, 'Baumaterialien Matériaux'!$A$11:$AH$318, 34,FALSE)),0)/$G$1</f>
        <v>2.0633163658799938E-2</v>
      </c>
      <c r="S69" s="720">
        <f>IFERROR((J69*VLOOKUP(H69, 'Baumaterialien Matériaux'!$A$11:$AD$318, 29,FALSE)),0)/$G$1</f>
        <v>4.6764725325576784</v>
      </c>
      <c r="T69" s="720">
        <f t="shared" si="159"/>
        <v>4.6764725325576788E-2</v>
      </c>
      <c r="U69" s="638">
        <v>0.01</v>
      </c>
      <c r="V69" s="638">
        <f t="shared" ca="1" si="3"/>
        <v>4.6764725325576788E-2</v>
      </c>
      <c r="W69" s="638">
        <f t="shared" ca="1" si="4"/>
        <v>4.6764725325576784</v>
      </c>
      <c r="Y69" s="638" t="str">
        <f t="shared" ca="1" si="9"/>
        <v>Revêtement</v>
      </c>
      <c r="Z69" s="638">
        <f t="shared" ca="1" si="10"/>
        <v>30</v>
      </c>
      <c r="AA69" s="648" t="s">
        <v>3443</v>
      </c>
      <c r="AB69" t="str">
        <f>_xlfn.XLOOKUP($H69,'[1]Baumaterialien Matériaux'!$A:$A,'[1]Baumaterialien Matériaux'!AK:AK,0,0)</f>
        <v>timber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622" cm="1">
        <f t="array" ref="AD69">IFERROR(_xlfn.SWITCH(I69,"kg",1,"m3",AC69,AC69)*J69/(_xlfn.XLOOKUP(AA69,Métrés!A:A,Métrés!D:D,0)),0)</f>
        <v>5.2553730489499069</v>
      </c>
      <c r="AE69" s="1092">
        <f>IFERROR(N69*$G$1/(_xlfn.XLOOKUP($AA69,Métrés!$A:$A,Métrés!$D:$D,0)),0)</f>
        <v>1.2875663969927271</v>
      </c>
      <c r="AF69" s="1092">
        <f>IFERROR(O69*$G$1/(_xlfn.XLOOKUP($AA69,Métrés!$A:$A,Métrés!$D:$D,0)),0)</f>
        <v>0.35799601209446763</v>
      </c>
      <c r="AG69" s="1092">
        <f>IFERROR(Q69*$G$1/(_xlfn.XLOOKUP($AA69,Métrés!$A:$A,Métrés!$D:$D,0)),0)</f>
        <v>0.23281302606848084</v>
      </c>
      <c r="AH69" s="1092">
        <f>IFERROR(R69*$G$1/(_xlfn.XLOOKUP($AA69,Métrés!$A:$A,Métrés!$D:$D,0)),0)</f>
        <v>3.8259115796355318E-2</v>
      </c>
      <c r="AI69" s="1092">
        <f>IFERROR(S69*$G$1/(_xlfn.XLOOKUP($AA69,Métrés!$A:$A,Métrés!$D:$D,0)),0)</f>
        <v>8.6713655307673463</v>
      </c>
      <c r="AJ69" s="1030">
        <v>0.01</v>
      </c>
      <c r="AK69" s="1030">
        <f t="shared" ca="1" si="160"/>
        <v>4.6764725325576788E-2</v>
      </c>
      <c r="AL69" s="1030">
        <f t="shared" ca="1" si="161"/>
        <v>4.6764725325576784</v>
      </c>
      <c r="AM69" s="638" t="str">
        <f ca="1">IF(L69=$L$2, "Structure", IF(L69&gt;0,"Revêtement",0))</f>
        <v>Revêtement</v>
      </c>
      <c r="AN69" s="1032">
        <f t="shared" ca="1" si="162"/>
        <v>0</v>
      </c>
      <c r="AO69" s="1030">
        <f t="shared" ca="1" si="163"/>
        <v>0</v>
      </c>
      <c r="AP69" s="1030">
        <f t="shared" ca="1" si="164"/>
        <v>0</v>
      </c>
      <c r="AQ69" s="1030">
        <f t="shared" ca="1" si="165"/>
        <v>0</v>
      </c>
      <c r="AR69" s="1033">
        <f t="shared" ca="1" si="166"/>
        <v>0</v>
      </c>
      <c r="AS69" s="1032">
        <f t="shared" ca="1" si="167"/>
        <v>0</v>
      </c>
      <c r="AT69" s="1030">
        <f t="shared" ca="1" si="168"/>
        <v>0</v>
      </c>
      <c r="AU69" s="1030">
        <f t="shared" ca="1" si="168"/>
        <v>0</v>
      </c>
      <c r="AV69" s="1030">
        <f t="shared" ca="1" si="169"/>
        <v>0</v>
      </c>
      <c r="AW69" s="1033">
        <f t="shared" ca="1" si="169"/>
        <v>0</v>
      </c>
      <c r="AX69" s="1032">
        <f t="shared" ca="1" si="170"/>
        <v>0.69438531544038262</v>
      </c>
      <c r="AY69" s="1030">
        <f t="shared" ca="1" si="171"/>
        <v>0.819941517375113</v>
      </c>
      <c r="AZ69" s="1030">
        <f t="shared" ca="1" si="171"/>
        <v>0.12555620193473038</v>
      </c>
      <c r="BA69" s="1030">
        <f t="shared" ca="1" si="172"/>
        <v>4.6764725325576784</v>
      </c>
      <c r="BB69" s="1033">
        <f t="shared" ca="1" si="172"/>
        <v>4.6764725325576788E-2</v>
      </c>
      <c r="BC69" s="1032">
        <f t="shared" ca="1" si="173"/>
        <v>0</v>
      </c>
      <c r="BD69" s="1030">
        <f t="shared" ca="1" si="174"/>
        <v>0</v>
      </c>
      <c r="BE69" s="1030">
        <f t="shared" ca="1" si="174"/>
        <v>0</v>
      </c>
      <c r="BF69" s="1033">
        <f t="shared" ca="1" si="175"/>
        <v>0</v>
      </c>
      <c r="BG69" s="1032">
        <f t="shared" ca="1" si="176"/>
        <v>0</v>
      </c>
      <c r="BH69" s="1030">
        <f t="shared" ca="1" si="177"/>
        <v>0</v>
      </c>
      <c r="BI69" s="1033">
        <f t="shared" ca="1" si="178"/>
        <v>2572.4</v>
      </c>
      <c r="BJ69" s="1030">
        <f>_xlfn.XLOOKUP(H69, 'Baumaterialien Matériaux'!A:A, 'Baumaterialien Matériaux'!E:E, "-", 0, 1)</f>
        <v>436</v>
      </c>
      <c r="BK69" s="1032">
        <f t="shared" ref="BK69:BK132" ca="1" si="182">IFERROR(BG69/$BJ69,0)</f>
        <v>0</v>
      </c>
      <c r="BL69" s="1030">
        <f t="shared" ref="BL69:BL132" ca="1" si="183">IFERROR(BH69/$BJ69,0)</f>
        <v>0</v>
      </c>
      <c r="BM69" s="1033">
        <f t="shared" ref="BM69:BM132" ca="1" si="184">IFERROR(BI69/$BJ69,0)</f>
        <v>5.9</v>
      </c>
      <c r="BN69" s="720">
        <f ca="1">IFERROR((J69*VLOOKUP(H69, 'Baumaterialien Matériaux'!$A$11:$AH$318, 32,FALSE))*($L$2/L69-1),0)/$G$1</f>
        <v>0.21370062360899936</v>
      </c>
      <c r="BO69" s="720">
        <f t="shared" ca="1" si="179"/>
        <v>0.819941517375113</v>
      </c>
    </row>
    <row r="70" spans="2:67">
      <c r="B70" s="1103"/>
      <c r="C70" s="1099"/>
      <c r="D70" s="478"/>
      <c r="E70" s="478"/>
      <c r="F70" s="483" t="s">
        <v>3257</v>
      </c>
      <c r="G70" s="478" t="str">
        <f>_xlfn.XLOOKUP(H70, 'Baumaterialien Matériaux'!A:A, 'Baumaterialien Matériaux'!AD:AD, "-", 0, 1)</f>
        <v>Panneau de fibres mou</v>
      </c>
      <c r="H70" s="892" t="s">
        <v>542</v>
      </c>
      <c r="I70" s="641" t="str">
        <f>_xlfn.XLOOKUP(H70, 'Baumaterialien Matériaux'!A:A, 'Baumaterialien Matériaux'!F:F, "-", 0, 1)</f>
        <v>kg</v>
      </c>
      <c r="J70" s="649">
        <f t="shared" ref="J70:J73" si="185">$J$67*K70</f>
        <v>3706.56</v>
      </c>
      <c r="K70" s="647">
        <f>0.06*150</f>
        <v>9</v>
      </c>
      <c r="L70" s="647" cm="1">
        <f t="array" aca="1" ref="L70" ca="1">INDEX('Enveloppe du bâtiment hors terr'!N51:N151, 'Enveloppe du bâtiment hors terr'!W50)</f>
        <v>30</v>
      </c>
      <c r="M70" s="648">
        <f t="shared" ca="1" si="180"/>
        <v>6.9106463409797056</v>
      </c>
      <c r="N70" s="720">
        <f>IFERROR(($J70*VLOOKUP($H70, 'Baumaterialien Matériaux'!$A$11:$AD$318, 26,FALSE)),0)/$G$1</f>
        <v>2.5891441792820786</v>
      </c>
      <c r="O70" s="720">
        <f>IFERROR(($J70*VLOOKUP($H70, 'Baumaterialien Matériaux'!$A$11:$AH$318, 33,FALSE)),0)/$G$1</f>
        <v>0.97603384676406424</v>
      </c>
      <c r="P70" s="720">
        <f t="shared" ca="1" si="181"/>
        <v>2.9673062471078206</v>
      </c>
      <c r="Q70" s="720">
        <f>IFERROR(($J70*VLOOKUP($H70, 'Baumaterialien Matériaux'!$A$11:$AH$318, 27,FALSE)),0)/$G$1</f>
        <v>0.37816206782574208</v>
      </c>
      <c r="R70" s="720">
        <f>IFERROR(($J70*VLOOKUP($H70, 'Baumaterialien Matériaux'!$A$11:$AH$318, 34,FALSE)),0)/$G$1</f>
        <v>0.15355176836120843</v>
      </c>
      <c r="S70" s="720">
        <f>IFERROR((J70*VLOOKUP(H70, 'Baumaterialien Matériaux'!$A$11:$AD$318, 29,FALSE)),0)/$G$1</f>
        <v>6.5286727044357775</v>
      </c>
      <c r="T70" s="720">
        <f t="shared" si="159"/>
        <v>6.528672704435777E-2</v>
      </c>
      <c r="U70" s="638">
        <v>0.01</v>
      </c>
      <c r="V70" s="638">
        <f t="shared" ca="1" si="3"/>
        <v>6.528672704435777E-2</v>
      </c>
      <c r="W70" s="638">
        <f t="shared" ca="1" si="4"/>
        <v>6.5286727044357775</v>
      </c>
      <c r="Y70" s="638" t="str">
        <f t="shared" ca="1" si="9"/>
        <v>Revêtement</v>
      </c>
      <c r="Z70" s="638">
        <f t="shared" ca="1" si="10"/>
        <v>30</v>
      </c>
      <c r="AA70" s="648" t="s">
        <v>3443</v>
      </c>
      <c r="AB70" t="str">
        <f>_xlfn.XLOOKUP($H70,'[1]Baumaterialien Matériaux'!$A:$A,'[1]Baumaterialien Matériaux'!AK:AK,0,0)</f>
        <v>vegetal_fiber</v>
      </c>
      <c r="AC70" t="str" cm="1">
        <f t="array" ref="AC70">_xlfn.SWITCH(I70,"kg"," ",0," ",_xlfn.XLOOKUP(H70, '[1]Baumaterialien Matériaux'!$A:$A, '[1]Baumaterialien Matériaux'!$AL:$AL, "-", 0, 1))</f>
        <v xml:space="preserve"> </v>
      </c>
      <c r="AD70" s="622" cm="1">
        <f t="array" ref="AD70">IFERROR(_xlfn.SWITCH(I70,"kg",1,"m3",AC70,AC70)*J70/(_xlfn.XLOOKUP(AA70,Métrés!A:A,Métrés!D:D,0)),0)</f>
        <v>7.5724442265261098</v>
      </c>
      <c r="AE70" s="1092">
        <f>IFERROR(N70*$G$1/(_xlfn.XLOOKUP($AA70,Métrés!$A:$A,Métrés!$D:$D,0)),0)</f>
        <v>4.8009296396175545</v>
      </c>
      <c r="AF70" s="1092">
        <f>IFERROR(O70*$G$1/(_xlfn.XLOOKUP($AA70,Métrés!$A:$A,Métrés!$D:$D,0)),0)</f>
        <v>1.8098141701397403</v>
      </c>
      <c r="AG70" s="1092">
        <f>IFERROR(Q70*$G$1/(_xlfn.XLOOKUP($AA70,Métrés!$A:$A,Métrés!$D:$D,0)),0)</f>
        <v>0.70120833537631777</v>
      </c>
      <c r="AH70" s="1092">
        <f>IFERROR(R70*$G$1/(_xlfn.XLOOKUP($AA70,Métrés!$A:$A,Métrés!$D:$D,0)),0)</f>
        <v>0.28472390291738175</v>
      </c>
      <c r="AI70" s="1092">
        <f>IFERROR(S70*$G$1/(_xlfn.XLOOKUP($AA70,Métrés!$A:$A,Métrés!$D:$D,0)),0)</f>
        <v>12.105814170139741</v>
      </c>
      <c r="AJ70" s="1030">
        <v>0.01</v>
      </c>
      <c r="AK70" s="1030">
        <f t="shared" ca="1" si="160"/>
        <v>6.528672704435777E-2</v>
      </c>
      <c r="AL70" s="1030">
        <f t="shared" ca="1" si="161"/>
        <v>6.5286727044357775</v>
      </c>
      <c r="AM70" s="638" t="s">
        <v>3388</v>
      </c>
      <c r="AN70" s="1032">
        <f t="shared" si="162"/>
        <v>0</v>
      </c>
      <c r="AO70" s="1030">
        <f t="shared" si="163"/>
        <v>0</v>
      </c>
      <c r="AP70" s="1030">
        <f t="shared" si="164"/>
        <v>0</v>
      </c>
      <c r="AQ70" s="1030">
        <f t="shared" si="165"/>
        <v>0</v>
      </c>
      <c r="AR70" s="1033">
        <f t="shared" si="166"/>
        <v>0</v>
      </c>
      <c r="AS70" s="1032">
        <f t="shared" si="167"/>
        <v>2.5891441792820786</v>
      </c>
      <c r="AT70" s="1030">
        <f t="shared" ca="1" si="168"/>
        <v>2.9673062471078206</v>
      </c>
      <c r="AU70" s="1030">
        <f t="shared" si="168"/>
        <v>0.37816206782574208</v>
      </c>
      <c r="AV70" s="1030">
        <f t="shared" si="169"/>
        <v>6.5286727044357775</v>
      </c>
      <c r="AW70" s="1033">
        <f t="shared" si="169"/>
        <v>6.528672704435777E-2</v>
      </c>
      <c r="AX70" s="1032">
        <f t="shared" si="170"/>
        <v>0</v>
      </c>
      <c r="AY70" s="1030">
        <f t="shared" si="171"/>
        <v>0</v>
      </c>
      <c r="AZ70" s="1030">
        <f t="shared" si="171"/>
        <v>0</v>
      </c>
      <c r="BA70" s="1030">
        <f t="shared" si="172"/>
        <v>0</v>
      </c>
      <c r="BB70" s="1033">
        <f t="shared" si="172"/>
        <v>0</v>
      </c>
      <c r="BC70" s="1032">
        <f t="shared" si="173"/>
        <v>0</v>
      </c>
      <c r="BD70" s="1030">
        <f t="shared" si="174"/>
        <v>0</v>
      </c>
      <c r="BE70" s="1030">
        <f t="shared" si="174"/>
        <v>0</v>
      </c>
      <c r="BF70" s="1033">
        <f t="shared" si="175"/>
        <v>0</v>
      </c>
      <c r="BG70" s="1032">
        <f t="shared" si="176"/>
        <v>0</v>
      </c>
      <c r="BH70" s="1030">
        <f t="shared" si="177"/>
        <v>3706.56</v>
      </c>
      <c r="BI70" s="1033">
        <f t="shared" si="178"/>
        <v>0</v>
      </c>
      <c r="BJ70" s="1030">
        <f>_xlfn.XLOOKUP(H70, 'Baumaterialien Matériaux'!A:A, 'Baumaterialien Matériaux'!E:E, "-", 0, 1)</f>
        <v>147.5</v>
      </c>
      <c r="BK70" s="1032">
        <f t="shared" si="182"/>
        <v>0</v>
      </c>
      <c r="BL70" s="1030">
        <f t="shared" si="183"/>
        <v>25.12922033898305</v>
      </c>
      <c r="BM70" s="1033">
        <f t="shared" si="184"/>
        <v>0</v>
      </c>
      <c r="BN70" s="720">
        <f ca="1">IFERROR((J70*VLOOKUP(H70, 'Baumaterialien Matériaux'!$A$11:$AH$318, 32,FALSE))*($L$2/L70-1),0)/$G$1</f>
        <v>1.1312191445759239</v>
      </c>
      <c r="BO70" s="720">
        <f t="shared" ca="1" si="179"/>
        <v>2.9673062471078206</v>
      </c>
    </row>
    <row r="71" spans="2:67">
      <c r="B71" s="1103"/>
      <c r="C71" s="1099"/>
      <c r="D71" s="478"/>
      <c r="E71" s="478"/>
      <c r="F71" s="483" t="s">
        <v>3265</v>
      </c>
      <c r="G71" s="478" t="str">
        <f>_xlfn.XLOOKUP(H71, 'Baumaterialien Matériaux'!A:A, 'Baumaterialien Matériaux'!AD:AD, "-", 0, 1)</f>
        <v>Gramitherm</v>
      </c>
      <c r="H71" s="892" t="s">
        <v>545</v>
      </c>
      <c r="I71" s="641" t="str">
        <f>_xlfn.XLOOKUP(H71, 'Baumaterialien Matériaux'!A:A, 'Baumaterialien Matériaux'!F:F, "-", 0, 1)</f>
        <v>kg</v>
      </c>
      <c r="J71" s="649">
        <f t="shared" si="185"/>
        <v>4942.08</v>
      </c>
      <c r="K71" s="647">
        <f>0.3*40</f>
        <v>12</v>
      </c>
      <c r="L71" s="647" cm="1">
        <f t="array" aca="1" ref="L71" ca="1">INDEX('Enveloppe du bâtiment hors terr'!N52:N152, 'Enveloppe du bâtiment hors terr'!W51)</f>
        <v>30</v>
      </c>
      <c r="M71" s="648">
        <f t="shared" ca="1" si="180"/>
        <v>4.2471765716929992</v>
      </c>
      <c r="N71" s="720">
        <f>IFERROR(($J71*VLOOKUP($H71, 'Baumaterialien Matériaux'!$A$11:$AD$318, 26,FALSE)),0)/$G$1</f>
        <v>1.4157255238976665</v>
      </c>
      <c r="O71" s="720">
        <f>IFERROR(($J71*VLOOKUP($H71, 'Baumaterialien Matériaux'!$A$11:$AH$318, 33,FALSE)),0)/$G$1</f>
        <v>1.4157255238976665</v>
      </c>
      <c r="P71" s="720">
        <f t="shared" ca="1" si="181"/>
        <v>1.4157255238976665</v>
      </c>
      <c r="Q71" s="720">
        <f>IFERROR(($J71*VLOOKUP($H71, 'Baumaterialien Matériaux'!$A$11:$AH$318, 27,FALSE)),0)/$G$1</f>
        <v>0</v>
      </c>
      <c r="R71" s="720">
        <f>IFERROR(($J71*VLOOKUP($H71, 'Baumaterialien Matériaux'!$A$11:$AH$318, 34,FALSE)),0)/$G$1</f>
        <v>0</v>
      </c>
      <c r="S71" s="720">
        <f>IFERROR((J71*VLOOKUP(H71, 'Baumaterialien Matériaux'!$A$11:$AD$318, 29,FALSE)),0)/$G$1</f>
        <v>7.7864903814371651</v>
      </c>
      <c r="T71" s="720">
        <f t="shared" si="159"/>
        <v>-1.7908927877305481</v>
      </c>
      <c r="U71" s="638">
        <v>-0.23</v>
      </c>
      <c r="V71" s="638">
        <f t="shared" ref="V71:V141" ca="1" si="186">IF(L71=60,0,T71)</f>
        <v>-1.7908927877305481</v>
      </c>
      <c r="W71" s="638">
        <f t="shared" ref="W71:W141" ca="1" si="187">IF(L71=60,0,S71)</f>
        <v>7.7864903814371651</v>
      </c>
      <c r="Y71" s="638" t="str">
        <f t="shared" ca="1" si="9"/>
        <v>Revêtement</v>
      </c>
      <c r="Z71" s="638">
        <f t="shared" ca="1" si="10"/>
        <v>30</v>
      </c>
      <c r="AA71" s="648" t="s">
        <v>3443</v>
      </c>
      <c r="AB71" t="str">
        <f>_xlfn.XLOOKUP($H71,'[1]Baumaterialien Matériaux'!$A:$A,'[1]Baumaterialien Matériaux'!AK:AK,0,0)</f>
        <v>vegetal_fiber</v>
      </c>
      <c r="AC71" t="str" cm="1">
        <f t="array" ref="AC71">_xlfn.SWITCH(I71,"kg"," ",0," ",_xlfn.XLOOKUP(H71, '[1]Baumaterialien Matériaux'!$A:$A, '[1]Baumaterialien Matériaux'!$AL:$AL, "-", 0, 1))</f>
        <v xml:space="preserve"> </v>
      </c>
      <c r="AD71" s="622" cm="1">
        <f t="array" ref="AD71">IFERROR(_xlfn.SWITCH(I71,"kg",1,"m3",AC71,AC71)*J71/(_xlfn.XLOOKUP(AA71,Métrés!A:A,Métrés!D:D,0)),0)</f>
        <v>10.096592302034813</v>
      </c>
      <c r="AE71" s="1092">
        <f>IFERROR(N71*$G$1/(_xlfn.XLOOKUP($AA71,Métrés!$A:$A,Métrés!$D:$D,0)),0)</f>
        <v>2.6251139985290517</v>
      </c>
      <c r="AF71" s="1092">
        <f>IFERROR(O71*$G$1/(_xlfn.XLOOKUP($AA71,Métrés!$A:$A,Métrés!$D:$D,0)),0)</f>
        <v>2.6251139985290517</v>
      </c>
      <c r="AG71" s="1092">
        <f>IFERROR(Q71*$G$1/(_xlfn.XLOOKUP($AA71,Métrés!$A:$A,Métrés!$D:$D,0)),0)</f>
        <v>0</v>
      </c>
      <c r="AH71" s="1092">
        <f>IFERROR(R71*$G$1/(_xlfn.XLOOKUP($AA71,Métrés!$A:$A,Métrés!$D:$D,0)),0)</f>
        <v>0</v>
      </c>
      <c r="AI71" s="1092">
        <f>IFERROR(S71*$G$1/(_xlfn.XLOOKUP($AA71,Métrés!$A:$A,Métrés!$D:$D,0)),0)</f>
        <v>14.438126991909783</v>
      </c>
      <c r="AJ71" s="1030">
        <v>-0.23</v>
      </c>
      <c r="AK71" s="1030">
        <f t="shared" ca="1" si="160"/>
        <v>-1.7908927877305481</v>
      </c>
      <c r="AL71" s="1030">
        <f t="shared" ca="1" si="161"/>
        <v>7.7864903814371651</v>
      </c>
      <c r="AM71" s="638" t="s">
        <v>3388</v>
      </c>
      <c r="AN71" s="1032">
        <f t="shared" si="162"/>
        <v>0</v>
      </c>
      <c r="AO71" s="1030">
        <f t="shared" si="163"/>
        <v>0</v>
      </c>
      <c r="AP71" s="1030">
        <f t="shared" si="164"/>
        <v>0</v>
      </c>
      <c r="AQ71" s="1030">
        <f t="shared" si="165"/>
        <v>0</v>
      </c>
      <c r="AR71" s="1033">
        <f t="shared" si="166"/>
        <v>0</v>
      </c>
      <c r="AS71" s="1032">
        <f t="shared" si="167"/>
        <v>1.4157255238976665</v>
      </c>
      <c r="AT71" s="1030">
        <f t="shared" ca="1" si="168"/>
        <v>1.4157255238976665</v>
      </c>
      <c r="AU71" s="1030">
        <f t="shared" si="168"/>
        <v>0</v>
      </c>
      <c r="AV71" s="1030">
        <f t="shared" si="169"/>
        <v>7.7864903814371651</v>
      </c>
      <c r="AW71" s="1033">
        <f t="shared" si="169"/>
        <v>-1.7908927877305481</v>
      </c>
      <c r="AX71" s="1032">
        <f t="shared" si="170"/>
        <v>0</v>
      </c>
      <c r="AY71" s="1030">
        <f t="shared" si="171"/>
        <v>0</v>
      </c>
      <c r="AZ71" s="1030">
        <f t="shared" si="171"/>
        <v>0</v>
      </c>
      <c r="BA71" s="1030">
        <f t="shared" si="172"/>
        <v>0</v>
      </c>
      <c r="BB71" s="1033">
        <f t="shared" si="172"/>
        <v>0</v>
      </c>
      <c r="BC71" s="1032">
        <f t="shared" si="173"/>
        <v>0</v>
      </c>
      <c r="BD71" s="1030">
        <f t="shared" si="174"/>
        <v>0</v>
      </c>
      <c r="BE71" s="1030">
        <f t="shared" si="174"/>
        <v>0</v>
      </c>
      <c r="BF71" s="1033">
        <f t="shared" si="175"/>
        <v>0</v>
      </c>
      <c r="BG71" s="1032">
        <f t="shared" si="176"/>
        <v>0</v>
      </c>
      <c r="BH71" s="1030">
        <f t="shared" si="177"/>
        <v>4942.08</v>
      </c>
      <c r="BI71" s="1033">
        <f t="shared" si="178"/>
        <v>0</v>
      </c>
      <c r="BJ71" s="1030">
        <f>_xlfn.XLOOKUP(H71, 'Baumaterialien Matériaux'!A:A, 'Baumaterialien Matériaux'!E:E, "-", 0, 1)</f>
        <v>0</v>
      </c>
      <c r="BK71" s="1032">
        <f t="shared" si="182"/>
        <v>0</v>
      </c>
      <c r="BL71" s="1030">
        <f t="shared" si="183"/>
        <v>0</v>
      </c>
      <c r="BM71" s="1033">
        <f t="shared" si="184"/>
        <v>0</v>
      </c>
      <c r="BN71" s="720">
        <f ca="1">IFERROR((J71*VLOOKUP(H71, 'Baumaterialien Matériaux'!$A$11:$AH$318, 32,FALSE))*($L$2/L71-1),0)/$G$1</f>
        <v>1.4157255238976665</v>
      </c>
      <c r="BO71" s="720">
        <f t="shared" ca="1" si="179"/>
        <v>1.4157255238976665</v>
      </c>
    </row>
    <row r="72" spans="2:67">
      <c r="B72" s="1103"/>
      <c r="C72" s="1099"/>
      <c r="D72" s="478"/>
      <c r="E72" s="478"/>
      <c r="F72" s="483" t="s">
        <v>3263</v>
      </c>
      <c r="G72" s="478" t="str">
        <f>_xlfn.XLOOKUP(H72, 'Baumaterialien Matériaux'!A:A, 'Baumaterialien Matériaux'!AD:AD, "-", 0, 1)</f>
        <v>Panneau de fibres mou</v>
      </c>
      <c r="H72" s="892" t="s">
        <v>542</v>
      </c>
      <c r="I72" s="641" t="str">
        <f>_xlfn.XLOOKUP(H72, 'Baumaterialien Matériaux'!A:A, 'Baumaterialien Matériaux'!F:F, "-", 0, 1)</f>
        <v>kg</v>
      </c>
      <c r="J72" s="649">
        <f t="shared" si="185"/>
        <v>4942.08</v>
      </c>
      <c r="K72" s="647">
        <f>0.08*150</f>
        <v>12</v>
      </c>
      <c r="L72" s="647" cm="1">
        <f t="array" aca="1" ref="L72" ca="1">INDEX('Enveloppe du bâtiment hors terr'!N53:N153, 'Enveloppe du bâtiment hors terr'!W52)</f>
        <v>30</v>
      </c>
      <c r="M72" s="648">
        <f t="shared" ca="1" si="180"/>
        <v>9.2141951213062736</v>
      </c>
      <c r="N72" s="720">
        <f>IFERROR(($J72*VLOOKUP($H72, 'Baumaterialien Matériaux'!$A$11:$AD$318, 26,FALSE)),0)/$G$1</f>
        <v>3.4521922390427711</v>
      </c>
      <c r="O72" s="720">
        <f>IFERROR(($J72*VLOOKUP($H72, 'Baumaterialien Matériaux'!$A$11:$AH$318, 33,FALSE)),0)/$G$1</f>
        <v>1.3013784623520854</v>
      </c>
      <c r="P72" s="720">
        <f t="shared" ca="1" si="181"/>
        <v>3.9564083294770938</v>
      </c>
      <c r="Q72" s="720">
        <f>IFERROR(($J72*VLOOKUP($H72, 'Baumaterialien Matériaux'!$A$11:$AH$318, 27,FALSE)),0)/$G$1</f>
        <v>0.50421609043432281</v>
      </c>
      <c r="R72" s="720">
        <f>IFERROR(($J72*VLOOKUP($H72, 'Baumaterialien Matériaux'!$A$11:$AH$318, 34,FALSE)),0)/$G$1</f>
        <v>0.20473569114827794</v>
      </c>
      <c r="S72" s="720">
        <f>IFERROR((J72*VLOOKUP(H72, 'Baumaterialien Matériaux'!$A$11:$AD$318, 29,FALSE)),0)/$G$1</f>
        <v>8.7048969392477034</v>
      </c>
      <c r="T72" s="720">
        <f t="shared" si="159"/>
        <v>8.7048969392477041E-2</v>
      </c>
      <c r="U72" s="638">
        <v>0.01</v>
      </c>
      <c r="V72" s="638">
        <f t="shared" ca="1" si="186"/>
        <v>8.7048969392477041E-2</v>
      </c>
      <c r="W72" s="638">
        <f t="shared" ca="1" si="187"/>
        <v>8.7048969392477034</v>
      </c>
      <c r="Y72" s="638" t="str">
        <f t="shared" ca="1" si="9"/>
        <v>Revêtement</v>
      </c>
      <c r="Z72" s="638">
        <f t="shared" ca="1" si="10"/>
        <v>30</v>
      </c>
      <c r="AA72" s="648" t="s">
        <v>3443</v>
      </c>
      <c r="AB72" t="str">
        <f>_xlfn.XLOOKUP($H72,'[1]Baumaterialien Matériaux'!$A:$A,'[1]Baumaterialien Matériaux'!AK:AK,0,0)</f>
        <v>vegetal_fiber</v>
      </c>
      <c r="AC72" t="str" cm="1">
        <f t="array" ref="AC72">_xlfn.SWITCH(I72,"kg"," ",0," ",_xlfn.XLOOKUP(H72, '[1]Baumaterialien Matériaux'!$A:$A, '[1]Baumaterialien Matériaux'!$AL:$AL, "-", 0, 1))</f>
        <v xml:space="preserve"> </v>
      </c>
      <c r="AD72" s="622" cm="1">
        <f t="array" ref="AD72">IFERROR(_xlfn.SWITCH(I72,"kg",1,"m3",AC72,AC72)*J72/(_xlfn.XLOOKUP(AA72,Métrés!A:A,Métrés!D:D,0)),0)</f>
        <v>10.096592302034813</v>
      </c>
      <c r="AE72" s="1092">
        <f>IFERROR(N72*$G$1/(_xlfn.XLOOKUP($AA72,Métrés!$A:$A,Métrés!$D:$D,0)),0)</f>
        <v>6.4012395194900709</v>
      </c>
      <c r="AF72" s="1092">
        <f>IFERROR(O72*$G$1/(_xlfn.XLOOKUP($AA72,Métrés!$A:$A,Métrés!$D:$D,0)),0)</f>
        <v>2.4130855601863201</v>
      </c>
      <c r="AG72" s="1092">
        <f>IFERROR(Q72*$G$1/(_xlfn.XLOOKUP($AA72,Métrés!$A:$A,Métrés!$D:$D,0)),0)</f>
        <v>0.93494444716842384</v>
      </c>
      <c r="AH72" s="1092">
        <f>IFERROR(R72*$G$1/(_xlfn.XLOOKUP($AA72,Métrés!$A:$A,Métrés!$D:$D,0)),0)</f>
        <v>0.37963187055650899</v>
      </c>
      <c r="AI72" s="1092">
        <f>IFERROR(S72*$G$1/(_xlfn.XLOOKUP($AA72,Métrés!$A:$A,Métrés!$D:$D,0)),0)</f>
        <v>16.141085560186323</v>
      </c>
      <c r="AJ72" s="1030">
        <v>0.01</v>
      </c>
      <c r="AK72" s="1030">
        <f t="shared" ca="1" si="160"/>
        <v>8.7048969392477041E-2</v>
      </c>
      <c r="AL72" s="1030">
        <f t="shared" ca="1" si="161"/>
        <v>8.7048969392477034</v>
      </c>
      <c r="AM72" s="638" t="s">
        <v>3388</v>
      </c>
      <c r="AN72" s="1032">
        <f t="shared" si="162"/>
        <v>0</v>
      </c>
      <c r="AO72" s="1030">
        <f t="shared" si="163"/>
        <v>0</v>
      </c>
      <c r="AP72" s="1030">
        <f t="shared" si="164"/>
        <v>0</v>
      </c>
      <c r="AQ72" s="1030">
        <f t="shared" si="165"/>
        <v>0</v>
      </c>
      <c r="AR72" s="1033">
        <f t="shared" si="166"/>
        <v>0</v>
      </c>
      <c r="AS72" s="1032">
        <f t="shared" si="167"/>
        <v>3.4521922390427711</v>
      </c>
      <c r="AT72" s="1030">
        <f t="shared" ca="1" si="168"/>
        <v>3.9564083294770938</v>
      </c>
      <c r="AU72" s="1030">
        <f t="shared" si="168"/>
        <v>0.50421609043432281</v>
      </c>
      <c r="AV72" s="1030">
        <f t="shared" si="169"/>
        <v>8.7048969392477034</v>
      </c>
      <c r="AW72" s="1033">
        <f t="shared" si="169"/>
        <v>8.7048969392477041E-2</v>
      </c>
      <c r="AX72" s="1032">
        <f t="shared" si="170"/>
        <v>0</v>
      </c>
      <c r="AY72" s="1030">
        <f t="shared" si="171"/>
        <v>0</v>
      </c>
      <c r="AZ72" s="1030">
        <f t="shared" si="171"/>
        <v>0</v>
      </c>
      <c r="BA72" s="1030">
        <f t="shared" si="172"/>
        <v>0</v>
      </c>
      <c r="BB72" s="1033">
        <f t="shared" si="172"/>
        <v>0</v>
      </c>
      <c r="BC72" s="1032">
        <f t="shared" si="173"/>
        <v>0</v>
      </c>
      <c r="BD72" s="1030">
        <f t="shared" si="174"/>
        <v>0</v>
      </c>
      <c r="BE72" s="1030">
        <f t="shared" si="174"/>
        <v>0</v>
      </c>
      <c r="BF72" s="1033">
        <f t="shared" si="175"/>
        <v>0</v>
      </c>
      <c r="BG72" s="1032">
        <f t="shared" si="176"/>
        <v>0</v>
      </c>
      <c r="BH72" s="1030">
        <f t="shared" si="177"/>
        <v>4942.08</v>
      </c>
      <c r="BI72" s="1033">
        <f t="shared" si="178"/>
        <v>0</v>
      </c>
      <c r="BJ72" s="1030">
        <f>_xlfn.XLOOKUP(H72, 'Baumaterialien Matériaux'!A:A, 'Baumaterialien Matériaux'!E:E, "-", 0, 1)</f>
        <v>147.5</v>
      </c>
      <c r="BK72" s="1032">
        <f t="shared" si="182"/>
        <v>0</v>
      </c>
      <c r="BL72" s="1030">
        <f t="shared" si="183"/>
        <v>33.505627118644064</v>
      </c>
      <c r="BM72" s="1033">
        <f t="shared" si="184"/>
        <v>0</v>
      </c>
      <c r="BN72" s="720">
        <f ca="1">IFERROR((J72*VLOOKUP(H72, 'Baumaterialien Matériaux'!$A$11:$AH$318, 32,FALSE))*($L$2/L72-1),0)/$G$1</f>
        <v>1.5082921927678987</v>
      </c>
      <c r="BO72" s="720">
        <f t="shared" ca="1" si="179"/>
        <v>3.9564083294770938</v>
      </c>
    </row>
    <row r="73" spans="2:67">
      <c r="B73" s="1103"/>
      <c r="C73" s="1099"/>
      <c r="D73" s="478"/>
      <c r="E73" s="478"/>
      <c r="F73" s="638" t="s">
        <v>3264</v>
      </c>
      <c r="G73" s="478" t="str">
        <f>_xlfn.XLOOKUP(H73, 'Baumaterialien Matériaux'!A:A, 'Baumaterialien Matériaux'!AD:AD, "-", 0, 1)</f>
        <v>Plaque de plâtre armé de fibres</v>
      </c>
      <c r="H73" s="875" t="s">
        <v>739</v>
      </c>
      <c r="I73" s="641" t="str">
        <f>_xlfn.XLOOKUP(H73, 'Baumaterialien Matériaux'!A:A, 'Baumaterialien Matériaux'!F:F, "-", 0, 1)</f>
        <v>kg</v>
      </c>
      <c r="J73" s="649">
        <f t="shared" si="185"/>
        <v>7413.12</v>
      </c>
      <c r="K73" s="647">
        <f>0.015*1200</f>
        <v>18</v>
      </c>
      <c r="L73" s="647" cm="1">
        <f t="array" aca="1" ref="L73" ca="1">INDEX('Enveloppe du bâtiment hors terr'!N54:N154, 'Enveloppe du bâtiment hors terr'!W53)</f>
        <v>30</v>
      </c>
      <c r="M73" s="648">
        <f t="shared" ca="1" si="180"/>
        <v>13.285495022145831</v>
      </c>
      <c r="N73" s="720">
        <f>IFERROR(($J73*VLOOKUP($H73, 'Baumaterialien Matériaux'!$A$11:$AD$318, 26,FALSE)),0)/$G$1</f>
        <v>4.3615236332385798</v>
      </c>
      <c r="O73" s="720">
        <f>IFERROR(($J73*VLOOKUP($H73, 'Baumaterialien Matériaux'!$A$11:$AH$318, 33,FALSE)),0)/$G$1</f>
        <v>4.2553442189462549</v>
      </c>
      <c r="P73" s="720">
        <f t="shared" ca="1" si="181"/>
        <v>4.5150754015997885</v>
      </c>
      <c r="Q73" s="720">
        <f>IFERROR(($J73*VLOOKUP($H73, 'Baumaterialien Matériaux'!$A$11:$AH$318, 27,FALSE)),0)/$G$1</f>
        <v>0.15355176836120843</v>
      </c>
      <c r="R73" s="720">
        <f>IFERROR(($J73*VLOOKUP($H73, 'Baumaterialien Matériaux'!$A$11:$AH$318, 34,FALSE)),0)/$G$1</f>
        <v>2.7116588880809148E-2</v>
      </c>
      <c r="S73" s="720">
        <f>IFERROR((J73*VLOOKUP(H73, 'Baumaterialien Matériaux'!$A$11:$AD$318, 29,FALSE)),0)/$G$1</f>
        <v>1.3446669927943411</v>
      </c>
      <c r="T73" s="720">
        <f t="shared" si="159"/>
        <v>1.3446669927943411E-2</v>
      </c>
      <c r="U73" s="638">
        <v>0.01</v>
      </c>
      <c r="V73" s="638">
        <f t="shared" ca="1" si="186"/>
        <v>1.3446669927943411E-2</v>
      </c>
      <c r="W73" s="638">
        <f t="shared" ca="1" si="187"/>
        <v>1.3446669927943411</v>
      </c>
      <c r="Y73" s="638" t="str">
        <f t="shared" ca="1" si="9"/>
        <v>Revêtement</v>
      </c>
      <c r="Z73" s="638">
        <f t="shared" ref="Z73:Z136" ca="1" si="188">L73</f>
        <v>30</v>
      </c>
      <c r="AA73" s="648" t="s">
        <v>3443</v>
      </c>
      <c r="AB73" t="str">
        <f>_xlfn.XLOOKUP($H73,'[1]Baumaterialien Matériaux'!$A:$A,'[1]Baumaterialien Matériaux'!AK:AK,0,0)</f>
        <v>gypsum</v>
      </c>
      <c r="AC73" t="str" cm="1">
        <f t="array" ref="AC73">_xlfn.SWITCH(I73,"kg"," ",0," ",_xlfn.XLOOKUP(H73, '[1]Baumaterialien Matériaux'!$A:$A, '[1]Baumaterialien Matériaux'!$AL:$AL, "-", 0, 1))</f>
        <v xml:space="preserve"> </v>
      </c>
      <c r="AD73" s="622" cm="1">
        <f t="array" ref="AD73">IFERROR(_xlfn.SWITCH(I73,"kg",1,"m3",AC73,AC73)*J73/(_xlfn.XLOOKUP(AA73,Métrés!A:A,Métrés!D:D,0)),0)</f>
        <v>15.14488845305222</v>
      </c>
      <c r="AE73" s="1092">
        <f>IFERROR(N73*$G$1/(_xlfn.XLOOKUP($AA73,Métrés!$A:$A,Métrés!$D:$D,0)),0)</f>
        <v>8.0873704339298857</v>
      </c>
      <c r="AF73" s="1092">
        <f>IFERROR(O73*$G$1/(_xlfn.XLOOKUP($AA73,Métrés!$A:$A,Métrés!$D:$D,0)),0)</f>
        <v>7.8904868840402056</v>
      </c>
      <c r="AG73" s="1092">
        <f>IFERROR(Q73*$G$1/(_xlfn.XLOOKUP($AA73,Métrés!$A:$A,Métrés!$D:$D,0)),0)</f>
        <v>0.28472390291738175</v>
      </c>
      <c r="AH73" s="1092">
        <f>IFERROR(R73*$G$1/(_xlfn.XLOOKUP($AA73,Métrés!$A:$A,Métrés!$D:$D,0)),0)</f>
        <v>5.0281029664133371E-2</v>
      </c>
      <c r="AI73" s="1092">
        <f>IFERROR(S73*$G$1/(_xlfn.XLOOKUP($AA73,Métrés!$A:$A,Métrés!$D:$D,0)),0)</f>
        <v>2.4933534689874968</v>
      </c>
      <c r="AJ73" s="1030">
        <v>0.01</v>
      </c>
      <c r="AK73" s="1030">
        <f t="shared" ca="1" si="160"/>
        <v>1.3446669927943411E-2</v>
      </c>
      <c r="AL73" s="1030">
        <f t="shared" ca="1" si="161"/>
        <v>1.3446669927943411</v>
      </c>
      <c r="AM73" s="638" t="str">
        <f ca="1">IF(L73=$L$2, "Structure", IF(L73&gt;0,"Revêtement",0))</f>
        <v>Revêtement</v>
      </c>
      <c r="AN73" s="1032">
        <f t="shared" ca="1" si="162"/>
        <v>0</v>
      </c>
      <c r="AO73" s="1030">
        <f t="shared" ca="1" si="163"/>
        <v>0</v>
      </c>
      <c r="AP73" s="1030">
        <f t="shared" ca="1" si="164"/>
        <v>0</v>
      </c>
      <c r="AQ73" s="1030">
        <f t="shared" ca="1" si="165"/>
        <v>0</v>
      </c>
      <c r="AR73" s="1033">
        <f t="shared" ca="1" si="166"/>
        <v>0</v>
      </c>
      <c r="AS73" s="1032">
        <f t="shared" ca="1" si="167"/>
        <v>0</v>
      </c>
      <c r="AT73" s="1030">
        <f t="shared" ca="1" si="168"/>
        <v>0</v>
      </c>
      <c r="AU73" s="1030">
        <f t="shared" ca="1" si="168"/>
        <v>0</v>
      </c>
      <c r="AV73" s="1030">
        <f t="shared" ca="1" si="169"/>
        <v>0</v>
      </c>
      <c r="AW73" s="1033">
        <f t="shared" ca="1" si="169"/>
        <v>0</v>
      </c>
      <c r="AX73" s="1032">
        <f t="shared" ca="1" si="170"/>
        <v>4.3615236332385798</v>
      </c>
      <c r="AY73" s="1030">
        <f t="shared" ca="1" si="171"/>
        <v>4.5150754015997885</v>
      </c>
      <c r="AZ73" s="1030">
        <f t="shared" ca="1" si="171"/>
        <v>0.15355176836120843</v>
      </c>
      <c r="BA73" s="1030">
        <f t="shared" ca="1" si="172"/>
        <v>1.3446669927943411</v>
      </c>
      <c r="BB73" s="1033">
        <f t="shared" ca="1" si="172"/>
        <v>1.3446669927943411E-2</v>
      </c>
      <c r="BC73" s="1032">
        <f t="shared" ca="1" si="173"/>
        <v>0</v>
      </c>
      <c r="BD73" s="1030">
        <f t="shared" ca="1" si="174"/>
        <v>0</v>
      </c>
      <c r="BE73" s="1030">
        <f t="shared" ca="1" si="174"/>
        <v>0</v>
      </c>
      <c r="BF73" s="1033">
        <f t="shared" ca="1" si="175"/>
        <v>0</v>
      </c>
      <c r="BG73" s="1032">
        <f t="shared" ca="1" si="176"/>
        <v>0</v>
      </c>
      <c r="BH73" s="1030">
        <f t="shared" ca="1" si="177"/>
        <v>0</v>
      </c>
      <c r="BI73" s="1033">
        <f t="shared" ca="1" si="178"/>
        <v>7413.12</v>
      </c>
      <c r="BJ73" s="1030">
        <f>_xlfn.XLOOKUP(H73, 'Baumaterialien Matériaux'!A:A, 'Baumaterialien Matériaux'!E:E, "-", 0, 1)</f>
        <v>1200</v>
      </c>
      <c r="BK73" s="1032">
        <f t="shared" ca="1" si="182"/>
        <v>0</v>
      </c>
      <c r="BL73" s="1030">
        <f t="shared" ca="1" si="183"/>
        <v>0</v>
      </c>
      <c r="BM73" s="1033">
        <f t="shared" ca="1" si="184"/>
        <v>6.1776</v>
      </c>
      <c r="BN73" s="720">
        <f ca="1">IFERROR((J73*VLOOKUP(H73, 'Baumaterialien Matériaux'!$A$11:$AH$318, 32,FALSE))*($L$2/L73-1),0)/$G$1</f>
        <v>4.2880148079592777</v>
      </c>
      <c r="BO73" s="720">
        <f t="shared" ca="1" si="179"/>
        <v>4.5150754015997885</v>
      </c>
    </row>
    <row r="74" spans="2:67">
      <c r="B74" s="1103"/>
      <c r="C74" s="1099"/>
      <c r="D74" s="478"/>
      <c r="E74" s="478"/>
      <c r="F74" s="454"/>
      <c r="G74" s="478"/>
      <c r="H74" s="478"/>
      <c r="I74" s="641"/>
      <c r="J74" s="649"/>
      <c r="K74" s="647"/>
      <c r="L74" s="647"/>
      <c r="M74" s="648"/>
      <c r="N74" s="720"/>
      <c r="O74" s="720"/>
      <c r="P74" s="720"/>
      <c r="Q74" s="720"/>
      <c r="R74" s="720"/>
      <c r="S74" s="720"/>
      <c r="T74" s="720">
        <f t="shared" si="159"/>
        <v>0</v>
      </c>
      <c r="V74" s="638">
        <f t="shared" si="186"/>
        <v>0</v>
      </c>
      <c r="W74" s="638">
        <f t="shared" si="187"/>
        <v>0</v>
      </c>
      <c r="Y74" s="638">
        <f t="shared" si="9"/>
        <v>0</v>
      </c>
      <c r="Z74" s="638">
        <f t="shared" si="188"/>
        <v>0</v>
      </c>
      <c r="AA74" s="648" t="s">
        <v>3443</v>
      </c>
      <c r="AB74">
        <f>_xlfn.XLOOKUP($H74,'[1]Baumaterialien Matériaux'!$A:$A,'[1]Baumaterialien Matériaux'!AK:AK,0,0)</f>
        <v>0</v>
      </c>
      <c r="AC74" t="str" cm="1">
        <f t="array" ref="AC74">_xlfn.SWITCH(I74,"kg"," ",0," ",_xlfn.XLOOKUP(H74, '[1]Baumaterialien Matériaux'!$A:$A, '[1]Baumaterialien Matériaux'!$AL:$AL, "-", 0, 1))</f>
        <v xml:space="preserve"> </v>
      </c>
      <c r="AD74" s="622" cm="1">
        <f t="array" ref="AD74">IFERROR(_xlfn.SWITCH(I74,"kg",1,"m3",AC74,AC74)*J74/(_xlfn.XLOOKUP(AA74,Métrés!A:A,Métrés!D:D,0)),0)</f>
        <v>0</v>
      </c>
      <c r="AE74" s="1092">
        <f>IFERROR(N74*$G$1/(_xlfn.XLOOKUP($AA74,Métrés!$A:$A,Métrés!$D:$D,0)),0)</f>
        <v>0</v>
      </c>
      <c r="AF74" s="1092">
        <f>IFERROR(O74*$G$1/(_xlfn.XLOOKUP($AA74,Métrés!$A:$A,Métrés!$D:$D,0)),0)</f>
        <v>0</v>
      </c>
      <c r="AG74" s="1092">
        <f>IFERROR(Q74*$G$1/(_xlfn.XLOOKUP($AA74,Métrés!$A:$A,Métrés!$D:$D,0)),0)</f>
        <v>0</v>
      </c>
      <c r="AH74" s="1092">
        <f>IFERROR(R74*$G$1/(_xlfn.XLOOKUP($AA74,Métrés!$A:$A,Métrés!$D:$D,0)),0)</f>
        <v>0</v>
      </c>
      <c r="AI74" s="1092">
        <f>IFERROR(S74*$G$1/(_xlfn.XLOOKUP($AA74,Métrés!$A:$A,Métrés!$D:$D,0)),0)</f>
        <v>0</v>
      </c>
      <c r="AJ74" s="1030"/>
      <c r="AK74" s="1030">
        <f t="shared" si="160"/>
        <v>0</v>
      </c>
      <c r="AL74" s="1030">
        <f t="shared" si="161"/>
        <v>0</v>
      </c>
      <c r="AM74" s="638">
        <f>IF(L74=$L$2, "Structure", IF(L74&gt;0,"Revêtement",0))</f>
        <v>0</v>
      </c>
      <c r="AN74" s="1032">
        <f t="shared" si="162"/>
        <v>0</v>
      </c>
      <c r="AO74" s="1030">
        <f t="shared" si="163"/>
        <v>0</v>
      </c>
      <c r="AP74" s="1030">
        <f t="shared" si="164"/>
        <v>0</v>
      </c>
      <c r="AQ74" s="1030">
        <f t="shared" si="165"/>
        <v>0</v>
      </c>
      <c r="AR74" s="1033">
        <f t="shared" si="166"/>
        <v>0</v>
      </c>
      <c r="AS74" s="1032">
        <f t="shared" si="167"/>
        <v>0</v>
      </c>
      <c r="AT74" s="1030">
        <f t="shared" si="168"/>
        <v>0</v>
      </c>
      <c r="AU74" s="1030">
        <f t="shared" si="168"/>
        <v>0</v>
      </c>
      <c r="AV74" s="1030">
        <f t="shared" si="169"/>
        <v>0</v>
      </c>
      <c r="AW74" s="1033">
        <f t="shared" si="169"/>
        <v>0</v>
      </c>
      <c r="AX74" s="1032">
        <f t="shared" si="170"/>
        <v>0</v>
      </c>
      <c r="AY74" s="1030">
        <f t="shared" si="171"/>
        <v>0</v>
      </c>
      <c r="AZ74" s="1030">
        <f t="shared" si="171"/>
        <v>0</v>
      </c>
      <c r="BA74" s="1030">
        <f t="shared" si="172"/>
        <v>0</v>
      </c>
      <c r="BB74" s="1033">
        <f t="shared" si="172"/>
        <v>0</v>
      </c>
      <c r="BC74" s="1032">
        <f t="shared" si="173"/>
        <v>0</v>
      </c>
      <c r="BD74" s="1030">
        <f t="shared" si="174"/>
        <v>0</v>
      </c>
      <c r="BE74" s="1030">
        <f t="shared" si="174"/>
        <v>0</v>
      </c>
      <c r="BF74" s="1033">
        <f t="shared" si="175"/>
        <v>0</v>
      </c>
      <c r="BG74" s="1032">
        <f t="shared" si="176"/>
        <v>0</v>
      </c>
      <c r="BH74" s="1030">
        <f t="shared" si="177"/>
        <v>0</v>
      </c>
      <c r="BI74" s="1033">
        <f t="shared" si="178"/>
        <v>0</v>
      </c>
      <c r="BJ74" s="1030">
        <f>_xlfn.XLOOKUP(H74, 'Baumaterialien Matériaux'!A:A, 'Baumaterialien Matériaux'!E:E, "-", 0, 1)</f>
        <v>0</v>
      </c>
      <c r="BK74" s="1032">
        <f t="shared" si="182"/>
        <v>0</v>
      </c>
      <c r="BL74" s="1030">
        <f t="shared" si="183"/>
        <v>0</v>
      </c>
      <c r="BM74" s="1033">
        <f t="shared" si="184"/>
        <v>0</v>
      </c>
      <c r="BN74" s="720">
        <f>IFERROR((J74*VLOOKUP(H74, 'Baumaterialien Matériaux'!$A$11:$AH$318, 32,FALSE))*($L$2/L74-1),0)/$G$1</f>
        <v>0</v>
      </c>
      <c r="BO74" s="720">
        <f t="shared" si="179"/>
        <v>0</v>
      </c>
    </row>
    <row r="75" spans="2:67">
      <c r="B75" s="1103"/>
      <c r="C75" s="1099"/>
      <c r="D75" s="478"/>
      <c r="E75" s="478"/>
      <c r="F75" s="454"/>
      <c r="G75" s="478"/>
      <c r="H75" s="478"/>
      <c r="I75" s="641"/>
      <c r="J75" s="649"/>
      <c r="K75" s="647"/>
      <c r="L75" s="647"/>
      <c r="M75" s="648"/>
      <c r="N75" s="720"/>
      <c r="O75" s="720"/>
      <c r="P75" s="720"/>
      <c r="Q75" s="720"/>
      <c r="R75" s="720"/>
      <c r="S75" s="720"/>
      <c r="T75" s="720">
        <f t="shared" si="159"/>
        <v>0</v>
      </c>
      <c r="V75" s="638">
        <f t="shared" si="186"/>
        <v>0</v>
      </c>
      <c r="W75" s="638">
        <f t="shared" si="187"/>
        <v>0</v>
      </c>
      <c r="Y75" s="638">
        <f t="shared" si="9"/>
        <v>0</v>
      </c>
      <c r="Z75" s="638">
        <f t="shared" si="188"/>
        <v>0</v>
      </c>
      <c r="AA75" s="648" t="s">
        <v>3443</v>
      </c>
      <c r="AB75">
        <f>_xlfn.XLOOKUP($H75,'[1]Baumaterialien Matériaux'!$A:$A,'[1]Baumaterialien Matériaux'!AK:AK,0,0)</f>
        <v>0</v>
      </c>
      <c r="AC75" t="str" cm="1">
        <f t="array" ref="AC75">_xlfn.SWITCH(I75,"kg"," ",0," ",_xlfn.XLOOKUP(H75, '[1]Baumaterialien Matériaux'!$A:$A, '[1]Baumaterialien Matériaux'!$AL:$AL, "-", 0, 1))</f>
        <v xml:space="preserve"> </v>
      </c>
      <c r="AD75" s="622" cm="1">
        <f t="array" ref="AD75">IFERROR(_xlfn.SWITCH(I75,"kg",1,"m3",AC75,AC75)*J75/(_xlfn.XLOOKUP(AA75,Métrés!A:A,Métrés!D:D,0)),0)</f>
        <v>0</v>
      </c>
      <c r="AE75" s="1092">
        <f>IFERROR(N75*$G$1/(_xlfn.XLOOKUP($AA75,Métrés!$A:$A,Métrés!$D:$D,0)),0)</f>
        <v>0</v>
      </c>
      <c r="AF75" s="1092">
        <f>IFERROR(O75*$G$1/(_xlfn.XLOOKUP($AA75,Métrés!$A:$A,Métrés!$D:$D,0)),0)</f>
        <v>0</v>
      </c>
      <c r="AG75" s="1092">
        <f>IFERROR(Q75*$G$1/(_xlfn.XLOOKUP($AA75,Métrés!$A:$A,Métrés!$D:$D,0)),0)</f>
        <v>0</v>
      </c>
      <c r="AH75" s="1092">
        <f>IFERROR(R75*$G$1/(_xlfn.XLOOKUP($AA75,Métrés!$A:$A,Métrés!$D:$D,0)),0)</f>
        <v>0</v>
      </c>
      <c r="AI75" s="1092">
        <f>IFERROR(S75*$G$1/(_xlfn.XLOOKUP($AA75,Métrés!$A:$A,Métrés!$D:$D,0)),0)</f>
        <v>0</v>
      </c>
      <c r="AJ75" s="1030"/>
      <c r="AK75" s="1030">
        <f t="shared" si="160"/>
        <v>0</v>
      </c>
      <c r="AL75" s="1030">
        <f t="shared" si="161"/>
        <v>0</v>
      </c>
      <c r="AM75" s="638">
        <f>IF(L75=$L$2, "Structure", IF(L75&gt;0,"Revêtement",0))</f>
        <v>0</v>
      </c>
      <c r="AN75" s="1032">
        <f t="shared" si="162"/>
        <v>0</v>
      </c>
      <c r="AO75" s="1030">
        <f t="shared" si="163"/>
        <v>0</v>
      </c>
      <c r="AP75" s="1030">
        <f t="shared" si="164"/>
        <v>0</v>
      </c>
      <c r="AQ75" s="1030">
        <f t="shared" si="165"/>
        <v>0</v>
      </c>
      <c r="AR75" s="1033">
        <f t="shared" si="166"/>
        <v>0</v>
      </c>
      <c r="AS75" s="1032">
        <f t="shared" si="167"/>
        <v>0</v>
      </c>
      <c r="AT75" s="1030">
        <f t="shared" si="168"/>
        <v>0</v>
      </c>
      <c r="AU75" s="1030">
        <f t="shared" si="168"/>
        <v>0</v>
      </c>
      <c r="AV75" s="1030">
        <f t="shared" si="169"/>
        <v>0</v>
      </c>
      <c r="AW75" s="1033">
        <f t="shared" si="169"/>
        <v>0</v>
      </c>
      <c r="AX75" s="1032">
        <f t="shared" si="170"/>
        <v>0</v>
      </c>
      <c r="AY75" s="1030">
        <f t="shared" si="171"/>
        <v>0</v>
      </c>
      <c r="AZ75" s="1030">
        <f t="shared" si="171"/>
        <v>0</v>
      </c>
      <c r="BA75" s="1030">
        <f t="shared" si="172"/>
        <v>0</v>
      </c>
      <c r="BB75" s="1033">
        <f t="shared" si="172"/>
        <v>0</v>
      </c>
      <c r="BC75" s="1032">
        <f t="shared" si="173"/>
        <v>0</v>
      </c>
      <c r="BD75" s="1030">
        <f t="shared" si="174"/>
        <v>0</v>
      </c>
      <c r="BE75" s="1030">
        <f t="shared" si="174"/>
        <v>0</v>
      </c>
      <c r="BF75" s="1033">
        <f t="shared" si="175"/>
        <v>0</v>
      </c>
      <c r="BG75" s="1032">
        <f t="shared" si="176"/>
        <v>0</v>
      </c>
      <c r="BH75" s="1030">
        <f t="shared" si="177"/>
        <v>0</v>
      </c>
      <c r="BI75" s="1033">
        <f t="shared" si="178"/>
        <v>0</v>
      </c>
      <c r="BJ75" s="1030">
        <f>_xlfn.XLOOKUP(H75, 'Baumaterialien Matériaux'!A:A, 'Baumaterialien Matériaux'!E:E, "-", 0, 1)</f>
        <v>0</v>
      </c>
      <c r="BK75" s="1032">
        <f t="shared" si="182"/>
        <v>0</v>
      </c>
      <c r="BL75" s="1030">
        <f t="shared" si="183"/>
        <v>0</v>
      </c>
      <c r="BM75" s="1033">
        <f t="shared" si="184"/>
        <v>0</v>
      </c>
      <c r="BN75" s="720">
        <f>IFERROR((J75*VLOOKUP(H75, 'Baumaterialien Matériaux'!$A$11:$AH$318, 32,FALSE))*($L$2/L75-1),0)/$G$1</f>
        <v>0</v>
      </c>
      <c r="BO75" s="720">
        <f t="shared" si="179"/>
        <v>0</v>
      </c>
    </row>
    <row r="76" spans="2:67">
      <c r="B76" s="1103"/>
      <c r="C76" s="1099"/>
      <c r="D76" s="478"/>
      <c r="E76" s="479" t="str">
        <f>BillQuantities!E25</f>
        <v>Non porteuse (moyenne) (avec enduit intérieur)</v>
      </c>
      <c r="F76" s="663" t="s">
        <v>3032</v>
      </c>
      <c r="G76" s="479"/>
      <c r="H76" s="479"/>
      <c r="I76" s="459" t="s">
        <v>39</v>
      </c>
      <c r="J76" s="662">
        <v>41.21</v>
      </c>
      <c r="K76" s="663"/>
      <c r="L76" s="663"/>
      <c r="M76" s="664">
        <f>SUM(M77:M79)</f>
        <v>5.4970058429236905</v>
      </c>
      <c r="N76" s="664">
        <f t="shared" ref="N76:T76" si="189">SUM(N77:N79)</f>
        <v>1.6063731736850224</v>
      </c>
      <c r="O76" s="664">
        <f t="shared" ref="O76" si="190">SUM(O77:O79)</f>
        <v>0.6165361182900333</v>
      </c>
      <c r="P76" s="664">
        <f t="shared" si="189"/>
        <v>2.4402348623168284</v>
      </c>
      <c r="Q76" s="664">
        <f t="shared" si="189"/>
        <v>0.83386168863180621</v>
      </c>
      <c r="R76" s="664">
        <f t="shared" ref="R76" si="191">SUM(R77:R79)</f>
        <v>0.26837286528018334</v>
      </c>
      <c r="S76" s="664">
        <f t="shared" si="189"/>
        <v>1.6027072172274741</v>
      </c>
      <c r="T76" s="664">
        <f t="shared" si="189"/>
        <v>1.6027072172274739E-2</v>
      </c>
      <c r="V76" s="638">
        <f t="shared" si="186"/>
        <v>1.6027072172274739E-2</v>
      </c>
      <c r="W76" s="638">
        <f t="shared" si="187"/>
        <v>1.6027072172274741</v>
      </c>
      <c r="Y76" s="638">
        <f t="shared" si="9"/>
        <v>0</v>
      </c>
      <c r="Z76" s="638">
        <f t="shared" si="188"/>
        <v>0</v>
      </c>
      <c r="AA76" s="648" t="s">
        <v>3443</v>
      </c>
      <c r="AB76">
        <f>_xlfn.XLOOKUP($H76,'[1]Baumaterialien Matériaux'!$A:$A,'[1]Baumaterialien Matériaux'!AK:AK,0,0)</f>
        <v>0</v>
      </c>
      <c r="AC76" cm="1">
        <f t="array" ref="AC76">_xlfn.SWITCH(I76,"kg"," ",0," ",_xlfn.XLOOKUP(H76, '[1]Baumaterialien Matériaux'!$A:$A, '[1]Baumaterialien Matériaux'!$AL:$AL, "-", 0, 1))</f>
        <v>0</v>
      </c>
      <c r="AD76" s="622" cm="1">
        <f t="array" ref="AD76">IFERROR(_xlfn.SWITCH(I76,"kg",1,"m3",AC76,AC76)*J76/(_xlfn.XLOOKUP(AA76,Métrés!A:A,Métrés!D:D,0)),0)</f>
        <v>0</v>
      </c>
      <c r="AE76" s="1092">
        <f>IFERROR(N76*$G$1/(_xlfn.XLOOKUP($AA76,Métrés!$A:$A,Métrés!$D:$D,0)),0)</f>
        <v>2.9786230691754518</v>
      </c>
      <c r="AF76" s="1092">
        <f>IFERROR(O76*$G$1/(_xlfn.XLOOKUP($AA76,Métrés!$A:$A,Métrés!$D:$D,0)),0)</f>
        <v>1.1432142512102641</v>
      </c>
      <c r="AG76" s="1092">
        <f>IFERROR(Q76*$G$1/(_xlfn.XLOOKUP($AA76,Métrés!$A:$A,Métrés!$D:$D,0)),0)</f>
        <v>1.5461909492440957</v>
      </c>
      <c r="AH76" s="1092">
        <f>IFERROR(R76*$G$1/(_xlfn.XLOOKUP($AA76,Métrés!$A:$A,Métrés!$D:$D,0)),0)</f>
        <v>0.49763132300727303</v>
      </c>
      <c r="AI76" s="1092">
        <f>IFERROR(S76*$G$1/(_xlfn.XLOOKUP($AA76,Métrés!$A:$A,Métrés!$D:$D,0)),0)</f>
        <v>2.9718254566070117</v>
      </c>
      <c r="AJ76" s="1064"/>
      <c r="AK76" s="1064"/>
      <c r="AL76" s="1064"/>
      <c r="AM76" s="1021"/>
      <c r="AN76" s="1073"/>
      <c r="AO76" s="1064"/>
      <c r="AP76" s="1064"/>
      <c r="AQ76" s="1064"/>
      <c r="AR76" s="1074"/>
      <c r="AS76" s="1073"/>
      <c r="AT76" s="1064"/>
      <c r="AU76" s="1064"/>
      <c r="AV76" s="1064"/>
      <c r="AW76" s="1074"/>
      <c r="AX76" s="1073"/>
      <c r="AY76" s="1064"/>
      <c r="AZ76" s="1064"/>
      <c r="BA76" s="1064"/>
      <c r="BB76" s="1074"/>
      <c r="BC76" s="1073"/>
      <c r="BD76" s="1064"/>
      <c r="BE76" s="1064"/>
      <c r="BF76" s="1074"/>
      <c r="BG76" s="1073"/>
      <c r="BH76" s="1064"/>
      <c r="BI76" s="1074"/>
      <c r="BJ76" s="1078"/>
      <c r="BK76" s="1073"/>
      <c r="BL76" s="1064"/>
      <c r="BM76" s="1074"/>
    </row>
    <row r="77" spans="2:67">
      <c r="B77" s="1103"/>
      <c r="C77" s="1099"/>
      <c r="D77" s="478"/>
      <c r="E77" s="478"/>
      <c r="F77" s="454" t="s">
        <v>3256</v>
      </c>
      <c r="G77" s="478" t="str">
        <f>_xlfn.XLOOKUP(H77, 'Baumaterialien Matériaux'!A:A, 'Baumaterialien Matériaux'!AD:AD, "-", 0, 1)</f>
        <v>Bois massif épicéa / sapin / mélèze, séché en cellule, raboté</v>
      </c>
      <c r="H77" s="892" t="s">
        <v>129</v>
      </c>
      <c r="I77" s="641" t="str">
        <f>_xlfn.XLOOKUP(H77, 'Baumaterialien Matériaux'!A:A, 'Baumaterialien Matériaux'!F:F, "-", 0, 1)</f>
        <v>kg</v>
      </c>
      <c r="J77" s="649">
        <f>$J$76*K77</f>
        <v>574.87950000000001</v>
      </c>
      <c r="K77" s="528">
        <f>0.03*465</f>
        <v>13.95</v>
      </c>
      <c r="L77" s="647">
        <v>30</v>
      </c>
      <c r="M77" s="648">
        <f>SUM(N77:Q77)</f>
        <v>0.24790973788589937</v>
      </c>
      <c r="N77" s="720">
        <f>IFERROR(($J77*VLOOKUP($H77, 'Baumaterialien Matériaux'!$A$11:$AD$318, 26,FALSE)),0)/$G$1</f>
        <v>8.5507957625437961E-2</v>
      </c>
      <c r="O77" s="720">
        <f>IFERROR(($J77*VLOOKUP($H77, 'Baumaterialien Matériaux'!$A$11:$AH$318, 33,FALSE)),0)/$G$1</f>
        <v>2.7235867984398757E-2</v>
      </c>
      <c r="P77" s="720">
        <f>IFERROR((N77+Q77)*($L$2/L77-1),0)</f>
        <v>0.11033693495075031</v>
      </c>
      <c r="Q77" s="720">
        <f>IFERROR(($J77*VLOOKUP($H77, 'Baumaterialien Matériaux'!$A$11:$AH$318, 27,FALSE)),0)/$G$1</f>
        <v>2.4828977325312356E-2</v>
      </c>
      <c r="R77" s="720">
        <f>IFERROR(($J77*VLOOKUP($H77, 'Baumaterialien Matériaux'!$A$11:$AH$318, 34,FALSE)),0)/$G$1</f>
        <v>4.6110957889865809E-3</v>
      </c>
      <c r="S77" s="720">
        <f>IFERROR((J77*VLOOKUP(H77, 'Baumaterialien Matériaux'!$A$11:$AD$318, 29,FALSE)),0)/$G$1</f>
        <v>1.0474196982217228</v>
      </c>
      <c r="T77" s="720">
        <f>S77*AJ77</f>
        <v>1.0474196982217228E-2</v>
      </c>
      <c r="U77" s="638">
        <v>0.01</v>
      </c>
      <c r="V77" s="638">
        <f t="shared" si="186"/>
        <v>1.0474196982217228E-2</v>
      </c>
      <c r="W77" s="638">
        <f t="shared" si="187"/>
        <v>1.0474196982217228</v>
      </c>
      <c r="Y77" s="638" t="str">
        <f t="shared" si="9"/>
        <v>Revêtement</v>
      </c>
      <c r="Z77" s="638">
        <f t="shared" si="188"/>
        <v>30</v>
      </c>
      <c r="AA77" s="648" t="s">
        <v>3443</v>
      </c>
      <c r="AB77" t="str">
        <f>_xlfn.XLOOKUP($H77,'[1]Baumaterialien Matériaux'!$A:$A,'[1]Baumaterialien Matériaux'!AK:AK,0,0)</f>
        <v>timber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622" cm="1">
        <f t="array" ref="AD77">IFERROR(_xlfn.SWITCH(I77,"kg",1,"m3",AC77,AC77)*J77/(_xlfn.XLOOKUP(AA77,Métrés!A:A,Métrés!D:D,0)),0)</f>
        <v>1.1744698455503801</v>
      </c>
      <c r="AE77" s="1092">
        <f>IFERROR(N77*$G$1/(_xlfn.XLOOKUP($AA77,Métrés!$A:$A,Métrés!$D:$D,0)),0)</f>
        <v>0.15855342914930132</v>
      </c>
      <c r="AF77" s="1092">
        <f>IFERROR(O77*$G$1/(_xlfn.XLOOKUP($AA77,Métrés!$A:$A,Métrés!$D:$D,0)),0)</f>
        <v>5.0502203358666342E-2</v>
      </c>
      <c r="AG77" s="1092">
        <f>IFERROR(Q77*$G$1/(_xlfn.XLOOKUP($AA77,Métrés!$A:$A,Métrés!$D:$D,0)),0)</f>
        <v>4.6039217945574903E-2</v>
      </c>
      <c r="AH77" s="1092">
        <f>IFERROR(R77*$G$1/(_xlfn.XLOOKUP($AA77,Métrés!$A:$A,Métrés!$D:$D,0)),0)</f>
        <v>8.5501404756067687E-3</v>
      </c>
      <c r="AI77" s="1092">
        <f>IFERROR(S77*$G$1/(_xlfn.XLOOKUP($AA77,Métrés!$A:$A,Métrés!$D:$D,0)),0)</f>
        <v>1.9421816345918119</v>
      </c>
      <c r="AJ77" s="1030">
        <v>0.01</v>
      </c>
      <c r="AK77" s="1030">
        <f>IF(L77=60,0,T77)</f>
        <v>1.0474196982217228E-2</v>
      </c>
      <c r="AL77" s="1030">
        <f>IF(L77=60,0,S77)</f>
        <v>1.0474196982217228</v>
      </c>
      <c r="AM77" s="638" t="str">
        <f>IF(L77=$L$2, "Structure", IF(L77&gt;0,"Revêtement",0))</f>
        <v>Revêtement</v>
      </c>
      <c r="AN77" s="1032">
        <f>IF(AM77="Structure",N77,0)</f>
        <v>0</v>
      </c>
      <c r="AO77" s="1030">
        <f>IF(AM77="Structure",P77,0)</f>
        <v>0</v>
      </c>
      <c r="AP77" s="1030">
        <f>IF(AM77="Structure",Q77,0)</f>
        <v>0</v>
      </c>
      <c r="AQ77" s="1030">
        <f>IF(AM77="Structure",S77,0)</f>
        <v>0</v>
      </c>
      <c r="AR77" s="1033">
        <f>IF(AM77="Structure",T77,0)</f>
        <v>0</v>
      </c>
      <c r="AS77" s="1032">
        <f>IF($AM77="Insulation",N77,0)</f>
        <v>0</v>
      </c>
      <c r="AT77" s="1030">
        <f t="shared" ref="AT77:AU79" si="192">IF($AM77="Insulation",P77,0)</f>
        <v>0</v>
      </c>
      <c r="AU77" s="1030">
        <f t="shared" si="192"/>
        <v>0</v>
      </c>
      <c r="AV77" s="1030">
        <f t="shared" ref="AV77:AW79" si="193">IF($AM77="Insulation",S77,0)</f>
        <v>0</v>
      </c>
      <c r="AW77" s="1033">
        <f t="shared" si="193"/>
        <v>0</v>
      </c>
      <c r="AX77" s="1032">
        <f>IF($AM77="Revêtement",N77,0)</f>
        <v>8.5507957625437961E-2</v>
      </c>
      <c r="AY77" s="1030">
        <f t="shared" ref="AY77:AZ79" si="194">IF($AM77="Revêtement",P77,0)</f>
        <v>0.11033693495075031</v>
      </c>
      <c r="AZ77" s="1030">
        <f t="shared" si="194"/>
        <v>2.4828977325312356E-2</v>
      </c>
      <c r="BA77" s="1030">
        <f t="shared" ref="BA77:BB79" si="195">IF($AM77="Revêtement",S77,0)</f>
        <v>1.0474196982217228</v>
      </c>
      <c r="BB77" s="1033">
        <f t="shared" si="195"/>
        <v>1.0474196982217228E-2</v>
      </c>
      <c r="BC77" s="1032">
        <f>IF($AM77="Installation",N77,0)</f>
        <v>0</v>
      </c>
      <c r="BD77" s="1030">
        <f t="shared" ref="BD77:BE79" si="196">IF($AM77="Installation",P77,0)</f>
        <v>0</v>
      </c>
      <c r="BE77" s="1030">
        <f t="shared" si="196"/>
        <v>0</v>
      </c>
      <c r="BF77" s="1033">
        <f>IF($AM77="Installation",S77,0)</f>
        <v>0</v>
      </c>
      <c r="BG77" s="1032">
        <f>IF($AM77="Structure", IF($I77="kg",$J77,0), 0)</f>
        <v>0</v>
      </c>
      <c r="BH77" s="1030">
        <f>IF($AM77="Insulation", IF($I77="kg",$J77,0), 0)</f>
        <v>0</v>
      </c>
      <c r="BI77" s="1033">
        <f>IF($AM77="Revêtement", IF($I77="kg",$J77,0), 0)</f>
        <v>574.87950000000001</v>
      </c>
      <c r="BJ77" s="1030">
        <f>_xlfn.XLOOKUP(H77, 'Baumaterialien Matériaux'!A:A, 'Baumaterialien Matériaux'!E:E, "-", 0, 1)</f>
        <v>465</v>
      </c>
      <c r="BK77" s="1032">
        <f t="shared" si="182"/>
        <v>0</v>
      </c>
      <c r="BL77" s="1030">
        <f t="shared" si="183"/>
        <v>0</v>
      </c>
      <c r="BM77" s="1033">
        <f t="shared" si="184"/>
        <v>1.2363</v>
      </c>
      <c r="BN77" s="720">
        <f>IFERROR((J77*VLOOKUP(H77, 'Baumaterialien Matériaux'!$A$11:$AH$318, 32,FALSE))*($L$2/L77-1),0)/$G$1</f>
        <v>3.1859631618959473E-2</v>
      </c>
      <c r="BO77" s="720">
        <f t="shared" ref="BO77:BO83" si="197">IFERROR((N77+Q77)*($L$2/L77-1),0)</f>
        <v>0.11033693495075031</v>
      </c>
    </row>
    <row r="78" spans="2:67">
      <c r="B78" s="1103"/>
      <c r="C78" s="1099"/>
      <c r="D78" s="478"/>
      <c r="E78" s="478"/>
      <c r="F78" s="638" t="s">
        <v>2996</v>
      </c>
      <c r="G78" s="478" t="str">
        <f>_xlfn.XLOOKUP(H78, 'Baumaterialien Matériaux'!A:A, 'Baumaterialien Matériaux'!AD:AD, "-", 0, 1)</f>
        <v>Bois massif de construction</v>
      </c>
      <c r="H78" s="875" t="s">
        <v>547</v>
      </c>
      <c r="I78" s="641" t="str">
        <f>_xlfn.XLOOKUP(H78, 'Baumaterialien Matériaux'!A:A, 'Baumaterialien Matériaux'!F:F, "-", 0, 1)</f>
        <v>kg</v>
      </c>
      <c r="J78" s="649">
        <f>$J$76*K78</f>
        <v>305.44852000000003</v>
      </c>
      <c r="K78" s="528">
        <f>0.017*436</f>
        <v>7.4120000000000008</v>
      </c>
      <c r="L78" s="647">
        <v>30</v>
      </c>
      <c r="M78" s="648">
        <f t="shared" ref="M78:M86" si="198">SUM(N78:Q78)</f>
        <v>0.21764578441902999</v>
      </c>
      <c r="N78" s="720">
        <f>IFERROR(($J78*VLOOKUP($H78, 'Baumaterialien Matériaux'!$A$11:$AD$318, 26,FALSE)),0)/$G$1</f>
        <v>8.2451783125096406E-2</v>
      </c>
      <c r="O78" s="720">
        <f>IFERROR(($J78*VLOOKUP($H78, 'Baumaterialien Matériaux'!$A$11:$AH$318, 33,FALSE)),0)/$G$1</f>
        <v>2.2924961087679867E-2</v>
      </c>
      <c r="P78" s="720">
        <f t="shared" ref="P78:P86" si="199">IFERROR((N78+Q78)*($L$2/L78-1),0)</f>
        <v>9.7360411665675065E-2</v>
      </c>
      <c r="Q78" s="720">
        <f>IFERROR(($J78*VLOOKUP($H78, 'Baumaterialien Matériaux'!$A$11:$AH$318, 27,FALSE)),0)/$G$1</f>
        <v>1.4908628540578657E-2</v>
      </c>
      <c r="R78" s="720">
        <f>IFERROR(($J78*VLOOKUP($H78, 'Baumaterialien Matériaux'!$A$11:$AH$318, 34,FALSE)),0)/$G$1</f>
        <v>2.4499958414314362E-3</v>
      </c>
      <c r="S78" s="720">
        <f>IFERROR((J78*VLOOKUP(H78, 'Baumaterialien Matériaux'!$A$11:$AD$318, 29,FALSE)),0)/$G$1</f>
        <v>0.55528751900575135</v>
      </c>
      <c r="T78" s="720">
        <f>S78*AJ78</f>
        <v>5.5528751900575136E-3</v>
      </c>
      <c r="U78" s="638">
        <v>0.01</v>
      </c>
      <c r="V78" s="638">
        <f t="shared" si="186"/>
        <v>5.5528751900575136E-3</v>
      </c>
      <c r="W78" s="638">
        <f t="shared" si="187"/>
        <v>0.55528751900575135</v>
      </c>
      <c r="Y78" s="638" t="str">
        <f t="shared" si="9"/>
        <v>Revêtement</v>
      </c>
      <c r="Z78" s="638">
        <f t="shared" si="188"/>
        <v>30</v>
      </c>
      <c r="AA78" s="648" t="s">
        <v>3443</v>
      </c>
      <c r="AB78" t="str">
        <f>_xlfn.XLOOKUP($H78,'[1]Baumaterialien Matériaux'!$A:$A,'[1]Baumaterialien Matériaux'!AK:AK,0,0)</f>
        <v>timber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622" cm="1">
        <f t="array" ref="AD78">IFERROR(_xlfn.SWITCH(I78,"kg",1,"m3",AC78,AC78)*J78/(_xlfn.XLOOKUP(AA78,Métrés!A:A,Métrés!D:D,0)),0)</f>
        <v>0.6240265587970909</v>
      </c>
      <c r="AE78" s="1092">
        <f>IFERROR(N78*$G$1/(_xlfn.XLOOKUP($AA78,Métrés!$A:$A,Métrés!$D:$D,0)),0)</f>
        <v>0.15288650690528727</v>
      </c>
      <c r="AF78" s="1092">
        <f>IFERROR(O78*$G$1/(_xlfn.XLOOKUP($AA78,Métrés!$A:$A,Métrés!$D:$D,0)),0)</f>
        <v>4.2508689185257832E-2</v>
      </c>
      <c r="AG78" s="1092">
        <f>IFERROR(Q78*$G$1/(_xlfn.XLOOKUP($AA78,Métrés!$A:$A,Métrés!$D:$D,0)),0)</f>
        <v>2.7644376554711126E-2</v>
      </c>
      <c r="AH78" s="1092">
        <f>IFERROR(R78*$G$1/(_xlfn.XLOOKUP($AA78,Métrés!$A:$A,Métrés!$D:$D,0)),0)</f>
        <v>4.5429133480428211E-3</v>
      </c>
      <c r="AI78" s="1092">
        <f>IFERROR(S78*$G$1/(_xlfn.XLOOKUP($AA78,Métrés!$A:$A,Métrés!$D:$D,0)),0)</f>
        <v>1.0296438220152</v>
      </c>
      <c r="AJ78" s="1030">
        <v>0.01</v>
      </c>
      <c r="AK78" s="1030">
        <f>IF(L78=60,0,T78)</f>
        <v>5.5528751900575136E-3</v>
      </c>
      <c r="AL78" s="1030">
        <f>IF(L78=60,0,S78)</f>
        <v>0.55528751900575135</v>
      </c>
      <c r="AM78" s="638" t="str">
        <f>IF(L78=$L$2, "Structure", IF(L78&gt;0,"Revêtement",0))</f>
        <v>Revêtement</v>
      </c>
      <c r="AN78" s="1032">
        <f>IF(AM78="Structure",N78,0)</f>
        <v>0</v>
      </c>
      <c r="AO78" s="1030">
        <f>IF(AM78="Structure",P78,0)</f>
        <v>0</v>
      </c>
      <c r="AP78" s="1030">
        <f>IF(AM78="Structure",Q78,0)</f>
        <v>0</v>
      </c>
      <c r="AQ78" s="1030">
        <f>IF(AM78="Structure",S78,0)</f>
        <v>0</v>
      </c>
      <c r="AR78" s="1033">
        <f>IF(AM78="Structure",T78,0)</f>
        <v>0</v>
      </c>
      <c r="AS78" s="1032">
        <f>IF($AM78="Insulation",N78,0)</f>
        <v>0</v>
      </c>
      <c r="AT78" s="1030">
        <f t="shared" si="192"/>
        <v>0</v>
      </c>
      <c r="AU78" s="1030">
        <f t="shared" si="192"/>
        <v>0</v>
      </c>
      <c r="AV78" s="1030">
        <f t="shared" si="193"/>
        <v>0</v>
      </c>
      <c r="AW78" s="1033">
        <f t="shared" si="193"/>
        <v>0</v>
      </c>
      <c r="AX78" s="1032">
        <f>IF($AM78="Revêtement",N78,0)</f>
        <v>8.2451783125096406E-2</v>
      </c>
      <c r="AY78" s="1030">
        <f t="shared" si="194"/>
        <v>9.7360411665675065E-2</v>
      </c>
      <c r="AZ78" s="1030">
        <f t="shared" si="194"/>
        <v>1.4908628540578657E-2</v>
      </c>
      <c r="BA78" s="1030">
        <f t="shared" si="195"/>
        <v>0.55528751900575135</v>
      </c>
      <c r="BB78" s="1033">
        <f t="shared" si="195"/>
        <v>5.5528751900575136E-3</v>
      </c>
      <c r="BC78" s="1032">
        <f>IF($AM78="Installation",N78,0)</f>
        <v>0</v>
      </c>
      <c r="BD78" s="1030">
        <f t="shared" si="196"/>
        <v>0</v>
      </c>
      <c r="BE78" s="1030">
        <f t="shared" si="196"/>
        <v>0</v>
      </c>
      <c r="BF78" s="1033">
        <f>IF($AM78="Installation",S78,0)</f>
        <v>0</v>
      </c>
      <c r="BG78" s="1032">
        <f>IF($AM78="Structure", IF($I78="kg",$J78,0), 0)</f>
        <v>0</v>
      </c>
      <c r="BH78" s="1030">
        <f>IF($AM78="Insulation", IF($I78="kg",$J78,0), 0)</f>
        <v>0</v>
      </c>
      <c r="BI78" s="1033">
        <f>IF($AM78="Revêtement", IF($I78="kg",$J78,0), 0)</f>
        <v>305.44852000000003</v>
      </c>
      <c r="BJ78" s="1030">
        <f>_xlfn.XLOOKUP(H78, 'Baumaterialien Matériaux'!A:A, 'Baumaterialien Matériaux'!E:E, "-", 0, 1)</f>
        <v>436</v>
      </c>
      <c r="BK78" s="1032">
        <f t="shared" si="182"/>
        <v>0</v>
      </c>
      <c r="BL78" s="1030">
        <f t="shared" si="183"/>
        <v>0</v>
      </c>
      <c r="BM78" s="1033">
        <f t="shared" si="184"/>
        <v>0.70057000000000003</v>
      </c>
      <c r="BN78" s="720">
        <f>IFERROR((J78*VLOOKUP(H78, 'Baumaterialien Matériaux'!$A$11:$AH$318, 32,FALSE))*($L$2/L78-1),0)/$G$1</f>
        <v>2.5374956929111302E-2</v>
      </c>
      <c r="BO78" s="720">
        <f t="shared" si="197"/>
        <v>9.7360411665675065E-2</v>
      </c>
    </row>
    <row r="79" spans="2:67">
      <c r="B79" s="1103"/>
      <c r="C79" s="1099"/>
      <c r="D79" s="478"/>
      <c r="E79" s="478"/>
      <c r="F79" s="454" t="s">
        <v>3266</v>
      </c>
      <c r="G79" s="478" t="str">
        <f>_xlfn.XLOOKUP(H79, 'Baumaterialien Matériaux'!A:A, 'Baumaterialien Matériaux'!AD:AD, "-", 0, 1)</f>
        <v>Polyuréthane (PUR/PIR)</v>
      </c>
      <c r="H79" s="892" t="s">
        <v>702</v>
      </c>
      <c r="I79" s="641" t="str">
        <f>_xlfn.XLOOKUP(H79, 'Baumaterialien Matériaux'!A:A, 'Baumaterialien Matériaux'!F:F, "-", 0, 1)</f>
        <v>kg</v>
      </c>
      <c r="J79" s="649">
        <f>$J$76*K79</f>
        <v>271.98599999999999</v>
      </c>
      <c r="K79" s="647">
        <f>0.22*30</f>
        <v>6.6</v>
      </c>
      <c r="L79" s="647">
        <v>30</v>
      </c>
      <c r="M79" s="648">
        <f t="shared" si="198"/>
        <v>5.0314503206187613</v>
      </c>
      <c r="N79" s="720">
        <f>IFERROR(($J79*VLOOKUP($H79, 'Baumaterialien Matériaux'!$A$11:$AD$318, 26,FALSE)),0)/$G$1</f>
        <v>1.438413432934488</v>
      </c>
      <c r="O79" s="720">
        <f>IFERROR(($J79*VLOOKUP($H79, 'Baumaterialien Matériaux'!$A$11:$AH$318, 33,FALSE)),0)/$G$1</f>
        <v>0.56637528921795466</v>
      </c>
      <c r="P79" s="720">
        <f t="shared" si="199"/>
        <v>2.232537515700403</v>
      </c>
      <c r="Q79" s="720">
        <f>IFERROR(($J79*VLOOKUP($H79, 'Baumaterialien Matériaux'!$A$11:$AH$318, 27,FALSE)),0)/$G$1</f>
        <v>0.79412408276591517</v>
      </c>
      <c r="R79" s="720">
        <f>IFERROR(($J79*VLOOKUP($H79, 'Baumaterialien Matériaux'!$A$11:$AH$318, 34,FALSE)),0)/$G$1</f>
        <v>0.26131177364976532</v>
      </c>
      <c r="S79" s="720">
        <f>IFERROR((J79*VLOOKUP(H79, 'Baumaterialien Matériaux'!$A$11:$AD$318, 29,FALSE)),0)/$G$1</f>
        <v>0</v>
      </c>
      <c r="T79" s="720">
        <f>S79*AJ79</f>
        <v>0</v>
      </c>
      <c r="V79" s="638">
        <f t="shared" si="186"/>
        <v>0</v>
      </c>
      <c r="W79" s="638">
        <f t="shared" si="187"/>
        <v>0</v>
      </c>
      <c r="Y79" s="638" t="str">
        <f t="shared" si="9"/>
        <v>Revêtement</v>
      </c>
      <c r="Z79" s="638">
        <f t="shared" si="188"/>
        <v>30</v>
      </c>
      <c r="AA79" s="648" t="s">
        <v>3443</v>
      </c>
      <c r="AB79" t="str">
        <f>_xlfn.XLOOKUP($H79,'[1]Baumaterialien Matériaux'!$A:$A,'[1]Baumaterialien Matériaux'!AK:AK,0,0)</f>
        <v>oil_product</v>
      </c>
      <c r="AC79" t="str" cm="1">
        <f t="array" ref="AC79">_xlfn.SWITCH(I79,"kg"," ",0," ",_xlfn.XLOOKUP(H79, '[1]Baumaterialien Matériaux'!$A:$A, '[1]Baumaterialien Matériaux'!$AL:$AL, "-", 0, 1))</f>
        <v xml:space="preserve"> </v>
      </c>
      <c r="AD79" s="622" cm="1">
        <f t="array" ref="AD79">IFERROR(_xlfn.SWITCH(I79,"kg",1,"m3",AC79,AC79)*J79/(_xlfn.XLOOKUP(AA79,Métrés!A:A,Métrés!D:D,0)),0)</f>
        <v>0.55566315273351319</v>
      </c>
      <c r="AE79" s="1092">
        <f>IFERROR(N79*$G$1/(_xlfn.XLOOKUP($AA79,Métrés!$A:$A,Métrés!$D:$D,0)),0)</f>
        <v>2.6671831331208629</v>
      </c>
      <c r="AF79" s="1092">
        <f>IFERROR(O79*$G$1/(_xlfn.XLOOKUP($AA79,Métrés!$A:$A,Métrés!$D:$D,0)),0)</f>
        <v>1.05020335866634</v>
      </c>
      <c r="AG79" s="1092">
        <f>IFERROR(Q79*$G$1/(_xlfn.XLOOKUP($AA79,Métrés!$A:$A,Métrés!$D:$D,0)),0)</f>
        <v>1.4725073547438097</v>
      </c>
      <c r="AH79" s="1092">
        <f>IFERROR(R79*$G$1/(_xlfn.XLOOKUP($AA79,Métrés!$A:$A,Métrés!$D:$D,0)),0)</f>
        <v>0.48453826918362347</v>
      </c>
      <c r="AI79" s="1092">
        <f>IFERROR(S79*$G$1/(_xlfn.XLOOKUP($AA79,Métrés!$A:$A,Métrés!$D:$D,0)),0)</f>
        <v>0</v>
      </c>
      <c r="AJ79" s="1030"/>
      <c r="AK79" s="1030">
        <f>IF(L79=60,0,T79)</f>
        <v>0</v>
      </c>
      <c r="AL79" s="1030">
        <f>IF(L79=60,0,S79)</f>
        <v>0</v>
      </c>
      <c r="AM79" s="638" t="s">
        <v>3388</v>
      </c>
      <c r="AN79" s="1032">
        <f>IF(AM79="Structure",N79,0)</f>
        <v>0</v>
      </c>
      <c r="AO79" s="1030">
        <f>IF(AM79="Structure",P79,0)</f>
        <v>0</v>
      </c>
      <c r="AP79" s="1030">
        <f>IF(AM79="Structure",Q79,0)</f>
        <v>0</v>
      </c>
      <c r="AQ79" s="1030">
        <f>IF(AM79="Structure",S79,0)</f>
        <v>0</v>
      </c>
      <c r="AR79" s="1033">
        <f>IF(AM79="Structure",T79,0)</f>
        <v>0</v>
      </c>
      <c r="AS79" s="1032">
        <f>IF($AM79="Insulation",N79,0)</f>
        <v>1.438413432934488</v>
      </c>
      <c r="AT79" s="1030">
        <f t="shared" si="192"/>
        <v>2.232537515700403</v>
      </c>
      <c r="AU79" s="1030">
        <f t="shared" si="192"/>
        <v>0.79412408276591517</v>
      </c>
      <c r="AV79" s="1030">
        <f t="shared" si="193"/>
        <v>0</v>
      </c>
      <c r="AW79" s="1033">
        <f t="shared" si="193"/>
        <v>0</v>
      </c>
      <c r="AX79" s="1032">
        <f>IF($AM79="Revêtement",N79,0)</f>
        <v>0</v>
      </c>
      <c r="AY79" s="1030">
        <f t="shared" si="194"/>
        <v>0</v>
      </c>
      <c r="AZ79" s="1030">
        <f t="shared" si="194"/>
        <v>0</v>
      </c>
      <c r="BA79" s="1030">
        <f t="shared" si="195"/>
        <v>0</v>
      </c>
      <c r="BB79" s="1033">
        <f t="shared" si="195"/>
        <v>0</v>
      </c>
      <c r="BC79" s="1032">
        <f>IF($AM79="Installation",N79,0)</f>
        <v>0</v>
      </c>
      <c r="BD79" s="1030">
        <f t="shared" si="196"/>
        <v>0</v>
      </c>
      <c r="BE79" s="1030">
        <f t="shared" si="196"/>
        <v>0</v>
      </c>
      <c r="BF79" s="1033">
        <f>IF($AM79="Installation",S79,0)</f>
        <v>0</v>
      </c>
      <c r="BG79" s="1032">
        <f>IF($AM79="Structure", IF($I79="kg",$J79,0), 0)</f>
        <v>0</v>
      </c>
      <c r="BH79" s="1030">
        <f>IF($AM79="Insulation", IF($I79="kg",$J79,0), 0)</f>
        <v>271.98599999999999</v>
      </c>
      <c r="BI79" s="1033">
        <f>IF($AM79="Revêtement", IF($I79="kg",$J79,0), 0)</f>
        <v>0</v>
      </c>
      <c r="BJ79" s="1030">
        <f>_xlfn.XLOOKUP(H79, 'Baumaterialien Matériaux'!A:A, 'Baumaterialien Matériaux'!E:E, "-", 0, 1)</f>
        <v>30</v>
      </c>
      <c r="BK79" s="1032">
        <f t="shared" si="182"/>
        <v>0</v>
      </c>
      <c r="BL79" s="1030">
        <f t="shared" si="183"/>
        <v>9.0662000000000003</v>
      </c>
      <c r="BM79" s="1033">
        <f t="shared" si="184"/>
        <v>0</v>
      </c>
      <c r="BN79" s="720">
        <f>IFERROR((J79*VLOOKUP(H79, 'Baumaterialien Matériaux'!$A$11:$AH$318, 32,FALSE))*($L$2/L79-1),0)/$G$1</f>
        <v>0.82708772393733054</v>
      </c>
      <c r="BO79" s="720">
        <f t="shared" si="197"/>
        <v>2.232537515700403</v>
      </c>
    </row>
    <row r="80" spans="2:67">
      <c r="B80" s="1103"/>
      <c r="C80" s="1099"/>
      <c r="D80" s="478"/>
      <c r="E80" s="478"/>
      <c r="F80" s="663" t="s">
        <v>3033</v>
      </c>
      <c r="G80" s="479"/>
      <c r="H80" s="479"/>
      <c r="I80" s="459" t="s">
        <v>39</v>
      </c>
      <c r="J80" s="662">
        <v>36.43</v>
      </c>
      <c r="K80" s="663"/>
      <c r="L80" s="663"/>
      <c r="M80" s="664">
        <f>SUM(M81:M86)</f>
        <v>3.1544653946567949</v>
      </c>
      <c r="N80" s="664">
        <f t="shared" ref="N80:T80" si="200">SUM(N81:N86)</f>
        <v>1.114258603710804</v>
      </c>
      <c r="O80" s="664">
        <f t="shared" ref="O80" si="201">SUM(O81:O86)</f>
        <v>0.67707309524514669</v>
      </c>
      <c r="P80" s="664">
        <f t="shared" si="200"/>
        <v>1.238696149705824</v>
      </c>
      <c r="Q80" s="664">
        <f t="shared" si="200"/>
        <v>0.12443754599501995</v>
      </c>
      <c r="R80" s="664">
        <f t="shared" ref="R80" si="202">SUM(R81:R86)</f>
        <v>3.9951426986624357E-2</v>
      </c>
      <c r="S80" s="664">
        <f t="shared" si="200"/>
        <v>3.1180619306537976</v>
      </c>
      <c r="T80" s="664">
        <f t="shared" si="200"/>
        <v>-4.5961296473193629E-2</v>
      </c>
      <c r="V80" s="638">
        <f t="shared" si="186"/>
        <v>-4.5961296473193629E-2</v>
      </c>
      <c r="W80" s="638">
        <f t="shared" si="187"/>
        <v>3.1180619306537976</v>
      </c>
      <c r="Y80" s="638">
        <f t="shared" si="9"/>
        <v>0</v>
      </c>
      <c r="Z80" s="638">
        <f t="shared" si="188"/>
        <v>0</v>
      </c>
      <c r="AA80" s="648" t="s">
        <v>3443</v>
      </c>
      <c r="AB80">
        <f>_xlfn.XLOOKUP($H80,'[1]Baumaterialien Matériaux'!$A:$A,'[1]Baumaterialien Matériaux'!AK:AK,0,0)</f>
        <v>0</v>
      </c>
      <c r="AC80" cm="1">
        <f t="array" ref="AC80">_xlfn.SWITCH(I80,"kg"," ",0," ",_xlfn.XLOOKUP(H80, '[1]Baumaterialien Matériaux'!$A:$A, '[1]Baumaterialien Matériaux'!$AL:$AL, "-", 0, 1))</f>
        <v>0</v>
      </c>
      <c r="AD80" s="622" cm="1">
        <f t="array" ref="AD80">IFERROR(_xlfn.SWITCH(I80,"kg",1,"m3",AC80,AC80)*J80/(_xlfn.XLOOKUP(AA80,Métrés!A:A,Métrés!D:D,0)),0)</f>
        <v>0</v>
      </c>
      <c r="AE80" s="1092">
        <f>IFERROR(N80*$G$1/(_xlfn.XLOOKUP($AA80,Métrés!$A:$A,Métrés!$D:$D,0)),0)</f>
        <v>2.0661179085968784</v>
      </c>
      <c r="AF80" s="1092">
        <f>IFERROR(O80*$G$1/(_xlfn.XLOOKUP($AA80,Métrés!$A:$A,Métrés!$D:$D,0)),0)</f>
        <v>1.2554651522154125</v>
      </c>
      <c r="AG80" s="1092">
        <f>IFERROR(Q80*$G$1/(_xlfn.XLOOKUP($AA80,Métrés!$A:$A,Métrés!$D:$D,0)),0)</f>
        <v>0.23073875438424454</v>
      </c>
      <c r="AH80" s="1092">
        <f>IFERROR(R80*$G$1/(_xlfn.XLOOKUP($AA80,Métrés!$A:$A,Métrés!$D:$D,0)),0)</f>
        <v>7.4080073060390619E-2</v>
      </c>
      <c r="AI80" s="1092">
        <f>IFERROR(S80*$G$1/(_xlfn.XLOOKUP($AA80,Métrés!$A:$A,Métrés!$D:$D,0)),0)</f>
        <v>5.7816772278744795</v>
      </c>
      <c r="AJ80" s="1064"/>
      <c r="AK80" s="1064"/>
      <c r="AL80" s="1064"/>
      <c r="AM80" s="1021"/>
      <c r="AN80" s="1073"/>
      <c r="AO80" s="1064"/>
      <c r="AP80" s="1064"/>
      <c r="AQ80" s="1064"/>
      <c r="AR80" s="1074"/>
      <c r="AS80" s="1073"/>
      <c r="AT80" s="1064"/>
      <c r="AU80" s="1064"/>
      <c r="AV80" s="1064"/>
      <c r="AW80" s="1074"/>
      <c r="AX80" s="1073"/>
      <c r="AY80" s="1064"/>
      <c r="AZ80" s="1064"/>
      <c r="BA80" s="1064"/>
      <c r="BB80" s="1074"/>
      <c r="BC80" s="1073"/>
      <c r="BD80" s="1064"/>
      <c r="BE80" s="1064"/>
      <c r="BF80" s="1074"/>
      <c r="BG80" s="1073"/>
      <c r="BH80" s="1064"/>
      <c r="BI80" s="1074"/>
      <c r="BJ80" s="1078"/>
      <c r="BK80" s="1073"/>
      <c r="BL80" s="1064"/>
      <c r="BM80" s="1074"/>
      <c r="BN80" s="720">
        <f>IFERROR((J80*VLOOKUP(H80, 'Baumaterialien Matériaux'!$A$11:$AH$318, 32,FALSE))*($L$2/L80-1),0)/$G$1</f>
        <v>0</v>
      </c>
      <c r="BO80" s="720">
        <f t="shared" si="197"/>
        <v>0</v>
      </c>
    </row>
    <row r="81" spans="2:67">
      <c r="B81" s="1103"/>
      <c r="C81" s="1099"/>
      <c r="D81" s="478"/>
      <c r="E81" s="478"/>
      <c r="F81" s="454" t="s">
        <v>3256</v>
      </c>
      <c r="G81" s="478" t="str">
        <f>_xlfn.XLOOKUP(H81, 'Baumaterialien Matériaux'!A:A, 'Baumaterialien Matériaux'!AD:AD, "-", 0, 1)</f>
        <v>Bois massif épicéa / sapin / mélèze, séché en cellule, raboté</v>
      </c>
      <c r="H81" s="892" t="s">
        <v>129</v>
      </c>
      <c r="I81" s="641" t="str">
        <f>_xlfn.XLOOKUP(H81, 'Baumaterialien Matériaux'!A:A, 'Baumaterialien Matériaux'!F:F, "-", 0, 1)</f>
        <v>kg</v>
      </c>
      <c r="J81" s="649">
        <f>$J$80*K81</f>
        <v>508.19849999999997</v>
      </c>
      <c r="K81" s="528">
        <f>0.03*465</f>
        <v>13.95</v>
      </c>
      <c r="L81" s="647">
        <v>30</v>
      </c>
      <c r="M81" s="648">
        <f>SUM(N81:Q81)</f>
        <v>0.21915437396707871</v>
      </c>
      <c r="N81" s="720">
        <f>IFERROR(($J81*VLOOKUP($H81, 'Baumaterialien Matériaux'!$A$11:$AD$318, 26,FALSE)),0)/$G$1</f>
        <v>7.558978151649369E-2</v>
      </c>
      <c r="O81" s="720">
        <f>IFERROR(($J81*VLOOKUP($H81, 'Baumaterialien Matériaux'!$A$11:$AH$318, 33,FALSE)),0)/$G$1</f>
        <v>2.407674522377206E-2</v>
      </c>
      <c r="P81" s="720">
        <f>IFERROR((N81+Q81)*($L$2/L81-1),0)</f>
        <v>9.7538814371653335E-2</v>
      </c>
      <c r="Q81" s="720">
        <f>IFERROR(($J81*VLOOKUP($H81, 'Baumaterialien Matériaux'!$A$11:$AH$318, 27,FALSE)),0)/$G$1</f>
        <v>2.1949032855159648E-2</v>
      </c>
      <c r="R81" s="720">
        <f>IFERROR(($J81*VLOOKUP($H81, 'Baumaterialien Matériaux'!$A$11:$AH$318, 34,FALSE)),0)/$G$1</f>
        <v>4.0762489588153632E-3</v>
      </c>
      <c r="S81" s="720">
        <f>IFERROR((J81*VLOOKUP(H81, 'Baumaterialien Matériaux'!$A$11:$AD$318, 29,FALSE)),0)/$G$1</f>
        <v>0.92592816321808669</v>
      </c>
      <c r="T81" s="720">
        <f t="shared" ref="T81:T86" si="203">S81*AJ81</f>
        <v>9.2592816321808678E-3</v>
      </c>
      <c r="U81" s="638">
        <v>0.01</v>
      </c>
      <c r="V81" s="638">
        <f t="shared" si="186"/>
        <v>9.2592816321808678E-3</v>
      </c>
      <c r="W81" s="638">
        <f t="shared" si="187"/>
        <v>0.92592816321808669</v>
      </c>
      <c r="Y81" s="638" t="str">
        <f t="shared" si="9"/>
        <v>Revêtement</v>
      </c>
      <c r="Z81" s="638">
        <f t="shared" si="188"/>
        <v>30</v>
      </c>
      <c r="AA81" s="648" t="s">
        <v>3443</v>
      </c>
      <c r="AB81" t="str">
        <f>_xlfn.XLOOKUP($H81,'[1]Baumaterialien Matériaux'!$A:$A,'[1]Baumaterialien Matériaux'!AK:AK,0,0)</f>
        <v>timber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622" cm="1">
        <f t="array" ref="AD81">IFERROR(_xlfn.SWITCH(I81,"kg",1,"m3",AC81,AC81)*J81/(_xlfn.XLOOKUP(AA81,Métrés!A:A,Métrés!D:D,0)),0)</f>
        <v>1.0382416033341506</v>
      </c>
      <c r="AE81" s="1092">
        <f>IFERROR(N81*$G$1/(_xlfn.XLOOKUP($AA81,Métrés!$A:$A,Métrés!$D:$D,0)),0)</f>
        <v>0.14016261645011033</v>
      </c>
      <c r="AF81" s="1092">
        <f>IFERROR(O81*$G$1/(_xlfn.XLOOKUP($AA81,Métrés!$A:$A,Métrés!$D:$D,0)),0)</f>
        <v>4.4644388943368474E-2</v>
      </c>
      <c r="AG81" s="1092">
        <f>IFERROR(Q81*$G$1/(_xlfn.XLOOKUP($AA81,Métrés!$A:$A,Métrés!$D:$D,0)),0)</f>
        <v>4.0699070850698703E-2</v>
      </c>
      <c r="AH81" s="1092">
        <f>IFERROR(R81*$G$1/(_xlfn.XLOOKUP($AA81,Métrés!$A:$A,Métrés!$D:$D,0)),0)</f>
        <v>7.558398872272617E-3</v>
      </c>
      <c r="AI81" s="1092">
        <f>IFERROR(S81*$G$1/(_xlfn.XLOOKUP($AA81,Métrés!$A:$A,Métrés!$D:$D,0)),0)</f>
        <v>1.7169055313802402</v>
      </c>
      <c r="AJ81" s="1030">
        <v>0.01</v>
      </c>
      <c r="AK81" s="1030">
        <f t="shared" ref="AK81:AK86" si="204">IF(L81=60,0,T81)</f>
        <v>9.2592816321808678E-3</v>
      </c>
      <c r="AL81" s="1030">
        <f t="shared" ref="AL81:AL86" si="205">IF(L81=60,0,S81)</f>
        <v>0.92592816321808669</v>
      </c>
      <c r="AM81" s="638" t="str">
        <f>IF(L81=$L$2, "Structure", IF(L81&gt;0,"Revêtement",0))</f>
        <v>Revêtement</v>
      </c>
      <c r="AN81" s="1032">
        <f t="shared" ref="AN81:AN86" si="206">IF(AM81="Structure",N81,0)</f>
        <v>0</v>
      </c>
      <c r="AO81" s="1030">
        <f t="shared" ref="AO81:AO86" si="207">IF(AM81="Structure",P81,0)</f>
        <v>0</v>
      </c>
      <c r="AP81" s="1030">
        <f t="shared" ref="AP81:AP86" si="208">IF(AM81="Structure",Q81,0)</f>
        <v>0</v>
      </c>
      <c r="AQ81" s="1030">
        <f t="shared" ref="AQ81:AQ86" si="209">IF(AM81="Structure",S81,0)</f>
        <v>0</v>
      </c>
      <c r="AR81" s="1033">
        <f t="shared" ref="AR81:AR86" si="210">IF(AM81="Structure",T81,0)</f>
        <v>0</v>
      </c>
      <c r="AS81" s="1032">
        <f t="shared" ref="AS81:AS86" si="211">IF($AM81="Insulation",N81,0)</f>
        <v>0</v>
      </c>
      <c r="AT81" s="1030">
        <f t="shared" ref="AT81:AU86" si="212">IF($AM81="Insulation",P81,0)</f>
        <v>0</v>
      </c>
      <c r="AU81" s="1030">
        <f t="shared" si="212"/>
        <v>0</v>
      </c>
      <c r="AV81" s="1030">
        <f t="shared" ref="AV81:AW86" si="213">IF($AM81="Insulation",S81,0)</f>
        <v>0</v>
      </c>
      <c r="AW81" s="1033">
        <f t="shared" si="213"/>
        <v>0</v>
      </c>
      <c r="AX81" s="1032">
        <f t="shared" ref="AX81:AX86" si="214">IF($AM81="Revêtement",N81,0)</f>
        <v>7.558978151649369E-2</v>
      </c>
      <c r="AY81" s="1030">
        <f t="shared" ref="AY81:AZ86" si="215">IF($AM81="Revêtement",P81,0)</f>
        <v>9.7538814371653335E-2</v>
      </c>
      <c r="AZ81" s="1030">
        <f t="shared" si="215"/>
        <v>2.1949032855159648E-2</v>
      </c>
      <c r="BA81" s="1030">
        <f t="shared" ref="BA81:BB86" si="216">IF($AM81="Revêtement",S81,0)</f>
        <v>0.92592816321808669</v>
      </c>
      <c r="BB81" s="1033">
        <f t="shared" si="216"/>
        <v>9.2592816321808678E-3</v>
      </c>
      <c r="BC81" s="1032">
        <f t="shared" ref="BC81:BC86" si="217">IF($AM81="Installation",N81,0)</f>
        <v>0</v>
      </c>
      <c r="BD81" s="1030">
        <f t="shared" ref="BD81:BE86" si="218">IF($AM81="Installation",P81,0)</f>
        <v>0</v>
      </c>
      <c r="BE81" s="1030">
        <f t="shared" si="218"/>
        <v>0</v>
      </c>
      <c r="BF81" s="1033">
        <f t="shared" ref="BF81:BF86" si="219">IF($AM81="Installation",S81,0)</f>
        <v>0</v>
      </c>
      <c r="BG81" s="1032">
        <f t="shared" ref="BG81:BG86" si="220">IF($AM81="Structure", IF($I81="kg",$J81,0), 0)</f>
        <v>0</v>
      </c>
      <c r="BH81" s="1030">
        <f t="shared" ref="BH81:BH86" si="221">IF($AM81="Insulation", IF($I81="kg",$J81,0), 0)</f>
        <v>0</v>
      </c>
      <c r="BI81" s="1033">
        <f t="shared" ref="BI81:BI86" si="222">IF($AM81="Revêtement", IF($I81="kg",$J81,0), 0)</f>
        <v>508.19849999999997</v>
      </c>
      <c r="BJ81" s="1030">
        <f>_xlfn.XLOOKUP(H81, 'Baumaterialien Matériaux'!A:A, 'Baumaterialien Matériaux'!E:E, "-", 0, 1)</f>
        <v>465</v>
      </c>
      <c r="BK81" s="1032">
        <f t="shared" si="182"/>
        <v>0</v>
      </c>
      <c r="BL81" s="1030">
        <f t="shared" si="183"/>
        <v>0</v>
      </c>
      <c r="BM81" s="1033">
        <f t="shared" si="184"/>
        <v>1.0929</v>
      </c>
      <c r="BN81" s="720">
        <f>IFERROR((J81*VLOOKUP(H81, 'Baumaterialien Matériaux'!$A$11:$AH$318, 32,FALSE))*($L$2/L81-1),0)/$G$1</f>
        <v>2.8164192668738014E-2</v>
      </c>
      <c r="BO81" s="720">
        <f t="shared" si="197"/>
        <v>9.7538814371653335E-2</v>
      </c>
    </row>
    <row r="82" spans="2:67">
      <c r="B82" s="1103"/>
      <c r="C82" s="1099"/>
      <c r="D82" s="478"/>
      <c r="E82" s="478"/>
      <c r="F82" s="638" t="s">
        <v>2996</v>
      </c>
      <c r="G82" s="478" t="str">
        <f>_xlfn.XLOOKUP(H82, 'Baumaterialien Matériaux'!A:A, 'Baumaterialien Matériaux'!AD:AD, "-", 0, 1)</f>
        <v>Bois massif de construction</v>
      </c>
      <c r="H82" s="875" t="s">
        <v>547</v>
      </c>
      <c r="I82" s="641" t="str">
        <f>_xlfn.XLOOKUP(H82, 'Baumaterialien Matériaux'!A:A, 'Baumaterialien Matériaux'!F:F, "-", 0, 1)</f>
        <v>kg</v>
      </c>
      <c r="J82" s="649">
        <f t="shared" ref="J82:J86" si="223">$J$80*K82</f>
        <v>222.36872</v>
      </c>
      <c r="K82" s="893">
        <f>0.014*436</f>
        <v>6.1040000000000001</v>
      </c>
      <c r="L82" s="647">
        <v>30</v>
      </c>
      <c r="M82" s="648">
        <f t="shared" ref="M82" si="224">SUM(N82:Q82)</f>
        <v>0.1584476968317137</v>
      </c>
      <c r="N82" s="720">
        <f>IFERROR(($J82*VLOOKUP($H82, 'Baumaterialien Matériaux'!$A$11:$AD$318, 26,FALSE)),0)/$G$1</f>
        <v>6.0025491284898966E-2</v>
      </c>
      <c r="O82" s="720">
        <f>IFERROR(($J82*VLOOKUP($H82, 'Baumaterialien Matériaux'!$A$11:$AH$318, 33,FALSE)),0)/$G$1</f>
        <v>1.6689536597254358E-2</v>
      </c>
      <c r="P82" s="720">
        <f t="shared" ref="P82" si="225">IFERROR((N82+Q82)*($L$2/L82-1),0)</f>
        <v>7.0879080117229681E-2</v>
      </c>
      <c r="Q82" s="720">
        <f>IFERROR(($J82*VLOOKUP($H82, 'Baumaterialien Matériaux'!$A$11:$AH$318, 27,FALSE)),0)/$G$1</f>
        <v>1.085358883233071E-2</v>
      </c>
      <c r="R82" s="720">
        <f>IFERROR(($J82*VLOOKUP($H82, 'Baumaterialien Matériaux'!$A$11:$AH$318, 34,FALSE)),0)/$G$1</f>
        <v>1.783614598179855E-3</v>
      </c>
      <c r="S82" s="720">
        <f>IFERROR((J82*VLOOKUP(H82, 'Baumaterialien Matériaux'!$A$11:$AD$318, 29,FALSE)),0)/$G$1</f>
        <v>0.4042533086534012</v>
      </c>
      <c r="T82" s="720">
        <f t="shared" si="203"/>
        <v>4.0425330865340118E-3</v>
      </c>
      <c r="U82" s="638">
        <v>0.01</v>
      </c>
      <c r="V82" s="638">
        <f t="shared" si="186"/>
        <v>4.0425330865340118E-3</v>
      </c>
      <c r="W82" s="638">
        <f t="shared" si="187"/>
        <v>0.4042533086534012</v>
      </c>
      <c r="Y82" s="638" t="str">
        <f t="shared" si="9"/>
        <v>Revêtement</v>
      </c>
      <c r="Z82" s="638">
        <f t="shared" si="188"/>
        <v>30</v>
      </c>
      <c r="AA82" s="648" t="s">
        <v>3443</v>
      </c>
      <c r="AB82" t="str">
        <f>_xlfn.XLOOKUP($H82,'[1]Baumaterialien Matériaux'!$A:$A,'[1]Baumaterialien Matériaux'!AK:AK,0,0)</f>
        <v>timber</v>
      </c>
      <c r="AC82" t="str" cm="1">
        <f t="array" ref="AC82">_xlfn.SWITCH(I82,"kg"," ",0," ",_xlfn.XLOOKUP(H82, '[1]Baumaterialien Matériaux'!$A:$A, '[1]Baumaterialien Matériaux'!$AL:$AL, "-", 0, 1))</f>
        <v xml:space="preserve"> </v>
      </c>
      <c r="AD82" s="622" cm="1">
        <f t="array" ref="AD82">IFERROR(_xlfn.SWITCH(I82,"kg",1,"m3",AC82,AC82)*J82/(_xlfn.XLOOKUP(AA82,Métrés!A:A,Métrés!D:D,0)),0)</f>
        <v>0.4542958241399036</v>
      </c>
      <c r="AE82" s="1092">
        <f>IFERROR(N82*$G$1/(_xlfn.XLOOKUP($AA82,Métrés!$A:$A,Métrés!$D:$D,0)),0)</f>
        <v>0.11130247691427639</v>
      </c>
      <c r="AF82" s="1092">
        <f>IFERROR(O82*$G$1/(_xlfn.XLOOKUP($AA82,Métrés!$A:$A,Métrés!$D:$D,0)),0)</f>
        <v>3.0946631540410236E-2</v>
      </c>
      <c r="AG82" s="1092">
        <f>IFERROR(Q82*$G$1/(_xlfn.XLOOKUP($AA82,Métrés!$A:$A,Métrés!$D:$D,0)),0)</f>
        <v>2.0125305009397729E-2</v>
      </c>
      <c r="AH82" s="1092">
        <f>IFERROR(R82*$G$1/(_xlfn.XLOOKUP($AA82,Métrés!$A:$A,Métrés!$D:$D,0)),0)</f>
        <v>3.3072735997384979E-3</v>
      </c>
      <c r="AI82" s="1092">
        <f>IFERROR(S82*$G$1/(_xlfn.XLOOKUP($AA82,Métrés!$A:$A,Métrés!$D:$D,0)),0)</f>
        <v>0.74958810983084101</v>
      </c>
      <c r="AJ82" s="1030">
        <v>0.01</v>
      </c>
      <c r="AK82" s="1030">
        <f t="shared" si="204"/>
        <v>4.0425330865340118E-3</v>
      </c>
      <c r="AL82" s="1030">
        <f t="shared" si="205"/>
        <v>0.4042533086534012</v>
      </c>
      <c r="AM82" s="638" t="str">
        <f>IF(L82=$L$2, "Structure", IF(L82&gt;0,"Revêtement",0))</f>
        <v>Revêtement</v>
      </c>
      <c r="AN82" s="1032">
        <f t="shared" si="206"/>
        <v>0</v>
      </c>
      <c r="AO82" s="1030">
        <f t="shared" si="207"/>
        <v>0</v>
      </c>
      <c r="AP82" s="1030">
        <f t="shared" si="208"/>
        <v>0</v>
      </c>
      <c r="AQ82" s="1030">
        <f t="shared" si="209"/>
        <v>0</v>
      </c>
      <c r="AR82" s="1033">
        <f t="shared" si="210"/>
        <v>0</v>
      </c>
      <c r="AS82" s="1032">
        <f t="shared" si="211"/>
        <v>0</v>
      </c>
      <c r="AT82" s="1030">
        <f t="shared" si="212"/>
        <v>0</v>
      </c>
      <c r="AU82" s="1030">
        <f t="shared" si="212"/>
        <v>0</v>
      </c>
      <c r="AV82" s="1030">
        <f t="shared" si="213"/>
        <v>0</v>
      </c>
      <c r="AW82" s="1033">
        <f t="shared" si="213"/>
        <v>0</v>
      </c>
      <c r="AX82" s="1032">
        <f t="shared" si="214"/>
        <v>6.0025491284898966E-2</v>
      </c>
      <c r="AY82" s="1030">
        <f t="shared" si="215"/>
        <v>7.0879080117229681E-2</v>
      </c>
      <c r="AZ82" s="1030">
        <f t="shared" si="215"/>
        <v>1.085358883233071E-2</v>
      </c>
      <c r="BA82" s="1030">
        <f t="shared" si="216"/>
        <v>0.4042533086534012</v>
      </c>
      <c r="BB82" s="1033">
        <f t="shared" si="216"/>
        <v>4.0425330865340118E-3</v>
      </c>
      <c r="BC82" s="1032">
        <f t="shared" si="217"/>
        <v>0</v>
      </c>
      <c r="BD82" s="1030">
        <f t="shared" si="218"/>
        <v>0</v>
      </c>
      <c r="BE82" s="1030">
        <f t="shared" si="218"/>
        <v>0</v>
      </c>
      <c r="BF82" s="1033">
        <f t="shared" si="219"/>
        <v>0</v>
      </c>
      <c r="BG82" s="1032">
        <f t="shared" si="220"/>
        <v>0</v>
      </c>
      <c r="BH82" s="1030">
        <f t="shared" si="221"/>
        <v>0</v>
      </c>
      <c r="BI82" s="1033">
        <f t="shared" si="222"/>
        <v>222.36872</v>
      </c>
      <c r="BJ82" s="1030">
        <f>_xlfn.XLOOKUP(H82, 'Baumaterialien Matériaux'!A:A, 'Baumaterialien Matériaux'!E:E, "-", 0, 1)</f>
        <v>436</v>
      </c>
      <c r="BK82" s="1032">
        <f t="shared" si="182"/>
        <v>0</v>
      </c>
      <c r="BL82" s="1030">
        <f t="shared" si="183"/>
        <v>0</v>
      </c>
      <c r="BM82" s="1033">
        <f t="shared" si="184"/>
        <v>0.51002000000000003</v>
      </c>
      <c r="BN82" s="720">
        <f>IFERROR((J82*VLOOKUP(H82, 'Baumaterialien Matériaux'!$A$11:$AH$318, 32,FALSE))*($L$2/L82-1),0)/$G$1</f>
        <v>1.8473151195434211E-2</v>
      </c>
      <c r="BO82" s="720">
        <f t="shared" si="197"/>
        <v>7.0879080117229681E-2</v>
      </c>
    </row>
    <row r="83" spans="2:67">
      <c r="B83" s="1103"/>
      <c r="C83" s="1099"/>
      <c r="D83" s="478"/>
      <c r="E83" s="478"/>
      <c r="F83" s="483" t="s">
        <v>3257</v>
      </c>
      <c r="G83" s="478" t="str">
        <f>_xlfn.XLOOKUP(H83, 'Baumaterialien Matériaux'!A:A, 'Baumaterialien Matériaux'!AD:AD, "-", 0, 1)</f>
        <v>Panneau de fibres mou</v>
      </c>
      <c r="H83" s="892" t="s">
        <v>542</v>
      </c>
      <c r="I83" s="641" t="str">
        <f>_xlfn.XLOOKUP(H83, 'Baumaterialien Matériaux'!A:A, 'Baumaterialien Matériaux'!F:F, "-", 0, 1)</f>
        <v>kg</v>
      </c>
      <c r="J83" s="649">
        <f t="shared" si="223"/>
        <v>327.87</v>
      </c>
      <c r="K83" s="647">
        <f>0.06*150</f>
        <v>9</v>
      </c>
      <c r="L83" s="647">
        <v>30</v>
      </c>
      <c r="M83" s="648">
        <f t="shared" si="198"/>
        <v>0.6112928472268131</v>
      </c>
      <c r="N83" s="720">
        <f>IFERROR(($J83*VLOOKUP($H83, 'Baumaterialien Matériaux'!$A$11:$AD$318, 26,FALSE)),0)/$G$1</f>
        <v>0.22902710385403585</v>
      </c>
      <c r="O83" s="720">
        <f>IFERROR(($J83*VLOOKUP($H83, 'Baumaterialien Matériaux'!$A$11:$AH$318, 33,FALSE)),0)/$G$1</f>
        <v>8.6336715806174386E-2</v>
      </c>
      <c r="P83" s="720">
        <f t="shared" si="199"/>
        <v>0.26247806571031934</v>
      </c>
      <c r="Q83" s="720">
        <f>IFERROR(($J83*VLOOKUP($H83, 'Baumaterialien Matériaux'!$A$11:$AH$318, 27,FALSE)),0)/$G$1</f>
        <v>3.3450961856283469E-2</v>
      </c>
      <c r="R83" s="720">
        <f>IFERROR(($J83*VLOOKUP($H83, 'Baumaterialien Matériaux'!$A$11:$AH$318, 34,FALSE)),0)/$G$1</f>
        <v>1.3582679976201495E-2</v>
      </c>
      <c r="S83" s="720">
        <f>IFERROR((J83*VLOOKUP(H83, 'Baumaterialien Matériaux'!$A$11:$AD$318, 29,FALSE)),0)/$G$1</f>
        <v>0.57750472664771602</v>
      </c>
      <c r="T83" s="720">
        <f t="shared" si="203"/>
        <v>5.7750472664771599E-3</v>
      </c>
      <c r="U83" s="638">
        <v>0.01</v>
      </c>
      <c r="V83" s="638">
        <f t="shared" si="186"/>
        <v>5.7750472664771599E-3</v>
      </c>
      <c r="W83" s="638">
        <f t="shared" si="187"/>
        <v>0.57750472664771602</v>
      </c>
      <c r="Y83" s="638" t="str">
        <f t="shared" si="9"/>
        <v>Revêtement</v>
      </c>
      <c r="Z83" s="638">
        <f t="shared" si="188"/>
        <v>30</v>
      </c>
      <c r="AA83" s="648" t="s">
        <v>3443</v>
      </c>
      <c r="AB83" t="str">
        <f>_xlfn.XLOOKUP($H83,'[1]Baumaterialien Matériaux'!$A:$A,'[1]Baumaterialien Matériaux'!AK:AK,0,0)</f>
        <v>vegetal_fiber</v>
      </c>
      <c r="AC83" t="str" cm="1">
        <f t="array" ref="AC83">_xlfn.SWITCH(I83,"kg"," ",0," ",_xlfn.XLOOKUP(H83, '[1]Baumaterialien Matériaux'!$A:$A, '[1]Baumaterialien Matériaux'!$AL:$AL, "-", 0, 1))</f>
        <v xml:space="preserve"> </v>
      </c>
      <c r="AD83" s="622" cm="1">
        <f t="array" ref="AD83">IFERROR(_xlfn.SWITCH(I83,"kg",1,"m3",AC83,AC83)*J83/(_xlfn.XLOOKUP(AA83,Métrés!A:A,Métrés!D:D,0)),0)</f>
        <v>0.66983329247364554</v>
      </c>
      <c r="AE83" s="1092">
        <f>IFERROR(N83*$G$1/(_xlfn.XLOOKUP($AA83,Métrés!$A:$A,Métrés!$D:$D,0)),0)</f>
        <v>0.42467430742829132</v>
      </c>
      <c r="AF83" s="1092">
        <f>IFERROR(O83*$G$1/(_xlfn.XLOOKUP($AA83,Métrés!$A:$A,Métrés!$D:$D,0)),0)</f>
        <v>0.16009015690120129</v>
      </c>
      <c r="AG83" s="1092">
        <f>IFERROR(Q83*$G$1/(_xlfn.XLOOKUP($AA83,Métrés!$A:$A,Métrés!$D:$D,0)),0)</f>
        <v>6.2026562883059577E-2</v>
      </c>
      <c r="AH83" s="1092">
        <f>IFERROR(R83*$G$1/(_xlfn.XLOOKUP($AA83,Métrés!$A:$A,Métrés!$D:$D,0)),0)</f>
        <v>2.5185731797009076E-2</v>
      </c>
      <c r="AI83" s="1092">
        <f>IFERROR(S83*$G$1/(_xlfn.XLOOKUP($AA83,Métrés!$A:$A,Métrés!$D:$D,0)),0)</f>
        <v>1.0708401569012014</v>
      </c>
      <c r="AJ83" s="1030">
        <v>0.01</v>
      </c>
      <c r="AK83" s="1030">
        <f t="shared" si="204"/>
        <v>5.7750472664771599E-3</v>
      </c>
      <c r="AL83" s="1030">
        <f t="shared" si="205"/>
        <v>0.57750472664771602</v>
      </c>
      <c r="AM83" s="638" t="s">
        <v>3388</v>
      </c>
      <c r="AN83" s="1032">
        <f t="shared" si="206"/>
        <v>0</v>
      </c>
      <c r="AO83" s="1030">
        <f t="shared" si="207"/>
        <v>0</v>
      </c>
      <c r="AP83" s="1030">
        <f t="shared" si="208"/>
        <v>0</v>
      </c>
      <c r="AQ83" s="1030">
        <f t="shared" si="209"/>
        <v>0</v>
      </c>
      <c r="AR83" s="1033">
        <f t="shared" si="210"/>
        <v>0</v>
      </c>
      <c r="AS83" s="1032">
        <f t="shared" si="211"/>
        <v>0.22902710385403585</v>
      </c>
      <c r="AT83" s="1030">
        <f t="shared" si="212"/>
        <v>0.26247806571031934</v>
      </c>
      <c r="AU83" s="1030">
        <f t="shared" si="212"/>
        <v>3.3450961856283469E-2</v>
      </c>
      <c r="AV83" s="1030">
        <f t="shared" si="213"/>
        <v>0.57750472664771602</v>
      </c>
      <c r="AW83" s="1033">
        <f t="shared" si="213"/>
        <v>5.7750472664771599E-3</v>
      </c>
      <c r="AX83" s="1032">
        <f t="shared" si="214"/>
        <v>0</v>
      </c>
      <c r="AY83" s="1030">
        <f t="shared" si="215"/>
        <v>0</v>
      </c>
      <c r="AZ83" s="1030">
        <f t="shared" si="215"/>
        <v>0</v>
      </c>
      <c r="BA83" s="1030">
        <f t="shared" si="216"/>
        <v>0</v>
      </c>
      <c r="BB83" s="1033">
        <f t="shared" si="216"/>
        <v>0</v>
      </c>
      <c r="BC83" s="1032">
        <f t="shared" si="217"/>
        <v>0</v>
      </c>
      <c r="BD83" s="1030">
        <f t="shared" si="218"/>
        <v>0</v>
      </c>
      <c r="BE83" s="1030">
        <f t="shared" si="218"/>
        <v>0</v>
      </c>
      <c r="BF83" s="1033">
        <f t="shared" si="219"/>
        <v>0</v>
      </c>
      <c r="BG83" s="1032">
        <f t="shared" si="220"/>
        <v>0</v>
      </c>
      <c r="BH83" s="1030">
        <f t="shared" si="221"/>
        <v>327.87</v>
      </c>
      <c r="BI83" s="1033">
        <f t="shared" si="222"/>
        <v>0</v>
      </c>
      <c r="BJ83" s="1030">
        <f>_xlfn.XLOOKUP(H83, 'Baumaterialien Matériaux'!A:A, 'Baumaterialien Matériaux'!E:E, "-", 0, 1)</f>
        <v>147.5</v>
      </c>
      <c r="BK83" s="1032">
        <f t="shared" si="182"/>
        <v>0</v>
      </c>
      <c r="BL83" s="1030">
        <f t="shared" si="183"/>
        <v>2.2228474576271187</v>
      </c>
      <c r="BM83" s="1033">
        <f t="shared" si="184"/>
        <v>0</v>
      </c>
      <c r="BN83" s="720">
        <f>IFERROR((J83*VLOOKUP(H83, 'Baumaterialien Matériaux'!$A$11:$AH$318, 32,FALSE))*($L$2/L83-1),0)/$G$1</f>
        <v>0.10006389237786739</v>
      </c>
      <c r="BO83" s="720">
        <f t="shared" si="197"/>
        <v>0.26247806571031934</v>
      </c>
    </row>
    <row r="84" spans="2:67">
      <c r="B84" s="1103"/>
      <c r="C84" s="1099"/>
      <c r="D84" s="478"/>
      <c r="E84" s="478"/>
      <c r="F84" s="483" t="s">
        <v>3269</v>
      </c>
      <c r="G84" s="478" t="str">
        <f>_xlfn.XLOOKUP(H84, 'Baumaterialien Matériaux'!A:A, 'Baumaterialien Matériaux'!AD:AD, "-", 0, 1)</f>
        <v>Gramitherm</v>
      </c>
      <c r="H84" s="892" t="s">
        <v>545</v>
      </c>
      <c r="I84" s="641" t="str">
        <f>_xlfn.XLOOKUP(H84, 'Baumaterialien Matériaux'!A:A, 'Baumaterialien Matériaux'!F:F, "-", 0, 1)</f>
        <v>kg</v>
      </c>
      <c r="J84" s="649">
        <f t="shared" si="223"/>
        <v>204.00800000000001</v>
      </c>
      <c r="K84" s="647">
        <f>0.14*40</f>
        <v>5.6000000000000005</v>
      </c>
      <c r="L84" s="647">
        <v>30</v>
      </c>
      <c r="M84" s="648">
        <f t="shared" ref="M84:M85" si="226">SUM(N84:Q84)</f>
        <v>0.1753225358630264</v>
      </c>
      <c r="N84" s="720">
        <f>IFERROR(($J84*VLOOKUP($H84, 'Baumaterialien Matériaux'!$A$11:$AD$318, 26,FALSE)),0)/$G$1</f>
        <v>5.8440845287675465E-2</v>
      </c>
      <c r="O84" s="720">
        <f>IFERROR(($J84*VLOOKUP($H84, 'Baumaterialien Matériaux'!$A$11:$AH$318, 33,FALSE)),0)/$G$1</f>
        <v>5.8440845287675465E-2</v>
      </c>
      <c r="P84" s="720">
        <f t="shared" ref="P84:P85" si="227">IFERROR((N84+Q84)*($L$2/L84-1),0)</f>
        <v>5.8440845287675465E-2</v>
      </c>
      <c r="Q84" s="720">
        <f>IFERROR(($J84*VLOOKUP($H84, 'Baumaterialien Matériaux'!$A$11:$AH$318, 27,FALSE)),0)/$G$1</f>
        <v>0</v>
      </c>
      <c r="R84" s="720">
        <f>IFERROR(($J84*VLOOKUP($H84, 'Baumaterialien Matériaux'!$A$11:$AH$318, 34,FALSE)),0)/$G$1</f>
        <v>0</v>
      </c>
      <c r="S84" s="720">
        <f>IFERROR((J84*VLOOKUP(H84, 'Baumaterialien Matériaux'!$A$11:$AD$318, 29,FALSE)),0)/$G$1</f>
        <v>0.32142464908221502</v>
      </c>
      <c r="T84" s="720">
        <f t="shared" si="203"/>
        <v>-7.3927669288909453E-2</v>
      </c>
      <c r="U84" s="638">
        <v>-0.23</v>
      </c>
      <c r="V84" s="638">
        <f t="shared" si="186"/>
        <v>-7.3927669288909453E-2</v>
      </c>
      <c r="W84" s="638">
        <f t="shared" si="187"/>
        <v>0.32142464908221502</v>
      </c>
      <c r="Z84" s="638">
        <f t="shared" si="188"/>
        <v>30</v>
      </c>
      <c r="AA84" s="648" t="s">
        <v>3443</v>
      </c>
      <c r="AB84" t="str">
        <f>_xlfn.XLOOKUP($H84,'[1]Baumaterialien Matériaux'!$A:$A,'[1]Baumaterialien Matériaux'!AK:AK,0,0)</f>
        <v>vegetal_fiber</v>
      </c>
      <c r="AC84" t="str" cm="1">
        <f t="array" ref="AC84">_xlfn.SWITCH(I84,"kg"," ",0," ",_xlfn.XLOOKUP(H84, '[1]Baumaterialien Matériaux'!$A:$A, '[1]Baumaterialien Matériaux'!$AL:$AL, "-", 0, 1))</f>
        <v xml:space="preserve"> </v>
      </c>
      <c r="AD84" s="622" cm="1">
        <f t="array" ref="AD84">IFERROR(_xlfn.SWITCH(I84,"kg",1,"m3",AC84,AC84)*J84/(_xlfn.XLOOKUP(AA84,Métrés!A:A,Métrés!D:D,0)),0)</f>
        <v>0.41678515976137948</v>
      </c>
      <c r="AE84" s="1092">
        <f>IFERROR(N84*$G$1/(_xlfn.XLOOKUP($AA84,Métrés!$A:$A,Métrés!$D:$D,0)),0)</f>
        <v>0.10836414153795867</v>
      </c>
      <c r="AF84" s="1092">
        <f>IFERROR(O84*$G$1/(_xlfn.XLOOKUP($AA84,Métrés!$A:$A,Métrés!$D:$D,0)),0)</f>
        <v>0.10836414153795867</v>
      </c>
      <c r="AG84" s="1092">
        <f>IFERROR(Q84*$G$1/(_xlfn.XLOOKUP($AA84,Métrés!$A:$A,Métrés!$D:$D,0)),0)</f>
        <v>0</v>
      </c>
      <c r="AH84" s="1092">
        <f>IFERROR(R84*$G$1/(_xlfn.XLOOKUP($AA84,Métrés!$A:$A,Métrés!$D:$D,0)),0)</f>
        <v>0</v>
      </c>
      <c r="AI84" s="1092">
        <f>IFERROR(S84*$G$1/(_xlfn.XLOOKUP($AA84,Métrés!$A:$A,Métrés!$D:$D,0)),0)</f>
        <v>0.5960027784587727</v>
      </c>
      <c r="AJ84" s="1030">
        <v>-0.23</v>
      </c>
      <c r="AK84" s="1030">
        <f t="shared" si="204"/>
        <v>-7.3927669288909453E-2</v>
      </c>
      <c r="AL84" s="1030">
        <f t="shared" si="205"/>
        <v>0.32142464908221502</v>
      </c>
      <c r="AM84" s="638" t="s">
        <v>3388</v>
      </c>
      <c r="AN84" s="1032">
        <f t="shared" si="206"/>
        <v>0</v>
      </c>
      <c r="AO84" s="1030">
        <f t="shared" si="207"/>
        <v>0</v>
      </c>
      <c r="AP84" s="1030">
        <f t="shared" si="208"/>
        <v>0</v>
      </c>
      <c r="AQ84" s="1030">
        <f t="shared" si="209"/>
        <v>0</v>
      </c>
      <c r="AR84" s="1033">
        <f t="shared" si="210"/>
        <v>0</v>
      </c>
      <c r="AS84" s="1032">
        <f t="shared" si="211"/>
        <v>5.8440845287675465E-2</v>
      </c>
      <c r="AT84" s="1030">
        <f t="shared" si="212"/>
        <v>5.8440845287675465E-2</v>
      </c>
      <c r="AU84" s="1030">
        <f t="shared" si="212"/>
        <v>0</v>
      </c>
      <c r="AV84" s="1030">
        <f t="shared" si="213"/>
        <v>0.32142464908221502</v>
      </c>
      <c r="AW84" s="1033">
        <f t="shared" si="213"/>
        <v>-7.3927669288909453E-2</v>
      </c>
      <c r="AX84" s="1032">
        <f t="shared" si="214"/>
        <v>0</v>
      </c>
      <c r="AY84" s="1030">
        <f t="shared" si="215"/>
        <v>0</v>
      </c>
      <c r="AZ84" s="1030">
        <f t="shared" si="215"/>
        <v>0</v>
      </c>
      <c r="BA84" s="1030">
        <f t="shared" si="216"/>
        <v>0</v>
      </c>
      <c r="BB84" s="1033">
        <f t="shared" si="216"/>
        <v>0</v>
      </c>
      <c r="BC84" s="1032">
        <f t="shared" si="217"/>
        <v>0</v>
      </c>
      <c r="BD84" s="1030">
        <f t="shared" si="218"/>
        <v>0</v>
      </c>
      <c r="BE84" s="1030">
        <f t="shared" si="218"/>
        <v>0</v>
      </c>
      <c r="BF84" s="1033">
        <f t="shared" si="219"/>
        <v>0</v>
      </c>
      <c r="BG84" s="1032">
        <f t="shared" si="220"/>
        <v>0</v>
      </c>
      <c r="BH84" s="1030">
        <f t="shared" si="221"/>
        <v>204.00800000000001</v>
      </c>
      <c r="BI84" s="1033">
        <f t="shared" si="222"/>
        <v>0</v>
      </c>
      <c r="BJ84" s="1030">
        <f>_xlfn.XLOOKUP(H84, 'Baumaterialien Matériaux'!A:A, 'Baumaterialien Matériaux'!E:E, "-", 0, 1)</f>
        <v>0</v>
      </c>
      <c r="BK84" s="1032">
        <f t="shared" si="182"/>
        <v>0</v>
      </c>
      <c r="BL84" s="1030">
        <f t="shared" si="183"/>
        <v>0</v>
      </c>
      <c r="BM84" s="1033">
        <f t="shared" si="184"/>
        <v>0</v>
      </c>
      <c r="BN84" s="720"/>
      <c r="BO84" s="720"/>
    </row>
    <row r="85" spans="2:67">
      <c r="B85" s="1103"/>
      <c r="C85" s="1099"/>
      <c r="D85" s="478"/>
      <c r="E85" s="478"/>
      <c r="F85" s="483" t="s">
        <v>3263</v>
      </c>
      <c r="G85" s="478" t="str">
        <f>_xlfn.XLOOKUP(H85, 'Baumaterialien Matériaux'!A:A, 'Baumaterialien Matériaux'!AD:AD, "-", 0, 1)</f>
        <v>Panneau de fibres mou</v>
      </c>
      <c r="H85" s="892" t="s">
        <v>542</v>
      </c>
      <c r="I85" s="641" t="str">
        <f>_xlfn.XLOOKUP(H85, 'Baumaterialien Matériaux'!A:A, 'Baumaterialien Matériaux'!F:F, "-", 0, 1)</f>
        <v>kg</v>
      </c>
      <c r="J85" s="649">
        <f t="shared" si="223"/>
        <v>437.15999999999997</v>
      </c>
      <c r="K85" s="647">
        <f>0.08*150</f>
        <v>12</v>
      </c>
      <c r="L85" s="647">
        <v>30</v>
      </c>
      <c r="M85" s="648">
        <f t="shared" si="226"/>
        <v>0.8150571296357505</v>
      </c>
      <c r="N85" s="720">
        <f>IFERROR(($J85*VLOOKUP($H85, 'Baumaterialien Matériaux'!$A$11:$AD$318, 26,FALSE)),0)/$G$1</f>
        <v>0.30536947180538104</v>
      </c>
      <c r="O85" s="720">
        <f>IFERROR(($J85*VLOOKUP($H85, 'Baumaterialien Matériaux'!$A$11:$AH$318, 33,FALSE)),0)/$G$1</f>
        <v>0.11511562107489917</v>
      </c>
      <c r="P85" s="720">
        <f t="shared" si="227"/>
        <v>0.34997075428042568</v>
      </c>
      <c r="Q85" s="720">
        <f>IFERROR(($J85*VLOOKUP($H85, 'Baumaterialien Matériaux'!$A$11:$AH$318, 27,FALSE)),0)/$G$1</f>
        <v>4.4601282475044621E-2</v>
      </c>
      <c r="R85" s="720">
        <f>IFERROR(($J85*VLOOKUP($H85, 'Baumaterialien Matériaux'!$A$11:$AH$318, 34,FALSE)),0)/$G$1</f>
        <v>1.8110239968268656E-2</v>
      </c>
      <c r="S85" s="720">
        <f>IFERROR((J85*VLOOKUP(H85, 'Baumaterialien Matériaux'!$A$11:$AD$318, 29,FALSE)),0)/$G$1</f>
        <v>0.77000630219695465</v>
      </c>
      <c r="T85" s="720">
        <f t="shared" si="203"/>
        <v>7.7000630219695469E-3</v>
      </c>
      <c r="U85" s="638">
        <v>0.01</v>
      </c>
      <c r="V85" s="638">
        <f t="shared" si="186"/>
        <v>7.7000630219695469E-3</v>
      </c>
      <c r="W85" s="638">
        <f t="shared" si="187"/>
        <v>0.77000630219695465</v>
      </c>
      <c r="Z85" s="638">
        <f t="shared" si="188"/>
        <v>30</v>
      </c>
      <c r="AA85" s="648" t="s">
        <v>3443</v>
      </c>
      <c r="AB85" t="str">
        <f>_xlfn.XLOOKUP($H85,'[1]Baumaterialien Matériaux'!$A:$A,'[1]Baumaterialien Matériaux'!AK:AK,0,0)</f>
        <v>vegetal_fiber</v>
      </c>
      <c r="AC85" t="str" cm="1">
        <f t="array" ref="AC85">_xlfn.SWITCH(I85,"kg"," ",0," ",_xlfn.XLOOKUP(H85, '[1]Baumaterialien Matériaux'!$A:$A, '[1]Baumaterialien Matériaux'!$AL:$AL, "-", 0, 1))</f>
        <v xml:space="preserve"> </v>
      </c>
      <c r="AD85" s="622" cm="1">
        <f t="array" ref="AD85">IFERROR(_xlfn.SWITCH(I85,"kg",1,"m3",AC85,AC85)*J85/(_xlfn.XLOOKUP(AA85,Métrés!A:A,Métrés!D:D,0)),0)</f>
        <v>0.89311105663152734</v>
      </c>
      <c r="AE85" s="1092">
        <f>IFERROR(N85*$G$1/(_xlfn.XLOOKUP($AA85,Métrés!$A:$A,Métrés!$D:$D,0)),0)</f>
        <v>0.56623240990438828</v>
      </c>
      <c r="AF85" s="1092">
        <f>IFERROR(O85*$G$1/(_xlfn.XLOOKUP($AA85,Métrés!$A:$A,Métrés!$D:$D,0)),0)</f>
        <v>0.21345354253493501</v>
      </c>
      <c r="AG85" s="1092">
        <f>IFERROR(Q85*$G$1/(_xlfn.XLOOKUP($AA85,Métrés!$A:$A,Métrés!$D:$D,0)),0)</f>
        <v>8.2702083844079427E-2</v>
      </c>
      <c r="AH85" s="1092">
        <f>IFERROR(R85*$G$1/(_xlfn.XLOOKUP($AA85,Métrés!$A:$A,Métrés!$D:$D,0)),0)</f>
        <v>3.358097572934543E-2</v>
      </c>
      <c r="AI85" s="1092">
        <f>IFERROR(S85*$G$1/(_xlfn.XLOOKUP($AA85,Métrés!$A:$A,Métrés!$D:$D,0)),0)</f>
        <v>1.4277868758682684</v>
      </c>
      <c r="AJ85" s="1030">
        <v>0.01</v>
      </c>
      <c r="AK85" s="1030">
        <f t="shared" si="204"/>
        <v>7.7000630219695469E-3</v>
      </c>
      <c r="AL85" s="1030">
        <f t="shared" si="205"/>
        <v>0.77000630219695465</v>
      </c>
      <c r="AM85" s="638" t="s">
        <v>3388</v>
      </c>
      <c r="AN85" s="1032">
        <f t="shared" si="206"/>
        <v>0</v>
      </c>
      <c r="AO85" s="1030">
        <f t="shared" si="207"/>
        <v>0</v>
      </c>
      <c r="AP85" s="1030">
        <f t="shared" si="208"/>
        <v>0</v>
      </c>
      <c r="AQ85" s="1030">
        <f t="shared" si="209"/>
        <v>0</v>
      </c>
      <c r="AR85" s="1033">
        <f t="shared" si="210"/>
        <v>0</v>
      </c>
      <c r="AS85" s="1032">
        <f t="shared" si="211"/>
        <v>0.30536947180538104</v>
      </c>
      <c r="AT85" s="1030">
        <f t="shared" si="212"/>
        <v>0.34997075428042568</v>
      </c>
      <c r="AU85" s="1030">
        <f t="shared" si="212"/>
        <v>4.4601282475044621E-2</v>
      </c>
      <c r="AV85" s="1030">
        <f t="shared" si="213"/>
        <v>0.77000630219695465</v>
      </c>
      <c r="AW85" s="1033">
        <f t="shared" si="213"/>
        <v>7.7000630219695469E-3</v>
      </c>
      <c r="AX85" s="1032">
        <f t="shared" si="214"/>
        <v>0</v>
      </c>
      <c r="AY85" s="1030">
        <f t="shared" si="215"/>
        <v>0</v>
      </c>
      <c r="AZ85" s="1030">
        <f t="shared" si="215"/>
        <v>0</v>
      </c>
      <c r="BA85" s="1030">
        <f t="shared" si="216"/>
        <v>0</v>
      </c>
      <c r="BB85" s="1033">
        <f t="shared" si="216"/>
        <v>0</v>
      </c>
      <c r="BC85" s="1032">
        <f t="shared" si="217"/>
        <v>0</v>
      </c>
      <c r="BD85" s="1030">
        <f t="shared" si="218"/>
        <v>0</v>
      </c>
      <c r="BE85" s="1030">
        <f t="shared" si="218"/>
        <v>0</v>
      </c>
      <c r="BF85" s="1033">
        <f t="shared" si="219"/>
        <v>0</v>
      </c>
      <c r="BG85" s="1032">
        <f t="shared" si="220"/>
        <v>0</v>
      </c>
      <c r="BH85" s="1030">
        <f t="shared" si="221"/>
        <v>437.15999999999997</v>
      </c>
      <c r="BI85" s="1033">
        <f t="shared" si="222"/>
        <v>0</v>
      </c>
      <c r="BJ85" s="1030">
        <f>_xlfn.XLOOKUP(H85, 'Baumaterialien Matériaux'!A:A, 'Baumaterialien Matériaux'!E:E, "-", 0, 1)</f>
        <v>147.5</v>
      </c>
      <c r="BK85" s="1032">
        <f t="shared" si="182"/>
        <v>0</v>
      </c>
      <c r="BL85" s="1030">
        <f t="shared" si="183"/>
        <v>2.9637966101694913</v>
      </c>
      <c r="BM85" s="1033">
        <f t="shared" si="184"/>
        <v>0</v>
      </c>
      <c r="BN85" s="720"/>
      <c r="BO85" s="720"/>
    </row>
    <row r="86" spans="2:67">
      <c r="B86" s="1103"/>
      <c r="C86" s="1099"/>
      <c r="D86" s="478"/>
      <c r="E86" s="478"/>
      <c r="F86" s="638" t="s">
        <v>3264</v>
      </c>
      <c r="G86" s="478" t="str">
        <f>_xlfn.XLOOKUP(H86, 'Baumaterialien Matériaux'!A:A, 'Baumaterialien Matériaux'!AD:AD, "-", 0, 1)</f>
        <v>Plaque de plâtre armé de fibres</v>
      </c>
      <c r="H86" s="875" t="s">
        <v>739</v>
      </c>
      <c r="I86" s="641" t="str">
        <f>_xlfn.XLOOKUP(H86, 'Baumaterialien Matériaux'!A:A, 'Baumaterialien Matériaux'!F:F, "-", 0, 1)</f>
        <v>kg</v>
      </c>
      <c r="J86" s="649">
        <f t="shared" si="223"/>
        <v>655.74</v>
      </c>
      <c r="K86" s="647">
        <f>0.015*1200</f>
        <v>18</v>
      </c>
      <c r="L86" s="647">
        <v>30</v>
      </c>
      <c r="M86" s="648">
        <f t="shared" si="198"/>
        <v>1.1751908111324125</v>
      </c>
      <c r="N86" s="720">
        <f>IFERROR(($J86*VLOOKUP($H86, 'Baumaterialien Matériaux'!$A$11:$AD$318, 26,FALSE)),0)/$G$1</f>
        <v>0.38580590996231906</v>
      </c>
      <c r="O86" s="720">
        <f>IFERROR(($J86*VLOOKUP($H86, 'Baumaterialien Matériaux'!$A$11:$AH$318, 33,FALSE)),0)/$G$1</f>
        <v>0.37641363125537125</v>
      </c>
      <c r="P86" s="720">
        <f t="shared" si="199"/>
        <v>0.39938858993852056</v>
      </c>
      <c r="Q86" s="720">
        <f>IFERROR(($J86*VLOOKUP($H86, 'Baumaterialien Matériaux'!$A$11:$AH$318, 27,FALSE)),0)/$G$1</f>
        <v>1.3582679976201495E-2</v>
      </c>
      <c r="R86" s="720">
        <f>IFERROR(($J86*VLOOKUP($H86, 'Baumaterialien Matériaux'!$A$11:$AH$318, 34,FALSE)),0)/$G$1</f>
        <v>2.398643485158987E-3</v>
      </c>
      <c r="S86" s="720">
        <f>IFERROR((J86*VLOOKUP(H86, 'Baumaterialien Matériaux'!$A$11:$AD$318, 29,FALSE)),0)/$G$1</f>
        <v>0.11894478085542406</v>
      </c>
      <c r="T86" s="720">
        <f t="shared" si="203"/>
        <v>1.1894478085542406E-3</v>
      </c>
      <c r="U86" s="638">
        <v>0.01</v>
      </c>
      <c r="V86" s="638">
        <f t="shared" si="186"/>
        <v>1.1894478085542406E-3</v>
      </c>
      <c r="W86" s="638">
        <f t="shared" si="187"/>
        <v>0.11894478085542406</v>
      </c>
      <c r="Y86" s="638" t="str">
        <f t="shared" si="9"/>
        <v>Revêtement</v>
      </c>
      <c r="Z86" s="638">
        <f t="shared" si="188"/>
        <v>30</v>
      </c>
      <c r="AA86" s="648" t="s">
        <v>3443</v>
      </c>
      <c r="AB86" t="str">
        <f>_xlfn.XLOOKUP($H86,'[1]Baumaterialien Matériaux'!$A:$A,'[1]Baumaterialien Matériaux'!AK:AK,0,0)</f>
        <v>gypsum</v>
      </c>
      <c r="AC86" t="str" cm="1">
        <f t="array" ref="AC86">_xlfn.SWITCH(I86,"kg"," ",0," ",_xlfn.XLOOKUP(H86, '[1]Baumaterialien Matériaux'!$A:$A, '[1]Baumaterialien Matériaux'!$AL:$AL, "-", 0, 1))</f>
        <v xml:space="preserve"> </v>
      </c>
      <c r="AD86" s="622" cm="1">
        <f t="array" ref="AD86">IFERROR(_xlfn.SWITCH(I86,"kg",1,"m3",AC86,AC86)*J86/(_xlfn.XLOOKUP(AA86,Métrés!A:A,Métrés!D:D,0)),0)</f>
        <v>1.3396665849472911</v>
      </c>
      <c r="AE86" s="1092">
        <f>IFERROR(N86*$G$1/(_xlfn.XLOOKUP($AA86,Métrés!$A:$A,Métrés!$D:$D,0)),0)</f>
        <v>0.71538195636185353</v>
      </c>
      <c r="AF86" s="1092">
        <f>IFERROR(O86*$G$1/(_xlfn.XLOOKUP($AA86,Métrés!$A:$A,Métrés!$D:$D,0)),0)</f>
        <v>0.6979662907575388</v>
      </c>
      <c r="AG86" s="1092">
        <f>IFERROR(Q86*$G$1/(_xlfn.XLOOKUP($AA86,Métrés!$A:$A,Métrés!$D:$D,0)),0)</f>
        <v>2.5185731797009076E-2</v>
      </c>
      <c r="AH86" s="1092">
        <f>IFERROR(R86*$G$1/(_xlfn.XLOOKUP($AA86,Métrés!$A:$A,Métrés!$D:$D,0)),0)</f>
        <v>4.4476930620250066E-3</v>
      </c>
      <c r="AI86" s="1092">
        <f>IFERROR(S86*$G$1/(_xlfn.XLOOKUP($AA86,Métrés!$A:$A,Métrés!$D:$D,0)),0)</f>
        <v>0.22055377543515567</v>
      </c>
      <c r="AJ86" s="1030">
        <v>0.01</v>
      </c>
      <c r="AK86" s="1030">
        <f t="shared" si="204"/>
        <v>1.1894478085542406E-3</v>
      </c>
      <c r="AL86" s="1030">
        <f t="shared" si="205"/>
        <v>0.11894478085542406</v>
      </c>
      <c r="AM86" s="638" t="str">
        <f>IF(L86=$L$2, "Structure", IF(L86&gt;0,"Revêtement",0))</f>
        <v>Revêtement</v>
      </c>
      <c r="AN86" s="1032">
        <f t="shared" si="206"/>
        <v>0</v>
      </c>
      <c r="AO86" s="1030">
        <f t="shared" si="207"/>
        <v>0</v>
      </c>
      <c r="AP86" s="1030">
        <f t="shared" si="208"/>
        <v>0</v>
      </c>
      <c r="AQ86" s="1030">
        <f t="shared" si="209"/>
        <v>0</v>
      </c>
      <c r="AR86" s="1033">
        <f t="shared" si="210"/>
        <v>0</v>
      </c>
      <c r="AS86" s="1032">
        <f t="shared" si="211"/>
        <v>0</v>
      </c>
      <c r="AT86" s="1030">
        <f t="shared" si="212"/>
        <v>0</v>
      </c>
      <c r="AU86" s="1030">
        <f t="shared" si="212"/>
        <v>0</v>
      </c>
      <c r="AV86" s="1030">
        <f t="shared" si="213"/>
        <v>0</v>
      </c>
      <c r="AW86" s="1033">
        <f t="shared" si="213"/>
        <v>0</v>
      </c>
      <c r="AX86" s="1032">
        <f t="shared" si="214"/>
        <v>0.38580590996231906</v>
      </c>
      <c r="AY86" s="1030">
        <f t="shared" si="215"/>
        <v>0.39938858993852056</v>
      </c>
      <c r="AZ86" s="1030">
        <f t="shared" si="215"/>
        <v>1.3582679976201495E-2</v>
      </c>
      <c r="BA86" s="1030">
        <f t="shared" si="216"/>
        <v>0.11894478085542406</v>
      </c>
      <c r="BB86" s="1033">
        <f t="shared" si="216"/>
        <v>1.1894478085542406E-3</v>
      </c>
      <c r="BC86" s="1032">
        <f t="shared" si="217"/>
        <v>0</v>
      </c>
      <c r="BD86" s="1030">
        <f t="shared" si="218"/>
        <v>0</v>
      </c>
      <c r="BE86" s="1030">
        <f t="shared" si="218"/>
        <v>0</v>
      </c>
      <c r="BF86" s="1033">
        <f t="shared" si="219"/>
        <v>0</v>
      </c>
      <c r="BG86" s="1032">
        <f t="shared" si="220"/>
        <v>0</v>
      </c>
      <c r="BH86" s="1030">
        <f t="shared" si="221"/>
        <v>0</v>
      </c>
      <c r="BI86" s="1033">
        <f t="shared" si="222"/>
        <v>655.74</v>
      </c>
      <c r="BJ86" s="1030">
        <f>_xlfn.XLOOKUP(H86, 'Baumaterialien Matériaux'!A:A, 'Baumaterialien Matériaux'!E:E, "-", 0, 1)</f>
        <v>1200</v>
      </c>
      <c r="BK86" s="1032">
        <f t="shared" si="182"/>
        <v>0</v>
      </c>
      <c r="BL86" s="1030">
        <f t="shared" si="183"/>
        <v>0</v>
      </c>
      <c r="BM86" s="1033">
        <f t="shared" si="184"/>
        <v>0.54644999999999999</v>
      </c>
      <c r="BN86" s="720">
        <f>IFERROR((J86*VLOOKUP(H86, 'Baumaterialien Matériaux'!$A$11:$AH$318, 32,FALSE))*($L$2/L86-1),0)/$G$1</f>
        <v>0.37930356316520131</v>
      </c>
      <c r="BO86" s="720">
        <f>IFERROR((N86+Q86)*($L$2/L86-1),0)</f>
        <v>0.39938858993852056</v>
      </c>
    </row>
    <row r="87" spans="2:67" ht="15.75" customHeight="1">
      <c r="B87" s="1103"/>
      <c r="C87" s="1097" t="s">
        <v>120</v>
      </c>
      <c r="D87" s="473" t="s">
        <v>2995</v>
      </c>
      <c r="E87" s="473"/>
      <c r="F87" s="473"/>
      <c r="G87" s="473"/>
      <c r="H87" s="473"/>
      <c r="I87" s="463"/>
      <c r="J87" s="654"/>
      <c r="K87" s="652"/>
      <c r="L87" s="652"/>
      <c r="M87" s="653">
        <f ca="1">M88+M92</f>
        <v>86.006374717760011</v>
      </c>
      <c r="N87" s="653">
        <f t="shared" ref="N87:S87" si="228">N88+N92</f>
        <v>29.012823957162688</v>
      </c>
      <c r="O87" s="653">
        <f t="shared" ref="O87" si="229">O88+O92</f>
        <v>22.742962311686977</v>
      </c>
      <c r="P87" s="653">
        <f t="shared" ca="1" si="228"/>
        <v>31.631706203036508</v>
      </c>
      <c r="Q87" s="653">
        <f t="shared" si="228"/>
        <v>2.6188822458738237</v>
      </c>
      <c r="R87" s="653">
        <f t="shared" ref="R87" si="230">R88+R92</f>
        <v>4.4320693235904054</v>
      </c>
      <c r="S87" s="653">
        <f t="shared" si="228"/>
        <v>8.8465958587661504</v>
      </c>
      <c r="T87" s="653">
        <f t="shared" ref="T87" si="231">T88+T92</f>
        <v>8.8465958587661486E-2</v>
      </c>
      <c r="V87" s="638">
        <f t="shared" si="186"/>
        <v>8.8465958587661486E-2</v>
      </c>
      <c r="W87" s="638">
        <f t="shared" si="187"/>
        <v>8.8465958587661504</v>
      </c>
      <c r="Y87" s="638">
        <f t="shared" si="9"/>
        <v>0</v>
      </c>
      <c r="Z87" s="638">
        <f t="shared" si="188"/>
        <v>0</v>
      </c>
      <c r="AB87">
        <f>_xlfn.XLOOKUP($H87,'[1]Baumaterialien Matériaux'!$A:$A,'[1]Baumaterialien Matériaux'!AK:AK,0,0)</f>
        <v>0</v>
      </c>
      <c r="AC87" t="str" cm="1">
        <f t="array" ref="AC87">_xlfn.SWITCH(I87,"kg"," ",0," ",_xlfn.XLOOKUP(H87, '[1]Baumaterialien Matériaux'!$A:$A, '[1]Baumaterialien Matériaux'!$AL:$AL, "-", 0, 1))</f>
        <v xml:space="preserve"> </v>
      </c>
      <c r="AD87" s="622" cm="1">
        <f t="array" ref="AD87">IFERROR(_xlfn.SWITCH(I87,"kg",1,"m3",AC87,AC87)*J87/(_xlfn.XLOOKUP(AA87,Métrés!A:A,Métrés!D:D,0)),0)</f>
        <v>0</v>
      </c>
      <c r="AE87" s="1092">
        <f>IFERROR(N87*$G$1/(_xlfn.XLOOKUP($AA87,Métrés!$A:$A,Métrés!$D:$D,0)),0)</f>
        <v>0</v>
      </c>
      <c r="AF87" s="1092">
        <f>IFERROR(O87*$G$1/(_xlfn.XLOOKUP($AA87,Métrés!$A:$A,Métrés!$D:$D,0)),0)</f>
        <v>0</v>
      </c>
      <c r="AG87" s="1092">
        <f>IFERROR(Q87*$G$1/(_xlfn.XLOOKUP($AA87,Métrés!$A:$A,Métrés!$D:$D,0)),0)</f>
        <v>0</v>
      </c>
      <c r="AH87" s="1092">
        <f>IFERROR(R87*$G$1/(_xlfn.XLOOKUP($AA87,Métrés!$A:$A,Métrés!$D:$D,0)),0)</f>
        <v>0</v>
      </c>
      <c r="AI87" s="1092">
        <f>IFERROR(S87*$G$1/(_xlfn.XLOOKUP($AA87,Métrés!$A:$A,Métrés!$D:$D,0)),0)</f>
        <v>0</v>
      </c>
      <c r="AJ87" s="1063"/>
      <c r="AK87" s="1063"/>
      <c r="AL87" s="1063"/>
      <c r="AM87" s="1020"/>
      <c r="AN87" s="1071"/>
      <c r="AO87" s="1063"/>
      <c r="AP87" s="1063"/>
      <c r="AQ87" s="1063"/>
      <c r="AR87" s="1072"/>
      <c r="AS87" s="1071"/>
      <c r="AT87" s="1063"/>
      <c r="AU87" s="1063"/>
      <c r="AV87" s="1063"/>
      <c r="AW87" s="1072"/>
      <c r="AX87" s="1071"/>
      <c r="AY87" s="1063"/>
      <c r="AZ87" s="1063"/>
      <c r="BA87" s="1063"/>
      <c r="BB87" s="1072"/>
      <c r="BC87" s="1071"/>
      <c r="BD87" s="1063"/>
      <c r="BE87" s="1063"/>
      <c r="BF87" s="1072"/>
      <c r="BG87" s="1071"/>
      <c r="BH87" s="1063"/>
      <c r="BI87" s="1072"/>
      <c r="BJ87" s="1077"/>
      <c r="BK87" s="1071"/>
      <c r="BL87" s="1063"/>
      <c r="BM87" s="1072"/>
    </row>
    <row r="88" spans="2:67">
      <c r="B88" s="1103"/>
      <c r="C88" s="1098"/>
      <c r="D88" s="478"/>
      <c r="E88" s="479" t="str">
        <f>BillQuantities!E18</f>
        <v>Valeur moyenne triple vitrage isolant, y c. protection solaire</v>
      </c>
      <c r="F88" s="479" t="s">
        <v>378</v>
      </c>
      <c r="G88" s="479"/>
      <c r="H88" s="479"/>
      <c r="I88" s="459" t="s">
        <v>39</v>
      </c>
      <c r="J88" s="662">
        <f>130.32+3.76</f>
        <v>134.07999999999998</v>
      </c>
      <c r="K88" s="663"/>
      <c r="L88" s="663"/>
      <c r="M88" s="664">
        <f ca="1">SUM(M89:M91)</f>
        <v>70.769914598620574</v>
      </c>
      <c r="N88" s="664">
        <f>SUM(N89:N91)</f>
        <v>23.465623586963705</v>
      </c>
      <c r="O88" s="664">
        <f>SUM(O89:O91)</f>
        <v>20.037234878032656</v>
      </c>
      <c r="P88" s="664">
        <f t="shared" ref="P88:S88" ca="1" si="232">SUM(P89:P91)</f>
        <v>25.366339860293952</v>
      </c>
      <c r="Q88" s="664">
        <f t="shared" si="232"/>
        <v>1.9007162733302481</v>
      </c>
      <c r="R88" s="664">
        <f t="shared" ref="R88" si="233">SUM(R89:R91)</f>
        <v>4.0933126198188665</v>
      </c>
      <c r="S88" s="664">
        <f t="shared" si="232"/>
        <v>3.385410928215185</v>
      </c>
      <c r="T88" s="664">
        <f t="shared" ref="T88" si="234">SUM(T89:T91)</f>
        <v>3.3854109282151851E-2</v>
      </c>
      <c r="V88" s="638">
        <f t="shared" si="186"/>
        <v>3.3854109282151851E-2</v>
      </c>
      <c r="W88" s="638">
        <f t="shared" si="187"/>
        <v>3.385410928215185</v>
      </c>
      <c r="Y88" s="638">
        <f t="shared" si="9"/>
        <v>0</v>
      </c>
      <c r="Z88" s="638">
        <f t="shared" si="188"/>
        <v>0</v>
      </c>
      <c r="AA88" s="648" t="s">
        <v>3444</v>
      </c>
      <c r="AB88">
        <f>_xlfn.XLOOKUP($H88,'[1]Baumaterialien Matériaux'!$A:$A,'[1]Baumaterialien Matériaux'!AK:AK,0,0)</f>
        <v>0</v>
      </c>
      <c r="AC88" cm="1">
        <f t="array" ref="AC88">_xlfn.SWITCH(I88,"kg"," ",0," ",_xlfn.XLOOKUP(H88, '[1]Baumaterialien Matériaux'!$A:$A, '[1]Baumaterialien Matériaux'!$AL:$AL, "-", 0, 1))</f>
        <v>0</v>
      </c>
      <c r="AD88" s="622" cm="1">
        <f t="array" ref="AD88">IFERROR(_xlfn.SWITCH(I88,"kg",1,"m3",AC88,AC88)*J88/(_xlfn.XLOOKUP(AA88,Métrés!A:A,Métrés!D:D,0)),0)</f>
        <v>0</v>
      </c>
      <c r="AE88" s="1092">
        <f>IFERROR(N88*$G$1/(_xlfn.XLOOKUP($AA88,Métrés!$A:$A,Métrés!$D:$D,0)),0)</f>
        <v>158.84449045346062</v>
      </c>
      <c r="AF88" s="1092">
        <f>IFERROR(O88*$G$1/(_xlfn.XLOOKUP($AA88,Métrés!$A:$A,Métrés!$D:$D,0)),0)</f>
        <v>135.63689677804297</v>
      </c>
      <c r="AG88" s="1092">
        <f>IFERROR(Q88*$G$1/(_xlfn.XLOOKUP($AA88,Métrés!$A:$A,Métrés!$D:$D,0)),0)</f>
        <v>12.866408890214796</v>
      </c>
      <c r="AH88" s="1092">
        <f>IFERROR(R88*$G$1/(_xlfn.XLOOKUP($AA88,Métrés!$A:$A,Métrés!$D:$D,0)),0)</f>
        <v>27.708624701670644</v>
      </c>
      <c r="AI88" s="1092">
        <f>IFERROR(S88*$G$1/(_xlfn.XLOOKUP($AA88,Métrés!$A:$A,Métrés!$D:$D,0)),0)</f>
        <v>22.916666666666664</v>
      </c>
      <c r="AJ88" s="1064"/>
      <c r="AK88" s="1064"/>
      <c r="AL88" s="1064"/>
      <c r="AM88" s="1021"/>
      <c r="AN88" s="1073"/>
      <c r="AO88" s="1064"/>
      <c r="AP88" s="1064"/>
      <c r="AQ88" s="1064"/>
      <c r="AR88" s="1074"/>
      <c r="AS88" s="1073"/>
      <c r="AT88" s="1064"/>
      <c r="AU88" s="1064"/>
      <c r="AV88" s="1064"/>
      <c r="AW88" s="1074"/>
      <c r="AX88" s="1073"/>
      <c r="AY88" s="1064"/>
      <c r="AZ88" s="1064"/>
      <c r="BA88" s="1064"/>
      <c r="BB88" s="1074"/>
      <c r="BC88" s="1073"/>
      <c r="BD88" s="1064"/>
      <c r="BE88" s="1064"/>
      <c r="BF88" s="1074"/>
      <c r="BG88" s="1073"/>
      <c r="BH88" s="1064"/>
      <c r="BI88" s="1074"/>
      <c r="BJ88" s="1078"/>
      <c r="BK88" s="1073"/>
      <c r="BL88" s="1064"/>
      <c r="BM88" s="1074"/>
    </row>
    <row r="89" spans="2:67">
      <c r="B89" s="1103"/>
      <c r="C89" s="1099"/>
      <c r="D89" s="478"/>
      <c r="E89" s="478"/>
      <c r="F89" s="454" t="s">
        <v>3270</v>
      </c>
      <c r="G89" s="478" t="str">
        <f>_xlfn.XLOOKUP(H89, 'Baumaterialien Matériaux'!A:A, 'Baumaterialien Matériaux'!AD:AD, "-", 0, 1)</f>
        <v>Cadre de fenêtre bois-métal</v>
      </c>
      <c r="H89" s="892" t="s">
        <v>543</v>
      </c>
      <c r="I89" s="641" t="str">
        <f>_xlfn.XLOOKUP(H89, 'Baumaterialien Matériaux'!A:A, 'Baumaterialien Matériaux'!F:F, "-", 0, 1)</f>
        <v>m2</v>
      </c>
      <c r="J89" s="649">
        <f>$J$88*K89</f>
        <v>134.07999999999998</v>
      </c>
      <c r="K89" s="893">
        <v>1</v>
      </c>
      <c r="L89" s="647" cm="1">
        <f t="array" aca="1" ref="L89" ca="1">INDEX('Enveloppe du bâtiment hors terr'!N147:N151, 'Enveloppe du bâtiment hors terr'!W146)</f>
        <v>30</v>
      </c>
      <c r="M89" s="648">
        <f t="shared" ref="M89:M95" ca="1" si="235">SUM(N89:Q89)</f>
        <v>33.569488552477907</v>
      </c>
      <c r="N89" s="720">
        <f>IFERROR(($J89*VLOOKUP($H89, 'Baumaterialien Matériaux'!$A$11:$AD$318, 26,FALSE)),0)/$G$1</f>
        <v>8.6863489125404882</v>
      </c>
      <c r="O89" s="720">
        <f>IFERROR(($J89*VLOOKUP($H89, 'Baumaterialien Matériaux'!$A$11:$AH$318, 33,FALSE)),0)/$G$1</f>
        <v>14.09315792952998</v>
      </c>
      <c r="P89" s="720">
        <f ca="1">IFERROR((N89+Q89)*($L$2/L89-1),0)</f>
        <v>9.7381653114739617</v>
      </c>
      <c r="Q89" s="720">
        <f>IFERROR(($J89*VLOOKUP($H89, 'Baumaterialien Matériaux'!$A$11:$AH$318, 27,FALSE)),0)/$G$1</f>
        <v>1.0518163989334741</v>
      </c>
      <c r="R89" s="720">
        <f>IFERROR(($J89*VLOOKUP($H89, 'Baumaterialien Matériaux'!$A$11:$AH$318, 34,FALSE)),0)/$G$1</f>
        <v>3.3681761089442719</v>
      </c>
      <c r="S89" s="720">
        <f>IFERROR((J89*VLOOKUP(H89, 'Baumaterialien Matériaux'!$A$11:$AD$318, 29,FALSE)),0)/$G$1</f>
        <v>3.385410928215185</v>
      </c>
      <c r="T89" s="720">
        <f>S89*AJ89</f>
        <v>3.3854109282151851E-2</v>
      </c>
      <c r="U89" s="638">
        <v>0.01</v>
      </c>
      <c r="V89" s="638">
        <f t="shared" ca="1" si="186"/>
        <v>3.3854109282151851E-2</v>
      </c>
      <c r="W89" s="638">
        <f t="shared" ca="1" si="187"/>
        <v>3.385410928215185</v>
      </c>
      <c r="Y89" s="638" t="str">
        <f t="shared" ca="1" si="9"/>
        <v>Revêtement</v>
      </c>
      <c r="Z89" s="638">
        <f t="shared" ca="1" si="188"/>
        <v>30</v>
      </c>
      <c r="AA89" s="648" t="s">
        <v>3444</v>
      </c>
      <c r="AB89" t="str">
        <f>_xlfn.XLOOKUP($H89,'[1]Baumaterialien Matériaux'!$A:$A,'[1]Baumaterialien Matériaux'!AK:AK,0,0)</f>
        <v>timber</v>
      </c>
      <c r="AC89" cm="1">
        <f t="array" ref="AC89">_xlfn.SWITCH(I89,"kg"," ",0," ",_xlfn.XLOOKUP(H89, '[1]Baumaterialien Matériaux'!$A:$A, '[1]Baumaterialien Matériaux'!$AL:$AL, "-", 0, 1))</f>
        <v>20</v>
      </c>
      <c r="AD89" s="622" cm="1">
        <f t="array" ref="AD89">IFERROR(_xlfn.SWITCH(I89,"kg",1,"m3",AC89,AC89)*J89/(_xlfn.XLOOKUP(AA89,Métrés!A:A,Métrés!D:D,0)),0)</f>
        <v>20</v>
      </c>
      <c r="AE89" s="1092">
        <f>IFERROR(N89*$G$1/(_xlfn.XLOOKUP($AA89,Métrés!$A:$A,Métrés!$D:$D,0)),0)</f>
        <v>58.79999999999999</v>
      </c>
      <c r="AF89" s="1092">
        <f>IFERROR(O89*$G$1/(_xlfn.XLOOKUP($AA89,Métrés!$A:$A,Métrés!$D:$D,0)),0)</f>
        <v>95.4</v>
      </c>
      <c r="AG89" s="1092">
        <f>IFERROR(Q89*$G$1/(_xlfn.XLOOKUP($AA89,Métrés!$A:$A,Métrés!$D:$D,0)),0)</f>
        <v>7.1199999999999992</v>
      </c>
      <c r="AH89" s="1092">
        <f>IFERROR(R89*$G$1/(_xlfn.XLOOKUP($AA89,Métrés!$A:$A,Métrés!$D:$D,0)),0)</f>
        <v>22.8</v>
      </c>
      <c r="AI89" s="1092">
        <f>IFERROR(S89*$G$1/(_xlfn.XLOOKUP($AA89,Métrés!$A:$A,Métrés!$D:$D,0)),0)</f>
        <v>22.916666666666664</v>
      </c>
      <c r="AJ89" s="1030">
        <v>0.01</v>
      </c>
      <c r="AK89" s="1030">
        <f ca="1">IF(L89=60,0,T89)</f>
        <v>3.3854109282151851E-2</v>
      </c>
      <c r="AL89" s="1030">
        <f ca="1">IF(L89=60,0,S89)</f>
        <v>3.385410928215185</v>
      </c>
      <c r="AM89" s="638" t="str">
        <f ca="1">IF(L89=$L$2, "Structure", IF(L89&gt;0,"Revêtement",0))</f>
        <v>Revêtement</v>
      </c>
      <c r="AN89" s="1032">
        <f ca="1">IF(AM89="Structure",N89,0)</f>
        <v>0</v>
      </c>
      <c r="AO89" s="1030">
        <f ca="1">IF(AM89="Structure",P89,0)</f>
        <v>0</v>
      </c>
      <c r="AP89" s="1030">
        <f ca="1">IF(AM89="Structure",Q89,0)</f>
        <v>0</v>
      </c>
      <c r="AQ89" s="1030">
        <f ca="1">IF(AM89="Structure",S89,0)</f>
        <v>0</v>
      </c>
      <c r="AR89" s="1033">
        <f ca="1">IF(AM89="Structure",T89,0)</f>
        <v>0</v>
      </c>
      <c r="AS89" s="1032">
        <f ca="1">IF($AM89="Insulation",N89,0)</f>
        <v>0</v>
      </c>
      <c r="AT89" s="1030">
        <f t="shared" ref="AT89:AU91" ca="1" si="236">IF($AM89="Insulation",P89,0)</f>
        <v>0</v>
      </c>
      <c r="AU89" s="1030">
        <f t="shared" ca="1" si="236"/>
        <v>0</v>
      </c>
      <c r="AV89" s="1030">
        <f t="shared" ref="AV89:AW91" ca="1" si="237">IF($AM89="Insulation",S89,0)</f>
        <v>0</v>
      </c>
      <c r="AW89" s="1033">
        <f t="shared" ca="1" si="237"/>
        <v>0</v>
      </c>
      <c r="AX89" s="1032">
        <f ca="1">IF($AM89="Revêtement",N89,0)</f>
        <v>8.6863489125404882</v>
      </c>
      <c r="AY89" s="1030">
        <f t="shared" ref="AY89:AZ91" ca="1" si="238">IF($AM89="Revêtement",P89,0)</f>
        <v>9.7381653114739617</v>
      </c>
      <c r="AZ89" s="1030">
        <f t="shared" ca="1" si="238"/>
        <v>1.0518163989334741</v>
      </c>
      <c r="BA89" s="1030">
        <f t="shared" ref="BA89:BB91" ca="1" si="239">IF($AM89="Revêtement",S89,0)</f>
        <v>3.385410928215185</v>
      </c>
      <c r="BB89" s="1033">
        <f t="shared" ca="1" si="239"/>
        <v>3.3854109282151851E-2</v>
      </c>
      <c r="BC89" s="1032">
        <f ca="1">IF($AM89="Installation",N89,0)</f>
        <v>0</v>
      </c>
      <c r="BD89" s="1030">
        <f t="shared" ref="BD89:BE91" ca="1" si="240">IF($AM89="Installation",P89,0)</f>
        <v>0</v>
      </c>
      <c r="BE89" s="1030">
        <f t="shared" ca="1" si="240"/>
        <v>0</v>
      </c>
      <c r="BF89" s="1033">
        <f ca="1">IF($AM89="Installation",S89,0)</f>
        <v>0</v>
      </c>
      <c r="BG89" s="1032">
        <f ca="1">IF($AM89="Structure", IF($I89="kg",$J89,0), 0)</f>
        <v>0</v>
      </c>
      <c r="BH89" s="1030">
        <f ca="1">IF($AM89="Insulation", IF($I89="kg",$J89,0), 0)</f>
        <v>0</v>
      </c>
      <c r="BI89" s="1033">
        <f ca="1">IF($AM89="Revêtement", IF($I89="kg",$J89,0), 0)</f>
        <v>0</v>
      </c>
      <c r="BJ89" s="1030">
        <f>_xlfn.XLOOKUP(H89, 'Baumaterialien Matériaux'!A:A, 'Baumaterialien Matériaux'!E:E, "-", 0, 1)</f>
        <v>83.4</v>
      </c>
      <c r="BK89" s="1032">
        <f t="shared" ca="1" si="182"/>
        <v>0</v>
      </c>
      <c r="BL89" s="1030">
        <f t="shared" ca="1" si="183"/>
        <v>0</v>
      </c>
      <c r="BM89" s="1033">
        <f t="shared" ca="1" si="184"/>
        <v>0</v>
      </c>
      <c r="BN89" s="720">
        <f ca="1">IFERROR((J89*VLOOKUP(H89, 'Baumaterialien Matériaux'!$A$11:$AH$318, 32,FALSE))*($L$2/L89-1),0)/$G$1</f>
        <v>17.431788634009827</v>
      </c>
      <c r="BO89" s="720">
        <f ca="1">IFERROR((N89+Q89)*($L$2/L89-1),0)</f>
        <v>9.7381653114739617</v>
      </c>
    </row>
    <row r="90" spans="2:67">
      <c r="B90" s="1103"/>
      <c r="C90" s="1099"/>
      <c r="D90" s="478"/>
      <c r="E90" s="478"/>
      <c r="F90" s="454" t="s">
        <v>3037</v>
      </c>
      <c r="G90" s="478" t="str">
        <f>_xlfn.XLOOKUP(H90, 'Baumaterialien Matériaux'!A:A, 'Baumaterialien Matériaux'!AD:AD, "-", 0, 1)</f>
        <v>Triple vitrage, U&lt;0.6 W/m2K, épaisseur 40 mm 3</v>
      </c>
      <c r="H90" s="892" t="s">
        <v>668</v>
      </c>
      <c r="I90" s="641" t="str">
        <f>_xlfn.XLOOKUP(H90, 'Baumaterialien Matériaux'!A:A, 'Baumaterialien Matériaux'!F:F, "-", 0, 1)</f>
        <v>m2</v>
      </c>
      <c r="J90" s="649">
        <f t="shared" ref="J90" si="241">$J$88*K90</f>
        <v>104.58239999999999</v>
      </c>
      <c r="K90" s="893">
        <v>0.78</v>
      </c>
      <c r="L90" s="647" cm="1">
        <f t="array" aca="1" ref="L90" ca="1">INDEX('Enveloppe du bâtiment hors terr'!N148:N152, 'Enveloppe du bâtiment hors terr'!W147)</f>
        <v>30</v>
      </c>
      <c r="M90" s="648">
        <f t="shared" ca="1" si="235"/>
        <v>17.528343015799564</v>
      </c>
      <c r="N90" s="720">
        <f>IFERROR(($J90*VLOOKUP($H90, 'Baumaterialien Matériaux'!$A$11:$AD$318, 26,FALSE)),0)/$G$1</f>
        <v>7.1671242149798369</v>
      </c>
      <c r="O90" s="720">
        <f>IFERROR(($J90*VLOOKUP($H90, 'Baumaterialien Matériaux'!$A$11:$AH$318, 33,FALSE)),0)/$G$1</f>
        <v>1.8782013618033977</v>
      </c>
      <c r="P90" s="720">
        <f t="shared" ref="P90:P91" ca="1" si="242">IFERROR((N90+Q90)*($L$2/L90-1),0)</f>
        <v>7.8250708269980827</v>
      </c>
      <c r="Q90" s="720">
        <f>IFERROR(($J90*VLOOKUP($H90, 'Baumaterialien Matériaux'!$A$11:$AH$318, 27,FALSE)),0)/$G$1</f>
        <v>0.65794661201824545</v>
      </c>
      <c r="R90" s="720">
        <f>IFERROR(($J90*VLOOKUP($H90, 'Baumaterialien Matériaux'!$A$11:$AH$318, 34,FALSE)),0)/$G$1</f>
        <v>0.69136246446750838</v>
      </c>
      <c r="S90" s="720">
        <f>IFERROR((J90*VLOOKUP(H90, 'Baumaterialien Matériaux'!$A$11:$AD$318, 29,FALSE)),0)/$G$1</f>
        <v>0</v>
      </c>
      <c r="T90" s="720">
        <f>S90*AJ90</f>
        <v>0</v>
      </c>
      <c r="V90" s="638">
        <f t="shared" ca="1" si="186"/>
        <v>0</v>
      </c>
      <c r="W90" s="638">
        <f t="shared" ca="1" si="187"/>
        <v>0</v>
      </c>
      <c r="Y90" s="638" t="str">
        <f t="shared" ca="1" si="9"/>
        <v>Revêtement</v>
      </c>
      <c r="Z90" s="638">
        <f t="shared" ca="1" si="188"/>
        <v>30</v>
      </c>
      <c r="AA90" s="648" t="s">
        <v>3444</v>
      </c>
      <c r="AB90" t="str">
        <f>_xlfn.XLOOKUP($H90,'[1]Baumaterialien Matériaux'!$A:$A,'[1]Baumaterialien Matériaux'!AK:AK,0,0)</f>
        <v>glass</v>
      </c>
      <c r="AC90" cm="1">
        <f t="array" ref="AC90">_xlfn.SWITCH(I90,"kg"," ",0," ",_xlfn.XLOOKUP(H90, '[1]Baumaterialien Matériaux'!$A:$A, '[1]Baumaterialien Matériaux'!$AL:$AL, "-", 0, 1))</f>
        <v>44.8</v>
      </c>
      <c r="AD90" s="622" cm="1">
        <f t="array" ref="AD90">IFERROR(_xlfn.SWITCH(I90,"kg",1,"m3",AC90,AC90)*J90/(_xlfn.XLOOKUP(AA90,Métrés!A:A,Métrés!D:D,0)),0)</f>
        <v>34.944000000000003</v>
      </c>
      <c r="AE90" s="1092">
        <f>IFERROR(N90*$G$1/(_xlfn.XLOOKUP($AA90,Métrés!$A:$A,Métrés!$D:$D,0)),0)</f>
        <v>48.516000000000005</v>
      </c>
      <c r="AF90" s="1092">
        <f>IFERROR(O90*$G$1/(_xlfn.XLOOKUP($AA90,Métrés!$A:$A,Métrés!$D:$D,0)),0)</f>
        <v>12.714</v>
      </c>
      <c r="AG90" s="1092">
        <f>IFERROR(Q90*$G$1/(_xlfn.XLOOKUP($AA90,Métrés!$A:$A,Métrés!$D:$D,0)),0)</f>
        <v>4.4538000000000002</v>
      </c>
      <c r="AH90" s="1092">
        <f>IFERROR(R90*$G$1/(_xlfn.XLOOKUP($AA90,Métrés!$A:$A,Métrés!$D:$D,0)),0)</f>
        <v>4.68</v>
      </c>
      <c r="AI90" s="1092">
        <f>IFERROR(S90*$G$1/(_xlfn.XLOOKUP($AA90,Métrés!$A:$A,Métrés!$D:$D,0)),0)</f>
        <v>0</v>
      </c>
      <c r="AJ90" s="1030"/>
      <c r="AK90" s="1030">
        <f ca="1">IF(L90=60,0,T90)</f>
        <v>0</v>
      </c>
      <c r="AL90" s="1030">
        <f ca="1">IF(L90=60,0,S90)</f>
        <v>0</v>
      </c>
      <c r="AM90" s="638" t="str">
        <f ca="1">IF(L90=$L$2, "Structure", IF(L90&gt;0,"Revêtement",0))</f>
        <v>Revêtement</v>
      </c>
      <c r="AN90" s="1032">
        <f ca="1">IF(AM90="Structure",N90,0)</f>
        <v>0</v>
      </c>
      <c r="AO90" s="1030">
        <f ca="1">IF(AM90="Structure",P90,0)</f>
        <v>0</v>
      </c>
      <c r="AP90" s="1030">
        <f ca="1">IF(AM90="Structure",Q90,0)</f>
        <v>0</v>
      </c>
      <c r="AQ90" s="1030">
        <f ca="1">IF(AM90="Structure",S90,0)</f>
        <v>0</v>
      </c>
      <c r="AR90" s="1033">
        <f ca="1">IF(AM90="Structure",T90,0)</f>
        <v>0</v>
      </c>
      <c r="AS90" s="1032">
        <f ca="1">IF($AM90="Insulation",N90,0)</f>
        <v>0</v>
      </c>
      <c r="AT90" s="1030">
        <f t="shared" ca="1" si="236"/>
        <v>0</v>
      </c>
      <c r="AU90" s="1030">
        <f t="shared" ca="1" si="236"/>
        <v>0</v>
      </c>
      <c r="AV90" s="1030">
        <f t="shared" ca="1" si="237"/>
        <v>0</v>
      </c>
      <c r="AW90" s="1033">
        <f t="shared" ca="1" si="237"/>
        <v>0</v>
      </c>
      <c r="AX90" s="1032">
        <f ca="1">IF($AM90="Revêtement",N90,0)</f>
        <v>7.1671242149798369</v>
      </c>
      <c r="AY90" s="1030">
        <f t="shared" ca="1" si="238"/>
        <v>7.8250708269980827</v>
      </c>
      <c r="AZ90" s="1030">
        <f t="shared" ca="1" si="238"/>
        <v>0.65794661201824545</v>
      </c>
      <c r="BA90" s="1030">
        <f t="shared" ca="1" si="239"/>
        <v>0</v>
      </c>
      <c r="BB90" s="1033">
        <f t="shared" ca="1" si="239"/>
        <v>0</v>
      </c>
      <c r="BC90" s="1032">
        <f ca="1">IF($AM90="Installation",N90,0)</f>
        <v>0</v>
      </c>
      <c r="BD90" s="1030">
        <f t="shared" ca="1" si="240"/>
        <v>0</v>
      </c>
      <c r="BE90" s="1030">
        <f t="shared" ca="1" si="240"/>
        <v>0</v>
      </c>
      <c r="BF90" s="1033">
        <f ca="1">IF($AM90="Installation",S90,0)</f>
        <v>0</v>
      </c>
      <c r="BG90" s="1032">
        <f ca="1">IF($AM90="Structure", IF($I90="kg",$J90,0), 0)</f>
        <v>0</v>
      </c>
      <c r="BH90" s="1030">
        <f ca="1">IF($AM90="Insulation", IF($I90="kg",$J90,0), 0)</f>
        <v>0</v>
      </c>
      <c r="BI90" s="1033">
        <f ca="1">IF($AM90="Revêtement", IF($I90="kg",$J90,0), 0)</f>
        <v>0</v>
      </c>
      <c r="BJ90" s="1030">
        <f>_xlfn.XLOOKUP(H90, 'Baumaterialien Matériaux'!A:A, 'Baumaterialien Matériaux'!E:E, "-", 0, 1)</f>
        <v>30</v>
      </c>
      <c r="BK90" s="1032">
        <f t="shared" ca="1" si="182"/>
        <v>0</v>
      </c>
      <c r="BL90" s="1030">
        <f t="shared" ca="1" si="183"/>
        <v>0</v>
      </c>
      <c r="BM90" s="1033">
        <f t="shared" ca="1" si="184"/>
        <v>0</v>
      </c>
      <c r="BN90" s="720">
        <f ca="1">IFERROR((J90*VLOOKUP(H90, 'Baumaterialien Matériaux'!$A$11:$AH$318, 32,FALSE))*($L$2/L90-1),0)/$G$1</f>
        <v>2.5695638262709064</v>
      </c>
      <c r="BO90" s="720">
        <f ca="1">IFERROR((N90+Q90)*($L$2/L90-1),0)</f>
        <v>7.8250708269980827</v>
      </c>
    </row>
    <row r="91" spans="2:67">
      <c r="B91" s="1103"/>
      <c r="C91" s="1099"/>
      <c r="D91" s="478"/>
      <c r="E91" s="478"/>
      <c r="F91" s="3" t="s">
        <v>3038</v>
      </c>
      <c r="G91" s="478" t="str">
        <f>_xlfn.XLOOKUP(H91, 'Baumaterialien Matériaux'!A:A, 'Baumaterialien Matériaux'!AD:AD, "-", 0, 1)</f>
        <v>Protection solaire, stores vénitiens avec moteur 4</v>
      </c>
      <c r="H91" s="892" t="s">
        <v>660</v>
      </c>
      <c r="I91" s="641" t="str">
        <f>_xlfn.XLOOKUP(H91, 'Baumaterialien Matériaux'!A:A, 'Baumaterialien Matériaux'!F:F, "-", 0, 1)</f>
        <v>m2</v>
      </c>
      <c r="J91" s="649">
        <f>117.9*K91</f>
        <v>117.9</v>
      </c>
      <c r="K91" s="893">
        <v>1</v>
      </c>
      <c r="L91" s="647" cm="1">
        <f t="array" aca="1" ref="L91" ca="1">INDEX('Enveloppe du bâtiment hors terr'!N149:N153, 'Enveloppe du bâtiment hors terr'!W148)</f>
        <v>30</v>
      </c>
      <c r="M91" s="648">
        <f t="shared" ca="1" si="235"/>
        <v>19.672083030343096</v>
      </c>
      <c r="N91" s="720">
        <f>IFERROR(($J91*VLOOKUP($H91, 'Baumaterialien Matériaux'!$A$11:$AD$318, 26,FALSE)),0)/$G$1</f>
        <v>7.61215045944338</v>
      </c>
      <c r="O91" s="720">
        <f>IFERROR(($J91*VLOOKUP($H91, 'Baumaterialien Matériaux'!$A$11:$AH$318, 33,FALSE)),0)/$G$1</f>
        <v>4.0658755866992795</v>
      </c>
      <c r="P91" s="720">
        <f t="shared" ca="1" si="242"/>
        <v>7.8031037218219081</v>
      </c>
      <c r="Q91" s="720">
        <f>IFERROR(($J91*VLOOKUP($H91, 'Baumaterialien Matériaux'!$A$11:$AH$318, 27,FALSE)),0)/$G$1</f>
        <v>0.19095326237852847</v>
      </c>
      <c r="R91" s="720">
        <f>IFERROR(($J91*VLOOKUP($H91, 'Baumaterialien Matériaux'!$A$11:$AH$318, 34,FALSE)),0)/$G$1</f>
        <v>3.3774046407086672E-2</v>
      </c>
      <c r="S91" s="720">
        <f>IFERROR((J91*VLOOKUP(H91, 'Baumaterialien Matériaux'!$A$11:$AD$318, 29,FALSE)),0)/$G$1</f>
        <v>0</v>
      </c>
      <c r="T91" s="720">
        <f>S91*AJ91</f>
        <v>0</v>
      </c>
      <c r="V91" s="638">
        <f t="shared" ca="1" si="186"/>
        <v>0</v>
      </c>
      <c r="W91" s="638">
        <f t="shared" ca="1" si="187"/>
        <v>0</v>
      </c>
      <c r="Y91" s="638" t="str">
        <f t="shared" ca="1" si="9"/>
        <v>Revêtement</v>
      </c>
      <c r="Z91" s="638">
        <f t="shared" ca="1" si="188"/>
        <v>30</v>
      </c>
      <c r="AA91" s="648" t="s">
        <v>3444</v>
      </c>
      <c r="AB91" t="str">
        <f>_xlfn.XLOOKUP($H91,'[1]Baumaterialien Matériaux'!$A:$A,'[1]Baumaterialien Matériaux'!AK:AK,0,0)</f>
        <v>autre</v>
      </c>
      <c r="AC91" cm="1">
        <f t="array" ref="AC91">_xlfn.SWITCH(I91,"kg"," ",0," ",_xlfn.XLOOKUP(H91, '[1]Baumaterialien Matériaux'!$A:$A, '[1]Baumaterialien Matériaux'!$AL:$AL, "-", 0, 1))</f>
        <v>8</v>
      </c>
      <c r="AD91" s="622" cm="1">
        <f t="array" ref="AD91">IFERROR(_xlfn.SWITCH(I91,"kg",1,"m3",AC91,AC91)*J91/(_xlfn.XLOOKUP(AA91,Métrés!A:A,Métrés!D:D,0)),0)</f>
        <v>7.034606205250598</v>
      </c>
      <c r="AE91" s="1092">
        <f>IFERROR(N91*$G$1/(_xlfn.XLOOKUP($AA91,Métrés!$A:$A,Métrés!$D:$D,0)),0)</f>
        <v>51.528490453460627</v>
      </c>
      <c r="AF91" s="1092">
        <f>IFERROR(O91*$G$1/(_xlfn.XLOOKUP($AA91,Métrés!$A:$A,Métrés!$D:$D,0)),0)</f>
        <v>27.522896778042963</v>
      </c>
      <c r="AG91" s="1092">
        <f>IFERROR(Q91*$G$1/(_xlfn.XLOOKUP($AA91,Métrés!$A:$A,Métrés!$D:$D,0)),0)</f>
        <v>1.2926088902147974</v>
      </c>
      <c r="AH91" s="1092">
        <f>IFERROR(R91*$G$1/(_xlfn.XLOOKUP($AA91,Métrés!$A:$A,Métrés!$D:$D,0)),0)</f>
        <v>0.22862470167064447</v>
      </c>
      <c r="AI91" s="1092">
        <f>IFERROR(S91*$G$1/(_xlfn.XLOOKUP($AA91,Métrés!$A:$A,Métrés!$D:$D,0)),0)</f>
        <v>0</v>
      </c>
      <c r="AJ91" s="1030"/>
      <c r="AK91" s="1030">
        <f ca="1">IF(L91=60,0,T91)</f>
        <v>0</v>
      </c>
      <c r="AL91" s="1030">
        <f ca="1">IF(L91=60,0,S91)</f>
        <v>0</v>
      </c>
      <c r="AM91" s="638" t="str">
        <f ca="1">IF(L91=$L$2, "Structure", IF(L91&gt;0,"Revêtement",0))</f>
        <v>Revêtement</v>
      </c>
      <c r="AN91" s="1032">
        <f ca="1">IF(AM91="Structure",N91,0)</f>
        <v>0</v>
      </c>
      <c r="AO91" s="1030">
        <f ca="1">IF(AM91="Structure",P91,0)</f>
        <v>0</v>
      </c>
      <c r="AP91" s="1030">
        <f ca="1">IF(AM91="Structure",Q91,0)</f>
        <v>0</v>
      </c>
      <c r="AQ91" s="1030">
        <f ca="1">IF(AM91="Structure",S91,0)</f>
        <v>0</v>
      </c>
      <c r="AR91" s="1033">
        <f ca="1">IF(AM91="Structure",T91,0)</f>
        <v>0</v>
      </c>
      <c r="AS91" s="1032">
        <f ca="1">IF($AM91="Insulation",N91,0)</f>
        <v>0</v>
      </c>
      <c r="AT91" s="1030">
        <f t="shared" ca="1" si="236"/>
        <v>0</v>
      </c>
      <c r="AU91" s="1030">
        <f t="shared" ca="1" si="236"/>
        <v>0</v>
      </c>
      <c r="AV91" s="1030">
        <f t="shared" ca="1" si="237"/>
        <v>0</v>
      </c>
      <c r="AW91" s="1033">
        <f t="shared" ca="1" si="237"/>
        <v>0</v>
      </c>
      <c r="AX91" s="1032">
        <f ca="1">IF($AM91="Revêtement",N91,0)</f>
        <v>7.61215045944338</v>
      </c>
      <c r="AY91" s="1030">
        <f t="shared" ca="1" si="238"/>
        <v>7.8031037218219081</v>
      </c>
      <c r="AZ91" s="1030">
        <f t="shared" ca="1" si="238"/>
        <v>0.19095326237852847</v>
      </c>
      <c r="BA91" s="1030">
        <f t="shared" ca="1" si="239"/>
        <v>0</v>
      </c>
      <c r="BB91" s="1033">
        <f t="shared" ca="1" si="239"/>
        <v>0</v>
      </c>
      <c r="BC91" s="1032">
        <f ca="1">IF($AM91="Installation",N91,0)</f>
        <v>0</v>
      </c>
      <c r="BD91" s="1030">
        <f t="shared" ca="1" si="240"/>
        <v>0</v>
      </c>
      <c r="BE91" s="1030">
        <f t="shared" ca="1" si="240"/>
        <v>0</v>
      </c>
      <c r="BF91" s="1033">
        <f ca="1">IF($AM91="Installation",S91,0)</f>
        <v>0</v>
      </c>
      <c r="BG91" s="1032">
        <f ca="1">IF($AM91="Structure", IF($I91="kg",$J91,0), 0)</f>
        <v>0</v>
      </c>
      <c r="BH91" s="1030">
        <f ca="1">IF($AM91="Insulation", IF($I91="kg",$J91,0), 0)</f>
        <v>0</v>
      </c>
      <c r="BI91" s="1033">
        <f ca="1">IF($AM91="Revêtement", IF($I91="kg",$J91,0), 0)</f>
        <v>0</v>
      </c>
      <c r="BJ91" s="1030">
        <f>_xlfn.XLOOKUP(H91, 'Baumaterialien Matériaux'!A:A, 'Baumaterialien Matériaux'!E:E, "-", 0, 1)</f>
        <v>8</v>
      </c>
      <c r="BK91" s="1032">
        <f t="shared" ca="1" si="182"/>
        <v>0</v>
      </c>
      <c r="BL91" s="1030">
        <f t="shared" ca="1" si="183"/>
        <v>0</v>
      </c>
      <c r="BM91" s="1033">
        <f t="shared" ca="1" si="184"/>
        <v>0</v>
      </c>
      <c r="BN91" s="720">
        <f ca="1">IFERROR((J91*VLOOKUP(H91, 'Baumaterialien Matériaux'!$A$11:$AH$318, 32,FALSE))*($L$2/L91-1),0)/$G$1</f>
        <v>4.1048456402459186</v>
      </c>
      <c r="BO91" s="720">
        <f ca="1">IFERROR((N91+Q91)*($L$2/L91-1),0)</f>
        <v>7.8031037218219081</v>
      </c>
    </row>
    <row r="92" spans="2:67">
      <c r="B92" s="1103"/>
      <c r="C92" s="1099"/>
      <c r="D92" s="478"/>
      <c r="E92" s="478"/>
      <c r="F92" s="479"/>
      <c r="G92" s="479"/>
      <c r="H92" s="479"/>
      <c r="I92" s="459" t="s">
        <v>39</v>
      </c>
      <c r="J92" s="662"/>
      <c r="K92" s="663"/>
      <c r="L92" s="663"/>
      <c r="M92" s="664">
        <f>SUM(M93:M95)</f>
        <v>15.236460119139434</v>
      </c>
      <c r="N92" s="664">
        <f>SUM(N93:N95)</f>
        <v>5.5472003701989818</v>
      </c>
      <c r="O92" s="664">
        <f>SUM(O93:O95)</f>
        <v>2.7057274336543196</v>
      </c>
      <c r="P92" s="664">
        <f t="shared" ref="P92:T92" si="243">SUM(P93:P95)</f>
        <v>6.2653663427425572</v>
      </c>
      <c r="Q92" s="664">
        <f t="shared" si="243"/>
        <v>0.7181659725435755</v>
      </c>
      <c r="R92" s="664">
        <f t="shared" ref="R92" si="244">SUM(R93:R95)</f>
        <v>0.33875670377153894</v>
      </c>
      <c r="S92" s="664">
        <f t="shared" si="243"/>
        <v>5.4611849305509645</v>
      </c>
      <c r="T92" s="664">
        <f t="shared" si="243"/>
        <v>5.4611849305509642E-2</v>
      </c>
      <c r="U92" s="674"/>
      <c r="V92" s="674">
        <f t="shared" si="186"/>
        <v>5.4611849305509642E-2</v>
      </c>
      <c r="W92" s="674">
        <f t="shared" si="187"/>
        <v>5.4611849305509645</v>
      </c>
      <c r="X92" s="674"/>
      <c r="Y92" s="674"/>
      <c r="Z92" s="674">
        <f t="shared" si="188"/>
        <v>0</v>
      </c>
      <c r="AA92" s="1095" t="s">
        <v>3444</v>
      </c>
      <c r="AB92">
        <f>_xlfn.XLOOKUP($H92,'[1]Baumaterialien Matériaux'!$A:$A,'[1]Baumaterialien Matériaux'!AK:AK,0,0)</f>
        <v>0</v>
      </c>
      <c r="AC92" cm="1">
        <f t="array" ref="AC92">_xlfn.SWITCH(I92,"kg"," ",0," ",_xlfn.XLOOKUP(H92, '[1]Baumaterialien Matériaux'!$A:$A, '[1]Baumaterialien Matériaux'!$AL:$AL, "-", 0, 1))</f>
        <v>0</v>
      </c>
      <c r="AD92" s="622" cm="1">
        <f t="array" ref="AD92">IFERROR(_xlfn.SWITCH(I92,"kg",1,"m3",AC92,AC92)*J92/(_xlfn.XLOOKUP(AA92,Métrés!A:A,Métrés!D:D,0)),0)</f>
        <v>0</v>
      </c>
      <c r="AE92" s="1092">
        <f>IFERROR(N92*$G$1/(_xlfn.XLOOKUP($AA92,Métrés!$A:$A,Métrés!$D:$D,0)),0)</f>
        <v>37.550343078758956</v>
      </c>
      <c r="AF92" s="1092">
        <f>IFERROR(O92*$G$1/(_xlfn.XLOOKUP($AA92,Métrés!$A:$A,Métrés!$D:$D,0)),0)</f>
        <v>18.315724443118537</v>
      </c>
      <c r="AG92" s="1092">
        <f>IFERROR(Q92*$G$1/(_xlfn.XLOOKUP($AA92,Métrés!$A:$A,Métrés!$D:$D,0)),0)</f>
        <v>4.8614394391408124</v>
      </c>
      <c r="AH92" s="1092">
        <f>IFERROR(R92*$G$1/(_xlfn.XLOOKUP($AA92,Métrés!$A:$A,Métrés!$D:$D,0)),0)</f>
        <v>2.2931261894176922</v>
      </c>
      <c r="AI92" s="1092">
        <f>IFERROR(S92*$G$1/(_xlfn.XLOOKUP($AA92,Métrés!$A:$A,Métrés!$D:$D,0)),0)</f>
        <v>36.968083731105807</v>
      </c>
      <c r="AJ92" s="1064"/>
      <c r="AK92" s="1064"/>
      <c r="AL92" s="1064"/>
      <c r="AM92" s="1021"/>
      <c r="AN92" s="1073"/>
      <c r="AO92" s="1064"/>
      <c r="AP92" s="1064"/>
      <c r="AQ92" s="1064"/>
      <c r="AR92" s="1074"/>
      <c r="AS92" s="1073"/>
      <c r="AT92" s="1064"/>
      <c r="AU92" s="1064"/>
      <c r="AV92" s="1064"/>
      <c r="AW92" s="1074"/>
      <c r="AX92" s="1073"/>
      <c r="AY92" s="1064"/>
      <c r="AZ92" s="1064"/>
      <c r="BA92" s="1064"/>
      <c r="BB92" s="1074"/>
      <c r="BC92" s="1073"/>
      <c r="BD92" s="1064"/>
      <c r="BE92" s="1064"/>
      <c r="BF92" s="1074"/>
      <c r="BG92" s="1073"/>
      <c r="BH92" s="1064"/>
      <c r="BI92" s="1074"/>
      <c r="BJ92" s="1078"/>
      <c r="BK92" s="1073"/>
      <c r="BL92" s="1064"/>
      <c r="BM92" s="1074"/>
      <c r="BN92" s="720"/>
      <c r="BO92" s="720"/>
    </row>
    <row r="93" spans="2:67">
      <c r="B93" s="1103"/>
      <c r="C93" s="1099"/>
      <c r="D93" s="478"/>
      <c r="E93" s="478"/>
      <c r="F93" s="454" t="s">
        <v>3389</v>
      </c>
      <c r="G93" s="478" t="str">
        <f>_xlfn.XLOOKUP(H93, 'Baumaterialien Matériaux'!A:A, 'Baumaterialien Matériaux'!AD:AD, "-", 0, 1)</f>
        <v>Porte intérieure, porte fonctionnelle, bois, cadre en bois</v>
      </c>
      <c r="H93" s="885">
        <v>12.009</v>
      </c>
      <c r="I93" s="641" t="str">
        <f>_xlfn.XLOOKUP(H93, 'Baumaterialien Matériaux'!A:A, 'Baumaterialien Matériaux'!F:F, "-", 0, 1)</f>
        <v>m2</v>
      </c>
      <c r="J93" s="649">
        <v>20.54</v>
      </c>
      <c r="K93" s="647"/>
      <c r="L93" s="647">
        <v>30</v>
      </c>
      <c r="M93" s="648">
        <f t="shared" si="235"/>
        <v>2.5196928229875937</v>
      </c>
      <c r="N93" s="720">
        <f>IFERROR(($J93*VLOOKUP($H93, 'Baumaterialien Matériaux'!$A$11:$AD$318, 26,FALSE)),0)/$G$1</f>
        <v>0.84864811264626161</v>
      </c>
      <c r="O93" s="720">
        <f>IFERROR(($J93*VLOOKUP($H93, 'Baumaterialien Matériaux'!$A$11:$AH$318, 33,FALSE)),0)/$G$1</f>
        <v>0.51145192922148031</v>
      </c>
      <c r="P93" s="720">
        <f>IFERROR((N93+Q93)*($L$2/L93-1),0)</f>
        <v>1.0041204468830567</v>
      </c>
      <c r="Q93" s="720">
        <f>IFERROR(($J93*VLOOKUP($H93, 'Baumaterialien Matériaux'!$A$11:$AH$318, 27,FALSE)),0)/$G$1</f>
        <v>0.15547233423679513</v>
      </c>
      <c r="R93" s="720">
        <f>IFERROR(($J93*VLOOKUP($H93, 'Baumaterialien Matériaux'!$A$11:$AH$318, 34,FALSE)),0)/$G$1</f>
        <v>8.0338687997179428E-2</v>
      </c>
      <c r="S93" s="720">
        <f>IFERROR((J93*VLOOKUP(H93, 'Baumaterialien Matériaux'!$A$11:$AD$318, 29,FALSE)),0)/$G$1</f>
        <v>1.4355354296585208</v>
      </c>
      <c r="T93" s="720">
        <f>S93*AJ93</f>
        <v>1.4355354296585209E-2</v>
      </c>
      <c r="U93" s="674"/>
      <c r="V93" s="674">
        <f t="shared" si="186"/>
        <v>1.4355354296585209E-2</v>
      </c>
      <c r="W93" s="674">
        <f t="shared" si="187"/>
        <v>1.4355354296585208</v>
      </c>
      <c r="X93" s="674"/>
      <c r="Y93" s="674"/>
      <c r="Z93" s="674">
        <f t="shared" si="188"/>
        <v>30</v>
      </c>
      <c r="AA93" s="648" t="s">
        <v>3448</v>
      </c>
      <c r="AB93" t="str">
        <f>_xlfn.XLOOKUP($H93,'[1]Baumaterialien Matériaux'!$A:$A,'[1]Baumaterialien Matériaux'!AK:AK,0,0)</f>
        <v>timber</v>
      </c>
      <c r="AC93" cm="1">
        <f t="array" ref="AC93">_xlfn.SWITCH(I93,"kg"," ",0," ",_xlfn.XLOOKUP(H93, '[1]Baumaterialien Matériaux'!$A:$A, '[1]Baumaterialien Matériaux'!$AL:$AL, "-", 0, 1))</f>
        <v>41.6</v>
      </c>
      <c r="AD93" s="622" cm="1">
        <f t="array" ref="AD93">IFERROR(_xlfn.SWITCH(I93,"kg",1,"m3",AC93,AC93)*J93/(_xlfn.XLOOKUP(AA93,Métrés!A:A,Métrés!D:D,0)),0)</f>
        <v>3.2326876513317191</v>
      </c>
      <c r="AE93" s="1092">
        <f>IFERROR(N93*$G$1/(_xlfn.XLOOKUP($AA93,Métrés!$A:$A,Métrés!$D:$D,0)),0)</f>
        <v>2.9140814164648909</v>
      </c>
      <c r="AF93" s="1092">
        <f>IFERROR(O93*$G$1/(_xlfn.XLOOKUP($AA93,Métrés!$A:$A,Métrés!$D:$D,0)),0)</f>
        <v>1.7562197336561742</v>
      </c>
      <c r="AG93" s="1092">
        <f>IFERROR(Q93*$G$1/(_xlfn.XLOOKUP($AA93,Métrés!$A:$A,Métrés!$D:$D,0)),0)</f>
        <v>0.53385971549636813</v>
      </c>
      <c r="AH93" s="1092">
        <f>IFERROR(R93*$G$1/(_xlfn.XLOOKUP($AA93,Métrés!$A:$A,Métrés!$D:$D,0)),0)</f>
        <v>0.27586637409200965</v>
      </c>
      <c r="AI93" s="1092">
        <f>IFERROR(S93*$G$1/(_xlfn.XLOOKUP($AA93,Métrés!$A:$A,Métrés!$D:$D,0)),0)</f>
        <v>4.9293306093623892</v>
      </c>
      <c r="AJ93" s="1030">
        <v>0.01</v>
      </c>
      <c r="AK93" s="1030">
        <f>IF(L93=60,0,T93)</f>
        <v>1.4355354296585209E-2</v>
      </c>
      <c r="AL93" s="1030">
        <f>IF(L93=60,0,S93)</f>
        <v>1.4355354296585208</v>
      </c>
      <c r="AM93" s="638" t="str">
        <f>IF(L93=$L$2, "Structure", IF(L93&gt;0,"Revêtement",0))</f>
        <v>Revêtement</v>
      </c>
      <c r="AN93" s="1032">
        <f>IF(AM93="Structure",N93,0)</f>
        <v>0</v>
      </c>
      <c r="AO93" s="1030">
        <f>IF(AM93="Structure",P93,0)</f>
        <v>0</v>
      </c>
      <c r="AP93" s="1030">
        <f>IF(AM93="Structure",Q93,0)</f>
        <v>0</v>
      </c>
      <c r="AQ93" s="1030">
        <f>IF(AM93="Structure",S93,0)</f>
        <v>0</v>
      </c>
      <c r="AR93" s="1033">
        <f>IF(AM93="Structure",T93,0)</f>
        <v>0</v>
      </c>
      <c r="AS93" s="1032">
        <f>IF($AM93="Insulation",N93,0)</f>
        <v>0</v>
      </c>
      <c r="AT93" s="1030">
        <f t="shared" ref="AT93:AU95" si="245">IF($AM93="Insulation",P93,0)</f>
        <v>0</v>
      </c>
      <c r="AU93" s="1030">
        <f t="shared" si="245"/>
        <v>0</v>
      </c>
      <c r="AV93" s="1030">
        <f t="shared" ref="AV93:AW95" si="246">IF($AM93="Insulation",S93,0)</f>
        <v>0</v>
      </c>
      <c r="AW93" s="1033">
        <f t="shared" si="246"/>
        <v>0</v>
      </c>
      <c r="AX93" s="1032">
        <f>IF($AM93="Revêtement",N93,0)</f>
        <v>0.84864811264626161</v>
      </c>
      <c r="AY93" s="1030">
        <f t="shared" ref="AY93:AZ95" si="247">IF($AM93="Revêtement",P93,0)</f>
        <v>1.0041204468830567</v>
      </c>
      <c r="AZ93" s="1030">
        <f t="shared" si="247"/>
        <v>0.15547233423679513</v>
      </c>
      <c r="BA93" s="1030">
        <f t="shared" ref="BA93:BB95" si="248">IF($AM93="Revêtement",S93,0)</f>
        <v>1.4355354296585208</v>
      </c>
      <c r="BB93" s="1033">
        <f t="shared" si="248"/>
        <v>1.4355354296585209E-2</v>
      </c>
      <c r="BC93" s="1032">
        <f>IF($AM93="Installation",N93,0)</f>
        <v>0</v>
      </c>
      <c r="BD93" s="1030">
        <f t="shared" ref="BD93:BE95" si="249">IF($AM93="Installation",P93,0)</f>
        <v>0</v>
      </c>
      <c r="BE93" s="1030">
        <f t="shared" si="249"/>
        <v>0</v>
      </c>
      <c r="BF93" s="1033">
        <f>IF($AM93="Installation",S93,0)</f>
        <v>0</v>
      </c>
      <c r="BG93" s="1032">
        <f>IF($AM93="Structure", IF($I93="kg",$J93,0), 0)</f>
        <v>0</v>
      </c>
      <c r="BH93" s="1030">
        <f>IF($AM93="Insulation", IF($I93="kg",$J93,0), 0)</f>
        <v>0</v>
      </c>
      <c r="BI93" s="1033">
        <f>IF($AM93="Revêtement", IF($I93="kg",$J93,0), 0)</f>
        <v>0</v>
      </c>
      <c r="BJ93" s="1030">
        <f>_xlfn.XLOOKUP(H93, 'Baumaterialien Matériaux'!A:A, 'Baumaterialien Matériaux'!E:E, "-", 0, 1)</f>
        <v>46.7</v>
      </c>
      <c r="BK93" s="1032">
        <f t="shared" si="182"/>
        <v>0</v>
      </c>
      <c r="BL93" s="1030">
        <f t="shared" si="183"/>
        <v>0</v>
      </c>
      <c r="BM93" s="1033">
        <f t="shared" si="184"/>
        <v>0</v>
      </c>
      <c r="BN93" s="720"/>
      <c r="BO93" s="720"/>
    </row>
    <row r="94" spans="2:67">
      <c r="B94" s="1103"/>
      <c r="C94" s="1099"/>
      <c r="D94" s="478"/>
      <c r="E94" s="478"/>
      <c r="F94" s="454" t="s">
        <v>3390</v>
      </c>
      <c r="G94" s="478" t="str">
        <f>_xlfn.XLOOKUP(H94, 'Baumaterialien Matériaux'!A:A, 'Baumaterialien Matériaux'!AD:AD, "-", 0, 1)</f>
        <v>Porte intérieure, porte fonctionnelle, bois, cadre en bois</v>
      </c>
      <c r="H94" s="885">
        <v>12.009</v>
      </c>
      <c r="I94" s="641" t="str">
        <f>_xlfn.XLOOKUP(H94, 'Baumaterialien Matériaux'!A:A, 'Baumaterialien Matériaux'!F:F, "-", 0, 1)</f>
        <v>m2</v>
      </c>
      <c r="J94" s="649">
        <v>57.6</v>
      </c>
      <c r="K94" s="647"/>
      <c r="L94" s="647">
        <v>30</v>
      </c>
      <c r="M94" s="648">
        <f t="shared" si="235"/>
        <v>7.065935082964236</v>
      </c>
      <c r="N94" s="720">
        <f>IFERROR(($J94*VLOOKUP($H94, 'Baumaterialien Matériaux'!$A$11:$AD$318, 26,FALSE)),0)/$G$1</f>
        <v>2.3798505982679976</v>
      </c>
      <c r="O94" s="720">
        <f>IFERROR(($J94*VLOOKUP($H94, 'Baumaterialien Matériaux'!$A$11:$AH$318, 33,FALSE)),0)/$G$1</f>
        <v>1.4342566272228467</v>
      </c>
      <c r="P94" s="720">
        <f t="shared" ref="P94:P95" si="250">IFERROR((N94+Q94)*($L$2/L94-1),0)</f>
        <v>2.8158392278706947</v>
      </c>
      <c r="Q94" s="720">
        <f>IFERROR(($J94*VLOOKUP($H94, 'Baumaterialien Matériaux'!$A$11:$AH$318, 27,FALSE)),0)/$G$1</f>
        <v>0.43598862960269713</v>
      </c>
      <c r="R94" s="720">
        <f>IFERROR(($J94*VLOOKUP($H94, 'Baumaterialien Matériaux'!$A$11:$AH$318, 34,FALSE)),0)/$G$1</f>
        <v>0.22529252330270377</v>
      </c>
      <c r="S94" s="720">
        <f>IFERROR((J94*VLOOKUP(H94, 'Baumaterialien Matériaux'!$A$11:$AD$318, 29,FALSE)),0)/$G$1</f>
        <v>4.0256495008924436</v>
      </c>
      <c r="T94" s="720">
        <f>S94*AJ94</f>
        <v>4.0256495008924434E-2</v>
      </c>
      <c r="U94" s="674"/>
      <c r="V94" s="674">
        <f t="shared" si="186"/>
        <v>4.0256495008924434E-2</v>
      </c>
      <c r="W94" s="674">
        <f t="shared" si="187"/>
        <v>4.0256495008924436</v>
      </c>
      <c r="X94" s="674"/>
      <c r="Y94" s="674"/>
      <c r="Z94" s="674">
        <f t="shared" si="188"/>
        <v>30</v>
      </c>
      <c r="AA94" s="648" t="s">
        <v>3448</v>
      </c>
      <c r="AB94" t="str">
        <f>_xlfn.XLOOKUP($H94,'[1]Baumaterialien Matériaux'!$A:$A,'[1]Baumaterialien Matériaux'!AK:AK,0,0)</f>
        <v>timber</v>
      </c>
      <c r="AC94" cm="1">
        <f t="array" ref="AC94">_xlfn.SWITCH(I94,"kg"," ",0," ",_xlfn.XLOOKUP(H94, '[1]Baumaterialien Matériaux'!$A:$A, '[1]Baumaterialien Matériaux'!$AL:$AL, "-", 0, 1))</f>
        <v>41.6</v>
      </c>
      <c r="AD94" s="622" cm="1">
        <f t="array" ref="AD94">IFERROR(_xlfn.SWITCH(I94,"kg",1,"m3",AC94,AC94)*J94/(_xlfn.XLOOKUP(AA94,Métrés!A:A,Métrés!D:D,0)),0)</f>
        <v>9.0653753026634405</v>
      </c>
      <c r="AE94" s="1092">
        <f>IFERROR(N94*$G$1/(_xlfn.XLOOKUP($AA94,Métrés!$A:$A,Métrés!$D:$D,0)),0)</f>
        <v>8.1719128329297828</v>
      </c>
      <c r="AF94" s="1092">
        <f>IFERROR(O94*$G$1/(_xlfn.XLOOKUP($AA94,Métrés!$A:$A,Métrés!$D:$D,0)),0)</f>
        <v>4.9249394673123499</v>
      </c>
      <c r="AG94" s="1092">
        <f>IFERROR(Q94*$G$1/(_xlfn.XLOOKUP($AA94,Métrés!$A:$A,Métrés!$D:$D,0)),0)</f>
        <v>1.4970944309927361</v>
      </c>
      <c r="AH94" s="1092">
        <f>IFERROR(R94*$G$1/(_xlfn.XLOOKUP($AA94,Métrés!$A:$A,Métrés!$D:$D,0)),0)</f>
        <v>0.77360774818401934</v>
      </c>
      <c r="AI94" s="1092">
        <f>IFERROR(S94*$G$1/(_xlfn.XLOOKUP($AA94,Métrés!$A:$A,Métrés!$D:$D,0)),0)</f>
        <v>13.82324455205811</v>
      </c>
      <c r="AJ94" s="1030">
        <v>0.01</v>
      </c>
      <c r="AK94" s="1030">
        <f>IF(L94=60,0,T94)</f>
        <v>4.0256495008924434E-2</v>
      </c>
      <c r="AL94" s="1030">
        <f>IF(L94=60,0,S94)</f>
        <v>4.0256495008924436</v>
      </c>
      <c r="AM94" s="638" t="str">
        <f>IF(L94=$L$2, "Structure", IF(L94&gt;0,"Revêtement",0))</f>
        <v>Revêtement</v>
      </c>
      <c r="AN94" s="1032">
        <f>IF(AM94="Structure",N94,0)</f>
        <v>0</v>
      </c>
      <c r="AO94" s="1030">
        <f>IF(AM94="Structure",P94,0)</f>
        <v>0</v>
      </c>
      <c r="AP94" s="1030">
        <f>IF(AM94="Structure",Q94,0)</f>
        <v>0</v>
      </c>
      <c r="AQ94" s="1030">
        <f>IF(AM94="Structure",S94,0)</f>
        <v>0</v>
      </c>
      <c r="AR94" s="1033">
        <f>IF(AM94="Structure",T94,0)</f>
        <v>0</v>
      </c>
      <c r="AS94" s="1032">
        <f>IF($AM94="Insulation",N94,0)</f>
        <v>0</v>
      </c>
      <c r="AT94" s="1030">
        <f t="shared" si="245"/>
        <v>0</v>
      </c>
      <c r="AU94" s="1030">
        <f t="shared" si="245"/>
        <v>0</v>
      </c>
      <c r="AV94" s="1030">
        <f t="shared" si="246"/>
        <v>0</v>
      </c>
      <c r="AW94" s="1033">
        <f t="shared" si="246"/>
        <v>0</v>
      </c>
      <c r="AX94" s="1032">
        <f>IF($AM94="Revêtement",N94,0)</f>
        <v>2.3798505982679976</v>
      </c>
      <c r="AY94" s="1030">
        <f t="shared" si="247"/>
        <v>2.8158392278706947</v>
      </c>
      <c r="AZ94" s="1030">
        <f t="shared" si="247"/>
        <v>0.43598862960269713</v>
      </c>
      <c r="BA94" s="1030">
        <f t="shared" si="248"/>
        <v>4.0256495008924436</v>
      </c>
      <c r="BB94" s="1033">
        <f t="shared" si="248"/>
        <v>4.0256495008924434E-2</v>
      </c>
      <c r="BC94" s="1032">
        <f>IF($AM94="Installation",N94,0)</f>
        <v>0</v>
      </c>
      <c r="BD94" s="1030">
        <f t="shared" si="249"/>
        <v>0</v>
      </c>
      <c r="BE94" s="1030">
        <f t="shared" si="249"/>
        <v>0</v>
      </c>
      <c r="BF94" s="1033">
        <f>IF($AM94="Installation",S94,0)</f>
        <v>0</v>
      </c>
      <c r="BG94" s="1032">
        <f>IF($AM94="Structure", IF($I94="kg",$J94,0), 0)</f>
        <v>0</v>
      </c>
      <c r="BH94" s="1030">
        <f>IF($AM94="Insulation", IF($I94="kg",$J94,0), 0)</f>
        <v>0</v>
      </c>
      <c r="BI94" s="1033">
        <f>IF($AM94="Revêtement", IF($I94="kg",$J94,0), 0)</f>
        <v>0</v>
      </c>
      <c r="BJ94" s="1030">
        <f>_xlfn.XLOOKUP(H94, 'Baumaterialien Matériaux'!A:A, 'Baumaterialien Matériaux'!E:E, "-", 0, 1)</f>
        <v>46.7</v>
      </c>
      <c r="BK94" s="1032">
        <f t="shared" si="182"/>
        <v>0</v>
      </c>
      <c r="BL94" s="1030">
        <f t="shared" si="183"/>
        <v>0</v>
      </c>
      <c r="BM94" s="1033">
        <f t="shared" si="184"/>
        <v>0</v>
      </c>
      <c r="BN94" s="720"/>
      <c r="BO94" s="720"/>
    </row>
    <row r="95" spans="2:67">
      <c r="B95" s="1103"/>
      <c r="C95" s="1099"/>
      <c r="D95" s="478"/>
      <c r="E95" s="478"/>
      <c r="F95" s="3" t="s">
        <v>3391</v>
      </c>
      <c r="G95" s="478" t="str">
        <f>_xlfn.XLOOKUP(H95, 'Baumaterialien Matériaux'!A:A, 'Baumaterialien Matériaux'!AD:AD, "-", 0, 1)</f>
        <v>Portes extérieures aluminium, avec panneau</v>
      </c>
      <c r="H95" s="885">
        <v>12.006</v>
      </c>
      <c r="I95" s="641" t="str">
        <f>_xlfn.XLOOKUP(H95, 'Baumaterialien Matériaux'!A:A, 'Baumaterialien Matériaux'!F:F, "-", 0, 1)</f>
        <v>m2</v>
      </c>
      <c r="J95" s="649">
        <v>11.5</v>
      </c>
      <c r="K95" s="647"/>
      <c r="L95" s="647">
        <v>30</v>
      </c>
      <c r="M95" s="648">
        <f t="shared" si="235"/>
        <v>5.6508322131876039</v>
      </c>
      <c r="N95" s="720">
        <f>IFERROR(($J95*VLOOKUP($H95, 'Baumaterialien Matériaux'!$A$11:$AD$318, 26,FALSE)),0)/$G$1</f>
        <v>2.3187016592847227</v>
      </c>
      <c r="O95" s="720">
        <f>IFERROR(($J95*VLOOKUP($H95, 'Baumaterialien Matériaux'!$A$11:$AH$318, 33,FALSE)),0)/$G$1</f>
        <v>0.7600188772099925</v>
      </c>
      <c r="P95" s="720">
        <f t="shared" si="250"/>
        <v>2.4454066679888058</v>
      </c>
      <c r="Q95" s="720">
        <f>IFERROR(($J95*VLOOKUP($H95, 'Baumaterialien Matériaux'!$A$11:$AH$318, 27,FALSE)),0)/$G$1</f>
        <v>0.12670500870408322</v>
      </c>
      <c r="R95" s="720">
        <f>IFERROR(($J95*VLOOKUP($H95, 'Baumaterialien Matériaux'!$A$11:$AH$318, 34,FALSE)),0)/$G$1</f>
        <v>3.3125492471655735E-2</v>
      </c>
      <c r="S95" s="720">
        <f>IFERROR((J95*VLOOKUP(H95, 'Baumaterialien Matériaux'!$A$11:$AD$318, 29,FALSE)),0)/$G$1</f>
        <v>0</v>
      </c>
      <c r="T95" s="720">
        <f>S95*AJ95</f>
        <v>0</v>
      </c>
      <c r="U95" s="674"/>
      <c r="V95" s="674">
        <f t="shared" si="186"/>
        <v>0</v>
      </c>
      <c r="W95" s="674">
        <f t="shared" si="187"/>
        <v>0</v>
      </c>
      <c r="X95" s="674"/>
      <c r="Y95" s="674"/>
      <c r="Z95" s="674">
        <f t="shared" si="188"/>
        <v>30</v>
      </c>
      <c r="AA95" s="648" t="s">
        <v>3446</v>
      </c>
      <c r="AB95" t="str">
        <f>_xlfn.XLOOKUP($H95,'[1]Baumaterialien Matériaux'!$A:$A,'[1]Baumaterialien Matériaux'!AK:AK,0,0)</f>
        <v>metal</v>
      </c>
      <c r="AC95" cm="1">
        <f t="array" ref="AC95">_xlfn.SWITCH(I95,"kg"," ",0," ",_xlfn.XLOOKUP(H95, '[1]Baumaterialien Matériaux'!$A:$A, '[1]Baumaterialien Matériaux'!$AL:$AL, "-", 0, 1))</f>
        <v>21.4</v>
      </c>
      <c r="AD95" s="622" cm="1">
        <f t="array" ref="AD95">IFERROR(_xlfn.SWITCH(I95,"kg",1,"m3",AC95,AC95)*J95/(_xlfn.XLOOKUP(AA95,Métrés!A:A,Métrés!D:D,0)),0)</f>
        <v>0.27114871862673806</v>
      </c>
      <c r="AE95" s="1092">
        <f>IFERROR(N95*$G$1/(_xlfn.XLOOKUP($AA95,Métrés!$A:$A,Métrés!$D:$D,0)),0)</f>
        <v>2.3187016592847227</v>
      </c>
      <c r="AF95" s="1092">
        <f>IFERROR(O95*$G$1/(_xlfn.XLOOKUP($AA95,Métrés!$A:$A,Métrés!$D:$D,0)),0)</f>
        <v>0.7600188772099925</v>
      </c>
      <c r="AG95" s="1092">
        <f>IFERROR(Q95*$G$1/(_xlfn.XLOOKUP($AA95,Métrés!$A:$A,Métrés!$D:$D,0)),0)</f>
        <v>0.12670500870408322</v>
      </c>
      <c r="AH95" s="1092">
        <f>IFERROR(R95*$G$1/(_xlfn.XLOOKUP($AA95,Métrés!$A:$A,Métrés!$D:$D,0)),0)</f>
        <v>3.3125492471655735E-2</v>
      </c>
      <c r="AI95" s="1092">
        <f>IFERROR(S95*$G$1/(_xlfn.XLOOKUP($AA95,Métrés!$A:$A,Métrés!$D:$D,0)),0)</f>
        <v>0</v>
      </c>
      <c r="AJ95" s="1030"/>
      <c r="AK95" s="1030">
        <f>IF(L95=60,0,T95)</f>
        <v>0</v>
      </c>
      <c r="AL95" s="1030">
        <f>IF(L95=60,0,S95)</f>
        <v>0</v>
      </c>
      <c r="AM95" s="638" t="str">
        <f>IF(L95=$L$2, "Structure", IF(L95&gt;0,"Revêtement",0))</f>
        <v>Revêtement</v>
      </c>
      <c r="AN95" s="1032">
        <f>IF(AM95="Structure",N95,0)</f>
        <v>0</v>
      </c>
      <c r="AO95" s="1030">
        <f>IF(AM95="Structure",P95,0)</f>
        <v>0</v>
      </c>
      <c r="AP95" s="1030">
        <f>IF(AM95="Structure",Q95,0)</f>
        <v>0</v>
      </c>
      <c r="AQ95" s="1030">
        <f>IF(AM95="Structure",S95,0)</f>
        <v>0</v>
      </c>
      <c r="AR95" s="1033">
        <f>IF(AM95="Structure",T95,0)</f>
        <v>0</v>
      </c>
      <c r="AS95" s="1032">
        <f>IF($AM95="Insulation",N95,0)</f>
        <v>0</v>
      </c>
      <c r="AT95" s="1030">
        <f t="shared" si="245"/>
        <v>0</v>
      </c>
      <c r="AU95" s="1030">
        <f t="shared" si="245"/>
        <v>0</v>
      </c>
      <c r="AV95" s="1030">
        <f t="shared" si="246"/>
        <v>0</v>
      </c>
      <c r="AW95" s="1033">
        <f t="shared" si="246"/>
        <v>0</v>
      </c>
      <c r="AX95" s="1032">
        <f>IF($AM95="Revêtement",N95,0)</f>
        <v>2.3187016592847227</v>
      </c>
      <c r="AY95" s="1030">
        <f t="shared" si="247"/>
        <v>2.4454066679888058</v>
      </c>
      <c r="AZ95" s="1030">
        <f t="shared" si="247"/>
        <v>0.12670500870408322</v>
      </c>
      <c r="BA95" s="1030">
        <f t="shared" si="248"/>
        <v>0</v>
      </c>
      <c r="BB95" s="1033">
        <f t="shared" si="248"/>
        <v>0</v>
      </c>
      <c r="BC95" s="1032">
        <f>IF($AM95="Installation",N95,0)</f>
        <v>0</v>
      </c>
      <c r="BD95" s="1030">
        <f t="shared" si="249"/>
        <v>0</v>
      </c>
      <c r="BE95" s="1030">
        <f t="shared" si="249"/>
        <v>0</v>
      </c>
      <c r="BF95" s="1033">
        <f>IF($AM95="Installation",S95,0)</f>
        <v>0</v>
      </c>
      <c r="BG95" s="1032">
        <f>IF($AM95="Structure", IF($I95="kg",$J95,0), 0)</f>
        <v>0</v>
      </c>
      <c r="BH95" s="1030">
        <f>IF($AM95="Insulation", IF($I95="kg",$J95,0), 0)</f>
        <v>0</v>
      </c>
      <c r="BI95" s="1033">
        <f>IF($AM95="Revêtement", IF($I95="kg",$J95,0), 0)</f>
        <v>0</v>
      </c>
      <c r="BJ95" s="1030">
        <f>_xlfn.XLOOKUP(H95, 'Baumaterialien Matériaux'!A:A, 'Baumaterialien Matériaux'!E:E, "-", 0, 1)</f>
        <v>25</v>
      </c>
      <c r="BK95" s="1032">
        <f t="shared" si="182"/>
        <v>0</v>
      </c>
      <c r="BL95" s="1030">
        <f t="shared" si="183"/>
        <v>0</v>
      </c>
      <c r="BM95" s="1033">
        <f t="shared" si="184"/>
        <v>0</v>
      </c>
      <c r="BN95" s="720"/>
      <c r="BO95" s="720"/>
    </row>
    <row r="96" spans="2:67" ht="15.75" customHeight="1">
      <c r="B96" s="1103"/>
      <c r="C96" s="1097" t="s">
        <v>124</v>
      </c>
      <c r="D96" s="473" t="s">
        <v>125</v>
      </c>
      <c r="E96" s="473"/>
      <c r="F96" s="473"/>
      <c r="G96" s="473"/>
      <c r="H96" s="473"/>
      <c r="I96" s="463"/>
      <c r="J96" s="654"/>
      <c r="K96" s="652"/>
      <c r="L96" s="652"/>
      <c r="M96" s="653">
        <f ca="1">M97+M101</f>
        <v>3.1207556157863419</v>
      </c>
      <c r="N96" s="653">
        <f t="shared" ref="N96:Q96" si="251">N97+N101</f>
        <v>2.3914432361561007</v>
      </c>
      <c r="O96" s="653">
        <f t="shared" ref="O96" si="252">O97+O101</f>
        <v>0.5469340472885128</v>
      </c>
      <c r="P96" s="653">
        <f t="shared" ca="1" si="251"/>
        <v>0</v>
      </c>
      <c r="Q96" s="653">
        <f t="shared" si="251"/>
        <v>0.1823783323417289</v>
      </c>
      <c r="R96" s="653">
        <f t="shared" ref="R96" si="253">R97+R101</f>
        <v>4.674660320398405E-2</v>
      </c>
      <c r="S96" s="653">
        <f>S97+S101</f>
        <v>0.5299581249127755</v>
      </c>
      <c r="T96" s="653">
        <f>T97+T101</f>
        <v>-0.13778911247732165</v>
      </c>
      <c r="V96" s="638">
        <f t="shared" si="186"/>
        <v>-0.13778911247732165</v>
      </c>
      <c r="W96" s="638">
        <f t="shared" si="187"/>
        <v>0.5299581249127755</v>
      </c>
      <c r="Y96" s="638">
        <f t="shared" si="9"/>
        <v>0</v>
      </c>
      <c r="Z96" s="638">
        <f t="shared" si="188"/>
        <v>0</v>
      </c>
      <c r="AB96">
        <f>_xlfn.XLOOKUP($H96,'[1]Baumaterialien Matériaux'!$A:$A,'[1]Baumaterialien Matériaux'!AK:AK,0,0)</f>
        <v>0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622" cm="1">
        <f t="array" ref="AD96">IFERROR(_xlfn.SWITCH(I96,"kg",1,"m3",AC96,AC96)*J96/(_xlfn.XLOOKUP(AA96,Métrés!A:A,Métrés!D:D,0)),0)</f>
        <v>0</v>
      </c>
      <c r="AE96" s="1092">
        <f>IFERROR(N96*$G$1/(_xlfn.XLOOKUP($AA96,Métrés!$A:$A,Métrés!$D:$D,0)),0)</f>
        <v>0</v>
      </c>
      <c r="AF96" s="1092">
        <f>IFERROR(O96*$G$1/(_xlfn.XLOOKUP($AA96,Métrés!$A:$A,Métrés!$D:$D,0)),0)</f>
        <v>0</v>
      </c>
      <c r="AG96" s="1092">
        <f>IFERROR(Q96*$G$1/(_xlfn.XLOOKUP($AA96,Métrés!$A:$A,Métrés!$D:$D,0)),0)</f>
        <v>0</v>
      </c>
      <c r="AH96" s="1092">
        <f>IFERROR(R96*$G$1/(_xlfn.XLOOKUP($AA96,Métrés!$A:$A,Métrés!$D:$D,0)),0)</f>
        <v>0</v>
      </c>
      <c r="AI96" s="1092">
        <f>IFERROR(S96*$G$1/(_xlfn.XLOOKUP($AA96,Métrés!$A:$A,Métrés!$D:$D,0)),0)</f>
        <v>0</v>
      </c>
      <c r="AJ96" s="1063"/>
      <c r="AK96" s="1063"/>
      <c r="AL96" s="1063"/>
      <c r="AM96" s="1020"/>
      <c r="AN96" s="1071"/>
      <c r="AO96" s="1063"/>
      <c r="AP96" s="1063"/>
      <c r="AQ96" s="1063"/>
      <c r="AR96" s="1072"/>
      <c r="AS96" s="1071"/>
      <c r="AT96" s="1063"/>
      <c r="AU96" s="1063"/>
      <c r="AV96" s="1063"/>
      <c r="AW96" s="1072"/>
      <c r="AX96" s="1071"/>
      <c r="AY96" s="1063"/>
      <c r="AZ96" s="1063"/>
      <c r="BA96" s="1063"/>
      <c r="BB96" s="1072"/>
      <c r="BC96" s="1071"/>
      <c r="BD96" s="1063"/>
      <c r="BE96" s="1063"/>
      <c r="BF96" s="1072"/>
      <c r="BG96" s="1071"/>
      <c r="BH96" s="1063"/>
      <c r="BI96" s="1072"/>
      <c r="BJ96" s="1077"/>
      <c r="BK96" s="1071"/>
      <c r="BL96" s="1063"/>
      <c r="BM96" s="1072"/>
    </row>
    <row r="97" spans="2:67">
      <c r="B97" s="1103"/>
      <c r="C97" s="1099"/>
      <c r="D97" s="483"/>
      <c r="E97" s="479" t="str">
        <f>BillQuantities!E20</f>
        <v>Dalle en béton 25cm (avec enduit intérieur)</v>
      </c>
      <c r="F97" s="479" t="s">
        <v>238</v>
      </c>
      <c r="G97" s="479"/>
      <c r="H97" s="479"/>
      <c r="I97" s="459" t="s">
        <v>39</v>
      </c>
      <c r="J97" s="662">
        <v>292.8</v>
      </c>
      <c r="K97" s="663"/>
      <c r="L97" s="663"/>
      <c r="M97" s="664">
        <f ca="1">SUM(M98:M100)</f>
        <v>3.1207556157863419</v>
      </c>
      <c r="N97" s="664">
        <f t="shared" ref="N97:S97" si="254">SUM(N98:N100)</f>
        <v>2.3914432361561007</v>
      </c>
      <c r="O97" s="664">
        <f t="shared" ref="O97" si="255">SUM(O98:O100)</f>
        <v>0.5469340472885128</v>
      </c>
      <c r="P97" s="664">
        <f t="shared" ca="1" si="254"/>
        <v>0</v>
      </c>
      <c r="Q97" s="664">
        <f t="shared" si="254"/>
        <v>0.1823783323417289</v>
      </c>
      <c r="R97" s="664">
        <f t="shared" ref="R97" si="256">SUM(R98:R100)</f>
        <v>4.674660320398405E-2</v>
      </c>
      <c r="S97" s="664">
        <f t="shared" si="254"/>
        <v>0.5299581249127755</v>
      </c>
      <c r="T97" s="664">
        <f t="shared" ref="T97" si="257">SUM(T98:T100)</f>
        <v>-0.13778911247732165</v>
      </c>
      <c r="V97" s="638">
        <f t="shared" si="186"/>
        <v>-0.13778911247732165</v>
      </c>
      <c r="W97" s="638">
        <f t="shared" si="187"/>
        <v>0.5299581249127755</v>
      </c>
      <c r="Y97" s="638">
        <f t="shared" si="9"/>
        <v>0</v>
      </c>
      <c r="Z97" s="638">
        <f t="shared" si="188"/>
        <v>0</v>
      </c>
      <c r="AA97" s="648" t="s">
        <v>3445</v>
      </c>
      <c r="AB97">
        <f>_xlfn.XLOOKUP($H97,'[1]Baumaterialien Matériaux'!$A:$A,'[1]Baumaterialien Matériaux'!AK:AK,0,0)</f>
        <v>0</v>
      </c>
      <c r="AC97" cm="1">
        <f t="array" ref="AC97">_xlfn.SWITCH(I97,"kg"," ",0," ",_xlfn.XLOOKUP(H97, '[1]Baumaterialien Matériaux'!$A:$A, '[1]Baumaterialien Matériaux'!$AL:$AL, "-", 0, 1))</f>
        <v>0</v>
      </c>
      <c r="AD97" s="622" cm="1">
        <f t="array" ref="AD97">IFERROR(_xlfn.SWITCH(I97,"kg",1,"m3",AC97,AC97)*J97/(_xlfn.XLOOKUP(AA97,Métrés!A:A,Métrés!D:D,0)),0)</f>
        <v>0</v>
      </c>
      <c r="AE97" s="1092">
        <f>IFERROR(N97*$G$1/(_xlfn.XLOOKUP($AA97,Métrés!$A:$A,Métrés!$D:$D,0)),0)</f>
        <v>7.4129839822404371</v>
      </c>
      <c r="AF97" s="1092">
        <f>IFERROR(O97*$G$1/(_xlfn.XLOOKUP($AA97,Métrés!$A:$A,Métrés!$D:$D,0)),0)</f>
        <v>1.6953834699453552</v>
      </c>
      <c r="AG97" s="1092">
        <f>IFERROR(Q97*$G$1/(_xlfn.XLOOKUP($AA97,Métrés!$A:$A,Métrés!$D:$D,0)),0)</f>
        <v>0.56533545765027315</v>
      </c>
      <c r="AH97" s="1092">
        <f>IFERROR(R97*$G$1/(_xlfn.XLOOKUP($AA97,Métrés!$A:$A,Métrés!$D:$D,0)),0)</f>
        <v>0.14490489071038251</v>
      </c>
      <c r="AI97" s="1092">
        <f>IFERROR(S97*$G$1/(_xlfn.XLOOKUP($AA97,Métrés!$A:$A,Métrés!$D:$D,0)),0)</f>
        <v>1.6427615892531875</v>
      </c>
      <c r="AJ97" s="1064"/>
      <c r="AK97" s="1064"/>
      <c r="AL97" s="1064"/>
      <c r="AM97" s="1021"/>
      <c r="AN97" s="1073"/>
      <c r="AO97" s="1064"/>
      <c r="AP97" s="1064"/>
      <c r="AQ97" s="1064"/>
      <c r="AR97" s="1074"/>
      <c r="AS97" s="1073"/>
      <c r="AT97" s="1064"/>
      <c r="AU97" s="1064"/>
      <c r="AV97" s="1064"/>
      <c r="AW97" s="1074"/>
      <c r="AX97" s="1073"/>
      <c r="AY97" s="1064"/>
      <c r="AZ97" s="1064"/>
      <c r="BA97" s="1064"/>
      <c r="BB97" s="1074"/>
      <c r="BC97" s="1073"/>
      <c r="BD97" s="1064"/>
      <c r="BE97" s="1064"/>
      <c r="BF97" s="1074"/>
      <c r="BG97" s="1073"/>
      <c r="BH97" s="1064"/>
      <c r="BI97" s="1074"/>
      <c r="BJ97" s="1078"/>
      <c r="BK97" s="1073"/>
      <c r="BL97" s="1064"/>
      <c r="BM97" s="1074"/>
    </row>
    <row r="98" spans="2:67">
      <c r="B98" s="1103"/>
      <c r="C98" s="1099"/>
      <c r="D98" s="478"/>
      <c r="E98" s="478"/>
      <c r="F98" s="454" t="s">
        <v>3272</v>
      </c>
      <c r="G98" s="478" t="str">
        <f>_xlfn.XLOOKUP(H98, 'Baumaterialien Matériaux'!A:A, 'Baumaterialien Matériaux'!AD:AD, "-", 0, 1)</f>
        <v>Béton pour bâtiment (sans armature)</v>
      </c>
      <c r="H98" s="891">
        <v>1.0019999999999998</v>
      </c>
      <c r="I98" s="641" t="str">
        <f>_xlfn.XLOOKUP(H98, 'Baumaterialien Matériaux'!A:A, 'Baumaterialien Matériaux'!F:F, "-", 0, 1)</f>
        <v>kg</v>
      </c>
      <c r="J98" s="649">
        <f>27*K98</f>
        <v>11178</v>
      </c>
      <c r="K98" s="893">
        <f>0.18*2300</f>
        <v>414</v>
      </c>
      <c r="L98" s="647" cm="1">
        <f t="array" aca="1" ref="L98" ca="1">INDEX('Enveloppe du bâtiment hors terr'!N154:N190, 'Enveloppe du bâtiment hors terr'!W154)</f>
        <v>60</v>
      </c>
      <c r="M98" s="648">
        <f t="shared" ref="M98:M100" ca="1" si="258">SUM(N98:Q98)</f>
        <v>1.5062133932703112</v>
      </c>
      <c r="N98" s="720">
        <f>IFERROR(($J98*VLOOKUP($H98, 'Baumaterialien Matériaux'!$A$11:$AD$318, 26,FALSE)),0)/$G$1</f>
        <v>1.0936365439280755</v>
      </c>
      <c r="O98" s="720">
        <f>IFERROR(($J98*VLOOKUP($H98, 'Baumaterialien Matériaux'!$A$11:$AH$318, 33,FALSE)),0)/$G$1</f>
        <v>0.25616711839756728</v>
      </c>
      <c r="P98" s="720">
        <f ca="1">IFERROR((N98+Q98)*($L$2/L98-1),0)</f>
        <v>0</v>
      </c>
      <c r="Q98" s="720">
        <f>IFERROR(($J98*VLOOKUP($H98, 'Baumaterialien Matériaux'!$A$11:$AH$318, 27,FALSE)),0)/$G$1</f>
        <v>0.15640973094466848</v>
      </c>
      <c r="R98" s="720">
        <f>IFERROR(($J98*VLOOKUP($H98, 'Baumaterialien Matériaux'!$A$11:$AH$318, 34,FALSE)),0)/$G$1</f>
        <v>3.3006147947378862E-2</v>
      </c>
      <c r="S98" s="720">
        <f>IFERROR((J98*VLOOKUP(H98, 'Baumaterialien Matériaux'!$A$11:$AD$318, 29,FALSE)),0)/$G$1</f>
        <v>0</v>
      </c>
      <c r="T98" s="720">
        <f>S98*AJ98</f>
        <v>0</v>
      </c>
      <c r="V98" s="638">
        <f t="shared" ca="1" si="186"/>
        <v>0</v>
      </c>
      <c r="W98" s="638">
        <f t="shared" ca="1" si="187"/>
        <v>0</v>
      </c>
      <c r="Y98" s="638" t="str">
        <f t="shared" ca="1" si="9"/>
        <v>Structure</v>
      </c>
      <c r="Z98" s="638">
        <f t="shared" ca="1" si="188"/>
        <v>60</v>
      </c>
      <c r="AA98" s="648" t="s">
        <v>3445</v>
      </c>
      <c r="AB98" t="str">
        <f>_xlfn.XLOOKUP($H98,'[1]Baumaterialien Matériaux'!$A:$A,'[1]Baumaterialien Matériaux'!AK:AK,0,0)</f>
        <v>concrete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622" cm="1">
        <f t="array" ref="AD98">IFERROR(_xlfn.SWITCH(I98,"kg",1,"m3",AC98,AC98)*J98/(_xlfn.XLOOKUP(AA98,Métrés!A:A,Métrés!D:D,0)),0)</f>
        <v>38.17622950819672</v>
      </c>
      <c r="AE98" s="1092">
        <f>IFERROR(N98*$G$1/(_xlfn.XLOOKUP($AA98,Métrés!$A:$A,Métrés!$D:$D,0)),0)</f>
        <v>3.3900491803278685</v>
      </c>
      <c r="AF98" s="1092">
        <f>IFERROR(O98*$G$1/(_xlfn.XLOOKUP($AA98,Métrés!$A:$A,Métrés!$D:$D,0)),0)</f>
        <v>0.79406557377049181</v>
      </c>
      <c r="AG98" s="1092">
        <f>IFERROR(Q98*$G$1/(_xlfn.XLOOKUP($AA98,Métrés!$A:$A,Métrés!$D:$D,0)),0)</f>
        <v>0.48483811475409833</v>
      </c>
      <c r="AH98" s="1092">
        <f>IFERROR(R98*$G$1/(_xlfn.XLOOKUP($AA98,Métrés!$A:$A,Métrés!$D:$D,0)),0)</f>
        <v>0.10231229508196722</v>
      </c>
      <c r="AI98" s="1092">
        <f>IFERROR(S98*$G$1/(_xlfn.XLOOKUP($AA98,Métrés!$A:$A,Métrés!$D:$D,0)),0)</f>
        <v>0</v>
      </c>
      <c r="AJ98" s="1030"/>
      <c r="AK98" s="1030">
        <f ca="1">IF(L98=60,0,T98)</f>
        <v>0</v>
      </c>
      <c r="AL98" s="1030">
        <f ca="1">IF(L98=60,0,S98)</f>
        <v>0</v>
      </c>
      <c r="AM98" s="638" t="str">
        <f ca="1">IF(L98=$L$2, "Structure", IF(L98&gt;0,"Revêtement",0))</f>
        <v>Structure</v>
      </c>
      <c r="AN98" s="1032">
        <f ca="1">IF(AM98="Structure",N98,0)</f>
        <v>1.0936365439280755</v>
      </c>
      <c r="AO98" s="1030">
        <f ca="1">IF(AM98="Structure",P98,0)</f>
        <v>0</v>
      </c>
      <c r="AP98" s="1030">
        <f ca="1">IF(AM98="Structure",Q98,0)</f>
        <v>0.15640973094466848</v>
      </c>
      <c r="AQ98" s="1030">
        <f ca="1">IF(AM98="Structure",S98,0)</f>
        <v>0</v>
      </c>
      <c r="AR98" s="1033">
        <f ca="1">IF(AM98="Structure",T98,0)</f>
        <v>0</v>
      </c>
      <c r="AS98" s="1032">
        <f ca="1">IF($AM98="Insulation",N98,0)</f>
        <v>0</v>
      </c>
      <c r="AT98" s="1030">
        <f t="shared" ref="AT98:AU100" ca="1" si="259">IF($AM98="Insulation",P98,0)</f>
        <v>0</v>
      </c>
      <c r="AU98" s="1030">
        <f t="shared" ca="1" si="259"/>
        <v>0</v>
      </c>
      <c r="AV98" s="1030">
        <f t="shared" ref="AV98:AW100" ca="1" si="260">IF($AM98="Insulation",S98,0)</f>
        <v>0</v>
      </c>
      <c r="AW98" s="1033">
        <f t="shared" ca="1" si="260"/>
        <v>0</v>
      </c>
      <c r="AX98" s="1032">
        <f ca="1">IF($AM98="Revêtement",N98,0)</f>
        <v>0</v>
      </c>
      <c r="AY98" s="1030">
        <f t="shared" ref="AY98:AZ100" ca="1" si="261">IF($AM98="Revêtement",P98,0)</f>
        <v>0</v>
      </c>
      <c r="AZ98" s="1030">
        <f t="shared" ca="1" si="261"/>
        <v>0</v>
      </c>
      <c r="BA98" s="1030">
        <f t="shared" ref="BA98:BB100" ca="1" si="262">IF($AM98="Revêtement",S98,0)</f>
        <v>0</v>
      </c>
      <c r="BB98" s="1033">
        <f t="shared" ca="1" si="262"/>
        <v>0</v>
      </c>
      <c r="BC98" s="1032">
        <f ca="1">IF($AM98="Installation",N98,0)</f>
        <v>0</v>
      </c>
      <c r="BD98" s="1030">
        <f t="shared" ref="BD98:BE100" ca="1" si="263">IF($AM98="Installation",P98,0)</f>
        <v>0</v>
      </c>
      <c r="BE98" s="1030">
        <f t="shared" ca="1" si="263"/>
        <v>0</v>
      </c>
      <c r="BF98" s="1033">
        <f ca="1">IF($AM98="Installation",S98,0)</f>
        <v>0</v>
      </c>
      <c r="BG98" s="1032">
        <f ca="1">IF($AM98="Structure", IF($I98="kg",$J98,0), 0)</f>
        <v>11178</v>
      </c>
      <c r="BH98" s="1030">
        <f ca="1">IF($AM98="Insulation", IF($I98="kg",$J98,0), 0)</f>
        <v>0</v>
      </c>
      <c r="BI98" s="1033">
        <f ca="1">IF($AM98="Revêtement", IF($I98="kg",$J98,0), 0)</f>
        <v>0</v>
      </c>
      <c r="BJ98" s="1030">
        <f>_xlfn.XLOOKUP(H98, 'Baumaterialien Matériaux'!A:A, 'Baumaterialien Matériaux'!E:E, "-", 0, 1)</f>
        <v>2300</v>
      </c>
      <c r="BK98" s="1032">
        <f t="shared" ca="1" si="182"/>
        <v>4.8600000000000003</v>
      </c>
      <c r="BL98" s="1030">
        <f t="shared" ca="1" si="183"/>
        <v>0</v>
      </c>
      <c r="BM98" s="1033">
        <f t="shared" ca="1" si="184"/>
        <v>0</v>
      </c>
      <c r="BN98" s="720">
        <f ca="1">IFERROR((J98*VLOOKUP(H98, 'Baumaterialien Matériaux'!$A$11:$AH$318, 32,FALSE))*($L$2/L98-1),0)/$G$1</f>
        <v>0</v>
      </c>
      <c r="BO98" s="720">
        <f t="shared" ref="BO98:BO103" ca="1" si="264">IFERROR((N98+Q98)*($L$2/L98-1),0)</f>
        <v>0</v>
      </c>
    </row>
    <row r="99" spans="2:67">
      <c r="B99" s="1103"/>
      <c r="C99" s="1099"/>
      <c r="D99" s="478"/>
      <c r="E99" s="478"/>
      <c r="F99" s="638" t="s">
        <v>3004</v>
      </c>
      <c r="G99" s="478" t="str">
        <f>_xlfn.XLOOKUP(H99, 'Baumaterialien Matériaux'!A:A, 'Baumaterialien Matériaux'!AD:AD, "-", 0, 1)</f>
        <v>Acier d'armature</v>
      </c>
      <c r="H99" s="892" t="s">
        <v>497</v>
      </c>
      <c r="I99" s="641" t="str">
        <f>_xlfn.XLOOKUP(H99, 'Baumaterialien Matériaux'!A:A, 'Baumaterialien Matériaux'!F:F, "-", 0, 1)</f>
        <v>kg</v>
      </c>
      <c r="J99" s="649">
        <f>27*K99</f>
        <v>729</v>
      </c>
      <c r="K99" s="894">
        <f>0.18*150</f>
        <v>27</v>
      </c>
      <c r="L99" s="647" cm="1">
        <f t="array" aca="1" ref="L99" ca="1">INDEX('Enveloppe du bâtiment hors terr'!N155:N191, 'Enveloppe du bâtiment hors terr'!W155)</f>
        <v>60</v>
      </c>
      <c r="M99" s="648">
        <f t="shared" ca="1" si="258"/>
        <v>1.4484901170093212</v>
      </c>
      <c r="N99" s="720">
        <f>IFERROR(($J99*VLOOKUP($H99, 'Baumaterialien Matériaux'!$A$11:$AD$318, 26,FALSE)),0)/$G$1</f>
        <v>1.2047993653731739</v>
      </c>
      <c r="O99" s="720">
        <f>IFERROR(($J99*VLOOKUP($H99, 'Baumaterialien Matériaux'!$A$11:$AH$318, 33,FALSE)),0)/$G$1</f>
        <v>0.23373107688239569</v>
      </c>
      <c r="P99" s="720">
        <f t="shared" ref="P99:P100" ca="1" si="265">IFERROR((N99+Q99)*($L$2/L99-1),0)</f>
        <v>0</v>
      </c>
      <c r="Q99" s="720">
        <f>IFERROR(($J99*VLOOKUP($H99, 'Baumaterialien Matériaux'!$A$11:$AH$318, 27,FALSE)),0)/$G$1</f>
        <v>9.9596747537515698E-3</v>
      </c>
      <c r="R99" s="720">
        <f>IFERROR(($J99*VLOOKUP($H99, 'Baumaterialien Matériaux'!$A$11:$AH$318, 34,FALSE)),0)/$G$1</f>
        <v>0</v>
      </c>
      <c r="S99" s="720">
        <f>IFERROR((J99*VLOOKUP(H99, 'Baumaterialien Matériaux'!$A$11:$AD$318, 29,FALSE)),0)/$G$1</f>
        <v>0</v>
      </c>
      <c r="T99" s="720">
        <f>S99*AJ99</f>
        <v>0</v>
      </c>
      <c r="V99" s="638">
        <f t="shared" ca="1" si="186"/>
        <v>0</v>
      </c>
      <c r="W99" s="638">
        <f t="shared" ca="1" si="187"/>
        <v>0</v>
      </c>
      <c r="Y99" s="638" t="str">
        <f t="shared" ca="1" si="9"/>
        <v>Structure</v>
      </c>
      <c r="Z99" s="638">
        <f t="shared" ca="1" si="188"/>
        <v>60</v>
      </c>
      <c r="AA99" s="648" t="s">
        <v>3445</v>
      </c>
      <c r="AB99" t="str">
        <f>_xlfn.XLOOKUP($H99,'[1]Baumaterialien Matériaux'!$A:$A,'[1]Baumaterialien Matériaux'!AK:AK,0,0)</f>
        <v>metal</v>
      </c>
      <c r="AC99" t="str" cm="1">
        <f t="array" ref="AC99">_xlfn.SWITCH(I99,"kg"," ",0," ",_xlfn.XLOOKUP(H99, '[1]Baumaterialien Matériaux'!$A:$A, '[1]Baumaterialien Matériaux'!$AL:$AL, "-", 0, 1))</f>
        <v xml:space="preserve"> </v>
      </c>
      <c r="AD99" s="622" cm="1">
        <f t="array" ref="AD99">IFERROR(_xlfn.SWITCH(I99,"kg",1,"m3",AC99,AC99)*J99/(_xlfn.XLOOKUP(AA99,Métrés!A:A,Métrés!D:D,0)),0)</f>
        <v>2.4897540983606556</v>
      </c>
      <c r="AE99" s="1092">
        <f>IFERROR(N99*$G$1/(_xlfn.XLOOKUP($AA99,Métrés!$A:$A,Métrés!$D:$D,0)),0)</f>
        <v>3.7346311475409832</v>
      </c>
      <c r="AF99" s="1092">
        <f>IFERROR(O99*$G$1/(_xlfn.XLOOKUP($AA99,Métrés!$A:$A,Métrés!$D:$D,0)),0)</f>
        <v>0.72451844262295073</v>
      </c>
      <c r="AG99" s="1092">
        <f>IFERROR(Q99*$G$1/(_xlfn.XLOOKUP($AA99,Métrés!$A:$A,Métrés!$D:$D,0)),0)</f>
        <v>3.0872950819672132E-2</v>
      </c>
      <c r="AH99" s="1092">
        <f>IFERROR(R99*$G$1/(_xlfn.XLOOKUP($AA99,Métrés!$A:$A,Métrés!$D:$D,0)),0)</f>
        <v>0</v>
      </c>
      <c r="AI99" s="1092">
        <f>IFERROR(S99*$G$1/(_xlfn.XLOOKUP($AA99,Métrés!$A:$A,Métrés!$D:$D,0)),0)</f>
        <v>0</v>
      </c>
      <c r="AJ99" s="1030"/>
      <c r="AK99" s="1030">
        <f ca="1">IF(L99=60,0,T99)</f>
        <v>0</v>
      </c>
      <c r="AL99" s="1030">
        <f ca="1">IF(L99=60,0,S99)</f>
        <v>0</v>
      </c>
      <c r="AM99" s="638" t="str">
        <f ca="1">IF(L99=$L$2, "Structure", IF(L99&gt;0,"Revêtement",0))</f>
        <v>Structure</v>
      </c>
      <c r="AN99" s="1032">
        <f ca="1">IF(AM99="Structure",N99,0)</f>
        <v>1.2047993653731739</v>
      </c>
      <c r="AO99" s="1030">
        <f ca="1">IF(AM99="Structure",P99,0)</f>
        <v>0</v>
      </c>
      <c r="AP99" s="1030">
        <f ca="1">IF(AM99="Structure",Q99,0)</f>
        <v>9.9596747537515698E-3</v>
      </c>
      <c r="AQ99" s="1030">
        <f ca="1">IF(AM99="Structure",S99,0)</f>
        <v>0</v>
      </c>
      <c r="AR99" s="1033">
        <f ca="1">IF(AM99="Structure",T99,0)</f>
        <v>0</v>
      </c>
      <c r="AS99" s="1032">
        <f ca="1">IF($AM99="Insulation",N99,0)</f>
        <v>0</v>
      </c>
      <c r="AT99" s="1030">
        <f t="shared" ca="1" si="259"/>
        <v>0</v>
      </c>
      <c r="AU99" s="1030">
        <f t="shared" ca="1" si="259"/>
        <v>0</v>
      </c>
      <c r="AV99" s="1030">
        <f t="shared" ca="1" si="260"/>
        <v>0</v>
      </c>
      <c r="AW99" s="1033">
        <f t="shared" ca="1" si="260"/>
        <v>0</v>
      </c>
      <c r="AX99" s="1032">
        <f ca="1">IF($AM99="Revêtement",N99,0)</f>
        <v>0</v>
      </c>
      <c r="AY99" s="1030">
        <f t="shared" ca="1" si="261"/>
        <v>0</v>
      </c>
      <c r="AZ99" s="1030">
        <f t="shared" ca="1" si="261"/>
        <v>0</v>
      </c>
      <c r="BA99" s="1030">
        <f t="shared" ca="1" si="262"/>
        <v>0</v>
      </c>
      <c r="BB99" s="1033">
        <f t="shared" ca="1" si="262"/>
        <v>0</v>
      </c>
      <c r="BC99" s="1032">
        <f ca="1">IF($AM99="Installation",N99,0)</f>
        <v>0</v>
      </c>
      <c r="BD99" s="1030">
        <f t="shared" ca="1" si="263"/>
        <v>0</v>
      </c>
      <c r="BE99" s="1030">
        <f t="shared" ca="1" si="263"/>
        <v>0</v>
      </c>
      <c r="BF99" s="1033">
        <f ca="1">IF($AM99="Installation",S99,0)</f>
        <v>0</v>
      </c>
      <c r="BG99" s="1032">
        <f ca="1">IF($AM99="Structure", IF($I99="kg",$J99,0), 0)</f>
        <v>729</v>
      </c>
      <c r="BH99" s="1030">
        <f ca="1">IF($AM99="Insulation", IF($I99="kg",$J99,0), 0)</f>
        <v>0</v>
      </c>
      <c r="BI99" s="1033">
        <f ca="1">IF($AM99="Revêtement", IF($I99="kg",$J99,0), 0)</f>
        <v>0</v>
      </c>
      <c r="BJ99" s="1030">
        <f>_xlfn.XLOOKUP(H99, 'Baumaterialien Matériaux'!A:A, 'Baumaterialien Matériaux'!E:E, "-", 0, 1)</f>
        <v>7850</v>
      </c>
      <c r="BK99" s="1032">
        <f t="shared" ca="1" si="182"/>
        <v>9.2866242038216557E-2</v>
      </c>
      <c r="BL99" s="1030">
        <f t="shared" ca="1" si="183"/>
        <v>0</v>
      </c>
      <c r="BM99" s="1033">
        <f t="shared" ca="1" si="184"/>
        <v>0</v>
      </c>
      <c r="BN99" s="720">
        <f ca="1">IFERROR((J99*VLOOKUP(H99, 'Baumaterialien Matériaux'!$A$11:$AH$318, 32,FALSE))*($L$2/L99-1),0)/$G$1</f>
        <v>0</v>
      </c>
      <c r="BO99" s="720">
        <f t="shared" ca="1" si="264"/>
        <v>0</v>
      </c>
    </row>
    <row r="100" spans="2:67">
      <c r="B100" s="1103"/>
      <c r="C100" s="1099"/>
      <c r="D100" s="478"/>
      <c r="E100" s="478"/>
      <c r="F100" s="454" t="s">
        <v>3271</v>
      </c>
      <c r="G100" s="478" t="str">
        <f>_xlfn.XLOOKUP(H100, 'Baumaterialien Matériaux'!A:A, 'Baumaterialien Matériaux'!AD:AD, "-", 0, 1)</f>
        <v>Bois lamellé-collé</v>
      </c>
      <c r="H100" s="895" t="s">
        <v>1445</v>
      </c>
      <c r="I100" s="641" t="str">
        <f>_xlfn.XLOOKUP(H100, 'Baumaterialien Matériaux'!A:A, 'Baumaterialien Matériaux'!F:F, "-", 0, 1)</f>
        <v>kg</v>
      </c>
      <c r="J100" s="649">
        <f>0.67*439</f>
        <v>294.13</v>
      </c>
      <c r="K100" s="894"/>
      <c r="L100" s="647">
        <v>60</v>
      </c>
      <c r="M100" s="648">
        <f t="shared" si="258"/>
        <v>0.16605210550670985</v>
      </c>
      <c r="N100" s="720">
        <f>IFERROR(($J100*VLOOKUP($H100, 'Baumaterialien Matériaux'!$A$11:$AD$318, 26,FALSE)),0)/$G$1</f>
        <v>9.3007326854851136E-2</v>
      </c>
      <c r="O100" s="720">
        <f>IFERROR(($J100*VLOOKUP($H100, 'Baumaterialien Matériaux'!$A$11:$AH$318, 33,FALSE)),0)/$G$1</f>
        <v>5.7035852008549826E-2</v>
      </c>
      <c r="P100" s="720">
        <f t="shared" si="265"/>
        <v>0</v>
      </c>
      <c r="Q100" s="720">
        <f>IFERROR(($J100*VLOOKUP($H100, 'Baumaterialien Matériaux'!$A$11:$AH$318, 27,FALSE)),0)/$G$1</f>
        <v>1.6008926643308871E-2</v>
      </c>
      <c r="R100" s="720">
        <f>IFERROR(($J100*VLOOKUP($H100, 'Baumaterialien Matériaux'!$A$11:$AH$318, 34,FALSE)),0)/$G$1</f>
        <v>1.3740455256605187E-2</v>
      </c>
      <c r="S100" s="720">
        <f>IFERROR((J100*VLOOKUP(H100, 'Baumaterialien Matériaux'!$A$11:$AD$318, 29,FALSE)),0)/$G$1</f>
        <v>0.5299581249127755</v>
      </c>
      <c r="T100" s="720">
        <f>S100*AJ100</f>
        <v>-0.13778911247732165</v>
      </c>
      <c r="U100" s="638">
        <v>-0.26</v>
      </c>
      <c r="V100" s="638">
        <f t="shared" si="186"/>
        <v>0</v>
      </c>
      <c r="W100" s="638">
        <f t="shared" si="187"/>
        <v>0</v>
      </c>
      <c r="Y100" s="638" t="str">
        <f t="shared" si="9"/>
        <v>Structure</v>
      </c>
      <c r="Z100" s="638">
        <f t="shared" si="188"/>
        <v>60</v>
      </c>
      <c r="AA100" s="648" t="s">
        <v>3445</v>
      </c>
      <c r="AB100" t="str">
        <f>_xlfn.XLOOKUP($H100,'[1]Baumaterialien Matériaux'!$A:$A,'[1]Baumaterialien Matériaux'!AK:AK,0,0)</f>
        <v>timber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 s="622" cm="1">
        <f t="array" ref="AD100">IFERROR(_xlfn.SWITCH(I100,"kg",1,"m3",AC100,AC100)*J100/(_xlfn.XLOOKUP(AA100,Métrés!A:A,Métrés!D:D,0)),0)</f>
        <v>1.0045423497267758</v>
      </c>
      <c r="AE100" s="1092">
        <f>IFERROR(N100*$G$1/(_xlfn.XLOOKUP($AA100,Métrés!$A:$A,Métrés!$D:$D,0)),0)</f>
        <v>0.28830365437158467</v>
      </c>
      <c r="AF100" s="1092">
        <f>IFERROR(O100*$G$1/(_xlfn.XLOOKUP($AA100,Métrés!$A:$A,Métrés!$D:$D,0)),0)</f>
        <v>0.17679945355191254</v>
      </c>
      <c r="AG100" s="1092">
        <f>IFERROR(Q100*$G$1/(_xlfn.XLOOKUP($AA100,Métrés!$A:$A,Métrés!$D:$D,0)),0)</f>
        <v>4.9624392076502717E-2</v>
      </c>
      <c r="AH100" s="1092">
        <f>IFERROR(R100*$G$1/(_xlfn.XLOOKUP($AA100,Métrés!$A:$A,Métrés!$D:$D,0)),0)</f>
        <v>4.2592595628415296E-2</v>
      </c>
      <c r="AI100" s="1092">
        <f>IFERROR(S100*$G$1/(_xlfn.XLOOKUP($AA100,Métrés!$A:$A,Métrés!$D:$D,0)),0)</f>
        <v>1.6427615892531875</v>
      </c>
      <c r="AJ100" s="1030">
        <v>-0.26</v>
      </c>
      <c r="AK100" s="1030">
        <f>IF(L100=60,0,T100)</f>
        <v>0</v>
      </c>
      <c r="AL100" s="1030">
        <f>IF(L100=60,0,S100)</f>
        <v>0</v>
      </c>
      <c r="AM100" s="638" t="str">
        <f>IF(L100=$L$2, "Structure", IF(L100&gt;0,"Revêtement",0))</f>
        <v>Structure</v>
      </c>
      <c r="AN100" s="1032">
        <f>IF(AM100="Structure",N100,0)</f>
        <v>9.3007326854851136E-2</v>
      </c>
      <c r="AO100" s="1030">
        <f>IF(AM100="Structure",P100,0)</f>
        <v>0</v>
      </c>
      <c r="AP100" s="1030">
        <f>IF(AM100="Structure",Q100,0)</f>
        <v>1.6008926643308871E-2</v>
      </c>
      <c r="AQ100" s="1030">
        <f>IF(AM100="Structure",S100,0)</f>
        <v>0.5299581249127755</v>
      </c>
      <c r="AR100" s="1033">
        <f>IF(AM100="Structure",T100,0)</f>
        <v>-0.13778911247732165</v>
      </c>
      <c r="AS100" s="1032">
        <f>IF($AM100="Insulation",N100,0)</f>
        <v>0</v>
      </c>
      <c r="AT100" s="1030">
        <f t="shared" si="259"/>
        <v>0</v>
      </c>
      <c r="AU100" s="1030">
        <f t="shared" si="259"/>
        <v>0</v>
      </c>
      <c r="AV100" s="1030">
        <f t="shared" si="260"/>
        <v>0</v>
      </c>
      <c r="AW100" s="1033">
        <f t="shared" si="260"/>
        <v>0</v>
      </c>
      <c r="AX100" s="1032">
        <f>IF($AM100="Revêtement",N100,0)</f>
        <v>0</v>
      </c>
      <c r="AY100" s="1030">
        <f t="shared" si="261"/>
        <v>0</v>
      </c>
      <c r="AZ100" s="1030">
        <f t="shared" si="261"/>
        <v>0</v>
      </c>
      <c r="BA100" s="1030">
        <f t="shared" si="262"/>
        <v>0</v>
      </c>
      <c r="BB100" s="1033">
        <f t="shared" si="262"/>
        <v>0</v>
      </c>
      <c r="BC100" s="1032">
        <f>IF($AM100="Installation",N100,0)</f>
        <v>0</v>
      </c>
      <c r="BD100" s="1030">
        <f t="shared" si="263"/>
        <v>0</v>
      </c>
      <c r="BE100" s="1030">
        <f t="shared" si="263"/>
        <v>0</v>
      </c>
      <c r="BF100" s="1033">
        <f>IF($AM100="Installation",S100,0)</f>
        <v>0</v>
      </c>
      <c r="BG100" s="1032">
        <f>IF($AM100="Structure", IF($I100="kg",$J100,0), 0)</f>
        <v>294.13</v>
      </c>
      <c r="BH100" s="1030">
        <f>IF($AM100="Insulation", IF($I100="kg",$J100,0), 0)</f>
        <v>0</v>
      </c>
      <c r="BI100" s="1033">
        <f>IF($AM100="Revêtement", IF($I100="kg",$J100,0), 0)</f>
        <v>0</v>
      </c>
      <c r="BJ100" s="1030">
        <f>_xlfn.XLOOKUP(H100, 'Baumaterialien Matériaux'!A:A, 'Baumaterialien Matériaux'!E:E, "-", 0, 1)</f>
        <v>439</v>
      </c>
      <c r="BK100" s="1032">
        <f t="shared" si="182"/>
        <v>0.67</v>
      </c>
      <c r="BL100" s="1030">
        <f t="shared" si="183"/>
        <v>0</v>
      </c>
      <c r="BM100" s="1033">
        <f t="shared" si="184"/>
        <v>0</v>
      </c>
      <c r="BN100" s="720">
        <f>IFERROR((J100*VLOOKUP(H100, 'Baumaterialien Matériaux'!$A$11:$AH$318, 32,FALSE))*($L$2/L100-1),0)/$G$1</f>
        <v>0</v>
      </c>
      <c r="BO100" s="720">
        <f t="shared" si="264"/>
        <v>0</v>
      </c>
    </row>
    <row r="101" spans="2:67">
      <c r="B101" s="1103"/>
      <c r="C101" s="1099"/>
      <c r="D101" s="478"/>
      <c r="E101" s="478"/>
      <c r="F101" s="479"/>
      <c r="G101" s="479"/>
      <c r="H101" s="479"/>
      <c r="I101" s="459" t="s">
        <v>39</v>
      </c>
      <c r="J101" s="662"/>
      <c r="K101" s="663"/>
      <c r="L101" s="663"/>
      <c r="M101" s="664">
        <f>SUM(M102:M105)</f>
        <v>0</v>
      </c>
      <c r="N101" s="664">
        <f t="shared" ref="N101:T101" si="266">SUM(N102:N105)</f>
        <v>0</v>
      </c>
      <c r="O101" s="664">
        <f t="shared" ref="O101" si="267">SUM(O102:O105)</f>
        <v>0</v>
      </c>
      <c r="P101" s="664">
        <f t="shared" si="266"/>
        <v>0</v>
      </c>
      <c r="Q101" s="664">
        <f t="shared" si="266"/>
        <v>0</v>
      </c>
      <c r="R101" s="664">
        <f t="shared" ref="R101" si="268">SUM(R102:R105)</f>
        <v>0</v>
      </c>
      <c r="S101" s="664">
        <f t="shared" si="266"/>
        <v>0</v>
      </c>
      <c r="T101" s="664">
        <f t="shared" si="266"/>
        <v>0</v>
      </c>
      <c r="V101" s="638">
        <f t="shared" si="186"/>
        <v>0</v>
      </c>
      <c r="W101" s="638">
        <f t="shared" si="187"/>
        <v>0</v>
      </c>
      <c r="Y101" s="638">
        <f t="shared" si="9"/>
        <v>0</v>
      </c>
      <c r="Z101" s="638">
        <f t="shared" si="188"/>
        <v>0</v>
      </c>
      <c r="AA101" s="648" t="s">
        <v>3445</v>
      </c>
      <c r="AB101">
        <f>_xlfn.XLOOKUP($H101,'[1]Baumaterialien Matériaux'!$A:$A,'[1]Baumaterialien Matériaux'!AK:AK,0,0)</f>
        <v>0</v>
      </c>
      <c r="AC101" cm="1">
        <f t="array" ref="AC101">_xlfn.SWITCH(I101,"kg"," ",0," ",_xlfn.XLOOKUP(H101, '[1]Baumaterialien Matériaux'!$A:$A, '[1]Baumaterialien Matériaux'!$AL:$AL, "-", 0, 1))</f>
        <v>0</v>
      </c>
      <c r="AD101" s="622" cm="1">
        <f t="array" ref="AD101">IFERROR(_xlfn.SWITCH(I101,"kg",1,"m3",AC101,AC101)*J101/(_xlfn.XLOOKUP(AA101,Métrés!A:A,Métrés!D:D,0)),0)</f>
        <v>0</v>
      </c>
      <c r="AE101" s="1092">
        <f>IFERROR(N101*$G$1/(_xlfn.XLOOKUP($AA101,Métrés!$A:$A,Métrés!$D:$D,0)),0)</f>
        <v>0</v>
      </c>
      <c r="AF101" s="1092">
        <f>IFERROR(O101*$G$1/(_xlfn.XLOOKUP($AA101,Métrés!$A:$A,Métrés!$D:$D,0)),0)</f>
        <v>0</v>
      </c>
      <c r="AG101" s="1092">
        <f>IFERROR(Q101*$G$1/(_xlfn.XLOOKUP($AA101,Métrés!$A:$A,Métrés!$D:$D,0)),0)</f>
        <v>0</v>
      </c>
      <c r="AH101" s="1092">
        <f>IFERROR(R101*$G$1/(_xlfn.XLOOKUP($AA101,Métrés!$A:$A,Métrés!$D:$D,0)),0)</f>
        <v>0</v>
      </c>
      <c r="AI101" s="1092">
        <f>IFERROR(S101*$G$1/(_xlfn.XLOOKUP($AA101,Métrés!$A:$A,Métrés!$D:$D,0)),0)</f>
        <v>0</v>
      </c>
      <c r="AJ101" s="1064"/>
      <c r="AK101" s="1064"/>
      <c r="AL101" s="1064"/>
      <c r="AM101" s="1021"/>
      <c r="AN101" s="1073"/>
      <c r="AO101" s="1064"/>
      <c r="AP101" s="1064"/>
      <c r="AQ101" s="1064"/>
      <c r="AR101" s="1074"/>
      <c r="AS101" s="1073"/>
      <c r="AT101" s="1064"/>
      <c r="AU101" s="1064"/>
      <c r="AV101" s="1064"/>
      <c r="AW101" s="1074"/>
      <c r="AX101" s="1073"/>
      <c r="AY101" s="1064"/>
      <c r="AZ101" s="1064"/>
      <c r="BA101" s="1064"/>
      <c r="BB101" s="1074"/>
      <c r="BC101" s="1073"/>
      <c r="BD101" s="1064"/>
      <c r="BE101" s="1064"/>
      <c r="BF101" s="1074"/>
      <c r="BG101" s="1073"/>
      <c r="BH101" s="1064"/>
      <c r="BI101" s="1074"/>
      <c r="BJ101" s="1078"/>
      <c r="BK101" s="1073"/>
      <c r="BL101" s="1064"/>
      <c r="BM101" s="1074"/>
      <c r="BN101" s="720">
        <f>IFERROR((J101*VLOOKUP(H101, 'Baumaterialien Matériaux'!$A$11:$AH$318, 32,FALSE))*($L$2/L101-1),0)/$G$1</f>
        <v>0</v>
      </c>
      <c r="BO101" s="720">
        <f t="shared" si="264"/>
        <v>0</v>
      </c>
    </row>
    <row r="102" spans="2:67">
      <c r="B102" s="1103"/>
      <c r="C102" s="1099"/>
      <c r="D102" s="478"/>
      <c r="E102" s="478"/>
      <c r="F102" s="454"/>
      <c r="G102" s="478"/>
      <c r="H102" s="81"/>
      <c r="I102" s="641"/>
      <c r="J102" s="649"/>
      <c r="K102" s="647"/>
      <c r="L102" s="647"/>
      <c r="M102" s="648"/>
      <c r="N102" s="720"/>
      <c r="O102" s="720"/>
      <c r="P102" s="720"/>
      <c r="Q102" s="720"/>
      <c r="R102" s="720"/>
      <c r="S102" s="720"/>
      <c r="T102" s="720">
        <f>S102*AJ102</f>
        <v>0</v>
      </c>
      <c r="V102" s="638">
        <f t="shared" si="186"/>
        <v>0</v>
      </c>
      <c r="W102" s="638">
        <f t="shared" si="187"/>
        <v>0</v>
      </c>
      <c r="Y102" s="638">
        <f t="shared" ref="Y102:Y189" si="269">IF(L102=$L$2, "Structure", IF(L102&gt;0,"Revêtement",0))</f>
        <v>0</v>
      </c>
      <c r="Z102" s="638">
        <f t="shared" si="188"/>
        <v>0</v>
      </c>
      <c r="AA102" s="648" t="s">
        <v>3445</v>
      </c>
      <c r="AB102">
        <f>_xlfn.XLOOKUP($H102,'[1]Baumaterialien Matériaux'!$A:$A,'[1]Baumaterialien Matériaux'!AK:AK,0,0)</f>
        <v>0</v>
      </c>
      <c r="AC102" t="str" cm="1">
        <f t="array" ref="AC102">_xlfn.SWITCH(I102,"kg"," ",0," ",_xlfn.XLOOKUP(H102, '[1]Baumaterialien Matériaux'!$A:$A, '[1]Baumaterialien Matériaux'!$AL:$AL, "-", 0, 1))</f>
        <v xml:space="preserve"> </v>
      </c>
      <c r="AD102" s="622" cm="1">
        <f t="array" ref="AD102">IFERROR(_xlfn.SWITCH(I102,"kg",1,"m3",AC102,AC102)*J102/(_xlfn.XLOOKUP(AA102,Métrés!A:A,Métrés!D:D,0)),0)</f>
        <v>0</v>
      </c>
      <c r="AE102" s="1092">
        <f>IFERROR(N102*$G$1/(_xlfn.XLOOKUP($AA102,Métrés!$A:$A,Métrés!$D:$D,0)),0)</f>
        <v>0</v>
      </c>
      <c r="AF102" s="1092">
        <f>IFERROR(O102*$G$1/(_xlfn.XLOOKUP($AA102,Métrés!$A:$A,Métrés!$D:$D,0)),0)</f>
        <v>0</v>
      </c>
      <c r="AG102" s="1092">
        <f>IFERROR(Q102*$G$1/(_xlfn.XLOOKUP($AA102,Métrés!$A:$A,Métrés!$D:$D,0)),0)</f>
        <v>0</v>
      </c>
      <c r="AH102" s="1092">
        <f>IFERROR(R102*$G$1/(_xlfn.XLOOKUP($AA102,Métrés!$A:$A,Métrés!$D:$D,0)),0)</f>
        <v>0</v>
      </c>
      <c r="AI102" s="1092">
        <f>IFERROR(S102*$G$1/(_xlfn.XLOOKUP($AA102,Métrés!$A:$A,Métrés!$D:$D,0)),0)</f>
        <v>0</v>
      </c>
      <c r="AJ102" s="1030"/>
      <c r="AK102" s="1030">
        <f>IF(L102=60,0,T102)</f>
        <v>0</v>
      </c>
      <c r="AL102" s="1030">
        <f>IF(L102=60,0,S102)</f>
        <v>0</v>
      </c>
      <c r="AM102" s="638">
        <f>IF(L102=$L$2, "Structure", IF(L102&gt;0,"Revêtement",0))</f>
        <v>0</v>
      </c>
      <c r="AN102" s="1032">
        <f>IF(AM102="Structure",N102,0)</f>
        <v>0</v>
      </c>
      <c r="AO102" s="1030">
        <f>IF(AM102="Structure",P102,0)</f>
        <v>0</v>
      </c>
      <c r="AP102" s="1030">
        <f>IF(AM102="Structure",Q102,0)</f>
        <v>0</v>
      </c>
      <c r="AQ102" s="1030">
        <f>IF(AM102="Structure",S102,0)</f>
        <v>0</v>
      </c>
      <c r="AR102" s="1033">
        <f>IF(AM102="Structure",T102,0)</f>
        <v>0</v>
      </c>
      <c r="AS102" s="1032">
        <f>IF($AM102="Insulation",N102,0)</f>
        <v>0</v>
      </c>
      <c r="AT102" s="1030">
        <f t="shared" ref="AT102:AU105" si="270">IF($AM102="Insulation",P102,0)</f>
        <v>0</v>
      </c>
      <c r="AU102" s="1030">
        <f t="shared" si="270"/>
        <v>0</v>
      </c>
      <c r="AV102" s="1030">
        <f t="shared" ref="AV102:AW105" si="271">IF($AM102="Insulation",S102,0)</f>
        <v>0</v>
      </c>
      <c r="AW102" s="1033">
        <f t="shared" si="271"/>
        <v>0</v>
      </c>
      <c r="AX102" s="1032">
        <f>IF($AM102="Revêtement",N102,0)</f>
        <v>0</v>
      </c>
      <c r="AY102" s="1030">
        <f t="shared" ref="AY102:AZ105" si="272">IF($AM102="Revêtement",P102,0)</f>
        <v>0</v>
      </c>
      <c r="AZ102" s="1030">
        <f t="shared" si="272"/>
        <v>0</v>
      </c>
      <c r="BA102" s="1030">
        <f t="shared" ref="BA102:BB105" si="273">IF($AM102="Revêtement",S102,0)</f>
        <v>0</v>
      </c>
      <c r="BB102" s="1033">
        <f t="shared" si="273"/>
        <v>0</v>
      </c>
      <c r="BC102" s="1032">
        <f>IF($AM102="Installation",N102,0)</f>
        <v>0</v>
      </c>
      <c r="BD102" s="1030">
        <f t="shared" ref="BD102:BE105" si="274">IF($AM102="Installation",P102,0)</f>
        <v>0</v>
      </c>
      <c r="BE102" s="1030">
        <f t="shared" si="274"/>
        <v>0</v>
      </c>
      <c r="BF102" s="1033">
        <f>IF($AM102="Installation",S102,0)</f>
        <v>0</v>
      </c>
      <c r="BG102" s="1032">
        <f>IF($AM102="Structure", IF($I102="kg",$J102,0), 0)</f>
        <v>0</v>
      </c>
      <c r="BH102" s="1030">
        <f>IF($AM102="Insulation", IF($I102="kg",$J102,0), 0)</f>
        <v>0</v>
      </c>
      <c r="BI102" s="1033">
        <f>IF($AM102="Revêtement", IF($I102="kg",$J102,0), 0)</f>
        <v>0</v>
      </c>
      <c r="BJ102" s="1030">
        <f>_xlfn.XLOOKUP(H102, 'Baumaterialien Matériaux'!A:A, 'Baumaterialien Matériaux'!E:E, "-", 0, 1)</f>
        <v>0</v>
      </c>
      <c r="BK102" s="1032">
        <f t="shared" si="182"/>
        <v>0</v>
      </c>
      <c r="BL102" s="1030">
        <f t="shared" si="183"/>
        <v>0</v>
      </c>
      <c r="BM102" s="1033">
        <f t="shared" si="184"/>
        <v>0</v>
      </c>
      <c r="BN102" s="720">
        <f>IFERROR((J102*VLOOKUP(H102, 'Baumaterialien Matériaux'!$A$11:$AH$318, 32,FALSE))*($L$2/L102-1),0)/$G$1</f>
        <v>0</v>
      </c>
      <c r="BO102" s="720">
        <f t="shared" si="264"/>
        <v>0</v>
      </c>
    </row>
    <row r="103" spans="2:67">
      <c r="B103" s="1103"/>
      <c r="C103" s="1099"/>
      <c r="D103" s="478"/>
      <c r="E103" s="478"/>
      <c r="G103" s="478"/>
      <c r="H103" s="875"/>
      <c r="I103" s="641"/>
      <c r="J103" s="649"/>
      <c r="K103" s="650"/>
      <c r="L103" s="647"/>
      <c r="M103" s="648"/>
      <c r="N103" s="720"/>
      <c r="O103" s="720"/>
      <c r="P103" s="720"/>
      <c r="Q103" s="720"/>
      <c r="R103" s="720"/>
      <c r="S103" s="720"/>
      <c r="T103" s="720">
        <f>S103*AJ103</f>
        <v>0</v>
      </c>
      <c r="V103" s="638">
        <f t="shared" si="186"/>
        <v>0</v>
      </c>
      <c r="W103" s="638">
        <f t="shared" si="187"/>
        <v>0</v>
      </c>
      <c r="Y103" s="638">
        <f t="shared" si="269"/>
        <v>0</v>
      </c>
      <c r="Z103" s="638">
        <f t="shared" si="188"/>
        <v>0</v>
      </c>
      <c r="AA103" s="648" t="s">
        <v>3445</v>
      </c>
      <c r="AB103">
        <f>_xlfn.XLOOKUP($H103,'[1]Baumaterialien Matériaux'!$A:$A,'[1]Baumaterialien Matériaux'!AK:AK,0,0)</f>
        <v>0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 s="622" cm="1">
        <f t="array" ref="AD103">IFERROR(_xlfn.SWITCH(I103,"kg",1,"m3",AC103,AC103)*J103/(_xlfn.XLOOKUP(AA103,Métrés!A:A,Métrés!D:D,0)),0)</f>
        <v>0</v>
      </c>
      <c r="AE103" s="1092">
        <f>IFERROR(N103*$G$1/(_xlfn.XLOOKUP($AA103,Métrés!$A:$A,Métrés!$D:$D,0)),0)</f>
        <v>0</v>
      </c>
      <c r="AF103" s="1092">
        <f>IFERROR(O103*$G$1/(_xlfn.XLOOKUP($AA103,Métrés!$A:$A,Métrés!$D:$D,0)),0)</f>
        <v>0</v>
      </c>
      <c r="AG103" s="1092">
        <f>IFERROR(Q103*$G$1/(_xlfn.XLOOKUP($AA103,Métrés!$A:$A,Métrés!$D:$D,0)),0)</f>
        <v>0</v>
      </c>
      <c r="AH103" s="1092">
        <f>IFERROR(R103*$G$1/(_xlfn.XLOOKUP($AA103,Métrés!$A:$A,Métrés!$D:$D,0)),0)</f>
        <v>0</v>
      </c>
      <c r="AI103" s="1092">
        <f>IFERROR(S103*$G$1/(_xlfn.XLOOKUP($AA103,Métrés!$A:$A,Métrés!$D:$D,0)),0)</f>
        <v>0</v>
      </c>
      <c r="AJ103" s="1030"/>
      <c r="AK103" s="1030">
        <f>IF(L103=60,0,T103)</f>
        <v>0</v>
      </c>
      <c r="AL103" s="1030">
        <f>IF(L103=60,0,S103)</f>
        <v>0</v>
      </c>
      <c r="AM103" s="638">
        <f>IF(L103=$L$2, "Structure", IF(L103&gt;0,"Revêtement",0))</f>
        <v>0</v>
      </c>
      <c r="AN103" s="1032">
        <f>IF(AM103="Structure",N103,0)</f>
        <v>0</v>
      </c>
      <c r="AO103" s="1030">
        <f>IF(AM103="Structure",P103,0)</f>
        <v>0</v>
      </c>
      <c r="AP103" s="1030">
        <f>IF(AM103="Structure",Q103,0)</f>
        <v>0</v>
      </c>
      <c r="AQ103" s="1030">
        <f>IF(AM103="Structure",S103,0)</f>
        <v>0</v>
      </c>
      <c r="AR103" s="1033">
        <f>IF(AM103="Structure",T103,0)</f>
        <v>0</v>
      </c>
      <c r="AS103" s="1032">
        <f>IF($AM103="Insulation",N103,0)</f>
        <v>0</v>
      </c>
      <c r="AT103" s="1030">
        <f t="shared" si="270"/>
        <v>0</v>
      </c>
      <c r="AU103" s="1030">
        <f t="shared" si="270"/>
        <v>0</v>
      </c>
      <c r="AV103" s="1030">
        <f t="shared" si="271"/>
        <v>0</v>
      </c>
      <c r="AW103" s="1033">
        <f t="shared" si="271"/>
        <v>0</v>
      </c>
      <c r="AX103" s="1032">
        <f>IF($AM103="Revêtement",N103,0)</f>
        <v>0</v>
      </c>
      <c r="AY103" s="1030">
        <f t="shared" si="272"/>
        <v>0</v>
      </c>
      <c r="AZ103" s="1030">
        <f t="shared" si="272"/>
        <v>0</v>
      </c>
      <c r="BA103" s="1030">
        <f t="shared" si="273"/>
        <v>0</v>
      </c>
      <c r="BB103" s="1033">
        <f t="shared" si="273"/>
        <v>0</v>
      </c>
      <c r="BC103" s="1032">
        <f>IF($AM103="Installation",N103,0)</f>
        <v>0</v>
      </c>
      <c r="BD103" s="1030">
        <f t="shared" si="274"/>
        <v>0</v>
      </c>
      <c r="BE103" s="1030">
        <f t="shared" si="274"/>
        <v>0</v>
      </c>
      <c r="BF103" s="1033">
        <f>IF($AM103="Installation",S103,0)</f>
        <v>0</v>
      </c>
      <c r="BG103" s="1032">
        <f>IF($AM103="Structure", IF($I103="kg",$J103,0), 0)</f>
        <v>0</v>
      </c>
      <c r="BH103" s="1030">
        <f>IF($AM103="Insulation", IF($I103="kg",$J103,0), 0)</f>
        <v>0</v>
      </c>
      <c r="BI103" s="1033">
        <f>IF($AM103="Revêtement", IF($I103="kg",$J103,0), 0)</f>
        <v>0</v>
      </c>
      <c r="BJ103" s="1030">
        <f>_xlfn.XLOOKUP(H103, 'Baumaterialien Matériaux'!A:A, 'Baumaterialien Matériaux'!E:E, "-", 0, 1)</f>
        <v>0</v>
      </c>
      <c r="BK103" s="1032">
        <f t="shared" si="182"/>
        <v>0</v>
      </c>
      <c r="BL103" s="1030">
        <f t="shared" si="183"/>
        <v>0</v>
      </c>
      <c r="BM103" s="1033">
        <f t="shared" si="184"/>
        <v>0</v>
      </c>
      <c r="BN103" s="720">
        <f>IFERROR((J103*VLOOKUP(H103, 'Baumaterialien Matériaux'!$A$11:$AH$318, 32,FALSE))*($L$2/L103-1),0)/$G$1</f>
        <v>0</v>
      </c>
      <c r="BO103" s="720">
        <f t="shared" si="264"/>
        <v>0</v>
      </c>
    </row>
    <row r="104" spans="2:67">
      <c r="B104" s="1103"/>
      <c r="C104" s="1099"/>
      <c r="D104" s="478"/>
      <c r="E104" s="478"/>
      <c r="F104" s="454"/>
      <c r="G104" s="478"/>
      <c r="H104" s="875"/>
      <c r="I104" s="641"/>
      <c r="J104" s="649"/>
      <c r="K104" s="647"/>
      <c r="L104" s="647"/>
      <c r="M104" s="648"/>
      <c r="N104" s="720"/>
      <c r="O104" s="720"/>
      <c r="P104" s="720"/>
      <c r="Q104" s="720"/>
      <c r="R104" s="720"/>
      <c r="S104" s="720"/>
      <c r="T104" s="720">
        <f>S104*AJ104</f>
        <v>0</v>
      </c>
      <c r="V104" s="638">
        <f t="shared" si="186"/>
        <v>0</v>
      </c>
      <c r="W104" s="638">
        <f t="shared" si="187"/>
        <v>0</v>
      </c>
      <c r="Y104" s="638">
        <f t="shared" si="269"/>
        <v>0</v>
      </c>
      <c r="Z104" s="638">
        <f t="shared" si="188"/>
        <v>0</v>
      </c>
      <c r="AA104" s="648" t="s">
        <v>3445</v>
      </c>
      <c r="AB104">
        <f>_xlfn.XLOOKUP($H104,'[1]Baumaterialien Matériaux'!$A:$A,'[1]Baumaterialien Matériaux'!AK:AK,0,0)</f>
        <v>0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 s="622" cm="1">
        <f t="array" ref="AD104">IFERROR(_xlfn.SWITCH(I104,"kg",1,"m3",AC104,AC104)*J104/(_xlfn.XLOOKUP(AA104,Métrés!A:A,Métrés!D:D,0)),0)</f>
        <v>0</v>
      </c>
      <c r="AE104" s="1092">
        <f>IFERROR(N104*$G$1/(_xlfn.XLOOKUP($AA104,Métrés!$A:$A,Métrés!$D:$D,0)),0)</f>
        <v>0</v>
      </c>
      <c r="AF104" s="1092">
        <f>IFERROR(O104*$G$1/(_xlfn.XLOOKUP($AA104,Métrés!$A:$A,Métrés!$D:$D,0)),0)</f>
        <v>0</v>
      </c>
      <c r="AG104" s="1092">
        <f>IFERROR(Q104*$G$1/(_xlfn.XLOOKUP($AA104,Métrés!$A:$A,Métrés!$D:$D,0)),0)</f>
        <v>0</v>
      </c>
      <c r="AH104" s="1092">
        <f>IFERROR(R104*$G$1/(_xlfn.XLOOKUP($AA104,Métrés!$A:$A,Métrés!$D:$D,0)),0)</f>
        <v>0</v>
      </c>
      <c r="AI104" s="1092">
        <f>IFERROR(S104*$G$1/(_xlfn.XLOOKUP($AA104,Métrés!$A:$A,Métrés!$D:$D,0)),0)</f>
        <v>0</v>
      </c>
      <c r="AJ104" s="1030"/>
      <c r="AK104" s="1030">
        <f>IF(L104=60,0,T104)</f>
        <v>0</v>
      </c>
      <c r="AL104" s="1030">
        <f>IF(L104=60,0,S104)</f>
        <v>0</v>
      </c>
      <c r="AM104" s="638">
        <f>IF(L104=$L$2, "Structure", IF(L104&gt;0,"Revêtement",0))</f>
        <v>0</v>
      </c>
      <c r="AN104" s="1032">
        <f>IF(AM104="Structure",N104,0)</f>
        <v>0</v>
      </c>
      <c r="AO104" s="1030">
        <f>IF(AM104="Structure",P104,0)</f>
        <v>0</v>
      </c>
      <c r="AP104" s="1030">
        <f>IF(AM104="Structure",Q104,0)</f>
        <v>0</v>
      </c>
      <c r="AQ104" s="1030">
        <f>IF(AM104="Structure",S104,0)</f>
        <v>0</v>
      </c>
      <c r="AR104" s="1033">
        <f>IF(AM104="Structure",T104,0)</f>
        <v>0</v>
      </c>
      <c r="AS104" s="1032">
        <f>IF($AM104="Insulation",N104,0)</f>
        <v>0</v>
      </c>
      <c r="AT104" s="1030">
        <f t="shared" si="270"/>
        <v>0</v>
      </c>
      <c r="AU104" s="1030">
        <f t="shared" si="270"/>
        <v>0</v>
      </c>
      <c r="AV104" s="1030">
        <f t="shared" si="271"/>
        <v>0</v>
      </c>
      <c r="AW104" s="1033">
        <f t="shared" si="271"/>
        <v>0</v>
      </c>
      <c r="AX104" s="1032">
        <f>IF($AM104="Revêtement",N104,0)</f>
        <v>0</v>
      </c>
      <c r="AY104" s="1030">
        <f t="shared" si="272"/>
        <v>0</v>
      </c>
      <c r="AZ104" s="1030">
        <f t="shared" si="272"/>
        <v>0</v>
      </c>
      <c r="BA104" s="1030">
        <f t="shared" si="273"/>
        <v>0</v>
      </c>
      <c r="BB104" s="1033">
        <f t="shared" si="273"/>
        <v>0</v>
      </c>
      <c r="BC104" s="1032">
        <f>IF($AM104="Installation",N104,0)</f>
        <v>0</v>
      </c>
      <c r="BD104" s="1030">
        <f t="shared" si="274"/>
        <v>0</v>
      </c>
      <c r="BE104" s="1030">
        <f t="shared" si="274"/>
        <v>0</v>
      </c>
      <c r="BF104" s="1033">
        <f>IF($AM104="Installation",S104,0)</f>
        <v>0</v>
      </c>
      <c r="BG104" s="1032">
        <f>IF($AM104="Structure", IF($I104="kg",$J104,0), 0)</f>
        <v>0</v>
      </c>
      <c r="BH104" s="1030">
        <f>IF($AM104="Insulation", IF($I104="kg",$J104,0), 0)</f>
        <v>0</v>
      </c>
      <c r="BI104" s="1033">
        <f>IF($AM104="Revêtement", IF($I104="kg",$J104,0), 0)</f>
        <v>0</v>
      </c>
      <c r="BJ104" s="1030">
        <f>_xlfn.XLOOKUP(H104, 'Baumaterialien Matériaux'!A:A, 'Baumaterialien Matériaux'!E:E, "-", 0, 1)</f>
        <v>0</v>
      </c>
      <c r="BK104" s="1032">
        <f t="shared" si="182"/>
        <v>0</v>
      </c>
      <c r="BL104" s="1030">
        <f t="shared" si="183"/>
        <v>0</v>
      </c>
      <c r="BM104" s="1033">
        <f t="shared" si="184"/>
        <v>0</v>
      </c>
    </row>
    <row r="105" spans="2:67">
      <c r="B105" s="1103"/>
      <c r="C105" s="1099"/>
      <c r="D105" s="478"/>
      <c r="E105" s="478"/>
      <c r="F105" s="478"/>
      <c r="G105" s="478"/>
      <c r="H105" s="478"/>
      <c r="I105" s="641"/>
      <c r="J105" s="649"/>
      <c r="K105" s="647"/>
      <c r="L105" s="647"/>
      <c r="M105" s="648"/>
      <c r="T105" s="720">
        <f>S105*AJ105</f>
        <v>0</v>
      </c>
      <c r="V105" s="638">
        <f t="shared" si="186"/>
        <v>0</v>
      </c>
      <c r="W105" s="638">
        <f t="shared" si="187"/>
        <v>0</v>
      </c>
      <c r="Y105" s="638">
        <f t="shared" si="269"/>
        <v>0</v>
      </c>
      <c r="Z105" s="638">
        <f t="shared" si="188"/>
        <v>0</v>
      </c>
      <c r="AA105" s="648" t="s">
        <v>3445</v>
      </c>
      <c r="AB105">
        <f>_xlfn.XLOOKUP($H105,'[1]Baumaterialien Matériaux'!$A:$A,'[1]Baumaterialien Matériaux'!AK:AK,0,0)</f>
        <v>0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 s="622" cm="1">
        <f t="array" ref="AD105">IFERROR(_xlfn.SWITCH(I105,"kg",1,"m3",AC105,AC105)*J105/(_xlfn.XLOOKUP(AA105,Métrés!A:A,Métrés!D:D,0)),0)</f>
        <v>0</v>
      </c>
      <c r="AE105" s="1092">
        <f>IFERROR(N105*$G$1/(_xlfn.XLOOKUP($AA105,Métrés!$A:$A,Métrés!$D:$D,0)),0)</f>
        <v>0</v>
      </c>
      <c r="AF105" s="1092">
        <f>IFERROR(O105*$G$1/(_xlfn.XLOOKUP($AA105,Métrés!$A:$A,Métrés!$D:$D,0)),0)</f>
        <v>0</v>
      </c>
      <c r="AG105" s="1092">
        <f>IFERROR(Q105*$G$1/(_xlfn.XLOOKUP($AA105,Métrés!$A:$A,Métrés!$D:$D,0)),0)</f>
        <v>0</v>
      </c>
      <c r="AH105" s="1092">
        <f>IFERROR(R105*$G$1/(_xlfn.XLOOKUP($AA105,Métrés!$A:$A,Métrés!$D:$D,0)),0)</f>
        <v>0</v>
      </c>
      <c r="AI105" s="1092">
        <f>IFERROR(S105*$G$1/(_xlfn.XLOOKUP($AA105,Métrés!$A:$A,Métrés!$D:$D,0)),0)</f>
        <v>0</v>
      </c>
      <c r="AJ105" s="1030"/>
      <c r="AK105" s="1030">
        <f>IF(L105=60,0,T105)</f>
        <v>0</v>
      </c>
      <c r="AL105" s="1030">
        <f>IF(L105=60,0,S105)</f>
        <v>0</v>
      </c>
      <c r="AM105" s="638">
        <f>IF(L105=$L$2, "Structure", IF(L105&gt;0,"Revêtement",0))</f>
        <v>0</v>
      </c>
      <c r="AN105" s="1032">
        <f>IF(AM105="Structure",N105,0)</f>
        <v>0</v>
      </c>
      <c r="AO105" s="1030">
        <f>IF(AM105="Structure",P105,0)</f>
        <v>0</v>
      </c>
      <c r="AP105" s="1030">
        <f>IF(AM105="Structure",Q105,0)</f>
        <v>0</v>
      </c>
      <c r="AQ105" s="1030">
        <f>IF(AM105="Structure",S105,0)</f>
        <v>0</v>
      </c>
      <c r="AR105" s="1033">
        <f>IF(AM105="Structure",T105,0)</f>
        <v>0</v>
      </c>
      <c r="AS105" s="1032">
        <f>IF($AM105="Insulation",N105,0)</f>
        <v>0</v>
      </c>
      <c r="AT105" s="1030">
        <f t="shared" si="270"/>
        <v>0</v>
      </c>
      <c r="AU105" s="1030">
        <f t="shared" si="270"/>
        <v>0</v>
      </c>
      <c r="AV105" s="1030">
        <f t="shared" si="271"/>
        <v>0</v>
      </c>
      <c r="AW105" s="1033">
        <f t="shared" si="271"/>
        <v>0</v>
      </c>
      <c r="AX105" s="1032">
        <f>IF($AM105="Revêtement",N105,0)</f>
        <v>0</v>
      </c>
      <c r="AY105" s="1030">
        <f t="shared" si="272"/>
        <v>0</v>
      </c>
      <c r="AZ105" s="1030">
        <f t="shared" si="272"/>
        <v>0</v>
      </c>
      <c r="BA105" s="1030">
        <f t="shared" si="273"/>
        <v>0</v>
      </c>
      <c r="BB105" s="1033">
        <f t="shared" si="273"/>
        <v>0</v>
      </c>
      <c r="BC105" s="1032">
        <f>IF($AM105="Installation",N105,0)</f>
        <v>0</v>
      </c>
      <c r="BD105" s="1030">
        <f t="shared" si="274"/>
        <v>0</v>
      </c>
      <c r="BE105" s="1030">
        <f t="shared" si="274"/>
        <v>0</v>
      </c>
      <c r="BF105" s="1033">
        <f>IF($AM105="Installation",S105,0)</f>
        <v>0</v>
      </c>
      <c r="BG105" s="1032">
        <f>IF($AM105="Structure", IF($I105="kg",$J105,0), 0)</f>
        <v>0</v>
      </c>
      <c r="BH105" s="1030">
        <f>IF($AM105="Insulation", IF($I105="kg",$J105,0), 0)</f>
        <v>0</v>
      </c>
      <c r="BI105" s="1033">
        <f>IF($AM105="Revêtement", IF($I105="kg",$J105,0), 0)</f>
        <v>0</v>
      </c>
      <c r="BJ105" s="1030">
        <f>_xlfn.XLOOKUP(H105, 'Baumaterialien Matériaux'!A:A, 'Baumaterialien Matériaux'!E:E, "-", 0, 1)</f>
        <v>0</v>
      </c>
      <c r="BK105" s="1032">
        <f t="shared" si="182"/>
        <v>0</v>
      </c>
      <c r="BL105" s="1030">
        <f t="shared" si="183"/>
        <v>0</v>
      </c>
      <c r="BM105" s="1033">
        <f t="shared" si="184"/>
        <v>0</v>
      </c>
    </row>
    <row r="106" spans="2:67" ht="15.75" customHeight="1">
      <c r="B106" s="1103"/>
      <c r="C106" s="1097" t="s">
        <v>126</v>
      </c>
      <c r="D106" s="473" t="s">
        <v>127</v>
      </c>
      <c r="E106" s="473"/>
      <c r="F106" s="473"/>
      <c r="G106" s="473"/>
      <c r="H106" s="473"/>
      <c r="I106" s="463"/>
      <c r="J106" s="654"/>
      <c r="K106" s="652"/>
      <c r="L106" s="652"/>
      <c r="M106" s="653">
        <f>M107</f>
        <v>75.01179535509354</v>
      </c>
      <c r="N106" s="653">
        <f>N107</f>
        <v>19.730697874661203</v>
      </c>
      <c r="O106" s="653">
        <f>O107</f>
        <v>9.3249033714550134</v>
      </c>
      <c r="P106" s="653">
        <f t="shared" ref="P106:R106" si="275">P107</f>
        <v>32.843445991819266</v>
      </c>
      <c r="Q106" s="653">
        <f t="shared" si="275"/>
        <v>13.112748117158061</v>
      </c>
      <c r="R106" s="653">
        <f t="shared" si="275"/>
        <v>8.8027254313479215</v>
      </c>
      <c r="S106" s="653">
        <f>S107</f>
        <v>4.766153764791432</v>
      </c>
      <c r="T106" s="653">
        <f>T107</f>
        <v>4.7661537647914323E-2</v>
      </c>
      <c r="V106" s="638">
        <f t="shared" si="186"/>
        <v>4.7661537647914323E-2</v>
      </c>
      <c r="W106" s="638">
        <f t="shared" si="187"/>
        <v>4.766153764791432</v>
      </c>
      <c r="Y106" s="638">
        <f t="shared" si="269"/>
        <v>0</v>
      </c>
      <c r="Z106" s="638">
        <f t="shared" si="188"/>
        <v>0</v>
      </c>
      <c r="AB106">
        <f>_xlfn.XLOOKUP($H106,'[1]Baumaterialien Matériaux'!$A:$A,'[1]Baumaterialien Matériaux'!AK:AK,0,0)</f>
        <v>0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 s="622" cm="1">
        <f t="array" ref="AD106">IFERROR(_xlfn.SWITCH(I106,"kg",1,"m3",AC106,AC106)*J106/(_xlfn.XLOOKUP(AA106,Métrés!A:A,Métrés!D:D,0)),0)</f>
        <v>0</v>
      </c>
      <c r="AE106" s="1092">
        <f>IFERROR(N106*$G$1/(_xlfn.XLOOKUP($AA106,Métrés!$A:$A,Métrés!$D:$D,0)),0)</f>
        <v>0</v>
      </c>
      <c r="AF106" s="1092">
        <f>IFERROR(O106*$G$1/(_xlfn.XLOOKUP($AA106,Métrés!$A:$A,Métrés!$D:$D,0)),0)</f>
        <v>0</v>
      </c>
      <c r="AG106" s="1092">
        <f>IFERROR(Q106*$G$1/(_xlfn.XLOOKUP($AA106,Métrés!$A:$A,Métrés!$D:$D,0)),0)</f>
        <v>0</v>
      </c>
      <c r="AH106" s="1092">
        <f>IFERROR(R106*$G$1/(_xlfn.XLOOKUP($AA106,Métrés!$A:$A,Métrés!$D:$D,0)),0)</f>
        <v>0</v>
      </c>
      <c r="AI106" s="1092">
        <f>IFERROR(S106*$G$1/(_xlfn.XLOOKUP($AA106,Métrés!$A:$A,Métrés!$D:$D,0)),0)</f>
        <v>0</v>
      </c>
      <c r="AJ106" s="1063"/>
      <c r="AK106" s="1063"/>
      <c r="AL106" s="1063"/>
      <c r="AM106" s="1020"/>
      <c r="AN106" s="1071"/>
      <c r="AO106" s="1063"/>
      <c r="AP106" s="1063"/>
      <c r="AQ106" s="1063"/>
      <c r="AR106" s="1072"/>
      <c r="AS106" s="1071"/>
      <c r="AT106" s="1063"/>
      <c r="AU106" s="1063"/>
      <c r="AV106" s="1063"/>
      <c r="AW106" s="1072"/>
      <c r="AX106" s="1071"/>
      <c r="AY106" s="1063"/>
      <c r="AZ106" s="1063"/>
      <c r="BA106" s="1063"/>
      <c r="BB106" s="1072"/>
      <c r="BC106" s="1071"/>
      <c r="BD106" s="1063"/>
      <c r="BE106" s="1063"/>
      <c r="BF106" s="1072"/>
      <c r="BG106" s="1071"/>
      <c r="BH106" s="1063"/>
      <c r="BI106" s="1072"/>
      <c r="BJ106" s="1077"/>
      <c r="BK106" s="1071"/>
      <c r="BL106" s="1063"/>
      <c r="BM106" s="1072"/>
    </row>
    <row r="107" spans="2:67">
      <c r="B107" s="1103"/>
      <c r="C107" s="1099"/>
      <c r="D107" s="478"/>
      <c r="E107" s="479" t="str">
        <f>BillQuantities!E22</f>
        <v>Toiture plate isolée</v>
      </c>
      <c r="F107" s="479" t="s">
        <v>238</v>
      </c>
      <c r="G107" s="479"/>
      <c r="H107" s="479"/>
      <c r="I107" s="459" t="s">
        <v>39</v>
      </c>
      <c r="J107" s="662">
        <v>292.8</v>
      </c>
      <c r="K107" s="663"/>
      <c r="L107" s="663"/>
      <c r="M107" s="664">
        <f>SUM(M108:M118)</f>
        <v>75.01179535509354</v>
      </c>
      <c r="N107" s="664">
        <f t="shared" ref="N107:S107" si="276">SUM(N108:N118)</f>
        <v>19.730697874661203</v>
      </c>
      <c r="O107" s="664">
        <f t="shared" ref="O107" si="277">SUM(O108:O118)</f>
        <v>9.3249033714550134</v>
      </c>
      <c r="P107" s="664">
        <f t="shared" si="276"/>
        <v>32.843445991819266</v>
      </c>
      <c r="Q107" s="664">
        <f t="shared" si="276"/>
        <v>13.112748117158061</v>
      </c>
      <c r="R107" s="664">
        <f t="shared" ref="R107" si="278">SUM(R108:R118)</f>
        <v>8.8027254313479215</v>
      </c>
      <c r="S107" s="664">
        <f t="shared" si="276"/>
        <v>4.766153764791432</v>
      </c>
      <c r="T107" s="664">
        <f t="shared" ref="T107" si="279">SUM(T108:T118)</f>
        <v>4.7661537647914323E-2</v>
      </c>
      <c r="V107" s="638">
        <f t="shared" si="186"/>
        <v>4.7661537647914323E-2</v>
      </c>
      <c r="W107" s="638">
        <f t="shared" si="187"/>
        <v>4.766153764791432</v>
      </c>
      <c r="Y107" s="638">
        <f t="shared" si="269"/>
        <v>0</v>
      </c>
      <c r="Z107" s="638">
        <f t="shared" si="188"/>
        <v>0</v>
      </c>
      <c r="AA107" s="648" t="s">
        <v>3445</v>
      </c>
      <c r="AB107">
        <f>_xlfn.XLOOKUP($H107,'[1]Baumaterialien Matériaux'!$A:$A,'[1]Baumaterialien Matériaux'!AK:AK,0,0)</f>
        <v>0</v>
      </c>
      <c r="AC107" cm="1">
        <f t="array" ref="AC107">_xlfn.SWITCH(I107,"kg"," ",0," ",_xlfn.XLOOKUP(H107, '[1]Baumaterialien Matériaux'!$A:$A, '[1]Baumaterialien Matériaux'!$AL:$AL, "-", 0, 1))</f>
        <v>0</v>
      </c>
      <c r="AD107" s="622" cm="1">
        <f t="array" ref="AD107">IFERROR(_xlfn.SWITCH(I107,"kg",1,"m3",AC107,AC107)*J107/(_xlfn.XLOOKUP(AA107,Métrés!A:A,Métrés!D:D,0)),0)</f>
        <v>0</v>
      </c>
      <c r="AE107" s="1092">
        <f>IFERROR(N107*$G$1/(_xlfn.XLOOKUP($AA107,Métrés!$A:$A,Métrés!$D:$D,0)),0)</f>
        <v>61.161120235655737</v>
      </c>
      <c r="AF107" s="1092">
        <f>IFERROR(O107*$G$1/(_xlfn.XLOOKUP($AA107,Métrés!$A:$A,Métrés!$D:$D,0)),0)</f>
        <v>28.905289610655736</v>
      </c>
      <c r="AG107" s="1092">
        <f>IFERROR(Q107*$G$1/(_xlfn.XLOOKUP($AA107,Métrés!$A:$A,Métrés!$D:$D,0)),0)</f>
        <v>40.646832124641385</v>
      </c>
      <c r="AH107" s="1092">
        <f>IFERROR(R107*$G$1/(_xlfn.XLOOKUP($AA107,Métrés!$A:$A,Métrés!$D:$D,0)),0)</f>
        <v>27.286645</v>
      </c>
      <c r="AI107" s="1092">
        <f>IFERROR(S107*$G$1/(_xlfn.XLOOKUP($AA107,Métrés!$A:$A,Métrés!$D:$D,0)),0)</f>
        <v>14.774099999999997</v>
      </c>
      <c r="AJ107" s="1064"/>
      <c r="AK107" s="1064"/>
      <c r="AL107" s="1064"/>
      <c r="AM107" s="1021"/>
      <c r="AN107" s="1073"/>
      <c r="AO107" s="1064"/>
      <c r="AP107" s="1064"/>
      <c r="AQ107" s="1064"/>
      <c r="AR107" s="1074"/>
      <c r="AS107" s="1073"/>
      <c r="AT107" s="1064"/>
      <c r="AU107" s="1064"/>
      <c r="AV107" s="1064"/>
      <c r="AW107" s="1074"/>
      <c r="AX107" s="1073"/>
      <c r="AY107" s="1064"/>
      <c r="AZ107" s="1064"/>
      <c r="BA107" s="1064"/>
      <c r="BB107" s="1074"/>
      <c r="BC107" s="1073"/>
      <c r="BD107" s="1064"/>
      <c r="BE107" s="1064"/>
      <c r="BF107" s="1074"/>
      <c r="BG107" s="1073"/>
      <c r="BH107" s="1064"/>
      <c r="BI107" s="1074"/>
      <c r="BJ107" s="1078"/>
      <c r="BK107" s="1073"/>
      <c r="BL107" s="1064"/>
      <c r="BM107" s="1074"/>
    </row>
    <row r="108" spans="2:67">
      <c r="B108" s="1103"/>
      <c r="C108" s="1099"/>
      <c r="D108" s="478"/>
      <c r="E108" s="478"/>
      <c r="F108" s="454" t="s">
        <v>3010</v>
      </c>
      <c r="G108" s="478" t="str">
        <f>_xlfn.XLOOKUP(H108, 'Baumaterialien Matériaux'!A:A, 'Baumaterialien Matériaux'!AD:AD, "-", 0, 1)</f>
        <v>Sable</v>
      </c>
      <c r="H108" s="896" t="s">
        <v>699</v>
      </c>
      <c r="I108" s="641" t="str">
        <f>_xlfn.XLOOKUP(H108, 'Baumaterialien Matériaux'!A:A, 'Baumaterialien Matériaux'!F:F, "-", 0, 1)</f>
        <v>kg</v>
      </c>
      <c r="J108" s="649">
        <f>$J$107*K108</f>
        <v>29280</v>
      </c>
      <c r="K108" s="897">
        <f>0.1*1000</f>
        <v>100</v>
      </c>
      <c r="L108" s="647">
        <v>30</v>
      </c>
      <c r="M108" s="648">
        <f t="shared" ref="M108:M115" si="280">SUM(N108:Q108)</f>
        <v>1.0578118595888146</v>
      </c>
      <c r="N108" s="720">
        <f>IFERROR(($J108*VLOOKUP($H108, 'Baumaterialien Matériaux'!$A$11:$AD$318, 26,FALSE)),0)/$G$1</f>
        <v>9.9361406756131421E-2</v>
      </c>
      <c r="O108" s="720">
        <f>IFERROR(($J108*VLOOKUP($H108, 'Baumaterialien Matériaux'!$A$11:$AH$318, 33,FALSE)),0)/$G$1</f>
        <v>3.322800290870629E-2</v>
      </c>
      <c r="P108" s="720">
        <f>IFERROR((N108+Q108)*($L$2/L108-1),0)</f>
        <v>0.51229192834005421</v>
      </c>
      <c r="Q108" s="720">
        <f>IFERROR(($J108*VLOOKUP($H108, 'Baumaterialien Matériaux'!$A$11:$AH$318, 27,FALSE)),0)/$G$1</f>
        <v>0.41293052158392279</v>
      </c>
      <c r="R108" s="720">
        <f>IFERROR(($J108*VLOOKUP($H108, 'Baumaterialien Matériaux'!$A$11:$AH$318, 34,FALSE)),0)/$G$1</f>
        <v>1.7033384015336817E-2</v>
      </c>
      <c r="S108" s="720">
        <f>IFERROR((J108*VLOOKUP(H108, 'Baumaterialien Matériaux'!$A$11:$AD$318, 29,FALSE)),0)/$G$1</f>
        <v>0</v>
      </c>
      <c r="T108" s="720">
        <f t="shared" ref="T108:T117" si="281">S108*AJ108</f>
        <v>0</v>
      </c>
      <c r="V108" s="638">
        <f t="shared" si="186"/>
        <v>0</v>
      </c>
      <c r="W108" s="638">
        <f t="shared" si="187"/>
        <v>0</v>
      </c>
      <c r="Y108" s="638" t="str">
        <f t="shared" si="269"/>
        <v>Revêtement</v>
      </c>
      <c r="Z108" s="638">
        <f t="shared" si="188"/>
        <v>30</v>
      </c>
      <c r="AA108" s="648" t="s">
        <v>3445</v>
      </c>
      <c r="AB108" t="str">
        <f>_xlfn.XLOOKUP($H108,'[1]Baumaterialien Matériaux'!$A:$A,'[1]Baumaterialien Matériaux'!AK:AK,0,0)</f>
        <v>stone</v>
      </c>
      <c r="AC108" t="str" cm="1">
        <f t="array" ref="AC108">_xlfn.SWITCH(I108,"kg"," ",0," ",_xlfn.XLOOKUP(H108, '[1]Baumaterialien Matériaux'!$A:$A, '[1]Baumaterialien Matériaux'!$AL:$AL, "-", 0, 1))</f>
        <v xml:space="preserve"> </v>
      </c>
      <c r="AD108" s="622" cm="1">
        <f t="array" ref="AD108">IFERROR(_xlfn.SWITCH(I108,"kg",1,"m3",AC108,AC108)*J108/(_xlfn.XLOOKUP(AA108,Métrés!A:A,Métrés!D:D,0)),0)</f>
        <v>100</v>
      </c>
      <c r="AE108" s="1092">
        <f>IFERROR(N108*$G$1/(_xlfn.XLOOKUP($AA108,Métrés!$A:$A,Métrés!$D:$D,0)),0)</f>
        <v>0.308</v>
      </c>
      <c r="AF108" s="1092">
        <f>IFERROR(O108*$G$1/(_xlfn.XLOOKUP($AA108,Métrés!$A:$A,Métrés!$D:$D,0)),0)</f>
        <v>0.10300000000000001</v>
      </c>
      <c r="AG108" s="1092">
        <f>IFERROR(Q108*$G$1/(_xlfn.XLOOKUP($AA108,Métrés!$A:$A,Métrés!$D:$D,0)),0)</f>
        <v>1.28</v>
      </c>
      <c r="AH108" s="1092">
        <f>IFERROR(R108*$G$1/(_xlfn.XLOOKUP($AA108,Métrés!$A:$A,Métrés!$D:$D,0)),0)</f>
        <v>5.2800000000000007E-2</v>
      </c>
      <c r="AI108" s="1092">
        <f>IFERROR(S108*$G$1/(_xlfn.XLOOKUP($AA108,Métrés!$A:$A,Métrés!$D:$D,0)),0)</f>
        <v>0</v>
      </c>
      <c r="AJ108" s="1030"/>
      <c r="AK108" s="1030">
        <f t="shared" ref="AK108:AK117" si="282">IF(L108=60,0,T108)</f>
        <v>0</v>
      </c>
      <c r="AL108" s="1030">
        <f t="shared" ref="AL108:AL117" si="283">IF(L108=60,0,S108)</f>
        <v>0</v>
      </c>
      <c r="AM108" s="638" t="str">
        <f t="shared" ref="AM108:AM113" si="284">IF(L108=$L$2, "Structure", IF(L108&gt;0,"Revêtement",0))</f>
        <v>Revêtement</v>
      </c>
      <c r="AN108" s="1032">
        <f t="shared" ref="AN108:AN118" si="285">IF(AM108="Structure",N108,0)</f>
        <v>0</v>
      </c>
      <c r="AO108" s="1030">
        <f t="shared" ref="AO108:AO118" si="286">IF(AM108="Structure",P108,0)</f>
        <v>0</v>
      </c>
      <c r="AP108" s="1030">
        <f t="shared" ref="AP108:AP118" si="287">IF(AM108="Structure",Q108,0)</f>
        <v>0</v>
      </c>
      <c r="AQ108" s="1030">
        <f t="shared" ref="AQ108:AQ118" si="288">IF(AM108="Structure",S108,0)</f>
        <v>0</v>
      </c>
      <c r="AR108" s="1033">
        <f t="shared" ref="AR108:AR118" si="289">IF(AM108="Structure",T108,0)</f>
        <v>0</v>
      </c>
      <c r="AS108" s="1032">
        <f t="shared" ref="AS108:AS118" si="290">IF($AM108="Insulation",N108,0)</f>
        <v>0</v>
      </c>
      <c r="AT108" s="1030">
        <f t="shared" ref="AT108:AT118" si="291">IF($AM108="Insulation",P108,0)</f>
        <v>0</v>
      </c>
      <c r="AU108" s="1030">
        <f t="shared" ref="AU108:AU118" si="292">IF($AM108="Insulation",Q108,0)</f>
        <v>0</v>
      </c>
      <c r="AV108" s="1030">
        <f t="shared" ref="AV108:AV118" si="293">IF($AM108="Insulation",S108,0)</f>
        <v>0</v>
      </c>
      <c r="AW108" s="1033">
        <f t="shared" ref="AW108:AW118" si="294">IF($AM108="Insulation",T108,0)</f>
        <v>0</v>
      </c>
      <c r="AX108" s="1032">
        <f t="shared" ref="AX108:AX118" si="295">IF($AM108="Revêtement",N108,0)</f>
        <v>9.9361406756131421E-2</v>
      </c>
      <c r="AY108" s="1030">
        <f t="shared" ref="AY108:AY118" si="296">IF($AM108="Revêtement",P108,0)</f>
        <v>0.51229192834005421</v>
      </c>
      <c r="AZ108" s="1030">
        <f t="shared" ref="AZ108:AZ118" si="297">IF($AM108="Revêtement",Q108,0)</f>
        <v>0.41293052158392279</v>
      </c>
      <c r="BA108" s="1030">
        <f t="shared" ref="BA108:BA118" si="298">IF($AM108="Revêtement",S108,0)</f>
        <v>0</v>
      </c>
      <c r="BB108" s="1033">
        <f t="shared" ref="BB108:BB118" si="299">IF($AM108="Revêtement",T108,0)</f>
        <v>0</v>
      </c>
      <c r="BC108" s="1032">
        <f t="shared" ref="BC108:BC118" si="300">IF($AM108="Installation",N108,0)</f>
        <v>0</v>
      </c>
      <c r="BD108" s="1030">
        <f t="shared" ref="BD108:BD118" si="301">IF($AM108="Installation",P108,0)</f>
        <v>0</v>
      </c>
      <c r="BE108" s="1030">
        <f t="shared" ref="BE108:BE118" si="302">IF($AM108="Installation",Q108,0)</f>
        <v>0</v>
      </c>
      <c r="BF108" s="1033">
        <f t="shared" ref="BF108:BF118" si="303">IF($AM108="Installation",S108,0)</f>
        <v>0</v>
      </c>
      <c r="BG108" s="1032">
        <f t="shared" ref="BG108:BG118" si="304">IF($AM108="Structure", IF($I108="kg",$J108,0), 0)</f>
        <v>0</v>
      </c>
      <c r="BH108" s="1030">
        <f t="shared" ref="BH108:BH118" si="305">IF($AM108="Insulation", IF($I108="kg",$J108,0), 0)</f>
        <v>0</v>
      </c>
      <c r="BI108" s="1033">
        <f t="shared" ref="BI108:BI118" si="306">IF($AM108="Revêtement", IF($I108="kg",$J108,0), 0)</f>
        <v>29280</v>
      </c>
      <c r="BJ108" s="1030">
        <f>_xlfn.XLOOKUP(H108, 'Baumaterialien Matériaux'!A:A, 'Baumaterialien Matériaux'!E:E, "-", 0, 1)</f>
        <v>2000</v>
      </c>
      <c r="BK108" s="1032">
        <f t="shared" si="182"/>
        <v>0</v>
      </c>
      <c r="BL108" s="1030">
        <f t="shared" si="183"/>
        <v>0</v>
      </c>
      <c r="BM108" s="1033">
        <f t="shared" si="184"/>
        <v>14.64</v>
      </c>
      <c r="BN108" s="720">
        <f>IFERROR((J108*VLOOKUP(H108, 'Baumaterialien Matériaux'!$A$11:$AH$318, 32,FALSE))*($L$2/L108-1),0)/$G$1</f>
        <v>5.032590731804059E-2</v>
      </c>
      <c r="BO108" s="720">
        <f t="shared" ref="BO108:BO114" si="307">IFERROR((N108+Q108)*($L$2/L108-1),0)</f>
        <v>0.51229192834005421</v>
      </c>
    </row>
    <row r="109" spans="2:67">
      <c r="B109" s="1103"/>
      <c r="C109" s="1099"/>
      <c r="D109" s="478"/>
      <c r="E109" s="478"/>
      <c r="F109" s="3" t="s">
        <v>3011</v>
      </c>
      <c r="G109" s="478" t="str">
        <f>_xlfn.XLOOKUP(H109, 'Baumaterialien Matériaux'!A:A, 'Baumaterialien Matériaux'!AD:AD, "-", 0, 1)</f>
        <v>Lé d'étanchéité polyoléfine (FPO)</v>
      </c>
      <c r="H109" s="892" t="s">
        <v>1613</v>
      </c>
      <c r="I109" s="641" t="str">
        <f>_xlfn.XLOOKUP(H109, 'Baumaterialien Matériaux'!A:A, 'Baumaterialien Matériaux'!F:F, "-", 0, 1)</f>
        <v>kg</v>
      </c>
      <c r="J109" s="649">
        <f t="shared" ref="J109:J116" si="308">$J$107*K109</f>
        <v>29.28</v>
      </c>
      <c r="K109" s="898">
        <v>0.1</v>
      </c>
      <c r="L109" s="647">
        <v>30</v>
      </c>
      <c r="M109" s="648">
        <f t="shared" si="280"/>
        <v>0.4161565412837972</v>
      </c>
      <c r="N109" s="720">
        <f>IFERROR(($J109*VLOOKUP($H109, 'Baumaterialien Matériaux'!$A$11:$AD$318, 26,FALSE)),0)/$G$1</f>
        <v>8.1295696436834805E-2</v>
      </c>
      <c r="O109" s="720">
        <f>IFERROR(($J109*VLOOKUP($H109, 'Baumaterialien Matériaux'!$A$11:$AH$318, 33,FALSE)),0)/$G$1</f>
        <v>8.1295696436834805E-2</v>
      </c>
      <c r="P109" s="720">
        <f t="shared" ref="P109:P115" si="309">IFERROR((N109+Q109)*($L$2/L109-1),0)</f>
        <v>0.16743042242348119</v>
      </c>
      <c r="Q109" s="720">
        <f>IFERROR(($J109*VLOOKUP($H109, 'Baumaterialien Matériaux'!$A$11:$AH$318, 27,FALSE)),0)/$G$1</f>
        <v>8.6134725986646385E-2</v>
      </c>
      <c r="R109" s="720">
        <f>IFERROR(($J109*VLOOKUP($H109, 'Baumaterialien Matériaux'!$A$11:$AH$318, 34,FALSE)),0)/$G$1</f>
        <v>9.7425794936206789E-2</v>
      </c>
      <c r="S109" s="720">
        <f>IFERROR((J109*VLOOKUP(H109, 'Baumaterialien Matériaux'!$A$11:$AD$318, 29,FALSE)),0)/$G$1</f>
        <v>0</v>
      </c>
      <c r="T109" s="720">
        <f t="shared" si="281"/>
        <v>0</v>
      </c>
      <c r="V109" s="638">
        <f t="shared" si="186"/>
        <v>0</v>
      </c>
      <c r="W109" s="638">
        <f t="shared" si="187"/>
        <v>0</v>
      </c>
      <c r="Y109" s="638" t="str">
        <f t="shared" si="269"/>
        <v>Revêtement</v>
      </c>
      <c r="Z109" s="638">
        <f t="shared" si="188"/>
        <v>30</v>
      </c>
      <c r="AA109" s="648" t="s">
        <v>3445</v>
      </c>
      <c r="AB109" t="str">
        <f>_xlfn.XLOOKUP($H109,'[1]Baumaterialien Matériaux'!$A:$A,'[1]Baumaterialien Matériaux'!AK:AK,0,0)</f>
        <v>oil_product</v>
      </c>
      <c r="AC109" t="str" cm="1">
        <f t="array" ref="AC109">_xlfn.SWITCH(I109,"kg"," ",0," ",_xlfn.XLOOKUP(H109, '[1]Baumaterialien Matériaux'!$A:$A, '[1]Baumaterialien Matériaux'!$AL:$AL, "-", 0, 1))</f>
        <v xml:space="preserve"> </v>
      </c>
      <c r="AD109" s="622" cm="1">
        <f t="array" ref="AD109">IFERROR(_xlfn.SWITCH(I109,"kg",1,"m3",AC109,AC109)*J109/(_xlfn.XLOOKUP(AA109,Métrés!A:A,Métrés!D:D,0)),0)</f>
        <v>0.1</v>
      </c>
      <c r="AE109" s="1092">
        <f>IFERROR(N109*$G$1/(_xlfn.XLOOKUP($AA109,Métrés!$A:$A,Métrés!$D:$D,0)),0)</f>
        <v>0.252</v>
      </c>
      <c r="AF109" s="1092">
        <f>IFERROR(O109*$G$1/(_xlfn.XLOOKUP($AA109,Métrés!$A:$A,Métrés!$D:$D,0)),0)</f>
        <v>0.252</v>
      </c>
      <c r="AG109" s="1092">
        <f>IFERROR(Q109*$G$1/(_xlfn.XLOOKUP($AA109,Métrés!$A:$A,Métrés!$D:$D,0)),0)</f>
        <v>0.26699999999999996</v>
      </c>
      <c r="AH109" s="1092">
        <f>IFERROR(R109*$G$1/(_xlfn.XLOOKUP($AA109,Métrés!$A:$A,Métrés!$D:$D,0)),0)</f>
        <v>0.30199999999999999</v>
      </c>
      <c r="AI109" s="1092">
        <f>IFERROR(S109*$G$1/(_xlfn.XLOOKUP($AA109,Métrés!$A:$A,Métrés!$D:$D,0)),0)</f>
        <v>0</v>
      </c>
      <c r="AJ109" s="1030"/>
      <c r="AK109" s="1030">
        <f t="shared" si="282"/>
        <v>0</v>
      </c>
      <c r="AL109" s="1030">
        <f t="shared" si="283"/>
        <v>0</v>
      </c>
      <c r="AM109" s="638" t="str">
        <f t="shared" si="284"/>
        <v>Revêtement</v>
      </c>
      <c r="AN109" s="1032">
        <f t="shared" si="285"/>
        <v>0</v>
      </c>
      <c r="AO109" s="1030">
        <f t="shared" si="286"/>
        <v>0</v>
      </c>
      <c r="AP109" s="1030">
        <f t="shared" si="287"/>
        <v>0</v>
      </c>
      <c r="AQ109" s="1030">
        <f t="shared" si="288"/>
        <v>0</v>
      </c>
      <c r="AR109" s="1033">
        <f t="shared" si="289"/>
        <v>0</v>
      </c>
      <c r="AS109" s="1032">
        <f t="shared" si="290"/>
        <v>0</v>
      </c>
      <c r="AT109" s="1030">
        <f t="shared" si="291"/>
        <v>0</v>
      </c>
      <c r="AU109" s="1030">
        <f t="shared" si="292"/>
        <v>0</v>
      </c>
      <c r="AV109" s="1030">
        <f t="shared" si="293"/>
        <v>0</v>
      </c>
      <c r="AW109" s="1033">
        <f t="shared" si="294"/>
        <v>0</v>
      </c>
      <c r="AX109" s="1032">
        <f t="shared" si="295"/>
        <v>8.1295696436834805E-2</v>
      </c>
      <c r="AY109" s="1030">
        <f t="shared" si="296"/>
        <v>0.16743042242348119</v>
      </c>
      <c r="AZ109" s="1030">
        <f t="shared" si="297"/>
        <v>8.6134725986646385E-2</v>
      </c>
      <c r="BA109" s="1030">
        <f t="shared" si="298"/>
        <v>0</v>
      </c>
      <c r="BB109" s="1033">
        <f t="shared" si="299"/>
        <v>0</v>
      </c>
      <c r="BC109" s="1032">
        <f t="shared" si="300"/>
        <v>0</v>
      </c>
      <c r="BD109" s="1030">
        <f t="shared" si="301"/>
        <v>0</v>
      </c>
      <c r="BE109" s="1030">
        <f t="shared" si="302"/>
        <v>0</v>
      </c>
      <c r="BF109" s="1033">
        <f t="shared" si="303"/>
        <v>0</v>
      </c>
      <c r="BG109" s="1032">
        <f t="shared" si="304"/>
        <v>0</v>
      </c>
      <c r="BH109" s="1030">
        <f t="shared" si="305"/>
        <v>0</v>
      </c>
      <c r="BI109" s="1033">
        <f t="shared" si="306"/>
        <v>29.28</v>
      </c>
      <c r="BJ109" s="1030">
        <f>_xlfn.XLOOKUP(H109, 'Baumaterialien Matériaux'!A:A, 'Baumaterialien Matériaux'!E:E, "-", 0, 1)</f>
        <v>1000</v>
      </c>
      <c r="BK109" s="1032">
        <f t="shared" si="182"/>
        <v>0</v>
      </c>
      <c r="BL109" s="1030">
        <f t="shared" si="183"/>
        <v>0</v>
      </c>
      <c r="BM109" s="1033">
        <f t="shared" si="184"/>
        <v>2.928E-2</v>
      </c>
      <c r="BN109" s="720">
        <f>IFERROR((J109*VLOOKUP(H109, 'Baumaterialien Matériaux'!$A$11:$AH$318, 32,FALSE))*($L$2/L109-1),0)/$G$1</f>
        <v>0.17872149137304161</v>
      </c>
      <c r="BO109" s="720">
        <f t="shared" si="307"/>
        <v>0.16743042242348119</v>
      </c>
    </row>
    <row r="110" spans="2:67">
      <c r="B110" s="1103"/>
      <c r="C110" s="1099"/>
      <c r="D110" s="478"/>
      <c r="E110" s="478"/>
      <c r="F110" s="3" t="s">
        <v>3012</v>
      </c>
      <c r="G110" s="478" t="str">
        <f>_xlfn.XLOOKUP(H110, 'Baumaterialien Matériaux'!A:A, 'Baumaterialien Matériaux'!AD:AD, "-", 0, 1)</f>
        <v>Voile de polyéthylène (PE)</v>
      </c>
      <c r="H110" s="892" t="s">
        <v>528</v>
      </c>
      <c r="I110" s="641" t="str">
        <f>_xlfn.XLOOKUP(H110, 'Baumaterialien Matériaux'!A:A, 'Baumaterialien Matériaux'!F:F, "-", 0, 1)</f>
        <v>kg</v>
      </c>
      <c r="J110" s="649">
        <f t="shared" si="308"/>
        <v>158.11200000000002</v>
      </c>
      <c r="K110" s="898">
        <v>0.54</v>
      </c>
      <c r="L110" s="647">
        <v>30</v>
      </c>
      <c r="M110" s="648">
        <f t="shared" si="280"/>
        <v>2.4493231969326374</v>
      </c>
      <c r="N110" s="720">
        <f>IFERROR(($J110*VLOOKUP($H110, 'Baumaterialien Matériaux'!$A$11:$AD$318, 26,FALSE)),0)/$G$1</f>
        <v>0.5156469888279237</v>
      </c>
      <c r="O110" s="720">
        <f>IFERROR(($J110*VLOOKUP($H110, 'Baumaterialien Matériaux'!$A$11:$AH$318, 33,FALSE)),0)/$G$1</f>
        <v>0.48777417862100886</v>
      </c>
      <c r="P110" s="720">
        <f t="shared" si="309"/>
        <v>0.98077450915581421</v>
      </c>
      <c r="Q110" s="720">
        <f>IFERROR(($J110*VLOOKUP($H110, 'Baumaterialien Matériaux'!$A$11:$AH$318, 27,FALSE)),0)/$G$1</f>
        <v>0.46512752032789056</v>
      </c>
      <c r="R110" s="720">
        <f>IFERROR(($J110*VLOOKUP($H110, 'Baumaterialien Matériaux'!$A$11:$AH$318, 34,FALSE)),0)/$G$1</f>
        <v>0.44770701394856882</v>
      </c>
      <c r="S110" s="720">
        <f>IFERROR((J110*VLOOKUP(H110, 'Baumaterialien Matériaux'!$A$11:$AD$318, 29,FALSE)),0)/$G$1</f>
        <v>0</v>
      </c>
      <c r="T110" s="720">
        <f t="shared" si="281"/>
        <v>0</v>
      </c>
      <c r="V110" s="638">
        <f t="shared" si="186"/>
        <v>0</v>
      </c>
      <c r="W110" s="638">
        <f t="shared" si="187"/>
        <v>0</v>
      </c>
      <c r="Y110" s="638" t="str">
        <f t="shared" si="269"/>
        <v>Revêtement</v>
      </c>
      <c r="Z110" s="638">
        <f t="shared" si="188"/>
        <v>30</v>
      </c>
      <c r="AA110" s="648" t="s">
        <v>3445</v>
      </c>
      <c r="AB110" t="str">
        <f>_xlfn.XLOOKUP($H110,'[1]Baumaterialien Matériaux'!$A:$A,'[1]Baumaterialien Matériaux'!AK:AK,0,0)</f>
        <v>oil_product</v>
      </c>
      <c r="AC110" t="str" cm="1">
        <f t="array" ref="AC110">_xlfn.SWITCH(I110,"kg"," ",0," ",_xlfn.XLOOKUP(H110, '[1]Baumaterialien Matériaux'!$A:$A, '[1]Baumaterialien Matériaux'!$AL:$AL, "-", 0, 1))</f>
        <v xml:space="preserve"> </v>
      </c>
      <c r="AD110" s="622" cm="1">
        <f t="array" ref="AD110">IFERROR(_xlfn.SWITCH(I110,"kg",1,"m3",AC110,AC110)*J110/(_xlfn.XLOOKUP(AA110,Métrés!A:A,Métrés!D:D,0)),0)</f>
        <v>0.54</v>
      </c>
      <c r="AE110" s="1092">
        <f>IFERROR(N110*$G$1/(_xlfn.XLOOKUP($AA110,Métrés!$A:$A,Métrés!$D:$D,0)),0)</f>
        <v>1.5984000000000005</v>
      </c>
      <c r="AF110" s="1092">
        <f>IFERROR(O110*$G$1/(_xlfn.XLOOKUP($AA110,Métrés!$A:$A,Métrés!$D:$D,0)),0)</f>
        <v>1.512</v>
      </c>
      <c r="AG110" s="1092">
        <f>IFERROR(Q110*$G$1/(_xlfn.XLOOKUP($AA110,Métrés!$A:$A,Métrés!$D:$D,0)),0)</f>
        <v>1.4418000000000002</v>
      </c>
      <c r="AH110" s="1092">
        <f>IFERROR(R110*$G$1/(_xlfn.XLOOKUP($AA110,Métrés!$A:$A,Métrés!$D:$D,0)),0)</f>
        <v>1.3877999999999999</v>
      </c>
      <c r="AI110" s="1092">
        <f>IFERROR(S110*$G$1/(_xlfn.XLOOKUP($AA110,Métrés!$A:$A,Métrés!$D:$D,0)),0)</f>
        <v>0</v>
      </c>
      <c r="AJ110" s="1030"/>
      <c r="AK110" s="1030">
        <f t="shared" si="282"/>
        <v>0</v>
      </c>
      <c r="AL110" s="1030">
        <f t="shared" si="283"/>
        <v>0</v>
      </c>
      <c r="AM110" s="638" t="str">
        <f t="shared" si="284"/>
        <v>Revêtement</v>
      </c>
      <c r="AN110" s="1032">
        <f t="shared" si="285"/>
        <v>0</v>
      </c>
      <c r="AO110" s="1030">
        <f t="shared" si="286"/>
        <v>0</v>
      </c>
      <c r="AP110" s="1030">
        <f t="shared" si="287"/>
        <v>0</v>
      </c>
      <c r="AQ110" s="1030">
        <f t="shared" si="288"/>
        <v>0</v>
      </c>
      <c r="AR110" s="1033">
        <f t="shared" si="289"/>
        <v>0</v>
      </c>
      <c r="AS110" s="1032">
        <f t="shared" si="290"/>
        <v>0</v>
      </c>
      <c r="AT110" s="1030">
        <f t="shared" si="291"/>
        <v>0</v>
      </c>
      <c r="AU110" s="1030">
        <f t="shared" si="292"/>
        <v>0</v>
      </c>
      <c r="AV110" s="1030">
        <f t="shared" si="293"/>
        <v>0</v>
      </c>
      <c r="AW110" s="1033">
        <f t="shared" si="294"/>
        <v>0</v>
      </c>
      <c r="AX110" s="1032">
        <f t="shared" si="295"/>
        <v>0.5156469888279237</v>
      </c>
      <c r="AY110" s="1030">
        <f t="shared" si="296"/>
        <v>0.98077450915581421</v>
      </c>
      <c r="AZ110" s="1030">
        <f t="shared" si="297"/>
        <v>0.46512752032789056</v>
      </c>
      <c r="BA110" s="1030">
        <f t="shared" si="298"/>
        <v>0</v>
      </c>
      <c r="BB110" s="1033">
        <f t="shared" si="299"/>
        <v>0</v>
      </c>
      <c r="BC110" s="1032">
        <f t="shared" si="300"/>
        <v>0</v>
      </c>
      <c r="BD110" s="1030">
        <f t="shared" si="301"/>
        <v>0</v>
      </c>
      <c r="BE110" s="1030">
        <f t="shared" si="302"/>
        <v>0</v>
      </c>
      <c r="BF110" s="1033">
        <f t="shared" si="303"/>
        <v>0</v>
      </c>
      <c r="BG110" s="1032">
        <f t="shared" si="304"/>
        <v>0</v>
      </c>
      <c r="BH110" s="1030">
        <f t="shared" si="305"/>
        <v>0</v>
      </c>
      <c r="BI110" s="1033">
        <f t="shared" si="306"/>
        <v>158.11200000000002</v>
      </c>
      <c r="BJ110" s="1030">
        <f>_xlfn.XLOOKUP(H110, 'Baumaterialien Matériaux'!A:A, 'Baumaterialien Matériaux'!E:E, "-", 0, 1)</f>
        <v>920</v>
      </c>
      <c r="BK110" s="1032">
        <f t="shared" si="182"/>
        <v>0</v>
      </c>
      <c r="BL110" s="1030">
        <f t="shared" si="183"/>
        <v>0</v>
      </c>
      <c r="BM110" s="1033">
        <f t="shared" si="184"/>
        <v>0.17186086956521743</v>
      </c>
      <c r="BN110" s="720">
        <f>IFERROR((J110*VLOOKUP(H110, 'Baumaterialien Matériaux'!$A$11:$AH$318, 32,FALSE))*($L$2/L110-1),0)/$G$1</f>
        <v>0.93373914193164553</v>
      </c>
      <c r="BO110" s="720">
        <f t="shared" si="307"/>
        <v>0.98077450915581421</v>
      </c>
    </row>
    <row r="111" spans="2:67">
      <c r="B111" s="1103"/>
      <c r="C111" s="1099"/>
      <c r="D111" s="478"/>
      <c r="E111" s="478"/>
      <c r="F111" s="3" t="s">
        <v>3013</v>
      </c>
      <c r="G111" s="478" t="str">
        <f>_xlfn.XLOOKUP(H111, 'Baumaterialien Matériaux'!A:A, 'Baumaterialien Matériaux'!AD:AD, "-", 0, 1)</f>
        <v>Feuille de polyéthylène (PE)</v>
      </c>
      <c r="H111" s="892" t="s">
        <v>716</v>
      </c>
      <c r="I111" s="641" t="str">
        <f>_xlfn.XLOOKUP(H111, 'Baumaterialien Matériaux'!A:A, 'Baumaterialien Matériaux'!F:F, "-", 0, 1)</f>
        <v>kg</v>
      </c>
      <c r="J111" s="649">
        <f t="shared" si="308"/>
        <v>137.61599999999999</v>
      </c>
      <c r="K111" s="898">
        <f>0.47</f>
        <v>0.47</v>
      </c>
      <c r="L111" s="647">
        <v>30</v>
      </c>
      <c r="M111" s="648">
        <f t="shared" si="280"/>
        <v>2.0105199973557211</v>
      </c>
      <c r="N111" s="720">
        <f>IFERROR(($J111*VLOOKUP($H111, 'Baumaterialien Matériaux'!$A$11:$AD$318, 26,FALSE)),0)/$G$1</f>
        <v>0.41696304620876573</v>
      </c>
      <c r="O111" s="720">
        <f>IFERROR(($J111*VLOOKUP($H111, 'Baumaterialien Matériaux'!$A$11:$AH$318, 33,FALSE)),0)/$G$1</f>
        <v>0.36692748066371383</v>
      </c>
      <c r="P111" s="720">
        <f t="shared" si="309"/>
        <v>0.82179625834600367</v>
      </c>
      <c r="Q111" s="720">
        <f>IFERROR(($J111*VLOOKUP($H111, 'Baumaterialien Matériaux'!$A$11:$AH$318, 27,FALSE)),0)/$G$1</f>
        <v>0.404833212137238</v>
      </c>
      <c r="R111" s="720">
        <f>IFERROR(($J111*VLOOKUP($H111, 'Baumaterialien Matériaux'!$A$11:$AH$318, 34,FALSE)),0)/$G$1</f>
        <v>0.38967091954782829</v>
      </c>
      <c r="S111" s="720">
        <f>IFERROR((J111*VLOOKUP(H111, 'Baumaterialien Matériaux'!$A$11:$AD$318, 29,FALSE)),0)/$G$1</f>
        <v>0</v>
      </c>
      <c r="T111" s="720">
        <f t="shared" si="281"/>
        <v>0</v>
      </c>
      <c r="V111" s="638">
        <f t="shared" si="186"/>
        <v>0</v>
      </c>
      <c r="W111" s="638">
        <f t="shared" si="187"/>
        <v>0</v>
      </c>
      <c r="Y111" s="638" t="str">
        <f t="shared" si="269"/>
        <v>Revêtement</v>
      </c>
      <c r="Z111" s="638">
        <f t="shared" si="188"/>
        <v>30</v>
      </c>
      <c r="AA111" s="648" t="s">
        <v>3445</v>
      </c>
      <c r="AB111" t="str">
        <f>_xlfn.XLOOKUP($H111,'[1]Baumaterialien Matériaux'!$A:$A,'[1]Baumaterialien Matériaux'!AK:AK,0,0)</f>
        <v>oil_product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 s="622" cm="1">
        <f t="array" ref="AD111">IFERROR(_xlfn.SWITCH(I111,"kg",1,"m3",AC111,AC111)*J111/(_xlfn.XLOOKUP(AA111,Métrés!A:A,Métrés!D:D,0)),0)</f>
        <v>0.46999999999999992</v>
      </c>
      <c r="AE111" s="1092">
        <f>IFERROR(N111*$G$1/(_xlfn.XLOOKUP($AA111,Métrés!$A:$A,Métrés!$D:$D,0)),0)</f>
        <v>1.2924999999999998</v>
      </c>
      <c r="AF111" s="1092">
        <f>IFERROR(O111*$G$1/(_xlfn.XLOOKUP($AA111,Métrés!$A:$A,Métrés!$D:$D,0)),0)</f>
        <v>1.1374</v>
      </c>
      <c r="AG111" s="1092">
        <f>IFERROR(Q111*$G$1/(_xlfn.XLOOKUP($AA111,Métrés!$A:$A,Métrés!$D:$D,0)),0)</f>
        <v>1.2548999999999999</v>
      </c>
      <c r="AH111" s="1092">
        <f>IFERROR(R111*$G$1/(_xlfn.XLOOKUP($AA111,Métrés!$A:$A,Métrés!$D:$D,0)),0)</f>
        <v>1.2078999999999998</v>
      </c>
      <c r="AI111" s="1092">
        <f>IFERROR(S111*$G$1/(_xlfn.XLOOKUP($AA111,Métrés!$A:$A,Métrés!$D:$D,0)),0)</f>
        <v>0</v>
      </c>
      <c r="AJ111" s="1030"/>
      <c r="AK111" s="1030">
        <f t="shared" si="282"/>
        <v>0</v>
      </c>
      <c r="AL111" s="1030">
        <f t="shared" si="283"/>
        <v>0</v>
      </c>
      <c r="AM111" s="638" t="str">
        <f t="shared" si="284"/>
        <v>Revêtement</v>
      </c>
      <c r="AN111" s="1032">
        <f t="shared" si="285"/>
        <v>0</v>
      </c>
      <c r="AO111" s="1030">
        <f t="shared" si="286"/>
        <v>0</v>
      </c>
      <c r="AP111" s="1030">
        <f t="shared" si="287"/>
        <v>0</v>
      </c>
      <c r="AQ111" s="1030">
        <f t="shared" si="288"/>
        <v>0</v>
      </c>
      <c r="AR111" s="1033">
        <f t="shared" si="289"/>
        <v>0</v>
      </c>
      <c r="AS111" s="1032">
        <f t="shared" si="290"/>
        <v>0</v>
      </c>
      <c r="AT111" s="1030">
        <f t="shared" si="291"/>
        <v>0</v>
      </c>
      <c r="AU111" s="1030">
        <f t="shared" si="292"/>
        <v>0</v>
      </c>
      <c r="AV111" s="1030">
        <f t="shared" si="293"/>
        <v>0</v>
      </c>
      <c r="AW111" s="1033">
        <f t="shared" si="294"/>
        <v>0</v>
      </c>
      <c r="AX111" s="1032">
        <f t="shared" si="295"/>
        <v>0.41696304620876573</v>
      </c>
      <c r="AY111" s="1030">
        <f t="shared" si="296"/>
        <v>0.82179625834600367</v>
      </c>
      <c r="AZ111" s="1030">
        <f t="shared" si="297"/>
        <v>0.404833212137238</v>
      </c>
      <c r="BA111" s="1030">
        <f t="shared" si="298"/>
        <v>0</v>
      </c>
      <c r="BB111" s="1033">
        <f t="shared" si="299"/>
        <v>0</v>
      </c>
      <c r="BC111" s="1032">
        <f t="shared" si="300"/>
        <v>0</v>
      </c>
      <c r="BD111" s="1030">
        <f t="shared" si="301"/>
        <v>0</v>
      </c>
      <c r="BE111" s="1030">
        <f t="shared" si="302"/>
        <v>0</v>
      </c>
      <c r="BF111" s="1033">
        <f t="shared" si="303"/>
        <v>0</v>
      </c>
      <c r="BG111" s="1032">
        <f t="shared" si="304"/>
        <v>0</v>
      </c>
      <c r="BH111" s="1030">
        <f t="shared" si="305"/>
        <v>0</v>
      </c>
      <c r="BI111" s="1033">
        <f t="shared" si="306"/>
        <v>137.61599999999999</v>
      </c>
      <c r="BJ111" s="1030">
        <f>_xlfn.XLOOKUP(H111, 'Baumaterialien Matériaux'!A:A, 'Baumaterialien Matériaux'!E:E, "-", 0, 1)</f>
        <v>920</v>
      </c>
      <c r="BK111" s="1032">
        <f t="shared" si="182"/>
        <v>0</v>
      </c>
      <c r="BL111" s="1030">
        <f t="shared" si="183"/>
        <v>0</v>
      </c>
      <c r="BM111" s="1033">
        <f t="shared" si="184"/>
        <v>0.14958260869565215</v>
      </c>
      <c r="BN111" s="720">
        <f>IFERROR((J111*VLOOKUP(H111, 'Baumaterialien Matériaux'!$A$11:$AH$318, 32,FALSE))*($L$2/L111-1),0)/$G$1</f>
        <v>0.75508217095260133</v>
      </c>
      <c r="BO111" s="720">
        <f t="shared" si="307"/>
        <v>0.82179625834600367</v>
      </c>
    </row>
    <row r="112" spans="2:67">
      <c r="B112" s="1103"/>
      <c r="C112" s="1099"/>
      <c r="D112" s="478"/>
      <c r="E112" s="478"/>
      <c r="F112" s="3" t="s">
        <v>3014</v>
      </c>
      <c r="G112" s="478" t="str">
        <f>_xlfn.XLOOKUP(H112, 'Baumaterialien Matériaux'!A:A, 'Baumaterialien Matériaux'!AD:AD, "-", 0, 1)</f>
        <v>Lé d'étanchéité polyoléfine (FPO)</v>
      </c>
      <c r="H112" s="892" t="s">
        <v>1613</v>
      </c>
      <c r="I112" s="641" t="str">
        <f>_xlfn.XLOOKUP(H112, 'Baumaterialien Matériaux'!A:A, 'Baumaterialien Matériaux'!F:F, "-", 0, 1)</f>
        <v>kg</v>
      </c>
      <c r="J112" s="649">
        <f t="shared" si="308"/>
        <v>351.36</v>
      </c>
      <c r="K112" s="893">
        <v>1.2</v>
      </c>
      <c r="L112" s="647">
        <v>30</v>
      </c>
      <c r="M112" s="648">
        <f t="shared" si="280"/>
        <v>4.9938784954055659</v>
      </c>
      <c r="N112" s="720">
        <f>IFERROR(($J112*VLOOKUP($H112, 'Baumaterialien Matériaux'!$A$11:$AD$318, 26,FALSE)),0)/$G$1</f>
        <v>0.97554835724201772</v>
      </c>
      <c r="O112" s="720">
        <f>IFERROR(($J112*VLOOKUP($H112, 'Baumaterialien Matériaux'!$A$11:$AH$318, 33,FALSE)),0)/$G$1</f>
        <v>0.97554835724201772</v>
      </c>
      <c r="P112" s="720">
        <f t="shared" si="309"/>
        <v>2.0091650690817744</v>
      </c>
      <c r="Q112" s="720">
        <f>IFERROR(($J112*VLOOKUP($H112, 'Baumaterialien Matériaux'!$A$11:$AH$318, 27,FALSE)),0)/$G$1</f>
        <v>1.0336167118397568</v>
      </c>
      <c r="R112" s="720">
        <f>IFERROR(($J112*VLOOKUP($H112, 'Baumaterialien Matériaux'!$A$11:$AH$318, 34,FALSE)),0)/$G$1</f>
        <v>1.1691095392344815</v>
      </c>
      <c r="S112" s="720">
        <f>IFERROR((J112*VLOOKUP(H112, 'Baumaterialien Matériaux'!$A$11:$AD$318, 29,FALSE)),0)/$G$1</f>
        <v>0</v>
      </c>
      <c r="T112" s="720">
        <f t="shared" si="281"/>
        <v>0</v>
      </c>
      <c r="V112" s="638">
        <f t="shared" si="186"/>
        <v>0</v>
      </c>
      <c r="W112" s="638">
        <f t="shared" si="187"/>
        <v>0</v>
      </c>
      <c r="Y112" s="638" t="str">
        <f t="shared" si="269"/>
        <v>Revêtement</v>
      </c>
      <c r="Z112" s="638">
        <f t="shared" si="188"/>
        <v>30</v>
      </c>
      <c r="AA112" s="648" t="s">
        <v>3445</v>
      </c>
      <c r="AB112" t="str">
        <f>_xlfn.XLOOKUP($H112,'[1]Baumaterialien Matériaux'!$A:$A,'[1]Baumaterialien Matériaux'!AK:AK,0,0)</f>
        <v>oil_product</v>
      </c>
      <c r="AC112" t="str" cm="1">
        <f t="array" ref="AC112">_xlfn.SWITCH(I112,"kg"," ",0," ",_xlfn.XLOOKUP(H112, '[1]Baumaterialien Matériaux'!$A:$A, '[1]Baumaterialien Matériaux'!$AL:$AL, "-", 0, 1))</f>
        <v xml:space="preserve"> </v>
      </c>
      <c r="AD112" s="622" cm="1">
        <f t="array" ref="AD112">IFERROR(_xlfn.SWITCH(I112,"kg",1,"m3",AC112,AC112)*J112/(_xlfn.XLOOKUP(AA112,Métrés!A:A,Métrés!D:D,0)),0)</f>
        <v>1.2</v>
      </c>
      <c r="AE112" s="1092">
        <f>IFERROR(N112*$G$1/(_xlfn.XLOOKUP($AA112,Métrés!$A:$A,Métrés!$D:$D,0)),0)</f>
        <v>3.024</v>
      </c>
      <c r="AF112" s="1092">
        <f>IFERROR(O112*$G$1/(_xlfn.XLOOKUP($AA112,Métrés!$A:$A,Métrés!$D:$D,0)),0)</f>
        <v>3.024</v>
      </c>
      <c r="AG112" s="1092">
        <f>IFERROR(Q112*$G$1/(_xlfn.XLOOKUP($AA112,Métrés!$A:$A,Métrés!$D:$D,0)),0)</f>
        <v>3.2040000000000002</v>
      </c>
      <c r="AH112" s="1092">
        <f>IFERROR(R112*$G$1/(_xlfn.XLOOKUP($AA112,Métrés!$A:$A,Métrés!$D:$D,0)),0)</f>
        <v>3.6240000000000006</v>
      </c>
      <c r="AI112" s="1092">
        <f>IFERROR(S112*$G$1/(_xlfn.XLOOKUP($AA112,Métrés!$A:$A,Métrés!$D:$D,0)),0)</f>
        <v>0</v>
      </c>
      <c r="AJ112" s="1030"/>
      <c r="AK112" s="1030">
        <f t="shared" si="282"/>
        <v>0</v>
      </c>
      <c r="AL112" s="1030">
        <f t="shared" si="283"/>
        <v>0</v>
      </c>
      <c r="AM112" s="638" t="str">
        <f t="shared" si="284"/>
        <v>Revêtement</v>
      </c>
      <c r="AN112" s="1032">
        <f t="shared" si="285"/>
        <v>0</v>
      </c>
      <c r="AO112" s="1030">
        <f t="shared" si="286"/>
        <v>0</v>
      </c>
      <c r="AP112" s="1030">
        <f t="shared" si="287"/>
        <v>0</v>
      </c>
      <c r="AQ112" s="1030">
        <f t="shared" si="288"/>
        <v>0</v>
      </c>
      <c r="AR112" s="1033">
        <f t="shared" si="289"/>
        <v>0</v>
      </c>
      <c r="AS112" s="1032">
        <f t="shared" si="290"/>
        <v>0</v>
      </c>
      <c r="AT112" s="1030">
        <f t="shared" si="291"/>
        <v>0</v>
      </c>
      <c r="AU112" s="1030">
        <f t="shared" si="292"/>
        <v>0</v>
      </c>
      <c r="AV112" s="1030">
        <f t="shared" si="293"/>
        <v>0</v>
      </c>
      <c r="AW112" s="1033">
        <f t="shared" si="294"/>
        <v>0</v>
      </c>
      <c r="AX112" s="1032">
        <f t="shared" si="295"/>
        <v>0.97554835724201772</v>
      </c>
      <c r="AY112" s="1030">
        <f t="shared" si="296"/>
        <v>2.0091650690817744</v>
      </c>
      <c r="AZ112" s="1030">
        <f t="shared" si="297"/>
        <v>1.0336167118397568</v>
      </c>
      <c r="BA112" s="1030">
        <f t="shared" si="298"/>
        <v>0</v>
      </c>
      <c r="BB112" s="1033">
        <f t="shared" si="299"/>
        <v>0</v>
      </c>
      <c r="BC112" s="1032">
        <f t="shared" si="300"/>
        <v>0</v>
      </c>
      <c r="BD112" s="1030">
        <f t="shared" si="301"/>
        <v>0</v>
      </c>
      <c r="BE112" s="1030">
        <f t="shared" si="302"/>
        <v>0</v>
      </c>
      <c r="BF112" s="1033">
        <f t="shared" si="303"/>
        <v>0</v>
      </c>
      <c r="BG112" s="1032">
        <f t="shared" si="304"/>
        <v>0</v>
      </c>
      <c r="BH112" s="1030">
        <f t="shared" si="305"/>
        <v>0</v>
      </c>
      <c r="BI112" s="1033">
        <f t="shared" si="306"/>
        <v>351.36</v>
      </c>
      <c r="BJ112" s="1030">
        <f>_xlfn.XLOOKUP(H112, 'Baumaterialien Matériaux'!A:A, 'Baumaterialien Matériaux'!E:E, "-", 0, 1)</f>
        <v>1000</v>
      </c>
      <c r="BK112" s="1032">
        <f t="shared" si="182"/>
        <v>0</v>
      </c>
      <c r="BL112" s="1030">
        <f t="shared" si="183"/>
        <v>0</v>
      </c>
      <c r="BM112" s="1033">
        <f t="shared" si="184"/>
        <v>0.35136000000000001</v>
      </c>
      <c r="BN112" s="720">
        <f>IFERROR((J112*VLOOKUP(H112, 'Baumaterialien Matériaux'!$A$11:$AH$318, 32,FALSE))*($L$2/L112-1),0)/$G$1</f>
        <v>2.1446578964764988</v>
      </c>
      <c r="BO112" s="720">
        <f t="shared" si="307"/>
        <v>2.0091650690817744</v>
      </c>
    </row>
    <row r="113" spans="2:67">
      <c r="B113" s="1103"/>
      <c r="C113" s="1099"/>
      <c r="D113" s="478"/>
      <c r="E113" s="478"/>
      <c r="F113" s="3" t="s">
        <v>2994</v>
      </c>
      <c r="G113" s="478" t="str">
        <f>_xlfn.XLOOKUP(H113, 'Baumaterialien Matériaux'!A:A, 'Baumaterialien Matériaux'!AD:AD, "-", 0, 1)</f>
        <v>Lé d'étanchéité bitumineux</v>
      </c>
      <c r="H113" s="892" t="s">
        <v>696</v>
      </c>
      <c r="I113" s="641" t="str">
        <f>_xlfn.XLOOKUP(H113, 'Baumaterialien Matériaux'!A:A, 'Baumaterialien Matériaux'!F:F, "-", 0, 1)</f>
        <v>kg</v>
      </c>
      <c r="J113" s="649">
        <f t="shared" si="308"/>
        <v>1674.816</v>
      </c>
      <c r="K113" s="893">
        <f>0.0052*1100</f>
        <v>5.72</v>
      </c>
      <c r="L113" s="647">
        <v>30</v>
      </c>
      <c r="M113" s="648">
        <f t="shared" si="280"/>
        <v>13.358005579427513</v>
      </c>
      <c r="N113" s="720">
        <f>IFERROR(($J113*VLOOKUP($H113, 'Baumaterialien Matériaux'!$A$11:$AD$318, 26,FALSE)),0)/$G$1</f>
        <v>1.8637361010114366</v>
      </c>
      <c r="O113" s="720">
        <f>IFERROR(($J113*VLOOKUP($H113, 'Baumaterialien Matériaux'!$A$11:$AH$318, 33,FALSE)),0)/$G$1</f>
        <v>1.0315133469954387</v>
      </c>
      <c r="P113" s="720">
        <f t="shared" si="309"/>
        <v>6.1632461162160377</v>
      </c>
      <c r="Q113" s="720">
        <f>IFERROR(($J113*VLOOKUP($H113, 'Baumaterialien Matériaux'!$A$11:$AH$318, 27,FALSE)),0)/$G$1</f>
        <v>4.2995100152046009</v>
      </c>
      <c r="R113" s="720">
        <f>IFERROR(($J113*VLOOKUP($H113, 'Baumaterialien Matériaux'!$A$11:$AH$318, 34,FALSE)),0)/$G$1</f>
        <v>4.3364156805711644</v>
      </c>
      <c r="S113" s="720">
        <f>IFERROR((J113*VLOOKUP(H113, 'Baumaterialien Matériaux'!$A$11:$AD$318, 29,FALSE)),0)/$G$1</f>
        <v>0</v>
      </c>
      <c r="T113" s="720">
        <f t="shared" si="281"/>
        <v>0</v>
      </c>
      <c r="V113" s="638">
        <f t="shared" si="186"/>
        <v>0</v>
      </c>
      <c r="W113" s="638">
        <f t="shared" si="187"/>
        <v>0</v>
      </c>
      <c r="Y113" s="638" t="str">
        <f t="shared" si="269"/>
        <v>Revêtement</v>
      </c>
      <c r="Z113" s="638">
        <f t="shared" si="188"/>
        <v>30</v>
      </c>
      <c r="AA113" s="648" t="s">
        <v>3445</v>
      </c>
      <c r="AB113" t="str">
        <f>_xlfn.XLOOKUP($H113,'[1]Baumaterialien Matériaux'!$A:$A,'[1]Baumaterialien Matériaux'!AK:AK,0,0)</f>
        <v>oil_product</v>
      </c>
      <c r="AC113" t="str" cm="1">
        <f t="array" ref="AC113">_xlfn.SWITCH(I113,"kg"," ",0," ",_xlfn.XLOOKUP(H113, '[1]Baumaterialien Matériaux'!$A:$A, '[1]Baumaterialien Matériaux'!$AL:$AL, "-", 0, 1))</f>
        <v xml:space="preserve"> </v>
      </c>
      <c r="AD113" s="622" cm="1">
        <f t="array" ref="AD113">IFERROR(_xlfn.SWITCH(I113,"kg",1,"m3",AC113,AC113)*J113/(_xlfn.XLOOKUP(AA113,Métrés!A:A,Métrés!D:D,0)),0)</f>
        <v>5.72</v>
      </c>
      <c r="AE113" s="1092">
        <f>IFERROR(N113*$G$1/(_xlfn.XLOOKUP($AA113,Métrés!$A:$A,Métrés!$D:$D,0)),0)</f>
        <v>5.7772000000000006</v>
      </c>
      <c r="AF113" s="1092">
        <f>IFERROR(O113*$G$1/(_xlfn.XLOOKUP($AA113,Métrés!$A:$A,Métrés!$D:$D,0)),0)</f>
        <v>3.1974800000000001</v>
      </c>
      <c r="AG113" s="1092">
        <f>IFERROR(Q113*$G$1/(_xlfn.XLOOKUP($AA113,Métrés!$A:$A,Métrés!$D:$D,0)),0)</f>
        <v>13.327599999999999</v>
      </c>
      <c r="AH113" s="1092">
        <f>IFERROR(R113*$G$1/(_xlfn.XLOOKUP($AA113,Métrés!$A:$A,Métrés!$D:$D,0)),0)</f>
        <v>13.442</v>
      </c>
      <c r="AI113" s="1092">
        <f>IFERROR(S113*$G$1/(_xlfn.XLOOKUP($AA113,Métrés!$A:$A,Métrés!$D:$D,0)),0)</f>
        <v>0</v>
      </c>
      <c r="AJ113" s="1030"/>
      <c r="AK113" s="1030">
        <f t="shared" si="282"/>
        <v>0</v>
      </c>
      <c r="AL113" s="1030">
        <f t="shared" si="283"/>
        <v>0</v>
      </c>
      <c r="AM113" s="638" t="str">
        <f t="shared" si="284"/>
        <v>Revêtement</v>
      </c>
      <c r="AN113" s="1032">
        <f t="shared" si="285"/>
        <v>0</v>
      </c>
      <c r="AO113" s="1030">
        <f t="shared" si="286"/>
        <v>0</v>
      </c>
      <c r="AP113" s="1030">
        <f t="shared" si="287"/>
        <v>0</v>
      </c>
      <c r="AQ113" s="1030">
        <f t="shared" si="288"/>
        <v>0</v>
      </c>
      <c r="AR113" s="1033">
        <f t="shared" si="289"/>
        <v>0</v>
      </c>
      <c r="AS113" s="1032">
        <f t="shared" si="290"/>
        <v>0</v>
      </c>
      <c r="AT113" s="1030">
        <f t="shared" si="291"/>
        <v>0</v>
      </c>
      <c r="AU113" s="1030">
        <f t="shared" si="292"/>
        <v>0</v>
      </c>
      <c r="AV113" s="1030">
        <f t="shared" si="293"/>
        <v>0</v>
      </c>
      <c r="AW113" s="1033">
        <f t="shared" si="294"/>
        <v>0</v>
      </c>
      <c r="AX113" s="1032">
        <f t="shared" si="295"/>
        <v>1.8637361010114366</v>
      </c>
      <c r="AY113" s="1030">
        <f t="shared" si="296"/>
        <v>6.1632461162160377</v>
      </c>
      <c r="AZ113" s="1030">
        <f t="shared" si="297"/>
        <v>4.2995100152046009</v>
      </c>
      <c r="BA113" s="1030">
        <f t="shared" si="298"/>
        <v>0</v>
      </c>
      <c r="BB113" s="1033">
        <f t="shared" si="299"/>
        <v>0</v>
      </c>
      <c r="BC113" s="1032">
        <f t="shared" si="300"/>
        <v>0</v>
      </c>
      <c r="BD113" s="1030">
        <f t="shared" si="301"/>
        <v>0</v>
      </c>
      <c r="BE113" s="1030">
        <f t="shared" si="302"/>
        <v>0</v>
      </c>
      <c r="BF113" s="1033">
        <f t="shared" si="303"/>
        <v>0</v>
      </c>
      <c r="BG113" s="1032">
        <f t="shared" si="304"/>
        <v>0</v>
      </c>
      <c r="BH113" s="1030">
        <f t="shared" si="305"/>
        <v>0</v>
      </c>
      <c r="BI113" s="1033">
        <f t="shared" si="306"/>
        <v>1674.816</v>
      </c>
      <c r="BJ113" s="1030">
        <f>_xlfn.XLOOKUP(H113, 'Baumaterialien Matériaux'!A:A, 'Baumaterialien Matériaux'!E:E, "-", 0, 1)</f>
        <v>1100</v>
      </c>
      <c r="BK113" s="1032">
        <f t="shared" si="182"/>
        <v>0</v>
      </c>
      <c r="BL113" s="1030">
        <f t="shared" si="183"/>
        <v>0</v>
      </c>
      <c r="BM113" s="1033">
        <f t="shared" si="184"/>
        <v>1.5225600000000001</v>
      </c>
      <c r="BN113" s="720">
        <f>IFERROR((J113*VLOOKUP(H113, 'Baumaterialien Matériaux'!$A$11:$AH$318, 32,FALSE))*($L$2/L113-1),0)/$G$1</f>
        <v>5.3697743108349316</v>
      </c>
      <c r="BO113" s="720">
        <f t="shared" si="307"/>
        <v>6.1632461162160377</v>
      </c>
    </row>
    <row r="114" spans="2:67">
      <c r="B114" s="1103"/>
      <c r="C114" s="1099"/>
      <c r="D114" s="478"/>
      <c r="E114" s="478"/>
      <c r="F114" s="454" t="s">
        <v>3273</v>
      </c>
      <c r="G114" s="478" t="str">
        <f>_xlfn.XLOOKUP(H114, 'Baumaterialien Matériaux'!A:A, 'Baumaterialien Matériaux'!AD:AD, "-", 0, 1)</f>
        <v>Polyuréthane (PUR/PIR)</v>
      </c>
      <c r="H114" s="892" t="s">
        <v>702</v>
      </c>
      <c r="I114" s="641" t="str">
        <f>_xlfn.XLOOKUP(H114, 'Baumaterialien Matériaux'!A:A, 'Baumaterialien Matériaux'!F:F, "-", 0, 1)</f>
        <v>kg</v>
      </c>
      <c r="J114" s="649">
        <f t="shared" si="308"/>
        <v>2108.16</v>
      </c>
      <c r="K114" s="893">
        <f>0.24*30</f>
        <v>7.1999999999999993</v>
      </c>
      <c r="L114" s="647">
        <v>30</v>
      </c>
      <c r="M114" s="648">
        <f t="shared" si="280"/>
        <v>38.998706947841605</v>
      </c>
      <c r="N114" s="720">
        <f>IFERROR(($J114*VLOOKUP($H114, 'Baumaterialien Matériaux'!$A$11:$AD$318, 26,FALSE)),0)/$G$1</f>
        <v>11.149124082765915</v>
      </c>
      <c r="O114" s="720">
        <f>IFERROR(($J114*VLOOKUP($H114, 'Baumaterialien Matériaux'!$A$11:$AH$318, 33,FALSE)),0)/$G$1</f>
        <v>4.3899676075890781</v>
      </c>
      <c r="P114" s="720">
        <f t="shared" si="309"/>
        <v>17.304369670126263</v>
      </c>
      <c r="Q114" s="720">
        <f>IFERROR(($J114*VLOOKUP($H114, 'Baumaterialien Matériaux'!$A$11:$AH$318, 27,FALSE)),0)/$G$1</f>
        <v>6.1552455873603487</v>
      </c>
      <c r="R114" s="720">
        <f>IFERROR(($J114*VLOOKUP($H114, 'Baumaterialien Matériaux'!$A$11:$AH$318, 34,FALSE)),0)/$G$1</f>
        <v>2.0254242083691412</v>
      </c>
      <c r="S114" s="720">
        <f>IFERROR((J114*VLOOKUP(H114, 'Baumaterialien Matériaux'!$A$11:$AD$318, 29,FALSE)),0)/$G$1</f>
        <v>0</v>
      </c>
      <c r="T114" s="720">
        <f t="shared" si="281"/>
        <v>0</v>
      </c>
      <c r="V114" s="638">
        <f t="shared" si="186"/>
        <v>0</v>
      </c>
      <c r="W114" s="638">
        <f t="shared" si="187"/>
        <v>0</v>
      </c>
      <c r="Y114" s="638" t="str">
        <f t="shared" si="269"/>
        <v>Revêtement</v>
      </c>
      <c r="Z114" s="638">
        <f t="shared" si="188"/>
        <v>30</v>
      </c>
      <c r="AA114" s="648" t="s">
        <v>3445</v>
      </c>
      <c r="AB114" t="str">
        <f>_xlfn.XLOOKUP($H114,'[1]Baumaterialien Matériaux'!$A:$A,'[1]Baumaterialien Matériaux'!AK:AK,0,0)</f>
        <v>oil_product</v>
      </c>
      <c r="AC114" t="str" cm="1">
        <f t="array" ref="AC114">_xlfn.SWITCH(I114,"kg"," ",0," ",_xlfn.XLOOKUP(H114, '[1]Baumaterialien Matériaux'!$A:$A, '[1]Baumaterialien Matériaux'!$AL:$AL, "-", 0, 1))</f>
        <v xml:space="preserve"> </v>
      </c>
      <c r="AD114" s="622" cm="1">
        <f t="array" ref="AD114">IFERROR(_xlfn.SWITCH(I114,"kg",1,"m3",AC114,AC114)*J114/(_xlfn.XLOOKUP(AA114,Métrés!A:A,Métrés!D:D,0)),0)</f>
        <v>7.1999999999999993</v>
      </c>
      <c r="AE114" s="1092">
        <f>IFERROR(N114*$G$1/(_xlfn.XLOOKUP($AA114,Métrés!$A:$A,Métrés!$D:$D,0)),0)</f>
        <v>34.559999999999995</v>
      </c>
      <c r="AF114" s="1092">
        <f>IFERROR(O114*$G$1/(_xlfn.XLOOKUP($AA114,Métrés!$A:$A,Métrés!$D:$D,0)),0)</f>
        <v>13.607999999999997</v>
      </c>
      <c r="AG114" s="1092">
        <f>IFERROR(Q114*$G$1/(_xlfn.XLOOKUP($AA114,Métrés!$A:$A,Métrés!$D:$D,0)),0)</f>
        <v>19.079999999999998</v>
      </c>
      <c r="AH114" s="1092">
        <f>IFERROR(R114*$G$1/(_xlfn.XLOOKUP($AA114,Métrés!$A:$A,Métrés!$D:$D,0)),0)</f>
        <v>6.2783999999999995</v>
      </c>
      <c r="AI114" s="1092">
        <f>IFERROR(S114*$G$1/(_xlfn.XLOOKUP($AA114,Métrés!$A:$A,Métrés!$D:$D,0)),0)</f>
        <v>0</v>
      </c>
      <c r="AJ114" s="1030"/>
      <c r="AK114" s="1030">
        <f t="shared" si="282"/>
        <v>0</v>
      </c>
      <c r="AL114" s="1030">
        <f t="shared" si="283"/>
        <v>0</v>
      </c>
      <c r="AM114" s="638" t="s">
        <v>3388</v>
      </c>
      <c r="AN114" s="1032">
        <f t="shared" si="285"/>
        <v>0</v>
      </c>
      <c r="AO114" s="1030">
        <f t="shared" si="286"/>
        <v>0</v>
      </c>
      <c r="AP114" s="1030">
        <f t="shared" si="287"/>
        <v>0</v>
      </c>
      <c r="AQ114" s="1030">
        <f t="shared" si="288"/>
        <v>0</v>
      </c>
      <c r="AR114" s="1033">
        <f t="shared" si="289"/>
        <v>0</v>
      </c>
      <c r="AS114" s="1032">
        <f t="shared" si="290"/>
        <v>11.149124082765915</v>
      </c>
      <c r="AT114" s="1030">
        <f t="shared" si="291"/>
        <v>17.304369670126263</v>
      </c>
      <c r="AU114" s="1030">
        <f t="shared" si="292"/>
        <v>6.1552455873603487</v>
      </c>
      <c r="AV114" s="1030">
        <f t="shared" si="293"/>
        <v>0</v>
      </c>
      <c r="AW114" s="1033">
        <f t="shared" si="294"/>
        <v>0</v>
      </c>
      <c r="AX114" s="1032">
        <f t="shared" si="295"/>
        <v>0</v>
      </c>
      <c r="AY114" s="1030">
        <f t="shared" si="296"/>
        <v>0</v>
      </c>
      <c r="AZ114" s="1030">
        <f t="shared" si="297"/>
        <v>0</v>
      </c>
      <c r="BA114" s="1030">
        <f t="shared" si="298"/>
        <v>0</v>
      </c>
      <c r="BB114" s="1033">
        <f t="shared" si="299"/>
        <v>0</v>
      </c>
      <c r="BC114" s="1032">
        <f t="shared" si="300"/>
        <v>0</v>
      </c>
      <c r="BD114" s="1030">
        <f t="shared" si="301"/>
        <v>0</v>
      </c>
      <c r="BE114" s="1030">
        <f t="shared" si="302"/>
        <v>0</v>
      </c>
      <c r="BF114" s="1033">
        <f t="shared" si="303"/>
        <v>0</v>
      </c>
      <c r="BG114" s="1032">
        <f t="shared" si="304"/>
        <v>0</v>
      </c>
      <c r="BH114" s="1030">
        <f t="shared" si="305"/>
        <v>2108.16</v>
      </c>
      <c r="BI114" s="1033">
        <f t="shared" si="306"/>
        <v>0</v>
      </c>
      <c r="BJ114" s="1030">
        <f>_xlfn.XLOOKUP(H114, 'Baumaterialien Matériaux'!A:A, 'Baumaterialien Matériaux'!E:E, "-", 0, 1)</f>
        <v>30</v>
      </c>
      <c r="BK114" s="1032">
        <f t="shared" si="182"/>
        <v>0</v>
      </c>
      <c r="BL114" s="1030">
        <f t="shared" si="183"/>
        <v>70.271999999999991</v>
      </c>
      <c r="BM114" s="1033">
        <f t="shared" si="184"/>
        <v>0</v>
      </c>
      <c r="BN114" s="720">
        <f>IFERROR((J114*VLOOKUP(H114, 'Baumaterialien Matériaux'!$A$11:$AH$318, 32,FALSE))*($L$2/L114-1),0)/$G$1</f>
        <v>6.4107463475904005</v>
      </c>
      <c r="BO114" s="720">
        <f t="shared" si="307"/>
        <v>17.304369670126263</v>
      </c>
    </row>
    <row r="115" spans="2:67">
      <c r="B115" s="1104"/>
      <c r="C115" s="1099"/>
      <c r="D115" s="478"/>
      <c r="E115" s="478"/>
      <c r="F115" s="483" t="s">
        <v>3016</v>
      </c>
      <c r="G115" s="478" t="str">
        <f>_xlfn.XLOOKUP(H115, 'Baumaterialien Matériaux'!A:A, 'Baumaterialien Matériaux'!AD:AD, "-", 0, 1)</f>
        <v>Émulsion de bitume, 1 couche</v>
      </c>
      <c r="H115" s="892" t="s">
        <v>512</v>
      </c>
      <c r="I115" s="641" t="str">
        <f>_xlfn.XLOOKUP(H115, 'Baumaterialien Matériaux'!A:A, 'Baumaterialien Matériaux'!F:F, "-", 0, 1)</f>
        <v>m2</v>
      </c>
      <c r="J115" s="649">
        <f t="shared" si="308"/>
        <v>292.8</v>
      </c>
      <c r="K115" s="893">
        <v>1</v>
      </c>
      <c r="L115" s="647">
        <v>30</v>
      </c>
      <c r="M115" s="648">
        <f t="shared" si="280"/>
        <v>0.14526766708534408</v>
      </c>
      <c r="N115" s="720">
        <f>IFERROR(($J115*VLOOKUP($H115, 'Baumaterialien Matériaux'!$A$11:$AD$318, 26,FALSE)),0)/$G$1</f>
        <v>4.3551265948304364E-2</v>
      </c>
      <c r="O115" s="720">
        <f>IFERROR(($J115*VLOOKUP($H115, 'Baumaterialien Matériaux'!$A$11:$AH$318, 33,FALSE)),0)/$G$1</f>
        <v>2.7969590797911021E-2</v>
      </c>
      <c r="P115" s="720">
        <f t="shared" si="309"/>
        <v>5.8649038143716539E-2</v>
      </c>
      <c r="Q115" s="720">
        <f>IFERROR(($J115*VLOOKUP($H115, 'Baumaterialien Matériaux'!$A$11:$AH$318, 27,FALSE)),0)/$G$1</f>
        <v>1.5097772195412178E-2</v>
      </c>
      <c r="R115" s="720">
        <f>IFERROR(($J115*VLOOKUP($H115, 'Baumaterialien Matériaux'!$A$11:$AH$318, 34,FALSE)),0)/$G$1</f>
        <v>0.18936735638262711</v>
      </c>
      <c r="S115" s="720">
        <f>IFERROR((J115*VLOOKUP(H115, 'Baumaterialien Matériaux'!$A$11:$AD$318, 29,FALSE)),0)/$G$1</f>
        <v>0</v>
      </c>
      <c r="T115" s="720">
        <f t="shared" si="281"/>
        <v>0</v>
      </c>
      <c r="V115" s="638">
        <f t="shared" si="186"/>
        <v>0</v>
      </c>
      <c r="W115" s="638">
        <f t="shared" si="187"/>
        <v>0</v>
      </c>
      <c r="Y115" s="638" t="str">
        <f t="shared" si="269"/>
        <v>Revêtement</v>
      </c>
      <c r="Z115" s="638">
        <f t="shared" si="188"/>
        <v>30</v>
      </c>
      <c r="AA115" s="648" t="s">
        <v>3445</v>
      </c>
      <c r="AB115" t="str">
        <f>_xlfn.XLOOKUP($H115,'[1]Baumaterialien Matériaux'!$A:$A,'[1]Baumaterialien Matériaux'!AK:AK,0,0)</f>
        <v>autre</v>
      </c>
      <c r="AC115" cm="1">
        <f t="array" ref="AC115">_xlfn.SWITCH(I115,"kg"," ",0," ",_xlfn.XLOOKUP(H115, '[1]Baumaterialien Matériaux'!$A:$A, '[1]Baumaterialien Matériaux'!$AL:$AL, "-", 0, 1))</f>
        <v>0.25</v>
      </c>
      <c r="AD115" s="622" cm="1">
        <f t="array" ref="AD115">IFERROR(_xlfn.SWITCH(I115,"kg",1,"m3",AC115,AC115)*J115/(_xlfn.XLOOKUP(AA115,Métrés!A:A,Métrés!D:D,0)),0)</f>
        <v>0.25</v>
      </c>
      <c r="AE115" s="1092">
        <f>IFERROR(N115*$G$1/(_xlfn.XLOOKUP($AA115,Métrés!$A:$A,Métrés!$D:$D,0)),0)</f>
        <v>0.13500000000000001</v>
      </c>
      <c r="AF115" s="1092">
        <f>IFERROR(O115*$G$1/(_xlfn.XLOOKUP($AA115,Métrés!$A:$A,Métrés!$D:$D,0)),0)</f>
        <v>8.6699999999999999E-2</v>
      </c>
      <c r="AG115" s="1092">
        <f>IFERROR(Q115*$G$1/(_xlfn.XLOOKUP($AA115,Métrés!$A:$A,Métrés!$D:$D,0)),0)</f>
        <v>4.6800000000000001E-2</v>
      </c>
      <c r="AH115" s="1092">
        <f>IFERROR(R115*$G$1/(_xlfn.XLOOKUP($AA115,Métrés!$A:$A,Métrés!$D:$D,0)),0)</f>
        <v>0.58699999999999997</v>
      </c>
      <c r="AI115" s="1092">
        <f>IFERROR(S115*$G$1/(_xlfn.XLOOKUP($AA115,Métrés!$A:$A,Métrés!$D:$D,0)),0)</f>
        <v>0</v>
      </c>
      <c r="AJ115" s="1030"/>
      <c r="AK115" s="1030">
        <f t="shared" si="282"/>
        <v>0</v>
      </c>
      <c r="AL115" s="1030">
        <f t="shared" si="283"/>
        <v>0</v>
      </c>
      <c r="AM115" s="638" t="str">
        <f>IF(L115=$L$2, "Structure", IF(L115&gt;0,"Revêtement",0))</f>
        <v>Revêtement</v>
      </c>
      <c r="AN115" s="1032">
        <f t="shared" si="285"/>
        <v>0</v>
      </c>
      <c r="AO115" s="1030">
        <f t="shared" si="286"/>
        <v>0</v>
      </c>
      <c r="AP115" s="1030">
        <f t="shared" si="287"/>
        <v>0</v>
      </c>
      <c r="AQ115" s="1030">
        <f t="shared" si="288"/>
        <v>0</v>
      </c>
      <c r="AR115" s="1033">
        <f t="shared" si="289"/>
        <v>0</v>
      </c>
      <c r="AS115" s="1032">
        <f t="shared" si="290"/>
        <v>0</v>
      </c>
      <c r="AT115" s="1030">
        <f t="shared" si="291"/>
        <v>0</v>
      </c>
      <c r="AU115" s="1030">
        <f t="shared" si="292"/>
        <v>0</v>
      </c>
      <c r="AV115" s="1030">
        <f t="shared" si="293"/>
        <v>0</v>
      </c>
      <c r="AW115" s="1033">
        <f t="shared" si="294"/>
        <v>0</v>
      </c>
      <c r="AX115" s="1032">
        <f t="shared" si="295"/>
        <v>4.3551265948304364E-2</v>
      </c>
      <c r="AY115" s="1030">
        <f t="shared" si="296"/>
        <v>5.8649038143716539E-2</v>
      </c>
      <c r="AZ115" s="1030">
        <f t="shared" si="297"/>
        <v>1.5097772195412178E-2</v>
      </c>
      <c r="BA115" s="1030">
        <f t="shared" si="298"/>
        <v>0</v>
      </c>
      <c r="BB115" s="1033">
        <f t="shared" si="299"/>
        <v>0</v>
      </c>
      <c r="BC115" s="1032">
        <f t="shared" si="300"/>
        <v>0</v>
      </c>
      <c r="BD115" s="1030">
        <f t="shared" si="301"/>
        <v>0</v>
      </c>
      <c r="BE115" s="1030">
        <f t="shared" si="302"/>
        <v>0</v>
      </c>
      <c r="BF115" s="1033">
        <f t="shared" si="303"/>
        <v>0</v>
      </c>
      <c r="BG115" s="1032">
        <f t="shared" si="304"/>
        <v>0</v>
      </c>
      <c r="BH115" s="1030">
        <f t="shared" si="305"/>
        <v>0</v>
      </c>
      <c r="BI115" s="1033">
        <f t="shared" si="306"/>
        <v>0</v>
      </c>
      <c r="BJ115" s="1030">
        <f>_xlfn.XLOOKUP(H115, 'Baumaterialien Matériaux'!A:A, 'Baumaterialien Matériaux'!E:E, "-", 0, 1)</f>
        <v>0.25</v>
      </c>
      <c r="BK115" s="1032">
        <f t="shared" si="182"/>
        <v>0</v>
      </c>
      <c r="BL115" s="1030">
        <f t="shared" si="183"/>
        <v>0</v>
      </c>
      <c r="BM115" s="1033">
        <f t="shared" si="184"/>
        <v>0</v>
      </c>
    </row>
    <row r="116" spans="2:67">
      <c r="B116" s="1100"/>
      <c r="C116" s="1099"/>
      <c r="D116" s="478"/>
      <c r="E116" s="478"/>
      <c r="F116" s="483" t="s">
        <v>3274</v>
      </c>
      <c r="G116" s="478" t="str">
        <f>_xlfn.XLOOKUP(H116, 'Baumaterialien Matériaux'!A:A, 'Baumaterialien Matériaux'!AD:AD, "-", 0, 1)</f>
        <v>Panneau d'aggloméré type OSB, colle PF, zone humide</v>
      </c>
      <c r="H116" s="892" t="s">
        <v>1526</v>
      </c>
      <c r="I116" s="641" t="str">
        <f>_xlfn.XLOOKUP(H116, 'Baumaterialien Matériaux'!A:A, 'Baumaterialien Matériaux'!F:F, "-", 0, 1)</f>
        <v>kg</v>
      </c>
      <c r="J116" s="649">
        <f t="shared" si="308"/>
        <v>2657.16</v>
      </c>
      <c r="K116" s="893">
        <f>0.015*605</f>
        <v>9.0749999999999993</v>
      </c>
      <c r="L116" s="647">
        <v>30</v>
      </c>
      <c r="M116" s="648">
        <f t="shared" ref="M116" si="310">SUM(N116:Q116)</f>
        <v>4.0957304158127839</v>
      </c>
      <c r="N116" s="720">
        <f>IFERROR(($J116*VLOOKUP($H116, 'Baumaterialien Matériaux'!$A$11:$AD$318, 26,FALSE)),0)/$G$1</f>
        <v>1.4198922456534671</v>
      </c>
      <c r="O116" s="720">
        <f>IFERROR(($J116*VLOOKUP($H116, 'Baumaterialien Matériaux'!$A$11:$AH$318, 33,FALSE)),0)/$G$1</f>
        <v>0.78752786408408804</v>
      </c>
      <c r="P116" s="720">
        <f t="shared" ref="P116" si="311">IFERROR((N116+Q116)*($L$2/L116-1),0)</f>
        <v>1.6541012758643483</v>
      </c>
      <c r="Q116" s="720">
        <f>IFERROR(($J116*VLOOKUP($H116, 'Baumaterialien Matériaux'!$A$11:$AH$318, 27,FALSE)),0)/$G$1</f>
        <v>0.23420903021088121</v>
      </c>
      <c r="R116" s="720">
        <f>IFERROR(($J116*VLOOKUP($H116, 'Baumaterialien Matériaux'!$A$11:$AH$318, 34,FALSE)),0)/$G$1</f>
        <v>0.13057153434256627</v>
      </c>
      <c r="S116" s="720">
        <f>IFERROR((J116*VLOOKUP(H116, 'Baumaterialien Matériaux'!$A$11:$AD$318, 29,FALSE)),0)/$G$1</f>
        <v>4.766153764791432</v>
      </c>
      <c r="T116" s="720">
        <f t="shared" si="281"/>
        <v>4.7661537647914323E-2</v>
      </c>
      <c r="U116" s="638">
        <v>0.01</v>
      </c>
      <c r="V116" s="638">
        <f t="shared" si="186"/>
        <v>4.7661537647914323E-2</v>
      </c>
      <c r="W116" s="638">
        <f t="shared" si="187"/>
        <v>4.766153764791432</v>
      </c>
      <c r="Z116" s="638">
        <f t="shared" si="188"/>
        <v>30</v>
      </c>
      <c r="AA116" s="648" t="s">
        <v>3445</v>
      </c>
      <c r="AB116" t="str">
        <f>_xlfn.XLOOKUP($H116,'[1]Baumaterialien Matériaux'!$A:$A,'[1]Baumaterialien Matériaux'!AK:AK,0,0)</f>
        <v>timber</v>
      </c>
      <c r="AC116" t="str" cm="1">
        <f t="array" ref="AC116">_xlfn.SWITCH(I116,"kg"," ",0," ",_xlfn.XLOOKUP(H116, '[1]Baumaterialien Matériaux'!$A:$A, '[1]Baumaterialien Matériaux'!$AL:$AL, "-", 0, 1))</f>
        <v xml:space="preserve"> </v>
      </c>
      <c r="AD116" s="622" cm="1">
        <f t="array" ref="AD116">IFERROR(_xlfn.SWITCH(I116,"kg",1,"m3",AC116,AC116)*J116/(_xlfn.XLOOKUP(AA116,Métrés!A:A,Métrés!D:D,0)),0)</f>
        <v>9.0749999999999993</v>
      </c>
      <c r="AE116" s="1092">
        <f>IFERROR(N116*$G$1/(_xlfn.XLOOKUP($AA116,Métrés!$A:$A,Métrés!$D:$D,0)),0)</f>
        <v>4.4013749999999989</v>
      </c>
      <c r="AF116" s="1092">
        <f>IFERROR(O116*$G$1/(_xlfn.XLOOKUP($AA116,Métrés!$A:$A,Métrés!$D:$D,0)),0)</f>
        <v>2.4411749999999999</v>
      </c>
      <c r="AG116" s="1092">
        <f>IFERROR(Q116*$G$1/(_xlfn.XLOOKUP($AA116,Métrés!$A:$A,Métrés!$D:$D,0)),0)</f>
        <v>0.72599999999999998</v>
      </c>
      <c r="AH116" s="1092">
        <f>IFERROR(R116*$G$1/(_xlfn.XLOOKUP($AA116,Métrés!$A:$A,Métrés!$D:$D,0)),0)</f>
        <v>0.40474500000000002</v>
      </c>
      <c r="AI116" s="1092">
        <f>IFERROR(S116*$G$1/(_xlfn.XLOOKUP($AA116,Métrés!$A:$A,Métrés!$D:$D,0)),0)</f>
        <v>14.774099999999997</v>
      </c>
      <c r="AJ116" s="1030">
        <v>0.01</v>
      </c>
      <c r="AK116" s="1030">
        <f t="shared" si="282"/>
        <v>4.7661537647914323E-2</v>
      </c>
      <c r="AL116" s="1030">
        <f t="shared" si="283"/>
        <v>4.766153764791432</v>
      </c>
      <c r="AM116" s="638" t="str">
        <f>IF(L116=$L$2, "Structure", IF(L116&gt;0,"Revêtement",0))</f>
        <v>Revêtement</v>
      </c>
      <c r="AN116" s="1032">
        <f t="shared" si="285"/>
        <v>0</v>
      </c>
      <c r="AO116" s="1030">
        <f t="shared" si="286"/>
        <v>0</v>
      </c>
      <c r="AP116" s="1030">
        <f t="shared" si="287"/>
        <v>0</v>
      </c>
      <c r="AQ116" s="1030">
        <f t="shared" si="288"/>
        <v>0</v>
      </c>
      <c r="AR116" s="1033">
        <f t="shared" si="289"/>
        <v>0</v>
      </c>
      <c r="AS116" s="1032">
        <f t="shared" si="290"/>
        <v>0</v>
      </c>
      <c r="AT116" s="1030">
        <f t="shared" si="291"/>
        <v>0</v>
      </c>
      <c r="AU116" s="1030">
        <f t="shared" si="292"/>
        <v>0</v>
      </c>
      <c r="AV116" s="1030">
        <f t="shared" si="293"/>
        <v>0</v>
      </c>
      <c r="AW116" s="1033">
        <f t="shared" si="294"/>
        <v>0</v>
      </c>
      <c r="AX116" s="1032">
        <f t="shared" si="295"/>
        <v>1.4198922456534671</v>
      </c>
      <c r="AY116" s="1030">
        <f t="shared" si="296"/>
        <v>1.6541012758643483</v>
      </c>
      <c r="AZ116" s="1030">
        <f t="shared" si="297"/>
        <v>0.23420903021088121</v>
      </c>
      <c r="BA116" s="1030">
        <f t="shared" si="298"/>
        <v>4.766153764791432</v>
      </c>
      <c r="BB116" s="1033">
        <f t="shared" si="299"/>
        <v>4.7661537647914323E-2</v>
      </c>
      <c r="BC116" s="1032">
        <f t="shared" si="300"/>
        <v>0</v>
      </c>
      <c r="BD116" s="1030">
        <f t="shared" si="301"/>
        <v>0</v>
      </c>
      <c r="BE116" s="1030">
        <f t="shared" si="302"/>
        <v>0</v>
      </c>
      <c r="BF116" s="1033">
        <f t="shared" si="303"/>
        <v>0</v>
      </c>
      <c r="BG116" s="1032">
        <f t="shared" si="304"/>
        <v>0</v>
      </c>
      <c r="BH116" s="1030">
        <f t="shared" si="305"/>
        <v>0</v>
      </c>
      <c r="BI116" s="1033">
        <f t="shared" si="306"/>
        <v>2657.16</v>
      </c>
      <c r="BJ116" s="1030">
        <f>_xlfn.XLOOKUP(H116, 'Baumaterialien Matériaux'!A:A, 'Baumaterialien Matériaux'!E:E, "-", 0, 1)</f>
        <v>605</v>
      </c>
      <c r="BK116" s="1032">
        <f t="shared" si="182"/>
        <v>0</v>
      </c>
      <c r="BL116" s="1030">
        <f t="shared" si="183"/>
        <v>0</v>
      </c>
      <c r="BM116" s="1033">
        <f t="shared" si="184"/>
        <v>4.3919999999999995</v>
      </c>
    </row>
    <row r="117" spans="2:67">
      <c r="B117" s="1100"/>
      <c r="C117" s="1099"/>
      <c r="D117" s="478"/>
      <c r="E117" s="478"/>
      <c r="F117" s="483" t="s">
        <v>3275</v>
      </c>
      <c r="G117" s="478" t="str">
        <f>_xlfn.XLOOKUP(H117, 'Baumaterialien Matériaux'!A:A, 'Baumaterialien Matériaux'!AD:AD, "-", 0, 1)</f>
        <v>Tôle de cuivre, nue</v>
      </c>
      <c r="H117" s="892" t="s">
        <v>1415</v>
      </c>
      <c r="I117" s="641" t="str">
        <f>_xlfn.XLOOKUP(H117, 'Baumaterialien Matériaux'!A:A, 'Baumaterialien Matériaux'!F:F, "-", 0, 1)</f>
        <v>kg</v>
      </c>
      <c r="J117" s="649">
        <f>K117*41.6</f>
        <v>222.14400000000001</v>
      </c>
      <c r="K117" s="893">
        <f>8900*0.0006</f>
        <v>5.34</v>
      </c>
      <c r="L117" s="647">
        <v>30</v>
      </c>
      <c r="M117" s="648">
        <f t="shared" ref="M117" si="312">SUM(N117:Q117)</f>
        <v>1.2058952008990549</v>
      </c>
      <c r="N117" s="720">
        <f>IFERROR(($J117*VLOOKUP($H117, 'Baumaterialien Matériaux'!$A$11:$AD$318, 26,FALSE)),0)/$G$1</f>
        <v>0.53845970780723218</v>
      </c>
      <c r="O117" s="720">
        <f>IFERROR(($J117*VLOOKUP($H117, 'Baumaterialien Matériaux'!$A$11:$AH$318, 33,FALSE)),0)/$G$1</f>
        <v>0.12506950485886165</v>
      </c>
      <c r="P117" s="720">
        <f t="shared" ref="P117" si="313">IFERROR((N117+Q117)*($L$2/L117-1),0)</f>
        <v>0.54041284802009659</v>
      </c>
      <c r="Q117" s="720">
        <f>IFERROR(($J117*VLOOKUP($H117, 'Baumaterialien Matériaux'!$A$11:$AH$318, 27,FALSE)),0)/$G$1</f>
        <v>1.9531402128644144E-3</v>
      </c>
      <c r="R117" s="720">
        <f>IFERROR(($J117*VLOOKUP($H117, 'Baumaterialien Matériaux'!$A$11:$AH$318, 34,FALSE)),0)/$G$1</f>
        <v>0</v>
      </c>
      <c r="S117" s="720">
        <f>IFERROR((J117*VLOOKUP(H117, 'Baumaterialien Matériaux'!$A$11:$AD$318, 29,FALSE)),0)/$G$1</f>
        <v>0</v>
      </c>
      <c r="T117" s="720">
        <f t="shared" si="281"/>
        <v>0</v>
      </c>
      <c r="V117" s="638">
        <f t="shared" si="186"/>
        <v>0</v>
      </c>
      <c r="W117" s="638">
        <f t="shared" si="187"/>
        <v>0</v>
      </c>
      <c r="Z117" s="638">
        <f t="shared" si="188"/>
        <v>30</v>
      </c>
      <c r="AA117" s="648" t="s">
        <v>3445</v>
      </c>
      <c r="AB117" t="str">
        <f>_xlfn.XLOOKUP($H117,'[1]Baumaterialien Matériaux'!$A:$A,'[1]Baumaterialien Matériaux'!AK:AK,0,0)</f>
        <v>metal</v>
      </c>
      <c r="AC117" t="str" cm="1">
        <f t="array" ref="AC117">_xlfn.SWITCH(I117,"kg"," ",0," ",_xlfn.XLOOKUP(H117, '[1]Baumaterialien Matériaux'!$A:$A, '[1]Baumaterialien Matériaux'!$AL:$AL, "-", 0, 1))</f>
        <v xml:space="preserve"> </v>
      </c>
      <c r="AD117" s="622" cm="1">
        <f t="array" ref="AD117">IFERROR(_xlfn.SWITCH(I117,"kg",1,"m3",AC117,AC117)*J117/(_xlfn.XLOOKUP(AA117,Métrés!A:A,Métrés!D:D,0)),0)</f>
        <v>0.75868852459016389</v>
      </c>
      <c r="AE117" s="1092">
        <f>IFERROR(N117*$G$1/(_xlfn.XLOOKUP($AA117,Métrés!$A:$A,Métrés!$D:$D,0)),0)</f>
        <v>1.6691147540983609</v>
      </c>
      <c r="AF117" s="1092">
        <f>IFERROR(O117*$G$1/(_xlfn.XLOOKUP($AA117,Métrés!$A:$A,Métrés!$D:$D,0)),0)</f>
        <v>0.38768983606557378</v>
      </c>
      <c r="AG117" s="1092">
        <f>IFERROR(Q117*$G$1/(_xlfn.XLOOKUP($AA117,Métrés!$A:$A,Métrés!$D:$D,0)),0)</f>
        <v>6.0543344262295072E-3</v>
      </c>
      <c r="AH117" s="1092">
        <f>IFERROR(R117*$G$1/(_xlfn.XLOOKUP($AA117,Métrés!$A:$A,Métrés!$D:$D,0)),0)</f>
        <v>0</v>
      </c>
      <c r="AI117" s="1092">
        <f>IFERROR(S117*$G$1/(_xlfn.XLOOKUP($AA117,Métrés!$A:$A,Métrés!$D:$D,0)),0)</f>
        <v>0</v>
      </c>
      <c r="AJ117" s="1030"/>
      <c r="AK117" s="1030">
        <f t="shared" si="282"/>
        <v>0</v>
      </c>
      <c r="AL117" s="1030">
        <f t="shared" si="283"/>
        <v>0</v>
      </c>
      <c r="AM117" s="638" t="str">
        <f>IF(L117=$L$2, "Structure", IF(L117&gt;0,"Revêtement",0))</f>
        <v>Revêtement</v>
      </c>
      <c r="AN117" s="1032">
        <f t="shared" si="285"/>
        <v>0</v>
      </c>
      <c r="AO117" s="1030">
        <f t="shared" si="286"/>
        <v>0</v>
      </c>
      <c r="AP117" s="1030">
        <f t="shared" si="287"/>
        <v>0</v>
      </c>
      <c r="AQ117" s="1030">
        <f t="shared" si="288"/>
        <v>0</v>
      </c>
      <c r="AR117" s="1033">
        <f t="shared" si="289"/>
        <v>0</v>
      </c>
      <c r="AS117" s="1032">
        <f t="shared" si="290"/>
        <v>0</v>
      </c>
      <c r="AT117" s="1030">
        <f t="shared" si="291"/>
        <v>0</v>
      </c>
      <c r="AU117" s="1030">
        <f t="shared" si="292"/>
        <v>0</v>
      </c>
      <c r="AV117" s="1030">
        <f t="shared" si="293"/>
        <v>0</v>
      </c>
      <c r="AW117" s="1033">
        <f t="shared" si="294"/>
        <v>0</v>
      </c>
      <c r="AX117" s="1032">
        <f t="shared" si="295"/>
        <v>0.53845970780723218</v>
      </c>
      <c r="AY117" s="1030">
        <f t="shared" si="296"/>
        <v>0.54041284802009659</v>
      </c>
      <c r="AZ117" s="1030">
        <f t="shared" si="297"/>
        <v>1.9531402128644144E-3</v>
      </c>
      <c r="BA117" s="1030">
        <f t="shared" si="298"/>
        <v>0</v>
      </c>
      <c r="BB117" s="1033">
        <f t="shared" si="299"/>
        <v>0</v>
      </c>
      <c r="BC117" s="1032">
        <f t="shared" si="300"/>
        <v>0</v>
      </c>
      <c r="BD117" s="1030">
        <f t="shared" si="301"/>
        <v>0</v>
      </c>
      <c r="BE117" s="1030">
        <f t="shared" si="302"/>
        <v>0</v>
      </c>
      <c r="BF117" s="1033">
        <f t="shared" si="303"/>
        <v>0</v>
      </c>
      <c r="BG117" s="1032">
        <f t="shared" si="304"/>
        <v>0</v>
      </c>
      <c r="BH117" s="1030">
        <f t="shared" si="305"/>
        <v>0</v>
      </c>
      <c r="BI117" s="1033">
        <f t="shared" si="306"/>
        <v>222.14400000000001</v>
      </c>
      <c r="BJ117" s="1030">
        <f>_xlfn.XLOOKUP(H117, 'Baumaterialien Matériaux'!A:A, 'Baumaterialien Matériaux'!E:E, "-", 0, 1)</f>
        <v>8900</v>
      </c>
      <c r="BK117" s="1032">
        <f t="shared" si="182"/>
        <v>0</v>
      </c>
      <c r="BL117" s="1030">
        <f t="shared" si="183"/>
        <v>0</v>
      </c>
      <c r="BM117" s="1033">
        <f t="shared" si="184"/>
        <v>2.496E-2</v>
      </c>
    </row>
    <row r="118" spans="2:67">
      <c r="B118" s="1100"/>
      <c r="C118" s="1099"/>
      <c r="D118" s="478"/>
      <c r="E118" s="478"/>
      <c r="F118" s="483" t="s">
        <v>3351</v>
      </c>
      <c r="G118" s="478" t="str">
        <f>_xlfn.XLOOKUP(H118, 'Baumaterialien Matériaux'!A:A, 'Baumaterialien Matériaux'!AD:AD, "-", 0, 1)</f>
        <v>Tôle d'acier, zinguée</v>
      </c>
      <c r="H118" s="892" t="s">
        <v>618</v>
      </c>
      <c r="I118" s="641" t="str">
        <f>_xlfn.XLOOKUP(H118, 'Baumaterialien Matériaux'!A:A, 'Baumaterialien Matériaux'!F:F, "-", 0, 1)</f>
        <v>kg</v>
      </c>
      <c r="J118" s="649">
        <f>K118*22.55</f>
        <v>531.05250000000001</v>
      </c>
      <c r="K118" s="893">
        <f>7850*0.003</f>
        <v>23.55</v>
      </c>
      <c r="L118" s="647">
        <v>30</v>
      </c>
      <c r="M118" s="648">
        <f t="shared" ref="M118" si="314">SUM(N118:Q118)</f>
        <v>6.280499453460699</v>
      </c>
      <c r="N118" s="720">
        <f>IFERROR(($J118*VLOOKUP($H118, 'Baumaterialien Matériaux'!$A$11:$AD$318, 26,FALSE)),0)/$G$1</f>
        <v>2.6271189760031732</v>
      </c>
      <c r="O118" s="720">
        <f>IFERROR(($J118*VLOOKUP($H118, 'Baumaterialien Matériaux'!$A$11:$AH$318, 33,FALSE)),0)/$G$1</f>
        <v>1.0180817412573544</v>
      </c>
      <c r="P118" s="720">
        <f t="shared" ref="P118" si="315">IFERROR((N118+Q118)*($L$2/L118-1),0)</f>
        <v>2.6312088561016727</v>
      </c>
      <c r="Q118" s="720">
        <f>IFERROR(($J118*VLOOKUP($H118, 'Baumaterialien Matériaux'!$A$11:$AH$318, 27,FALSE)),0)/$G$1</f>
        <v>4.0898800984993716E-3</v>
      </c>
      <c r="R118" s="720">
        <f>IFERROR(($J118*VLOOKUP($H118, 'Baumaterialien Matériaux'!$A$11:$AH$318, 34,FALSE)),0)/$G$1</f>
        <v>0</v>
      </c>
      <c r="S118" s="720">
        <f>IFERROR((J118*VLOOKUP(H118, 'Baumaterialien Matériaux'!$A$11:$AD$318, 29,FALSE)),0)/$G$1</f>
        <v>0</v>
      </c>
      <c r="T118" s="720"/>
      <c r="Z118" s="638">
        <f t="shared" si="188"/>
        <v>30</v>
      </c>
      <c r="AA118" s="648" t="s">
        <v>3445</v>
      </c>
      <c r="AB118" t="str">
        <f>_xlfn.XLOOKUP($H118,'[1]Baumaterialien Matériaux'!$A:$A,'[1]Baumaterialien Matériaux'!AK:AK,0,0)</f>
        <v>metal</v>
      </c>
      <c r="AC118" t="str" cm="1">
        <f t="array" ref="AC118">_xlfn.SWITCH(I118,"kg"," ",0," ",_xlfn.XLOOKUP(H118, '[1]Baumaterialien Matériaux'!$A:$A, '[1]Baumaterialien Matériaux'!$AL:$AL, "-", 0, 1))</f>
        <v xml:space="preserve"> </v>
      </c>
      <c r="AD118" s="622" cm="1">
        <f t="array" ref="AD118">IFERROR(_xlfn.SWITCH(I118,"kg",1,"m3",AC118,AC118)*J118/(_xlfn.XLOOKUP(AA118,Métrés!A:A,Métrés!D:D,0)),0)</f>
        <v>1.8137038934426228</v>
      </c>
      <c r="AE118" s="1092">
        <f>IFERROR(N118*$G$1/(_xlfn.XLOOKUP($AA118,Métrés!$A:$A,Métrés!$D:$D,0)),0)</f>
        <v>8.1435304815573772</v>
      </c>
      <c r="AF118" s="1092">
        <f>IFERROR(O118*$G$1/(_xlfn.XLOOKUP($AA118,Métrés!$A:$A,Métrés!$D:$D,0)),0)</f>
        <v>3.1558447745901637</v>
      </c>
      <c r="AG118" s="1092">
        <f>IFERROR(Q118*$G$1/(_xlfn.XLOOKUP($AA118,Métrés!$A:$A,Métrés!$D:$D,0)),0)</f>
        <v>1.2677790215163933E-2</v>
      </c>
      <c r="AH118" s="1092">
        <f>IFERROR(R118*$G$1/(_xlfn.XLOOKUP($AA118,Métrés!$A:$A,Métrés!$D:$D,0)),0)</f>
        <v>0</v>
      </c>
      <c r="AI118" s="1092">
        <f>IFERROR(S118*$G$1/(_xlfn.XLOOKUP($AA118,Métrés!$A:$A,Métrés!$D:$D,0)),0)</f>
        <v>0</v>
      </c>
      <c r="AJ118" s="1030"/>
      <c r="AK118" s="1030"/>
      <c r="AL118" s="1030"/>
      <c r="AM118" s="638" t="str">
        <f>IF(L118=$L$2, "Structure", IF(L118&gt;0,"Revêtement",0))</f>
        <v>Revêtement</v>
      </c>
      <c r="AN118" s="1032">
        <f t="shared" si="285"/>
        <v>0</v>
      </c>
      <c r="AO118" s="1030">
        <f t="shared" si="286"/>
        <v>0</v>
      </c>
      <c r="AP118" s="1030">
        <f t="shared" si="287"/>
        <v>0</v>
      </c>
      <c r="AQ118" s="1030">
        <f t="shared" si="288"/>
        <v>0</v>
      </c>
      <c r="AR118" s="1033">
        <f t="shared" si="289"/>
        <v>0</v>
      </c>
      <c r="AS118" s="1032">
        <f t="shared" si="290"/>
        <v>0</v>
      </c>
      <c r="AT118" s="1030">
        <f t="shared" si="291"/>
        <v>0</v>
      </c>
      <c r="AU118" s="1030">
        <f t="shared" si="292"/>
        <v>0</v>
      </c>
      <c r="AV118" s="1030">
        <f t="shared" si="293"/>
        <v>0</v>
      </c>
      <c r="AW118" s="1033">
        <f t="shared" si="294"/>
        <v>0</v>
      </c>
      <c r="AX118" s="1032">
        <f t="shared" si="295"/>
        <v>2.6271189760031732</v>
      </c>
      <c r="AY118" s="1030">
        <f t="shared" si="296"/>
        <v>2.6312088561016727</v>
      </c>
      <c r="AZ118" s="1030">
        <f t="shared" si="297"/>
        <v>4.0898800984993716E-3</v>
      </c>
      <c r="BA118" s="1030">
        <f t="shared" si="298"/>
        <v>0</v>
      </c>
      <c r="BB118" s="1033">
        <f t="shared" si="299"/>
        <v>0</v>
      </c>
      <c r="BC118" s="1032">
        <f t="shared" si="300"/>
        <v>0</v>
      </c>
      <c r="BD118" s="1030">
        <f t="shared" si="301"/>
        <v>0</v>
      </c>
      <c r="BE118" s="1030">
        <f t="shared" si="302"/>
        <v>0</v>
      </c>
      <c r="BF118" s="1033">
        <f t="shared" si="303"/>
        <v>0</v>
      </c>
      <c r="BG118" s="1032">
        <f t="shared" si="304"/>
        <v>0</v>
      </c>
      <c r="BH118" s="1030">
        <f t="shared" si="305"/>
        <v>0</v>
      </c>
      <c r="BI118" s="1033">
        <f t="shared" si="306"/>
        <v>531.05250000000001</v>
      </c>
      <c r="BJ118" s="1030">
        <f>_xlfn.XLOOKUP(H118, 'Baumaterialien Matériaux'!A:A, 'Baumaterialien Matériaux'!E:E, "-", 0, 1)</f>
        <v>7850</v>
      </c>
      <c r="BK118" s="1032">
        <f t="shared" si="182"/>
        <v>0</v>
      </c>
      <c r="BL118" s="1030">
        <f t="shared" si="183"/>
        <v>0</v>
      </c>
      <c r="BM118" s="1033">
        <f t="shared" si="184"/>
        <v>6.7650000000000002E-2</v>
      </c>
    </row>
    <row r="119" spans="2:67" ht="15.6" customHeight="1">
      <c r="B119" s="1102" t="s">
        <v>131</v>
      </c>
      <c r="C119" s="1097" t="s">
        <v>132</v>
      </c>
      <c r="D119" s="473" t="s">
        <v>133</v>
      </c>
      <c r="E119" s="473"/>
      <c r="F119" s="473"/>
      <c r="G119" s="473"/>
      <c r="H119" s="473"/>
      <c r="I119" s="463"/>
      <c r="J119" s="654"/>
      <c r="K119" s="652"/>
      <c r="L119" s="652"/>
      <c r="M119" s="653">
        <f>M120+M125+M130+M133+M137+M142+M145+M148+M153+M156</f>
        <v>130.00838481092089</v>
      </c>
      <c r="N119" s="653">
        <f t="shared" ref="N119:S119" si="316">N120+N125+N130+N133+N137+N142+N145+N148+N153+N156</f>
        <v>62.696468468081363</v>
      </c>
      <c r="O119" s="653">
        <f t="shared" ref="O119" si="317">O120+O125+O130+O133+O137+O142+O145+O148+O153+O156</f>
        <v>31.227024248694388</v>
      </c>
      <c r="P119" s="653">
        <f t="shared" si="316"/>
        <v>30.630669222079725</v>
      </c>
      <c r="Q119" s="653">
        <f t="shared" si="316"/>
        <v>5.4542228720654009</v>
      </c>
      <c r="R119" s="653">
        <f t="shared" ref="R119" si="318">R120+R125+R130+R133+R137+R142+R145+R148+R153+R156</f>
        <v>0.81307602216346042</v>
      </c>
      <c r="S119" s="653">
        <f t="shared" si="316"/>
        <v>19.39267222031247</v>
      </c>
      <c r="T119" s="653">
        <f t="shared" ref="T119" si="319">T120+T125+T130+T133+T137+T142+T145+T148+T153+T156</f>
        <v>-2.7765052206804612</v>
      </c>
      <c r="V119" s="638">
        <f t="shared" si="186"/>
        <v>-2.7765052206804612</v>
      </c>
      <c r="W119" s="638">
        <f t="shared" si="187"/>
        <v>19.39267222031247</v>
      </c>
      <c r="Y119" s="638">
        <f t="shared" si="269"/>
        <v>0</v>
      </c>
      <c r="Z119" s="638">
        <f t="shared" si="188"/>
        <v>0</v>
      </c>
      <c r="AA119" s="648"/>
      <c r="AB119">
        <f>_xlfn.XLOOKUP($H119,'[1]Baumaterialien Matériaux'!$A:$A,'[1]Baumaterialien Matériaux'!AK:AK,0,0)</f>
        <v>0</v>
      </c>
      <c r="AC119" t="str" cm="1">
        <f t="array" ref="AC119">_xlfn.SWITCH(I119,"kg"," ",0," ",_xlfn.XLOOKUP(H119, '[1]Baumaterialien Matériaux'!$A:$A, '[1]Baumaterialien Matériaux'!$AL:$AL, "-", 0, 1))</f>
        <v xml:space="preserve"> </v>
      </c>
      <c r="AD119" s="622" cm="1">
        <f t="array" ref="AD119">IFERROR(_xlfn.SWITCH(I119,"kg",1,"m3",AC119,AC119)*J119/(_xlfn.XLOOKUP(AA119,Métrés!A:A,Métrés!D:D,0)),0)</f>
        <v>0</v>
      </c>
      <c r="AE119" s="1092">
        <f>IFERROR(N119*$G$1/(_xlfn.XLOOKUP($AA119,Métrés!$A:$A,Métrés!$D:$D,0)),0)</f>
        <v>0</v>
      </c>
      <c r="AF119" s="1092">
        <f>IFERROR(O119*$G$1/(_xlfn.XLOOKUP($AA119,Métrés!$A:$A,Métrés!$D:$D,0)),0)</f>
        <v>0</v>
      </c>
      <c r="AG119" s="1092">
        <f>IFERROR(Q119*$G$1/(_xlfn.XLOOKUP($AA119,Métrés!$A:$A,Métrés!$D:$D,0)),0)</f>
        <v>0</v>
      </c>
      <c r="AH119" s="1092">
        <f>IFERROR(R119*$G$1/(_xlfn.XLOOKUP($AA119,Métrés!$A:$A,Métrés!$D:$D,0)),0)</f>
        <v>0</v>
      </c>
      <c r="AI119" s="1092">
        <f>IFERROR(S119*$G$1/(_xlfn.XLOOKUP($AA119,Métrés!$A:$A,Métrés!$D:$D,0)),0)</f>
        <v>0</v>
      </c>
      <c r="AJ119" s="1063"/>
      <c r="AK119" s="1063"/>
      <c r="AL119" s="1063"/>
      <c r="AM119" s="1020"/>
      <c r="AN119" s="1071"/>
      <c r="AO119" s="1063"/>
      <c r="AP119" s="1063"/>
      <c r="AQ119" s="1063"/>
      <c r="AR119" s="1072"/>
      <c r="AS119" s="1071"/>
      <c r="AT119" s="1063"/>
      <c r="AU119" s="1063"/>
      <c r="AV119" s="1063"/>
      <c r="AW119" s="1072"/>
      <c r="AX119" s="1071"/>
      <c r="AY119" s="1063"/>
      <c r="AZ119" s="1063"/>
      <c r="BA119" s="1063"/>
      <c r="BB119" s="1072"/>
      <c r="BC119" s="1071"/>
      <c r="BD119" s="1063"/>
      <c r="BE119" s="1063"/>
      <c r="BF119" s="1072"/>
      <c r="BG119" s="1071"/>
      <c r="BH119" s="1063"/>
      <c r="BI119" s="1072"/>
      <c r="BJ119" s="1077"/>
      <c r="BK119" s="1071"/>
      <c r="BL119" s="1063"/>
      <c r="BM119" s="1072"/>
    </row>
    <row r="120" spans="2:67">
      <c r="B120" s="1103"/>
      <c r="C120" s="1099"/>
      <c r="D120" s="478" t="s">
        <v>134</v>
      </c>
      <c r="E120" s="479" t="str">
        <f>BillQuantities!E24</f>
        <v>Porteuse (moyenne) (avec enduit intérieur)</v>
      </c>
      <c r="F120" s="479" t="s">
        <v>3043</v>
      </c>
      <c r="G120" s="479"/>
      <c r="H120" s="479"/>
      <c r="I120" s="460" t="s">
        <v>39</v>
      </c>
      <c r="J120" s="662">
        <v>357.06</v>
      </c>
      <c r="K120" s="663"/>
      <c r="L120" s="663"/>
      <c r="M120" s="664">
        <f>SUM(M121:M124)</f>
        <v>52.495662166986186</v>
      </c>
      <c r="N120" s="664">
        <f t="shared" ref="N120:S120" si="320">SUM(N121:N124)</f>
        <v>18.277416275533813</v>
      </c>
      <c r="O120" s="664">
        <f t="shared" ref="O120" si="321">SUM(O121:O124)</f>
        <v>15.85315193759503</v>
      </c>
      <c r="P120" s="664">
        <f t="shared" si="320"/>
        <v>17.474908700998213</v>
      </c>
      <c r="Q120" s="664">
        <f t="shared" si="320"/>
        <v>0.89018525285912609</v>
      </c>
      <c r="R120" s="664">
        <f t="shared" ref="R120" si="322">SUM(R121:R124)</f>
        <v>0.14238415389700534</v>
      </c>
      <c r="S120" s="664">
        <f t="shared" si="320"/>
        <v>14.31737777483969</v>
      </c>
      <c r="T120" s="664">
        <f t="shared" ref="T120" si="323">SUM(T121:T124)</f>
        <v>-2.4634444545514649</v>
      </c>
      <c r="V120" s="638">
        <f t="shared" si="186"/>
        <v>-2.4634444545514649</v>
      </c>
      <c r="W120" s="638">
        <f t="shared" si="187"/>
        <v>14.31737777483969</v>
      </c>
      <c r="Y120" s="638">
        <f t="shared" si="269"/>
        <v>0</v>
      </c>
      <c r="Z120" s="638">
        <f t="shared" si="188"/>
        <v>0</v>
      </c>
      <c r="AA120" s="648" t="s">
        <v>3456</v>
      </c>
      <c r="AB120">
        <f>_xlfn.XLOOKUP($H120,'[1]Baumaterialien Matériaux'!$A:$A,'[1]Baumaterialien Matériaux'!AK:AK,0,0)</f>
        <v>0</v>
      </c>
      <c r="AC120" cm="1">
        <f t="array" ref="AC120">_xlfn.SWITCH(I120,"kg"," ",0," ",_xlfn.XLOOKUP(H120, '[1]Baumaterialien Matériaux'!$A:$A, '[1]Baumaterialien Matériaux'!$AL:$AL, "-", 0, 1))</f>
        <v>0</v>
      </c>
      <c r="AD120" s="622" cm="1">
        <f t="array" ref="AD120">IFERROR(_xlfn.SWITCH(I120,"kg",1,"m3",AC120,AC120)*J120/(_xlfn.XLOOKUP(AA120,Métrés!A:A,Métrés!D:D,0)),0)</f>
        <v>0</v>
      </c>
      <c r="AE120" s="1092">
        <f>IFERROR(N120*$G$1/(_xlfn.XLOOKUP($AA120,Métrés!$A:$A,Métrés!$D:$D,0)),0)</f>
        <v>24.645226723715293</v>
      </c>
      <c r="AF120" s="1092">
        <f>IFERROR(O120*$G$1/(_xlfn.XLOOKUP($AA120,Métrés!$A:$A,Métrés!$D:$D,0)),0)</f>
        <v>21.376354179257476</v>
      </c>
      <c r="AG120" s="1092">
        <f>IFERROR(Q120*$G$1/(_xlfn.XLOOKUP($AA120,Métrés!$A:$A,Métrés!$D:$D,0)),0)</f>
        <v>1.2003237794714088</v>
      </c>
      <c r="AH120" s="1092">
        <f>IFERROR(R120*$G$1/(_xlfn.XLOOKUP($AA120,Métrés!$A:$A,Métrés!$D:$D,0)),0)</f>
        <v>0.19199047074029502</v>
      </c>
      <c r="AI120" s="1092">
        <f>IFERROR(S120*$G$1/(_xlfn.XLOOKUP($AA120,Métrés!$A:$A,Métrés!$D:$D,0)),0)</f>
        <v>19.305519775371039</v>
      </c>
      <c r="AJ120" s="1064"/>
      <c r="AK120" s="1064"/>
      <c r="AL120" s="1064"/>
      <c r="AM120" s="1021"/>
      <c r="AN120" s="1073"/>
      <c r="AO120" s="1064"/>
      <c r="AP120" s="1064"/>
      <c r="AQ120" s="1064"/>
      <c r="AR120" s="1074"/>
      <c r="AS120" s="1073"/>
      <c r="AT120" s="1064"/>
      <c r="AU120" s="1064"/>
      <c r="AV120" s="1064"/>
      <c r="AW120" s="1074"/>
      <c r="AX120" s="1073"/>
      <c r="AY120" s="1064"/>
      <c r="AZ120" s="1064"/>
      <c r="BA120" s="1064"/>
      <c r="BB120" s="1074"/>
      <c r="BC120" s="1073"/>
      <c r="BD120" s="1064"/>
      <c r="BE120" s="1064"/>
      <c r="BF120" s="1074"/>
      <c r="BG120" s="1073"/>
      <c r="BH120" s="1064"/>
      <c r="BI120" s="1074"/>
      <c r="BJ120" s="1078"/>
      <c r="BK120" s="1073"/>
      <c r="BL120" s="1064"/>
      <c r="BM120" s="1074"/>
    </row>
    <row r="121" spans="2:67">
      <c r="B121" s="1103"/>
      <c r="C121" s="1099"/>
      <c r="D121" s="478"/>
      <c r="E121" s="478"/>
      <c r="F121" s="478" t="s">
        <v>3276</v>
      </c>
      <c r="G121" s="478" t="str">
        <f>_xlfn.XLOOKUP(H121, 'Baumaterialien Matériaux'!A:A, 'Baumaterialien Matériaux'!AD:AD, "-", 0, 1)</f>
        <v>Plaque de plâtre armé de fibres</v>
      </c>
      <c r="H121" s="875" t="s">
        <v>739</v>
      </c>
      <c r="I121" s="641" t="str">
        <f>_xlfn.XLOOKUP(H121, 'Baumaterialien Matériaux'!A:A, 'Baumaterialien Matériaux'!F:F, "-", 0, 1)</f>
        <v>kg</v>
      </c>
      <c r="J121" s="649">
        <f>$J$120*K121</f>
        <v>12854.16</v>
      </c>
      <c r="K121" s="647">
        <f>0.03*1200</f>
        <v>36</v>
      </c>
      <c r="L121" s="643">
        <v>30</v>
      </c>
      <c r="M121" s="648">
        <f t="shared" ref="M121:M132" si="324">SUM(N121:Q121)</f>
        <v>23.036707714682358</v>
      </c>
      <c r="N121" s="720">
        <f>IFERROR(($J121*VLOOKUP($H121, 'Baumaterialien Matériaux'!$A$11:$AD$318, 26,FALSE)),0)/$G$1</f>
        <v>7.5627701460963834</v>
      </c>
      <c r="O121" s="720">
        <f>IFERROR(($J121*VLOOKUP($H121, 'Baumaterialien Matériaux'!$A$11:$AH$318, 33,FALSE)),0)/$G$1</f>
        <v>7.3786577642625764</v>
      </c>
      <c r="P121" s="720">
        <f>IFERROR((N121+Q121)*($L$2/L121-1),0)</f>
        <v>7.8290249752098893</v>
      </c>
      <c r="Q121" s="720">
        <f>IFERROR(($J121*VLOOKUP($H121, 'Baumaterialien Matériaux'!$A$11:$AH$318, 27,FALSE)),0)/$G$1</f>
        <v>0.26625482911350568</v>
      </c>
      <c r="R121" s="720">
        <f>IFERROR(($J121*VLOOKUP($H121, 'Baumaterialien Matériaux'!$A$11:$AH$318, 34,FALSE)),0)/$G$1</f>
        <v>4.7019469822172276E-2</v>
      </c>
      <c r="S121" s="720">
        <f>IFERROR((J121*VLOOKUP(H121, 'Baumaterialien Matériaux'!$A$11:$AD$318, 29,FALSE)),0)/$G$1</f>
        <v>2.3316180868645469</v>
      </c>
      <c r="T121" s="720">
        <f>S121*AJ121</f>
        <v>2.331618086864547E-2</v>
      </c>
      <c r="U121" s="638">
        <v>0.01</v>
      </c>
      <c r="V121" s="638">
        <f t="shared" si="186"/>
        <v>2.331618086864547E-2</v>
      </c>
      <c r="W121" s="638">
        <f t="shared" si="187"/>
        <v>2.3316180868645469</v>
      </c>
      <c r="Y121" s="638" t="str">
        <f t="shared" si="269"/>
        <v>Revêtement</v>
      </c>
      <c r="Z121" s="638">
        <f t="shared" si="188"/>
        <v>30</v>
      </c>
      <c r="AA121" s="648" t="s">
        <v>3456</v>
      </c>
      <c r="AB121" t="str">
        <f>_xlfn.XLOOKUP($H121,'[1]Baumaterialien Matériaux'!$A:$A,'[1]Baumaterialien Matériaux'!AK:AK,0,0)</f>
        <v>gypsum</v>
      </c>
      <c r="AC121" t="str" cm="1">
        <f t="array" ref="AC121">_xlfn.SWITCH(I121,"kg"," ",0," ",_xlfn.XLOOKUP(H121, '[1]Baumaterialien Matériaux'!$A:$A, '[1]Baumaterialien Matériaux'!$AL:$AL, "-", 0, 1))</f>
        <v xml:space="preserve"> </v>
      </c>
      <c r="AD121" s="622" cm="1">
        <f t="array" ref="AD121">IFERROR(_xlfn.SWITCH(I121,"kg",1,"m3",AC121,AC121)*J121/(_xlfn.XLOOKUP(AA121,Métrés!A:A,Métrés!D:D,0)),0)</f>
        <v>19.096670677898114</v>
      </c>
      <c r="AE121" s="1092">
        <f>IFERROR(N121*$G$1/(_xlfn.XLOOKUP($AA121,Métrés!$A:$A,Métrés!$D:$D,0)),0)</f>
        <v>10.197622141997593</v>
      </c>
      <c r="AF121" s="1092">
        <f>IFERROR(O121*$G$1/(_xlfn.XLOOKUP($AA121,Métrés!$A:$A,Métrés!$D:$D,0)),0)</f>
        <v>9.9493654231849167</v>
      </c>
      <c r="AG121" s="1092">
        <f>IFERROR(Q121*$G$1/(_xlfn.XLOOKUP($AA121,Métrés!$A:$A,Métrés!$D:$D,0)),0)</f>
        <v>0.35901740874448457</v>
      </c>
      <c r="AH121" s="1092">
        <f>IFERROR(R121*$G$1/(_xlfn.XLOOKUP($AA121,Métrés!$A:$A,Métrés!$D:$D,0)),0)</f>
        <v>6.3400946650621737E-2</v>
      </c>
      <c r="AI121" s="1092">
        <f>IFERROR(S121*$G$1/(_xlfn.XLOOKUP($AA121,Métrés!$A:$A,Métrés!$D:$D,0)),0)</f>
        <v>3.1439485492712929</v>
      </c>
      <c r="AJ121" s="1030">
        <v>0.01</v>
      </c>
      <c r="AK121" s="1030">
        <f>IF(L121=60,0,T121)</f>
        <v>2.331618086864547E-2</v>
      </c>
      <c r="AL121" s="1030">
        <f>IF(L121=60,0,S121)</f>
        <v>2.3316180868645469</v>
      </c>
      <c r="AM121" s="638" t="str">
        <f>IF(L121=$L$2, "Structure", IF(L121&gt;0,"Revêtement",0))</f>
        <v>Revêtement</v>
      </c>
      <c r="AN121" s="1032">
        <f>IF(AM121="Structure",N121,0)</f>
        <v>0</v>
      </c>
      <c r="AO121" s="1030">
        <f>IF(AM121="Structure",P121,0)</f>
        <v>0</v>
      </c>
      <c r="AP121" s="1030">
        <f>IF(AM121="Structure",Q121,0)</f>
        <v>0</v>
      </c>
      <c r="AQ121" s="1030">
        <f>IF(AM121="Structure",S121,0)</f>
        <v>0</v>
      </c>
      <c r="AR121" s="1033">
        <f>IF(AM121="Structure",T121,0)</f>
        <v>0</v>
      </c>
      <c r="AS121" s="1032">
        <f>IF($AM121="Insulation",N121,0)</f>
        <v>0</v>
      </c>
      <c r="AT121" s="1030">
        <f t="shared" ref="AT121:AU124" si="325">IF($AM121="Insulation",P121,0)</f>
        <v>0</v>
      </c>
      <c r="AU121" s="1030">
        <f t="shared" si="325"/>
        <v>0</v>
      </c>
      <c r="AV121" s="1030">
        <f t="shared" ref="AV121:AW124" si="326">IF($AM121="Insulation",S121,0)</f>
        <v>0</v>
      </c>
      <c r="AW121" s="1033">
        <f t="shared" si="326"/>
        <v>0</v>
      </c>
      <c r="AX121" s="1032">
        <f>IF($AM121="Revêtement",N121,0)</f>
        <v>7.5627701460963834</v>
      </c>
      <c r="AY121" s="1030">
        <f t="shared" ref="AY121:AZ124" si="327">IF($AM121="Revêtement",P121,0)</f>
        <v>7.8290249752098893</v>
      </c>
      <c r="AZ121" s="1030">
        <f t="shared" si="327"/>
        <v>0.26625482911350568</v>
      </c>
      <c r="BA121" s="1030">
        <f t="shared" ref="BA121:BB124" si="328">IF($AM121="Revêtement",S121,0)</f>
        <v>2.3316180868645469</v>
      </c>
      <c r="BB121" s="1033">
        <f t="shared" si="328"/>
        <v>2.331618086864547E-2</v>
      </c>
      <c r="BC121" s="1032">
        <f>IF($AM121="Installation",N121,0)</f>
        <v>0</v>
      </c>
      <c r="BD121" s="1030">
        <f t="shared" ref="BD121:BE124" si="329">IF($AM121="Installation",P121,0)</f>
        <v>0</v>
      </c>
      <c r="BE121" s="1030">
        <f t="shared" si="329"/>
        <v>0</v>
      </c>
      <c r="BF121" s="1033">
        <f>IF($AM121="Installation",S121,0)</f>
        <v>0</v>
      </c>
      <c r="BG121" s="1032">
        <f>IF($AM121="Structure", IF($I121="kg",$J121,0), 0)</f>
        <v>0</v>
      </c>
      <c r="BH121" s="1030">
        <f>IF($AM121="Insulation", IF($I121="kg",$J121,0), 0)</f>
        <v>0</v>
      </c>
      <c r="BI121" s="1033">
        <f>IF($AM121="Revêtement", IF($I121="kg",$J121,0), 0)</f>
        <v>12854.16</v>
      </c>
      <c r="BJ121" s="1030">
        <f>_xlfn.XLOOKUP(H121, 'Baumaterialien Matériaux'!A:A, 'Baumaterialien Matériaux'!E:E, "-", 0, 1)</f>
        <v>1200</v>
      </c>
      <c r="BK121" s="1032">
        <f t="shared" si="182"/>
        <v>0</v>
      </c>
      <c r="BL121" s="1030">
        <f t="shared" si="183"/>
        <v>0</v>
      </c>
      <c r="BM121" s="1033">
        <f t="shared" si="184"/>
        <v>10.7118</v>
      </c>
      <c r="BN121" s="720">
        <f>IFERROR((J121*VLOOKUP(H121, 'Baumaterialien Matériaux'!$A$11:$AH$318, 32,FALSE))*($L$2/L121-1),0)/$G$1</f>
        <v>7.4353077279037487</v>
      </c>
      <c r="BO121" s="720">
        <f>IFERROR((N121+Q121)*($L$2/L121-1),0)</f>
        <v>7.8290249752098893</v>
      </c>
    </row>
    <row r="122" spans="2:67">
      <c r="B122" s="1103"/>
      <c r="C122" s="1099"/>
      <c r="D122" s="478"/>
      <c r="E122" s="478"/>
      <c r="F122" s="638" t="s">
        <v>3277</v>
      </c>
      <c r="G122" s="478" t="str">
        <f>_xlfn.XLOOKUP(H122, 'Baumaterialien Matériaux'!A:A, 'Baumaterialien Matériaux'!AD:AD, "-", 0, 1)</f>
        <v>Bois massif de construction</v>
      </c>
      <c r="H122" s="875" t="s">
        <v>547</v>
      </c>
      <c r="I122" s="641" t="str">
        <f>_xlfn.XLOOKUP(H122, 'Baumaterialien Matériaux'!A:A, 'Baumaterialien Matériaux'!F:F, "-", 0, 1)</f>
        <v>kg</v>
      </c>
      <c r="J122" s="649">
        <f>436*12.18</f>
        <v>5310.48</v>
      </c>
      <c r="K122" s="893"/>
      <c r="L122" s="643">
        <f>'Eléments de constr. inté. et ex'!N5</f>
        <v>60</v>
      </c>
      <c r="M122" s="648">
        <f t="shared" si="324"/>
        <v>2.0912626006478479</v>
      </c>
      <c r="N122" s="720">
        <f>IFERROR(($J122*VLOOKUP($H122, 'Baumaterialien Matériaux'!$A$11:$AD$318, 26,FALSE)),0)/$G$1</f>
        <v>1.4334937528921794</v>
      </c>
      <c r="O122" s="720">
        <f>IFERROR(($J122*VLOOKUP($H122, 'Baumaterialien Matériaux'!$A$11:$AH$318, 33,FALSE)),0)/$G$1</f>
        <v>0.39856977325312354</v>
      </c>
      <c r="P122" s="720">
        <f t="shared" ref="P122:P132" si="330">IFERROR((N122+Q122)*($L$2/L122-1),0)</f>
        <v>0</v>
      </c>
      <c r="Q122" s="720">
        <f>IFERROR(($J122*VLOOKUP($H122, 'Baumaterialien Matériaux'!$A$11:$AH$318, 27,FALSE)),0)/$G$1</f>
        <v>0.25919907450254509</v>
      </c>
      <c r="R122" s="720">
        <f>IFERROR(($J122*VLOOKUP($H122, 'Baumaterialien Matériaux'!$A$11:$AH$318, 34,FALSE)),0)/$G$1</f>
        <v>4.2595242943081903E-2</v>
      </c>
      <c r="S122" s="720">
        <f>IFERROR((J122*VLOOKUP(H122, 'Baumaterialien Matériaux'!$A$11:$AD$318, 29,FALSE)),0)/$G$1</f>
        <v>9.6541416011105969</v>
      </c>
      <c r="T122" s="720">
        <f>S122*AJ122</f>
        <v>-2.5100768162887555</v>
      </c>
      <c r="U122" s="638">
        <v>-0.26</v>
      </c>
      <c r="V122" s="638">
        <f t="shared" si="186"/>
        <v>0</v>
      </c>
      <c r="W122" s="638">
        <f t="shared" si="187"/>
        <v>0</v>
      </c>
      <c r="Y122" s="638" t="str">
        <f t="shared" si="269"/>
        <v>Structure</v>
      </c>
      <c r="Z122" s="638">
        <f t="shared" si="188"/>
        <v>60</v>
      </c>
      <c r="AA122" s="648" t="s">
        <v>3456</v>
      </c>
      <c r="AB122" t="str">
        <f>_xlfn.XLOOKUP($H122,'[1]Baumaterialien Matériaux'!$A:$A,'[1]Baumaterialien Matériaux'!AK:AK,0,0)</f>
        <v>timber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 s="622" cm="1">
        <f t="array" ref="AD122">IFERROR(_xlfn.SWITCH(I122,"kg",1,"m3",AC122,AC122)*J122/(_xlfn.XLOOKUP(AA122,Métrés!A:A,Métrés!D:D,0)),0)</f>
        <v>7.8894682889869401</v>
      </c>
      <c r="AE122" s="1092">
        <f>IFERROR(N122*$G$1/(_xlfn.XLOOKUP($AA122,Métrés!$A:$A,Métrés!$D:$D,0)),0)</f>
        <v>1.9329197308018002</v>
      </c>
      <c r="AF122" s="1092">
        <f>IFERROR(O122*$G$1/(_xlfn.XLOOKUP($AA122,Métrés!$A:$A,Métrés!$D:$D,0)),0)</f>
        <v>0.53743057984579046</v>
      </c>
      <c r="AG122" s="1092">
        <f>IFERROR(Q122*$G$1/(_xlfn.XLOOKUP($AA122,Métrés!$A:$A,Métrés!$D:$D,0)),0)</f>
        <v>0.34950344520212145</v>
      </c>
      <c r="AH122" s="1092">
        <f>IFERROR(R122*$G$1/(_xlfn.XLOOKUP($AA122,Métrés!$A:$A,Métrés!$D:$D,0)),0)</f>
        <v>5.7435329143824924E-2</v>
      </c>
      <c r="AI122" s="1092">
        <f>IFERROR(S122*$G$1/(_xlfn.XLOOKUP($AA122,Métrés!$A:$A,Métrés!$D:$D,0)),0)</f>
        <v>13.017622676828452</v>
      </c>
      <c r="AJ122" s="1030">
        <v>-0.26</v>
      </c>
      <c r="AK122" s="1030">
        <f>IF(L122=60,0,T122)</f>
        <v>0</v>
      </c>
      <c r="AL122" s="1030">
        <f>IF(L122=60,0,S122)</f>
        <v>0</v>
      </c>
      <c r="AM122" s="638" t="str">
        <f>IF(L122=$L$2, "Structure", IF(L122&gt;0,"Revêtement",0))</f>
        <v>Structure</v>
      </c>
      <c r="AN122" s="1032">
        <f>IF(AM122="Structure",N122,0)</f>
        <v>1.4334937528921794</v>
      </c>
      <c r="AO122" s="1030">
        <f>IF(AM122="Structure",P122,0)</f>
        <v>0</v>
      </c>
      <c r="AP122" s="1030">
        <f>IF(AM122="Structure",Q122,0)</f>
        <v>0.25919907450254509</v>
      </c>
      <c r="AQ122" s="1030">
        <f>IF(AM122="Structure",S122,0)</f>
        <v>9.6541416011105969</v>
      </c>
      <c r="AR122" s="1033">
        <f>IF(AM122="Structure",T122,0)</f>
        <v>-2.5100768162887555</v>
      </c>
      <c r="AS122" s="1032">
        <f>IF($AM122="Insulation",N122,0)</f>
        <v>0</v>
      </c>
      <c r="AT122" s="1030">
        <f t="shared" si="325"/>
        <v>0</v>
      </c>
      <c r="AU122" s="1030">
        <f t="shared" si="325"/>
        <v>0</v>
      </c>
      <c r="AV122" s="1030">
        <f t="shared" si="326"/>
        <v>0</v>
      </c>
      <c r="AW122" s="1033">
        <f t="shared" si="326"/>
        <v>0</v>
      </c>
      <c r="AX122" s="1032">
        <f>IF($AM122="Revêtement",N122,0)</f>
        <v>0</v>
      </c>
      <c r="AY122" s="1030">
        <f t="shared" si="327"/>
        <v>0</v>
      </c>
      <c r="AZ122" s="1030">
        <f t="shared" si="327"/>
        <v>0</v>
      </c>
      <c r="BA122" s="1030">
        <f t="shared" si="328"/>
        <v>0</v>
      </c>
      <c r="BB122" s="1033">
        <f t="shared" si="328"/>
        <v>0</v>
      </c>
      <c r="BC122" s="1032">
        <f>IF($AM122="Installation",N122,0)</f>
        <v>0</v>
      </c>
      <c r="BD122" s="1030">
        <f t="shared" si="329"/>
        <v>0</v>
      </c>
      <c r="BE122" s="1030">
        <f t="shared" si="329"/>
        <v>0</v>
      </c>
      <c r="BF122" s="1033">
        <f>IF($AM122="Installation",S122,0)</f>
        <v>0</v>
      </c>
      <c r="BG122" s="1032">
        <f>IF($AM122="Structure", IF($I122="kg",$J122,0), 0)</f>
        <v>5310.48</v>
      </c>
      <c r="BH122" s="1030">
        <f>IF($AM122="Insulation", IF($I122="kg",$J122,0), 0)</f>
        <v>0</v>
      </c>
      <c r="BI122" s="1033">
        <f>IF($AM122="Revêtement", IF($I122="kg",$J122,0), 0)</f>
        <v>0</v>
      </c>
      <c r="BJ122" s="1030">
        <f>_xlfn.XLOOKUP(H122, 'Baumaterialien Matériaux'!A:A, 'Baumaterialien Matériaux'!E:E, "-", 0, 1)</f>
        <v>436</v>
      </c>
      <c r="BK122" s="1032">
        <f t="shared" si="182"/>
        <v>12.18</v>
      </c>
      <c r="BL122" s="1030">
        <f t="shared" si="183"/>
        <v>0</v>
      </c>
      <c r="BM122" s="1033">
        <f t="shared" si="184"/>
        <v>0</v>
      </c>
      <c r="BN122" s="720">
        <f>IFERROR((J122*VLOOKUP(H122, 'Baumaterialien Matériaux'!$A$11:$AH$318, 32,FALSE))*($L$2/L122-1),0)/$G$1</f>
        <v>0</v>
      </c>
      <c r="BO122" s="720">
        <f>IFERROR((N122+Q122)*($L$2/L122-1),0)</f>
        <v>0</v>
      </c>
    </row>
    <row r="123" spans="2:67">
      <c r="B123" s="1103"/>
      <c r="C123" s="1099"/>
      <c r="D123" s="478"/>
      <c r="E123" s="478"/>
      <c r="F123" s="478" t="s">
        <v>3278</v>
      </c>
      <c r="G123" s="478" t="str">
        <f>_xlfn.XLOOKUP(H123, 'Baumaterialien Matériaux'!A:A, 'Baumaterialien Matériaux'!AD:AD, "-", 0, 1)</f>
        <v>Laine de verre</v>
      </c>
      <c r="H123" s="875" t="s">
        <v>130</v>
      </c>
      <c r="I123" s="641" t="str">
        <f>_xlfn.XLOOKUP(H123, 'Baumaterialien Matériaux'!A:A, 'Baumaterialien Matériaux'!F:F, "-", 0, 1)</f>
        <v>kg</v>
      </c>
      <c r="J123" s="649">
        <f t="shared" ref="J123:J124" si="331">$J$120*K123</f>
        <v>1499.652</v>
      </c>
      <c r="K123" s="894">
        <f>0.14*30</f>
        <v>4.2</v>
      </c>
      <c r="L123" s="643">
        <v>30</v>
      </c>
      <c r="M123" s="648">
        <f t="shared" si="324"/>
        <v>4.3309841369736235</v>
      </c>
      <c r="N123" s="720">
        <f>IFERROR(($J123*VLOOKUP($H123, 'Baumaterialien Matériaux'!$A$11:$AD$318, 26,FALSE)),0)/$G$1</f>
        <v>1.7183822304488665</v>
      </c>
      <c r="O123" s="720">
        <f>IFERROR(($J123*VLOOKUP($H123, 'Baumaterialien Matériaux'!$A$11:$AH$318, 33,FALSE)),0)/$G$1</f>
        <v>0.69726663581675152</v>
      </c>
      <c r="P123" s="720">
        <f t="shared" si="330"/>
        <v>1.8168587505784362</v>
      </c>
      <c r="Q123" s="720">
        <f>IFERROR(($J123*VLOOKUP($H123, 'Baumaterialien Matériaux'!$A$11:$AH$318, 27,FALSE)),0)/$G$1</f>
        <v>9.8476520129569645E-2</v>
      </c>
      <c r="R123" s="720">
        <f>IFERROR(($J123*VLOOKUP($H123, 'Baumaterialien Matériaux'!$A$11:$AH$318, 34,FALSE)),0)/$G$1</f>
        <v>5.7499713095788994E-3</v>
      </c>
      <c r="S123" s="720">
        <f>IFERROR((J123*VLOOKUP(H123, 'Baumaterialien Matériaux'!$A$11:$AD$318, 29,FALSE)),0)/$G$1</f>
        <v>0</v>
      </c>
      <c r="T123" s="720">
        <f>S123*AJ123</f>
        <v>0</v>
      </c>
      <c r="V123" s="638">
        <f t="shared" si="186"/>
        <v>0</v>
      </c>
      <c r="W123" s="638">
        <f t="shared" si="187"/>
        <v>0</v>
      </c>
      <c r="Y123" s="638" t="str">
        <f t="shared" si="269"/>
        <v>Revêtement</v>
      </c>
      <c r="Z123" s="638">
        <f t="shared" si="188"/>
        <v>30</v>
      </c>
      <c r="AA123" s="648" t="s">
        <v>3456</v>
      </c>
      <c r="AB123" t="str">
        <f>_xlfn.XLOOKUP($H123,'[1]Baumaterialien Matériaux'!$A:$A,'[1]Baumaterialien Matériaux'!AK:AK,0,0)</f>
        <v>mineral_fiber</v>
      </c>
      <c r="AC123" t="str" cm="1">
        <f t="array" ref="AC123">_xlfn.SWITCH(I123,"kg"," ",0," ",_xlfn.XLOOKUP(H123, '[1]Baumaterialien Matériaux'!$A:$A, '[1]Baumaterialien Matériaux'!$AL:$AL, "-", 0, 1))</f>
        <v xml:space="preserve"> </v>
      </c>
      <c r="AD123" s="622" cm="1">
        <f t="array" ref="AD123">IFERROR(_xlfn.SWITCH(I123,"kg",1,"m3",AC123,AC123)*J123/(_xlfn.XLOOKUP(AA123,Métrés!A:A,Métrés!D:D,0)),0)</f>
        <v>2.2279449124214468</v>
      </c>
      <c r="AE123" s="1092">
        <f>IFERROR(N123*$G$1/(_xlfn.XLOOKUP($AA123,Métrés!$A:$A,Métrés!$D:$D,0)),0)</f>
        <v>2.3170627089183049</v>
      </c>
      <c r="AF123" s="1092">
        <f>IFERROR(O123*$G$1/(_xlfn.XLOOKUP($AA123,Métrés!$A:$A,Métrés!$D:$D,0)),0)</f>
        <v>0.94019275304185057</v>
      </c>
      <c r="AG123" s="1092">
        <f>IFERROR(Q123*$G$1/(_xlfn.XLOOKUP($AA123,Métrés!$A:$A,Métrés!$D:$D,0)),0)</f>
        <v>0.13278551678031822</v>
      </c>
      <c r="AH123" s="1092">
        <f>IFERROR(R123*$G$1/(_xlfn.XLOOKUP($AA123,Métrés!$A:$A,Métrés!$D:$D,0)),0)</f>
        <v>7.7532482952266347E-3</v>
      </c>
      <c r="AI123" s="1092">
        <f>IFERROR(S123*$G$1/(_xlfn.XLOOKUP($AA123,Métrés!$A:$A,Métrés!$D:$D,0)),0)</f>
        <v>0</v>
      </c>
      <c r="AJ123" s="1030"/>
      <c r="AK123" s="1030">
        <f>IF(L123=60,0,T123)</f>
        <v>0</v>
      </c>
      <c r="AL123" s="1030">
        <f>IF(L123=60,0,S123)</f>
        <v>0</v>
      </c>
      <c r="AM123" s="638" t="s">
        <v>3388</v>
      </c>
      <c r="AN123" s="1032">
        <f>IF(AM123="Structure",N123,0)</f>
        <v>0</v>
      </c>
      <c r="AO123" s="1030">
        <f>IF(AM123="Structure",P123,0)</f>
        <v>0</v>
      </c>
      <c r="AP123" s="1030">
        <f>IF(AM123="Structure",Q123,0)</f>
        <v>0</v>
      </c>
      <c r="AQ123" s="1030">
        <f>IF(AM123="Structure",S123,0)</f>
        <v>0</v>
      </c>
      <c r="AR123" s="1033">
        <f>IF(AM123="Structure",T123,0)</f>
        <v>0</v>
      </c>
      <c r="AS123" s="1032">
        <f>IF($AM123="Insulation",N123,0)</f>
        <v>1.7183822304488665</v>
      </c>
      <c r="AT123" s="1030">
        <f t="shared" si="325"/>
        <v>1.8168587505784362</v>
      </c>
      <c r="AU123" s="1030">
        <f t="shared" si="325"/>
        <v>9.8476520129569645E-2</v>
      </c>
      <c r="AV123" s="1030">
        <f t="shared" si="326"/>
        <v>0</v>
      </c>
      <c r="AW123" s="1033">
        <f t="shared" si="326"/>
        <v>0</v>
      </c>
      <c r="AX123" s="1032">
        <f>IF($AM123="Revêtement",N123,0)</f>
        <v>0</v>
      </c>
      <c r="AY123" s="1030">
        <f t="shared" si="327"/>
        <v>0</v>
      </c>
      <c r="AZ123" s="1030">
        <f t="shared" si="327"/>
        <v>0</v>
      </c>
      <c r="BA123" s="1030">
        <f t="shared" si="328"/>
        <v>0</v>
      </c>
      <c r="BB123" s="1033">
        <f t="shared" si="328"/>
        <v>0</v>
      </c>
      <c r="BC123" s="1032">
        <f>IF($AM123="Installation",N123,0)</f>
        <v>0</v>
      </c>
      <c r="BD123" s="1030">
        <f t="shared" si="329"/>
        <v>0</v>
      </c>
      <c r="BE123" s="1030">
        <f t="shared" si="329"/>
        <v>0</v>
      </c>
      <c r="BF123" s="1033">
        <f>IF($AM123="Installation",S123,0)</f>
        <v>0</v>
      </c>
      <c r="BG123" s="1032">
        <f>IF($AM123="Structure", IF($I123="kg",$J123,0), 0)</f>
        <v>0</v>
      </c>
      <c r="BH123" s="1030">
        <f>IF($AM123="Insulation", IF($I123="kg",$J123,0), 0)</f>
        <v>1499.652</v>
      </c>
      <c r="BI123" s="1033">
        <f>IF($AM123="Revêtement", IF($I123="kg",$J123,0), 0)</f>
        <v>0</v>
      </c>
      <c r="BJ123" s="1030">
        <v>30</v>
      </c>
      <c r="BK123" s="1032">
        <f t="shared" si="182"/>
        <v>0</v>
      </c>
      <c r="BL123" s="1030">
        <f t="shared" si="183"/>
        <v>49.988399999999999</v>
      </c>
      <c r="BM123" s="1033">
        <f t="shared" si="184"/>
        <v>0</v>
      </c>
      <c r="BN123" s="720">
        <f>IFERROR((J123*VLOOKUP(H123, 'Baumaterialien Matériaux'!$A$11:$AH$318, 32,FALSE))*($L$2/L123-1),0)/$G$1</f>
        <v>0.70222350763535391</v>
      </c>
      <c r="BO123" s="720">
        <f>IFERROR((N123+Q123)*($L$2/L123-1),0)</f>
        <v>1.8168587505784362</v>
      </c>
    </row>
    <row r="124" spans="2:67">
      <c r="B124" s="1103"/>
      <c r="C124" s="1099"/>
      <c r="D124" s="478"/>
      <c r="E124" s="478"/>
      <c r="F124" s="478" t="s">
        <v>3276</v>
      </c>
      <c r="G124" s="478" t="str">
        <f>_xlfn.XLOOKUP(H124, 'Baumaterialien Matériaux'!A:A, 'Baumaterialien Matériaux'!AD:AD, "-", 0, 1)</f>
        <v>Plaque de plâtre armé de fibres</v>
      </c>
      <c r="H124" s="875" t="s">
        <v>739</v>
      </c>
      <c r="I124" s="641" t="str">
        <f>_xlfn.XLOOKUP(H124, 'Baumaterialien Matériaux'!A:A, 'Baumaterialien Matériaux'!F:F, "-", 0, 1)</f>
        <v>kg</v>
      </c>
      <c r="J124" s="649">
        <f t="shared" si="331"/>
        <v>12854.16</v>
      </c>
      <c r="K124" s="647">
        <f>0.03*1200</f>
        <v>36</v>
      </c>
      <c r="L124" s="643">
        <f>'Eléments de constr. inté. et ex'!N7</f>
        <v>30</v>
      </c>
      <c r="M124" s="648">
        <f t="shared" si="324"/>
        <v>23.036707714682358</v>
      </c>
      <c r="N124" s="720">
        <f>IFERROR(($J124*VLOOKUP($H124, 'Baumaterialien Matériaux'!$A$11:$AD$318, 26,FALSE)),0)/$G$1</f>
        <v>7.5627701460963834</v>
      </c>
      <c r="O124" s="720">
        <f>IFERROR(($J124*VLOOKUP($H124, 'Baumaterialien Matériaux'!$A$11:$AH$318, 33,FALSE)),0)/$G$1</f>
        <v>7.3786577642625764</v>
      </c>
      <c r="P124" s="720">
        <f t="shared" si="330"/>
        <v>7.8290249752098893</v>
      </c>
      <c r="Q124" s="720">
        <f>IFERROR(($J124*VLOOKUP($H124, 'Baumaterialien Matériaux'!$A$11:$AH$318, 27,FALSE)),0)/$G$1</f>
        <v>0.26625482911350568</v>
      </c>
      <c r="R124" s="720">
        <f>IFERROR(($J124*VLOOKUP($H124, 'Baumaterialien Matériaux'!$A$11:$AH$318, 34,FALSE)),0)/$G$1</f>
        <v>4.7019469822172276E-2</v>
      </c>
      <c r="S124" s="720">
        <f>IFERROR((J124*VLOOKUP(H124, 'Baumaterialien Matériaux'!$A$11:$AD$318, 29,FALSE)),0)/$G$1</f>
        <v>2.3316180868645469</v>
      </c>
      <c r="T124" s="720">
        <f>S124*AJ124</f>
        <v>2.331618086864547E-2</v>
      </c>
      <c r="U124" s="638">
        <v>0.01</v>
      </c>
      <c r="V124" s="638">
        <f t="shared" si="186"/>
        <v>2.331618086864547E-2</v>
      </c>
      <c r="W124" s="638">
        <f t="shared" si="187"/>
        <v>2.3316180868645469</v>
      </c>
      <c r="Y124" s="638" t="str">
        <f t="shared" si="269"/>
        <v>Revêtement</v>
      </c>
      <c r="Z124" s="638">
        <f t="shared" si="188"/>
        <v>30</v>
      </c>
      <c r="AA124" s="648" t="s">
        <v>3456</v>
      </c>
      <c r="AB124" t="str">
        <f>_xlfn.XLOOKUP($H124,'[1]Baumaterialien Matériaux'!$A:$A,'[1]Baumaterialien Matériaux'!AK:AK,0,0)</f>
        <v>gypsum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 s="622" cm="1">
        <f t="array" ref="AD124">IFERROR(_xlfn.SWITCH(I124,"kg",1,"m3",AC124,AC124)*J124/(_xlfn.XLOOKUP(AA124,Métrés!A:A,Métrés!D:D,0)),0)</f>
        <v>19.096670677898114</v>
      </c>
      <c r="AE124" s="1092">
        <f>IFERROR(N124*$G$1/(_xlfn.XLOOKUP($AA124,Métrés!$A:$A,Métrés!$D:$D,0)),0)</f>
        <v>10.197622141997593</v>
      </c>
      <c r="AF124" s="1092">
        <f>IFERROR(O124*$G$1/(_xlfn.XLOOKUP($AA124,Métrés!$A:$A,Métrés!$D:$D,0)),0)</f>
        <v>9.9493654231849167</v>
      </c>
      <c r="AG124" s="1092">
        <f>IFERROR(Q124*$G$1/(_xlfn.XLOOKUP($AA124,Métrés!$A:$A,Métrés!$D:$D,0)),0)</f>
        <v>0.35901740874448457</v>
      </c>
      <c r="AH124" s="1092">
        <f>IFERROR(R124*$G$1/(_xlfn.XLOOKUP($AA124,Métrés!$A:$A,Métrés!$D:$D,0)),0)</f>
        <v>6.3400946650621737E-2</v>
      </c>
      <c r="AI124" s="1092">
        <f>IFERROR(S124*$G$1/(_xlfn.XLOOKUP($AA124,Métrés!$A:$A,Métrés!$D:$D,0)),0)</f>
        <v>3.1439485492712929</v>
      </c>
      <c r="AJ124" s="1030">
        <v>0.01</v>
      </c>
      <c r="AK124" s="1030">
        <f>IF(L124=60,0,T124)</f>
        <v>2.331618086864547E-2</v>
      </c>
      <c r="AL124" s="1030">
        <f>IF(L124=60,0,S124)</f>
        <v>2.3316180868645469</v>
      </c>
      <c r="AM124" s="638" t="str">
        <f>IF(L124=$L$2, "Structure", IF(L124&gt;0,"Revêtement",0))</f>
        <v>Revêtement</v>
      </c>
      <c r="AN124" s="1032">
        <f>IF(AM124="Structure",N124,0)</f>
        <v>0</v>
      </c>
      <c r="AO124" s="1030">
        <f>IF(AM124="Structure",P124,0)</f>
        <v>0</v>
      </c>
      <c r="AP124" s="1030">
        <f>IF(AM124="Structure",Q124,0)</f>
        <v>0</v>
      </c>
      <c r="AQ124" s="1030">
        <f>IF(AM124="Structure",S124,0)</f>
        <v>0</v>
      </c>
      <c r="AR124" s="1033">
        <f>IF(AM124="Structure",T124,0)</f>
        <v>0</v>
      </c>
      <c r="AS124" s="1032">
        <f>IF($AM124="Insulation",N124,0)</f>
        <v>0</v>
      </c>
      <c r="AT124" s="1030">
        <f t="shared" si="325"/>
        <v>0</v>
      </c>
      <c r="AU124" s="1030">
        <f t="shared" si="325"/>
        <v>0</v>
      </c>
      <c r="AV124" s="1030">
        <f t="shared" si="326"/>
        <v>0</v>
      </c>
      <c r="AW124" s="1033">
        <f t="shared" si="326"/>
        <v>0</v>
      </c>
      <c r="AX124" s="1032">
        <f>IF($AM124="Revêtement",N124,0)</f>
        <v>7.5627701460963834</v>
      </c>
      <c r="AY124" s="1030">
        <f t="shared" si="327"/>
        <v>7.8290249752098893</v>
      </c>
      <c r="AZ124" s="1030">
        <f t="shared" si="327"/>
        <v>0.26625482911350568</v>
      </c>
      <c r="BA124" s="1030">
        <f t="shared" si="328"/>
        <v>2.3316180868645469</v>
      </c>
      <c r="BB124" s="1033">
        <f t="shared" si="328"/>
        <v>2.331618086864547E-2</v>
      </c>
      <c r="BC124" s="1032">
        <f>IF($AM124="Installation",N124,0)</f>
        <v>0</v>
      </c>
      <c r="BD124" s="1030">
        <f t="shared" si="329"/>
        <v>0</v>
      </c>
      <c r="BE124" s="1030">
        <f t="shared" si="329"/>
        <v>0</v>
      </c>
      <c r="BF124" s="1033">
        <f>IF($AM124="Installation",S124,0)</f>
        <v>0</v>
      </c>
      <c r="BG124" s="1032">
        <f>IF($AM124="Structure", IF($I124="kg",$J124,0), 0)</f>
        <v>0</v>
      </c>
      <c r="BH124" s="1030">
        <f>IF($AM124="Insulation", IF($I124="kg",$J124,0), 0)</f>
        <v>0</v>
      </c>
      <c r="BI124" s="1033">
        <f>IF($AM124="Revêtement", IF($I124="kg",$J124,0), 0)</f>
        <v>12854.16</v>
      </c>
      <c r="BJ124" s="1030">
        <f>_xlfn.XLOOKUP(H124, 'Baumaterialien Matériaux'!A:A, 'Baumaterialien Matériaux'!E:E, "-", 0, 1)</f>
        <v>1200</v>
      </c>
      <c r="BK124" s="1032">
        <f t="shared" si="182"/>
        <v>0</v>
      </c>
      <c r="BL124" s="1030">
        <f t="shared" si="183"/>
        <v>0</v>
      </c>
      <c r="BM124" s="1033">
        <f t="shared" si="184"/>
        <v>10.7118</v>
      </c>
      <c r="BN124" s="720">
        <f>IFERROR((J124*VLOOKUP(H124, 'Baumaterialien Matériaux'!$A$11:$AH$318, 32,FALSE))*($L$2/L124-1),0)/$G$1</f>
        <v>7.4353077279037487</v>
      </c>
      <c r="BO124" s="720">
        <f>IFERROR((N124+Q124)*($L$2/L124-1),0)</f>
        <v>7.8290249752098893</v>
      </c>
    </row>
    <row r="125" spans="2:67">
      <c r="B125" s="1103"/>
      <c r="C125" s="1099"/>
      <c r="D125" s="478"/>
      <c r="E125" s="478"/>
      <c r="F125" s="479" t="s">
        <v>3363</v>
      </c>
      <c r="G125" s="479"/>
      <c r="H125" s="479"/>
      <c r="I125" s="460" t="s">
        <v>39</v>
      </c>
      <c r="J125" s="662">
        <v>41.87</v>
      </c>
      <c r="K125" s="663"/>
      <c r="L125" s="663"/>
      <c r="M125" s="664">
        <f>SUM(M126:M129)</f>
        <v>6.2842291055728179</v>
      </c>
      <c r="N125" s="664">
        <f t="shared" ref="N125:T125" si="332">SUM(N126:N129)</f>
        <v>2.3767524735021266</v>
      </c>
      <c r="O125" s="664">
        <f t="shared" ref="O125" si="333">SUM(O126:O129)</f>
        <v>1.9496471651131531</v>
      </c>
      <c r="P125" s="664">
        <f t="shared" si="332"/>
        <v>1.8361131222317713</v>
      </c>
      <c r="Q125" s="664">
        <f t="shared" si="332"/>
        <v>0.12171634472576628</v>
      </c>
      <c r="R125" s="664">
        <f t="shared" ref="R125" si="334">SUM(R126:R129)</f>
        <v>1.8320976443886208E-2</v>
      </c>
      <c r="S125" s="664">
        <f t="shared" si="332"/>
        <v>1.8942842070470018</v>
      </c>
      <c r="T125" s="664">
        <f t="shared" si="332"/>
        <v>-0.34487086851325438</v>
      </c>
      <c r="Z125" s="638">
        <f t="shared" si="188"/>
        <v>0</v>
      </c>
      <c r="AA125" s="648" t="s">
        <v>3456</v>
      </c>
      <c r="AB125">
        <f>_xlfn.XLOOKUP($H125,'[1]Baumaterialien Matériaux'!$A:$A,'[1]Baumaterialien Matériaux'!AK:AK,0,0)</f>
        <v>0</v>
      </c>
      <c r="AC125" cm="1">
        <f t="array" ref="AC125">_xlfn.SWITCH(I125,"kg"," ",0," ",_xlfn.XLOOKUP(H125, '[1]Baumaterialien Matériaux'!$A:$A, '[1]Baumaterialien Matériaux'!$AL:$AL, "-", 0, 1))</f>
        <v>0</v>
      </c>
      <c r="AD125" s="622" cm="1">
        <f t="array" ref="AD125">IFERROR(_xlfn.SWITCH(I125,"kg",1,"m3",AC125,AC125)*J125/(_xlfn.XLOOKUP(AA125,Métrés!A:A,Métrés!D:D,0)),0)</f>
        <v>0</v>
      </c>
      <c r="AE125" s="1092">
        <f>IFERROR(N125*$G$1/(_xlfn.XLOOKUP($AA125,Métrés!$A:$A,Métrés!$D:$D,0)),0)</f>
        <v>3.2048076540238597</v>
      </c>
      <c r="AF125" s="1092">
        <f>IFERROR(O125*$G$1/(_xlfn.XLOOKUP($AA125,Métrés!$A:$A,Métrés!$D:$D,0)),0)</f>
        <v>2.628899823208688</v>
      </c>
      <c r="AG125" s="1092">
        <f>IFERROR(Q125*$G$1/(_xlfn.XLOOKUP($AA125,Métrés!$A:$A,Métrés!$D:$D,0)),0)</f>
        <v>0.1641220436481407</v>
      </c>
      <c r="AH125" s="1092">
        <f>IFERROR(R125*$G$1/(_xlfn.XLOOKUP($AA125,Métrés!$A:$A,Métrés!$D:$D,0)),0)</f>
        <v>2.4703963156096329E-2</v>
      </c>
      <c r="AI125" s="1092">
        <f>IFERROR(S125*$G$1/(_xlfn.XLOOKUP($AA125,Métrés!$A:$A,Métrés!$D:$D,0)),0)</f>
        <v>2.5542485359005211</v>
      </c>
      <c r="AJ125" s="1064"/>
      <c r="AK125" s="1064"/>
      <c r="AL125" s="1064"/>
      <c r="AM125" s="1021"/>
      <c r="AN125" s="1073"/>
      <c r="AO125" s="1064"/>
      <c r="AP125" s="1064"/>
      <c r="AQ125" s="1064"/>
      <c r="AR125" s="1074"/>
      <c r="AS125" s="1073"/>
      <c r="AT125" s="1064"/>
      <c r="AU125" s="1064"/>
      <c r="AV125" s="1064"/>
      <c r="AW125" s="1074"/>
      <c r="AX125" s="1073"/>
      <c r="AY125" s="1064"/>
      <c r="AZ125" s="1064"/>
      <c r="BA125" s="1064"/>
      <c r="BB125" s="1074"/>
      <c r="BC125" s="1073"/>
      <c r="BD125" s="1064"/>
      <c r="BE125" s="1064"/>
      <c r="BF125" s="1074"/>
      <c r="BG125" s="1073"/>
      <c r="BH125" s="1064"/>
      <c r="BI125" s="1074"/>
      <c r="BJ125" s="1078"/>
      <c r="BK125" s="1073"/>
      <c r="BL125" s="1064"/>
      <c r="BM125" s="1074"/>
      <c r="BN125" s="720"/>
      <c r="BO125" s="720"/>
    </row>
    <row r="126" spans="2:67">
      <c r="B126" s="1103"/>
      <c r="C126" s="1099"/>
      <c r="D126" s="478"/>
      <c r="E126" s="478"/>
      <c r="F126" s="478" t="s">
        <v>3276</v>
      </c>
      <c r="G126" s="478" t="str">
        <f>_xlfn.XLOOKUP(H126, 'Baumaterialien Matériaux'!A:A, 'Baumaterialien Matériaux'!AD:AD, "-", 0, 1)</f>
        <v>Plaque de plâtre armé de fibres</v>
      </c>
      <c r="H126" s="875" t="s">
        <v>739</v>
      </c>
      <c r="I126" s="641" t="str">
        <f>_xlfn.XLOOKUP(H126, 'Baumaterialien Matériaux'!A:A, 'Baumaterialien Matériaux'!F:F, "-", 0, 1)</f>
        <v>kg</v>
      </c>
      <c r="J126" s="649">
        <f>$J$125*K126</f>
        <v>1507.32</v>
      </c>
      <c r="K126" s="647">
        <f>0.03*1200</f>
        <v>36</v>
      </c>
      <c r="L126" s="643">
        <v>30</v>
      </c>
      <c r="M126" s="648">
        <f t="shared" ref="M126:M129" si="335">SUM(N126:Q126)</f>
        <v>2.701358180736432</v>
      </c>
      <c r="N126" s="720">
        <f>IFERROR(($J126*VLOOKUP($H126, 'Baumaterialien Matériaux'!$A$11:$AD$318, 26,FALSE)),0)/$G$1</f>
        <v>0.88683466649038156</v>
      </c>
      <c r="O126" s="720">
        <f>IFERROR(($J126*VLOOKUP($H126, 'Baumaterialien Matériaux'!$A$11:$AH$318, 33,FALSE)),0)/$G$1</f>
        <v>0.86524505850466049</v>
      </c>
      <c r="P126" s="720">
        <f t="shared" ref="P126:P129" si="336">IFERROR((N126+Q126)*($L$2/L126-1),0)</f>
        <v>0.91805656111588563</v>
      </c>
      <c r="Q126" s="720">
        <f>IFERROR(($J126*VLOOKUP($H126, 'Baumaterialien Matériaux'!$A$11:$AH$318, 27,FALSE)),0)/$G$1</f>
        <v>3.1221894625504065E-2</v>
      </c>
      <c r="R126" s="720">
        <f>IFERROR(($J126*VLOOKUP($H126, 'Baumaterialien Matériaux'!$A$11:$AH$318, 34,FALSE)),0)/$G$1</f>
        <v>5.5136537317379527E-3</v>
      </c>
      <c r="S126" s="720">
        <f>IFERROR((J126*VLOOKUP(H126, 'Baumaterialien Matériaux'!$A$11:$AD$318, 29,FALSE)),0)/$G$1</f>
        <v>0.27341300984993722</v>
      </c>
      <c r="T126" s="720">
        <f>S126*AJ126</f>
        <v>2.7341300984993723E-3</v>
      </c>
      <c r="Z126" s="638">
        <f t="shared" si="188"/>
        <v>30</v>
      </c>
      <c r="AA126" s="648" t="s">
        <v>3456</v>
      </c>
      <c r="AB126" t="str">
        <f>_xlfn.XLOOKUP($H126,'[1]Baumaterialien Matériaux'!$A:$A,'[1]Baumaterialien Matériaux'!AK:AK,0,0)</f>
        <v>gypsum</v>
      </c>
      <c r="AC126" t="str" cm="1">
        <f t="array" ref="AC126">_xlfn.SWITCH(I126,"kg"," ",0," ",_xlfn.XLOOKUP(H126, '[1]Baumaterialien Matériaux'!$A:$A, '[1]Baumaterialien Matériaux'!$AL:$AL, "-", 0, 1))</f>
        <v xml:space="preserve"> </v>
      </c>
      <c r="AD126" s="622" cm="1">
        <f t="array" ref="AD126">IFERROR(_xlfn.SWITCH(I126,"kg",1,"m3",AC126,AC126)*J126/(_xlfn.XLOOKUP(AA126,Métrés!A:A,Métrés!D:D,0)),0)</f>
        <v>2.2393368097339215</v>
      </c>
      <c r="AE126" s="1092">
        <f>IFERROR(N126*$G$1/(_xlfn.XLOOKUP($AA126,Métrés!$A:$A,Métrés!$D:$D,0)),0)</f>
        <v>1.1958058563979141</v>
      </c>
      <c r="AF126" s="1092">
        <f>IFERROR(O126*$G$1/(_xlfn.XLOOKUP($AA126,Métrés!$A:$A,Métrés!$D:$D,0)),0)</f>
        <v>1.166694477871373</v>
      </c>
      <c r="AG126" s="1092">
        <f>IFERROR(Q126*$G$1/(_xlfn.XLOOKUP($AA126,Métrés!$A:$A,Métrés!$D:$D,0)),0)</f>
        <v>4.2099532022997724E-2</v>
      </c>
      <c r="AH126" s="1092">
        <f>IFERROR(R126*$G$1/(_xlfn.XLOOKUP($AA126,Métrés!$A:$A,Métrés!$D:$D,0)),0)</f>
        <v>7.4345982083166198E-3</v>
      </c>
      <c r="AI126" s="1092">
        <f>IFERROR(S126*$G$1/(_xlfn.XLOOKUP($AA126,Métrés!$A:$A,Métrés!$D:$D,0)),0)</f>
        <v>0.36866948344252798</v>
      </c>
      <c r="AJ126" s="1030">
        <v>0.01</v>
      </c>
      <c r="AK126" s="1030">
        <f>IF(L126=60,0,T126)</f>
        <v>2.7341300984993723E-3</v>
      </c>
      <c r="AL126" s="1030">
        <f>IF(L126=60,0,S126)</f>
        <v>0.27341300984993722</v>
      </c>
      <c r="AM126" s="638" t="str">
        <f>IF(L126=$L$2, "Structure", IF(L126&gt;0,"Revêtement",0))</f>
        <v>Revêtement</v>
      </c>
      <c r="AN126" s="1032">
        <f>IF(AM126="Structure",N126,0)</f>
        <v>0</v>
      </c>
      <c r="AO126" s="1030">
        <f>IF(AM126="Structure",P126,0)</f>
        <v>0</v>
      </c>
      <c r="AP126" s="1030">
        <f>IF(AM126="Structure",Q126,0)</f>
        <v>0</v>
      </c>
      <c r="AQ126" s="1030">
        <f>IF(AM126="Structure",S126,0)</f>
        <v>0</v>
      </c>
      <c r="AR126" s="1033">
        <f>IF(AM126="Structure",T126,0)</f>
        <v>0</v>
      </c>
      <c r="AS126" s="1032">
        <f>IF($AM126="Insulation",N126,0)</f>
        <v>0</v>
      </c>
      <c r="AT126" s="1030">
        <f t="shared" ref="AT126:AU129" si="337">IF($AM126="Insulation",P126,0)</f>
        <v>0</v>
      </c>
      <c r="AU126" s="1030">
        <f t="shared" si="337"/>
        <v>0</v>
      </c>
      <c r="AV126" s="1030">
        <f t="shared" ref="AV126:AW129" si="338">IF($AM126="Insulation",S126,0)</f>
        <v>0</v>
      </c>
      <c r="AW126" s="1033">
        <f t="shared" si="338"/>
        <v>0</v>
      </c>
      <c r="AX126" s="1032">
        <f>IF($AM126="Revêtement",N126,0)</f>
        <v>0.88683466649038156</v>
      </c>
      <c r="AY126" s="1030">
        <f t="shared" ref="AY126:AZ129" si="339">IF($AM126="Revêtement",P126,0)</f>
        <v>0.91805656111588563</v>
      </c>
      <c r="AZ126" s="1030">
        <f t="shared" si="339"/>
        <v>3.1221894625504065E-2</v>
      </c>
      <c r="BA126" s="1030">
        <f t="shared" ref="BA126:BB129" si="340">IF($AM126="Revêtement",S126,0)</f>
        <v>0.27341300984993722</v>
      </c>
      <c r="BB126" s="1033">
        <f t="shared" si="340"/>
        <v>2.7341300984993723E-3</v>
      </c>
      <c r="BC126" s="1032">
        <f>IF($AM126="Installation",N126,0)</f>
        <v>0</v>
      </c>
      <c r="BD126" s="1030">
        <f t="shared" ref="BD126:BE129" si="341">IF($AM126="Installation",P126,0)</f>
        <v>0</v>
      </c>
      <c r="BE126" s="1030">
        <f t="shared" si="341"/>
        <v>0</v>
      </c>
      <c r="BF126" s="1033">
        <f>IF($AM126="Installation",S126,0)</f>
        <v>0</v>
      </c>
      <c r="BG126" s="1032">
        <f>IF($AM126="Structure", IF($I126="kg",$J126,0), 0)</f>
        <v>0</v>
      </c>
      <c r="BH126" s="1030">
        <f>IF($AM126="Insulation", IF($I126="kg",$J126,0), 0)</f>
        <v>0</v>
      </c>
      <c r="BI126" s="1033">
        <f>IF($AM126="Revêtement", IF($I126="kg",$J126,0), 0)</f>
        <v>1507.32</v>
      </c>
      <c r="BJ126" s="1030">
        <f>_xlfn.XLOOKUP(H126, 'Baumaterialien Matériaux'!A:A, 'Baumaterialien Matériaux'!E:E, "-", 0, 1)</f>
        <v>1200</v>
      </c>
      <c r="BK126" s="1032">
        <f t="shared" si="182"/>
        <v>0</v>
      </c>
      <c r="BL126" s="1030">
        <f t="shared" si="183"/>
        <v>0</v>
      </c>
      <c r="BM126" s="1033">
        <f t="shared" si="184"/>
        <v>1.2561</v>
      </c>
      <c r="BN126" s="720"/>
      <c r="BO126" s="720"/>
    </row>
    <row r="127" spans="2:67">
      <c r="B127" s="1103"/>
      <c r="C127" s="1099"/>
      <c r="D127" s="478"/>
      <c r="E127" s="478"/>
      <c r="F127" s="638" t="s">
        <v>3364</v>
      </c>
      <c r="G127" s="478" t="str">
        <f>_xlfn.XLOOKUP(H127, 'Baumaterialien Matériaux'!A:A, 'Baumaterialien Matériaux'!AD:AD, "-", 0, 1)</f>
        <v>Bois massif de construction</v>
      </c>
      <c r="H127" s="875" t="s">
        <v>547</v>
      </c>
      <c r="I127" s="641" t="str">
        <f>_xlfn.XLOOKUP(H127, 'Baumaterialien Matériaux'!A:A, 'Baumaterialien Matériaux'!F:F, "-", 0, 1)</f>
        <v>kg</v>
      </c>
      <c r="J127" s="649">
        <f>436*1.7</f>
        <v>741.19999999999993</v>
      </c>
      <c r="K127" s="647"/>
      <c r="L127" s="643">
        <v>60</v>
      </c>
      <c r="M127" s="648">
        <f t="shared" si="335"/>
        <v>0.29188394261915779</v>
      </c>
      <c r="N127" s="720">
        <f>IFERROR(($J127*VLOOKUP($H127, 'Baumaterialien Matériaux'!$A$11:$AD$318, 26,FALSE)),0)/$G$1</f>
        <v>0.20007712478790682</v>
      </c>
      <c r="O127" s="720">
        <f>IFERROR(($J127*VLOOKUP($H127, 'Baumaterialien Matériaux'!$A$11:$AH$318, 33,FALSE)),0)/$G$1</f>
        <v>5.5629607104294744E-2</v>
      </c>
      <c r="P127" s="720">
        <f t="shared" si="336"/>
        <v>0</v>
      </c>
      <c r="Q127" s="720">
        <f>IFERROR(($J127*VLOOKUP($H127, 'Baumaterialien Matériaux'!$A$11:$AH$318, 27,FALSE)),0)/$G$1</f>
        <v>3.6177210726956212E-2</v>
      </c>
      <c r="R127" s="720">
        <f>IFERROR(($J127*VLOOKUP($H127, 'Baumaterialien Matériaux'!$A$11:$AH$318, 34,FALSE)),0)/$G$1</f>
        <v>5.94514885084066E-3</v>
      </c>
      <c r="S127" s="720">
        <f>IFERROR((J127*VLOOKUP(H127, 'Baumaterialien Matériaux'!$A$11:$AD$318, 29,FALSE)),0)/$G$1</f>
        <v>1.3474581873471274</v>
      </c>
      <c r="T127" s="720">
        <f>S127*AJ127</f>
        <v>-0.35033912871025313</v>
      </c>
      <c r="Z127" s="638">
        <f t="shared" si="188"/>
        <v>60</v>
      </c>
      <c r="AA127" s="648" t="s">
        <v>3456</v>
      </c>
      <c r="AB127" t="str">
        <f>_xlfn.XLOOKUP($H127,'[1]Baumaterialien Matériaux'!$A:$A,'[1]Baumaterialien Matériaux'!AK:AK,0,0)</f>
        <v>timber</v>
      </c>
      <c r="AC127" t="str" cm="1">
        <f t="array" ref="AC127">_xlfn.SWITCH(I127,"kg"," ",0," ",_xlfn.XLOOKUP(H127, '[1]Baumaterialien Matériaux'!$A:$A, '[1]Baumaterialien Matériaux'!$AL:$AL, "-", 0, 1))</f>
        <v xml:space="preserve"> </v>
      </c>
      <c r="AD127" s="622" cm="1">
        <f t="array" ref="AD127">IFERROR(_xlfn.SWITCH(I127,"kg",1,"m3",AC127,AC127)*J127/(_xlfn.XLOOKUP(AA127,Métrés!A:A,Métrés!D:D,0)),0)</f>
        <v>1.1011573145548275</v>
      </c>
      <c r="AE127" s="1092">
        <f>IFERROR(N127*$G$1/(_xlfn.XLOOKUP($AA127,Métrés!$A:$A,Métrés!$D:$D,0)),0)</f>
        <v>0.26978354206593275</v>
      </c>
      <c r="AF127" s="1092">
        <f>IFERROR(O127*$G$1/(_xlfn.XLOOKUP($AA127,Métrés!$A:$A,Métrés!$D:$D,0)),0)</f>
        <v>7.5010836267474845E-2</v>
      </c>
      <c r="AG127" s="1092">
        <f>IFERROR(Q127*$G$1/(_xlfn.XLOOKUP($AA127,Métrés!$A:$A,Métrés!$D:$D,0)),0)</f>
        <v>4.8781269034778856E-2</v>
      </c>
      <c r="AH127" s="1092">
        <f>IFERROR(R127*$G$1/(_xlfn.XLOOKUP($AA127,Métrés!$A:$A,Métrés!$D:$D,0)),0)</f>
        <v>8.0164252499591443E-3</v>
      </c>
      <c r="AI127" s="1092">
        <f>IFERROR(S127*$G$1/(_xlfn.XLOOKUP($AA127,Métrés!$A:$A,Métrés!$D:$D,0)),0)</f>
        <v>1.8169095690154651</v>
      </c>
      <c r="AJ127" s="1030">
        <v>-0.26</v>
      </c>
      <c r="AK127" s="1030">
        <f>IF(L127=60,0,T127)</f>
        <v>0</v>
      </c>
      <c r="AL127" s="1030">
        <f>IF(L127=60,0,S127)</f>
        <v>0</v>
      </c>
      <c r="AM127" s="638" t="str">
        <f>IF(L127=$L$2, "Structure", IF(L127&gt;0,"Revêtement",0))</f>
        <v>Structure</v>
      </c>
      <c r="AN127" s="1032">
        <f>IF(AM127="Structure",N127,0)</f>
        <v>0.20007712478790682</v>
      </c>
      <c r="AO127" s="1030">
        <f>IF(AM127="Structure",P127,0)</f>
        <v>0</v>
      </c>
      <c r="AP127" s="1030">
        <f>IF(AM127="Structure",Q127,0)</f>
        <v>3.6177210726956212E-2</v>
      </c>
      <c r="AQ127" s="1030">
        <f>IF(AM127="Structure",S127,0)</f>
        <v>1.3474581873471274</v>
      </c>
      <c r="AR127" s="1033">
        <f>IF(AM127="Structure",T127,0)</f>
        <v>-0.35033912871025313</v>
      </c>
      <c r="AS127" s="1032">
        <f>IF($AM127="Insulation",N127,0)</f>
        <v>0</v>
      </c>
      <c r="AT127" s="1030">
        <f t="shared" si="337"/>
        <v>0</v>
      </c>
      <c r="AU127" s="1030">
        <f t="shared" si="337"/>
        <v>0</v>
      </c>
      <c r="AV127" s="1030">
        <f t="shared" si="338"/>
        <v>0</v>
      </c>
      <c r="AW127" s="1033">
        <f t="shared" si="338"/>
        <v>0</v>
      </c>
      <c r="AX127" s="1032">
        <f>IF($AM127="Revêtement",N127,0)</f>
        <v>0</v>
      </c>
      <c r="AY127" s="1030">
        <f t="shared" si="339"/>
        <v>0</v>
      </c>
      <c r="AZ127" s="1030">
        <f t="shared" si="339"/>
        <v>0</v>
      </c>
      <c r="BA127" s="1030">
        <f t="shared" si="340"/>
        <v>0</v>
      </c>
      <c r="BB127" s="1033">
        <f t="shared" si="340"/>
        <v>0</v>
      </c>
      <c r="BC127" s="1032">
        <f>IF($AM127="Installation",N127,0)</f>
        <v>0</v>
      </c>
      <c r="BD127" s="1030">
        <f t="shared" si="341"/>
        <v>0</v>
      </c>
      <c r="BE127" s="1030">
        <f t="shared" si="341"/>
        <v>0</v>
      </c>
      <c r="BF127" s="1033">
        <f>IF($AM127="Installation",S127,0)</f>
        <v>0</v>
      </c>
      <c r="BG127" s="1032">
        <f>IF($AM127="Structure", IF($I127="kg",$J127,0), 0)</f>
        <v>741.19999999999993</v>
      </c>
      <c r="BH127" s="1030">
        <f>IF($AM127="Insulation", IF($I127="kg",$J127,0), 0)</f>
        <v>0</v>
      </c>
      <c r="BI127" s="1033">
        <f>IF($AM127="Revêtement", IF($I127="kg",$J127,0), 0)</f>
        <v>0</v>
      </c>
      <c r="BJ127" s="1030">
        <f>_xlfn.XLOOKUP(H127, 'Baumaterialien Matériaux'!A:A, 'Baumaterialien Matériaux'!E:E, "-", 0, 1)</f>
        <v>436</v>
      </c>
      <c r="BK127" s="1032">
        <f t="shared" si="182"/>
        <v>1.6999999999999997</v>
      </c>
      <c r="BL127" s="1030">
        <f t="shared" si="183"/>
        <v>0</v>
      </c>
      <c r="BM127" s="1033">
        <f t="shared" si="184"/>
        <v>0</v>
      </c>
      <c r="BN127" s="720"/>
      <c r="BO127" s="720"/>
    </row>
    <row r="128" spans="2:67">
      <c r="B128" s="1103"/>
      <c r="C128" s="1099"/>
      <c r="D128" s="478"/>
      <c r="E128" s="478"/>
      <c r="F128" s="478" t="s">
        <v>3365</v>
      </c>
      <c r="G128" s="478" t="str">
        <f>_xlfn.XLOOKUP(H128, 'Baumaterialien Matériaux'!A:A, 'Baumaterialien Matériaux'!AD:AD, "-", 0, 1)</f>
        <v>Laine de verre</v>
      </c>
      <c r="H128" s="875" t="s">
        <v>130</v>
      </c>
      <c r="I128" s="641" t="str">
        <f>_xlfn.XLOOKUP(H128, 'Baumaterialien Matériaux'!A:A, 'Baumaterialien Matériaux'!F:F, "-", 0, 1)</f>
        <v>kg</v>
      </c>
      <c r="J128" s="649">
        <f t="shared" ref="J128:J129" si="342">$J$125*K128</f>
        <v>351.70799999999997</v>
      </c>
      <c r="K128" s="894">
        <f>0.28*30</f>
        <v>8.4</v>
      </c>
      <c r="L128" s="643">
        <v>60</v>
      </c>
      <c r="M128" s="648">
        <f t="shared" si="335"/>
        <v>0.58962880148079588</v>
      </c>
      <c r="N128" s="720">
        <f>IFERROR(($J128*VLOOKUP($H128, 'Baumaterialien Matériaux'!$A$11:$AD$318, 26,FALSE)),0)/$G$1</f>
        <v>0.40300601573345674</v>
      </c>
      <c r="O128" s="720">
        <f>IFERROR(($J128*VLOOKUP($H128, 'Baumaterialien Matériaux'!$A$11:$AH$318, 33,FALSE)),0)/$G$1</f>
        <v>0.16352744099953723</v>
      </c>
      <c r="P128" s="720">
        <f t="shared" si="336"/>
        <v>0</v>
      </c>
      <c r="Q128" s="720">
        <f>IFERROR(($J128*VLOOKUP($H128, 'Baumaterialien Matériaux'!$A$11:$AH$318, 27,FALSE)),0)/$G$1</f>
        <v>2.3095344747801942E-2</v>
      </c>
      <c r="R128" s="720">
        <f>IFERROR(($J128*VLOOKUP($H128, 'Baumaterialien Matériaux'!$A$11:$AH$318, 34,FALSE)),0)/$G$1</f>
        <v>1.3485201295696436E-3</v>
      </c>
      <c r="S128" s="720">
        <f>IFERROR((J128*VLOOKUP(H128, 'Baumaterialien Matériaux'!$A$11:$AD$318, 29,FALSE)),0)/$G$1</f>
        <v>0</v>
      </c>
      <c r="T128" s="720">
        <f>S128*AJ128</f>
        <v>0</v>
      </c>
      <c r="Z128" s="638">
        <f t="shared" si="188"/>
        <v>60</v>
      </c>
      <c r="AA128" s="648" t="s">
        <v>3456</v>
      </c>
      <c r="AB128" t="str">
        <f>_xlfn.XLOOKUP($H128,'[1]Baumaterialien Matériaux'!$A:$A,'[1]Baumaterialien Matériaux'!AK:AK,0,0)</f>
        <v>mineral_fiber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 s="622" cm="1">
        <f t="array" ref="AD128">IFERROR(_xlfn.SWITCH(I128,"kg",1,"m3",AC128,AC128)*J128/(_xlfn.XLOOKUP(AA128,Métrés!A:A,Métrés!D:D,0)),0)</f>
        <v>0.52251192227124832</v>
      </c>
      <c r="AE128" s="1092">
        <f>IFERROR(N128*$G$1/(_xlfn.XLOOKUP($AA128,Métrés!$A:$A,Métrés!$D:$D,0)),0)</f>
        <v>0.54341239916209827</v>
      </c>
      <c r="AF128" s="1092">
        <f>IFERROR(O128*$G$1/(_xlfn.XLOOKUP($AA128,Métrés!$A:$A,Métrés!$D:$D,0)),0)</f>
        <v>0.22050003119846681</v>
      </c>
      <c r="AG128" s="1092">
        <f>IFERROR(Q128*$G$1/(_xlfn.XLOOKUP($AA128,Métrés!$A:$A,Métrés!$D:$D,0)),0)</f>
        <v>3.11417105673664E-2</v>
      </c>
      <c r="AH128" s="1092">
        <f>IFERROR(R128*$G$1/(_xlfn.XLOOKUP($AA128,Métrés!$A:$A,Métrés!$D:$D,0)),0)</f>
        <v>1.8183414895039443E-3</v>
      </c>
      <c r="AI128" s="1092">
        <f>IFERROR(S128*$G$1/(_xlfn.XLOOKUP($AA128,Métrés!$A:$A,Métrés!$D:$D,0)),0)</f>
        <v>0</v>
      </c>
      <c r="AJ128" s="1030"/>
      <c r="AK128" s="1030">
        <f>IF(L128=60,0,T128)</f>
        <v>0</v>
      </c>
      <c r="AL128" s="1030">
        <f>IF(L128=60,0,S128)</f>
        <v>0</v>
      </c>
      <c r="AM128" s="638" t="s">
        <v>3388</v>
      </c>
      <c r="AN128" s="1032">
        <f>IF(AM128="Structure",N128,0)</f>
        <v>0</v>
      </c>
      <c r="AO128" s="1030">
        <f>IF(AM128="Structure",P128,0)</f>
        <v>0</v>
      </c>
      <c r="AP128" s="1030">
        <f>IF(AM128="Structure",Q128,0)</f>
        <v>0</v>
      </c>
      <c r="AQ128" s="1030">
        <f>IF(AM128="Structure",S128,0)</f>
        <v>0</v>
      </c>
      <c r="AR128" s="1033">
        <f>IF(AM128="Structure",T128,0)</f>
        <v>0</v>
      </c>
      <c r="AS128" s="1032">
        <f>IF($AM128="Insulation",N128,0)</f>
        <v>0.40300601573345674</v>
      </c>
      <c r="AT128" s="1030">
        <f t="shared" si="337"/>
        <v>0</v>
      </c>
      <c r="AU128" s="1030">
        <f t="shared" si="337"/>
        <v>2.3095344747801942E-2</v>
      </c>
      <c r="AV128" s="1030">
        <f t="shared" si="338"/>
        <v>0</v>
      </c>
      <c r="AW128" s="1033">
        <f t="shared" si="338"/>
        <v>0</v>
      </c>
      <c r="AX128" s="1032">
        <f>IF($AM128="Revêtement",N128,0)</f>
        <v>0</v>
      </c>
      <c r="AY128" s="1030">
        <f t="shared" si="339"/>
        <v>0</v>
      </c>
      <c r="AZ128" s="1030">
        <f t="shared" si="339"/>
        <v>0</v>
      </c>
      <c r="BA128" s="1030">
        <f t="shared" si="340"/>
        <v>0</v>
      </c>
      <c r="BB128" s="1033">
        <f t="shared" si="340"/>
        <v>0</v>
      </c>
      <c r="BC128" s="1032">
        <f>IF($AM128="Installation",N128,0)</f>
        <v>0</v>
      </c>
      <c r="BD128" s="1030">
        <f t="shared" si="341"/>
        <v>0</v>
      </c>
      <c r="BE128" s="1030">
        <f t="shared" si="341"/>
        <v>0</v>
      </c>
      <c r="BF128" s="1033">
        <f>IF($AM128="Installation",S128,0)</f>
        <v>0</v>
      </c>
      <c r="BG128" s="1032">
        <f>IF($AM128="Structure", IF($I128="kg",$J128,0), 0)</f>
        <v>0</v>
      </c>
      <c r="BH128" s="1030">
        <f>IF($AM128="Insulation", IF($I128="kg",$J128,0), 0)</f>
        <v>351.70799999999997</v>
      </c>
      <c r="BI128" s="1033">
        <f>IF($AM128="Revêtement", IF($I128="kg",$J128,0), 0)</f>
        <v>0</v>
      </c>
      <c r="BJ128" s="1030">
        <v>30</v>
      </c>
      <c r="BK128" s="1032">
        <f t="shared" si="182"/>
        <v>0</v>
      </c>
      <c r="BL128" s="1030">
        <f t="shared" si="183"/>
        <v>11.723599999999999</v>
      </c>
      <c r="BM128" s="1033">
        <f t="shared" si="184"/>
        <v>0</v>
      </c>
      <c r="BN128" s="720"/>
      <c r="BO128" s="720"/>
    </row>
    <row r="129" spans="2:67">
      <c r="B129" s="1103"/>
      <c r="C129" s="1099"/>
      <c r="D129" s="478"/>
      <c r="E129" s="478"/>
      <c r="F129" s="478" t="s">
        <v>3276</v>
      </c>
      <c r="G129" s="478" t="str">
        <f>_xlfn.XLOOKUP(H129, 'Baumaterialien Matériaux'!A:A, 'Baumaterialien Matériaux'!AD:AD, "-", 0, 1)</f>
        <v>Plaque de plâtre armé de fibres</v>
      </c>
      <c r="H129" s="875" t="s">
        <v>739</v>
      </c>
      <c r="I129" s="641" t="str">
        <f>_xlfn.XLOOKUP(H129, 'Baumaterialien Matériaux'!A:A, 'Baumaterialien Matériaux'!F:F, "-", 0, 1)</f>
        <v>kg</v>
      </c>
      <c r="J129" s="649">
        <f t="shared" si="342"/>
        <v>1507.32</v>
      </c>
      <c r="K129" s="647">
        <f>0.03*1200</f>
        <v>36</v>
      </c>
      <c r="L129" s="643">
        <v>30</v>
      </c>
      <c r="M129" s="648">
        <f t="shared" si="335"/>
        <v>2.701358180736432</v>
      </c>
      <c r="N129" s="720">
        <f>IFERROR(($J129*VLOOKUP($H129, 'Baumaterialien Matériaux'!$A$11:$AD$318, 26,FALSE)),0)/$G$1</f>
        <v>0.88683466649038156</v>
      </c>
      <c r="O129" s="720">
        <f>IFERROR(($J129*VLOOKUP($H129, 'Baumaterialien Matériaux'!$A$11:$AH$318, 33,FALSE)),0)/$G$1</f>
        <v>0.86524505850466049</v>
      </c>
      <c r="P129" s="720">
        <f t="shared" si="336"/>
        <v>0.91805656111588563</v>
      </c>
      <c r="Q129" s="720">
        <f>IFERROR(($J129*VLOOKUP($H129, 'Baumaterialien Matériaux'!$A$11:$AH$318, 27,FALSE)),0)/$G$1</f>
        <v>3.1221894625504065E-2</v>
      </c>
      <c r="R129" s="720">
        <f>IFERROR(($J129*VLOOKUP($H129, 'Baumaterialien Matériaux'!$A$11:$AH$318, 34,FALSE)),0)/$G$1</f>
        <v>5.5136537317379527E-3</v>
      </c>
      <c r="S129" s="720">
        <f>IFERROR((J129*VLOOKUP(H129, 'Baumaterialien Matériaux'!$A$11:$AD$318, 29,FALSE)),0)/$G$1</f>
        <v>0.27341300984993722</v>
      </c>
      <c r="T129" s="720">
        <f>S129*AJ129</f>
        <v>2.7341300984993723E-3</v>
      </c>
      <c r="Z129" s="638">
        <f t="shared" si="188"/>
        <v>30</v>
      </c>
      <c r="AA129" s="648" t="s">
        <v>3456</v>
      </c>
      <c r="AB129" t="str">
        <f>_xlfn.XLOOKUP($H129,'[1]Baumaterialien Matériaux'!$A:$A,'[1]Baumaterialien Matériaux'!AK:AK,0,0)</f>
        <v>gypsum</v>
      </c>
      <c r="AC129" t="str" cm="1">
        <f t="array" ref="AC129">_xlfn.SWITCH(I129,"kg"," ",0," ",_xlfn.XLOOKUP(H129, '[1]Baumaterialien Matériaux'!$A:$A, '[1]Baumaterialien Matériaux'!$AL:$AL, "-", 0, 1))</f>
        <v xml:space="preserve"> </v>
      </c>
      <c r="AD129" s="622" cm="1">
        <f t="array" ref="AD129">IFERROR(_xlfn.SWITCH(I129,"kg",1,"m3",AC129,AC129)*J129/(_xlfn.XLOOKUP(AA129,Métrés!A:A,Métrés!D:D,0)),0)</f>
        <v>2.2393368097339215</v>
      </c>
      <c r="AE129" s="1092">
        <f>IFERROR(N129*$G$1/(_xlfn.XLOOKUP($AA129,Métrés!$A:$A,Métrés!$D:$D,0)),0)</f>
        <v>1.1958058563979141</v>
      </c>
      <c r="AF129" s="1092">
        <f>IFERROR(O129*$G$1/(_xlfn.XLOOKUP($AA129,Métrés!$A:$A,Métrés!$D:$D,0)),0)</f>
        <v>1.166694477871373</v>
      </c>
      <c r="AG129" s="1092">
        <f>IFERROR(Q129*$G$1/(_xlfn.XLOOKUP($AA129,Métrés!$A:$A,Métrés!$D:$D,0)),0)</f>
        <v>4.2099532022997724E-2</v>
      </c>
      <c r="AH129" s="1092">
        <f>IFERROR(R129*$G$1/(_xlfn.XLOOKUP($AA129,Métrés!$A:$A,Métrés!$D:$D,0)),0)</f>
        <v>7.4345982083166198E-3</v>
      </c>
      <c r="AI129" s="1092">
        <f>IFERROR(S129*$G$1/(_xlfn.XLOOKUP($AA129,Métrés!$A:$A,Métrés!$D:$D,0)),0)</f>
        <v>0.36866948344252798</v>
      </c>
      <c r="AJ129" s="1030">
        <v>0.01</v>
      </c>
      <c r="AK129" s="1030">
        <f>IF(L129=60,0,T129)</f>
        <v>2.7341300984993723E-3</v>
      </c>
      <c r="AL129" s="1030">
        <f>IF(L129=60,0,S129)</f>
        <v>0.27341300984993722</v>
      </c>
      <c r="AM129" s="638" t="str">
        <f>IF(L129=$L$2, "Structure", IF(L129&gt;0,"Revêtement",0))</f>
        <v>Revêtement</v>
      </c>
      <c r="AN129" s="1032">
        <f>IF(AM129="Structure",N129,0)</f>
        <v>0</v>
      </c>
      <c r="AO129" s="1030">
        <f>IF(AM129="Structure",P129,0)</f>
        <v>0</v>
      </c>
      <c r="AP129" s="1030">
        <f>IF(AM129="Structure",Q129,0)</f>
        <v>0</v>
      </c>
      <c r="AQ129" s="1030">
        <f>IF(AM129="Structure",S129,0)</f>
        <v>0</v>
      </c>
      <c r="AR129" s="1033">
        <f>IF(AM129="Structure",T129,0)</f>
        <v>0</v>
      </c>
      <c r="AS129" s="1032">
        <f>IF($AM129="Insulation",N129,0)</f>
        <v>0</v>
      </c>
      <c r="AT129" s="1030">
        <f t="shared" si="337"/>
        <v>0</v>
      </c>
      <c r="AU129" s="1030">
        <f t="shared" si="337"/>
        <v>0</v>
      </c>
      <c r="AV129" s="1030">
        <f t="shared" si="338"/>
        <v>0</v>
      </c>
      <c r="AW129" s="1033">
        <f t="shared" si="338"/>
        <v>0</v>
      </c>
      <c r="AX129" s="1032">
        <f>IF($AM129="Revêtement",N129,0)</f>
        <v>0.88683466649038156</v>
      </c>
      <c r="AY129" s="1030">
        <f t="shared" si="339"/>
        <v>0.91805656111588563</v>
      </c>
      <c r="AZ129" s="1030">
        <f t="shared" si="339"/>
        <v>3.1221894625504065E-2</v>
      </c>
      <c r="BA129" s="1030">
        <f t="shared" si="340"/>
        <v>0.27341300984993722</v>
      </c>
      <c r="BB129" s="1033">
        <f t="shared" si="340"/>
        <v>2.7341300984993723E-3</v>
      </c>
      <c r="BC129" s="1032">
        <f>IF($AM129="Installation",N129,0)</f>
        <v>0</v>
      </c>
      <c r="BD129" s="1030">
        <f t="shared" si="341"/>
        <v>0</v>
      </c>
      <c r="BE129" s="1030">
        <f t="shared" si="341"/>
        <v>0</v>
      </c>
      <c r="BF129" s="1033">
        <f>IF($AM129="Installation",S129,0)</f>
        <v>0</v>
      </c>
      <c r="BG129" s="1032">
        <f>IF($AM129="Structure", IF($I129="kg",$J129,0), 0)</f>
        <v>0</v>
      </c>
      <c r="BH129" s="1030">
        <f>IF($AM129="Insulation", IF($I129="kg",$J129,0), 0)</f>
        <v>0</v>
      </c>
      <c r="BI129" s="1033">
        <f>IF($AM129="Revêtement", IF($I129="kg",$J129,0), 0)</f>
        <v>1507.32</v>
      </c>
      <c r="BJ129" s="1030">
        <f>_xlfn.XLOOKUP(H129, 'Baumaterialien Matériaux'!A:A, 'Baumaterialien Matériaux'!E:E, "-", 0, 1)</f>
        <v>1200</v>
      </c>
      <c r="BK129" s="1032">
        <f t="shared" si="182"/>
        <v>0</v>
      </c>
      <c r="BL129" s="1030">
        <f t="shared" si="183"/>
        <v>0</v>
      </c>
      <c r="BM129" s="1033">
        <f t="shared" si="184"/>
        <v>1.2561</v>
      </c>
      <c r="BN129" s="720"/>
      <c r="BO129" s="720"/>
    </row>
    <row r="130" spans="2:67">
      <c r="B130" s="1103"/>
      <c r="C130" s="1099"/>
      <c r="D130" s="478"/>
      <c r="E130" s="478"/>
      <c r="F130" s="479" t="s">
        <v>3051</v>
      </c>
      <c r="G130" s="479"/>
      <c r="H130" s="479"/>
      <c r="I130" s="460" t="s">
        <v>39</v>
      </c>
      <c r="J130" s="662"/>
      <c r="K130" s="663"/>
      <c r="L130" s="663"/>
      <c r="M130" s="664">
        <f>SUM(M131:M132)</f>
        <v>14.498135783698023</v>
      </c>
      <c r="N130" s="664">
        <f t="shared" ref="N130:T130" si="343">SUM(N131:N132)</f>
        <v>4.3402062537185166</v>
      </c>
      <c r="O130" s="664">
        <f t="shared" ref="O130" si="344">SUM(O131:O132)</f>
        <v>3.2628500914479628</v>
      </c>
      <c r="P130" s="664">
        <f t="shared" si="343"/>
        <v>5.6176428461250305</v>
      </c>
      <c r="Q130" s="664">
        <f t="shared" si="343"/>
        <v>1.2774365924065141</v>
      </c>
      <c r="R130" s="664">
        <f t="shared" ref="R130" si="345">SUM(R131:R132)</f>
        <v>1.4128756528062406E-2</v>
      </c>
      <c r="S130" s="664">
        <f t="shared" si="343"/>
        <v>0</v>
      </c>
      <c r="T130" s="664">
        <f t="shared" si="343"/>
        <v>0</v>
      </c>
      <c r="V130" s="638">
        <f t="shared" si="186"/>
        <v>0</v>
      </c>
      <c r="W130" s="638">
        <f t="shared" si="187"/>
        <v>0</v>
      </c>
      <c r="Y130" s="638">
        <f t="shared" si="269"/>
        <v>0</v>
      </c>
      <c r="Z130" s="638">
        <f t="shared" si="188"/>
        <v>0</v>
      </c>
      <c r="AA130" s="648" t="s">
        <v>3456</v>
      </c>
      <c r="AB130">
        <f>_xlfn.XLOOKUP($H130,'[1]Baumaterialien Matériaux'!$A:$A,'[1]Baumaterialien Matériaux'!AK:AK,0,0)</f>
        <v>0</v>
      </c>
      <c r="AC130" cm="1">
        <f t="array" ref="AC130">_xlfn.SWITCH(I130,"kg"," ",0," ",_xlfn.XLOOKUP(H130, '[1]Baumaterialien Matériaux'!$A:$A, '[1]Baumaterialien Matériaux'!$AL:$AL, "-", 0, 1))</f>
        <v>0</v>
      </c>
      <c r="AD130" s="622" cm="1">
        <f t="array" ref="AD130">IFERROR(_xlfn.SWITCH(I130,"kg",1,"m3",AC130,AC130)*J130/(_xlfn.XLOOKUP(AA130,Métrés!A:A,Métrés!D:D,0)),0)</f>
        <v>0</v>
      </c>
      <c r="AE130" s="1092">
        <f>IFERROR(N130*$G$1/(_xlfn.XLOOKUP($AA130,Métrés!$A:$A,Métrés!$D:$D,0)),0)</f>
        <v>5.8523242857779563</v>
      </c>
      <c r="AF130" s="1092">
        <f>IFERROR(O130*$G$1/(_xlfn.XLOOKUP($AA130,Métrés!$A:$A,Métrés!$D:$D,0)),0)</f>
        <v>4.3996196758330735</v>
      </c>
      <c r="AG130" s="1092">
        <f>IFERROR(Q130*$G$1/(_xlfn.XLOOKUP($AA130,Métrés!$A:$A,Métrés!$D:$D,0)),0)</f>
        <v>1.7224926089346471</v>
      </c>
      <c r="AH130" s="1092">
        <f>IFERROR(R130*$G$1/(_xlfn.XLOOKUP($AA130,Métrés!$A:$A,Métrés!$D:$D,0)),0)</f>
        <v>1.9051183313277174E-2</v>
      </c>
      <c r="AI130" s="1092">
        <f>IFERROR(S130*$G$1/(_xlfn.XLOOKUP($AA130,Métrés!$A:$A,Métrés!$D:$D,0)),0)</f>
        <v>0</v>
      </c>
      <c r="AJ130" s="1064"/>
      <c r="AK130" s="1064"/>
      <c r="AL130" s="1064"/>
      <c r="AM130" s="1021"/>
      <c r="AN130" s="1073"/>
      <c r="AO130" s="1064"/>
      <c r="AP130" s="1064"/>
      <c r="AQ130" s="1064"/>
      <c r="AR130" s="1074"/>
      <c r="AS130" s="1073"/>
      <c r="AT130" s="1064"/>
      <c r="AU130" s="1064"/>
      <c r="AV130" s="1064"/>
      <c r="AW130" s="1074"/>
      <c r="AX130" s="1073"/>
      <c r="AY130" s="1064"/>
      <c r="AZ130" s="1064"/>
      <c r="BA130" s="1064"/>
      <c r="BB130" s="1074"/>
      <c r="BC130" s="1073"/>
      <c r="BD130" s="1064"/>
      <c r="BE130" s="1064"/>
      <c r="BF130" s="1074"/>
      <c r="BG130" s="1073"/>
      <c r="BH130" s="1064"/>
      <c r="BI130" s="1074"/>
      <c r="BJ130" s="1078"/>
      <c r="BK130" s="1073"/>
      <c r="BL130" s="1064"/>
      <c r="BM130" s="1074"/>
      <c r="BN130" s="720">
        <f>IFERROR((J130*VLOOKUP(H130, 'Baumaterialien Matériaux'!$A$11:$AH$318, 32,FALSE))*($L$2/L130-1),0)/$G$1</f>
        <v>0</v>
      </c>
      <c r="BO130" s="720">
        <f>IFERROR((N130+Q130)*($L$2/L130-1),0)</f>
        <v>0</v>
      </c>
    </row>
    <row r="131" spans="2:67">
      <c r="B131" s="1103"/>
      <c r="C131" s="1099"/>
      <c r="D131" s="478"/>
      <c r="E131" s="478"/>
      <c r="F131" s="478" t="s">
        <v>3052</v>
      </c>
      <c r="G131" s="478" t="str">
        <f>_xlfn.XLOOKUP(H131, 'Baumaterialien Matériaux'!A:A, 'Baumaterialien Matériaux'!AD:AD, "-", 0, 1)</f>
        <v>Dalle en céramique/grès, 9 mm</v>
      </c>
      <c r="H131" s="902" t="s">
        <v>786</v>
      </c>
      <c r="I131" s="641" t="str">
        <f>_xlfn.XLOOKUP(H131, 'Baumaterialien Matériaux'!A:A, 'Baumaterialien Matériaux'!F:F, "-", 0, 1)</f>
        <v>m2</v>
      </c>
      <c r="J131" s="890">
        <v>12.21</v>
      </c>
      <c r="K131" s="743"/>
      <c r="L131" s="643">
        <f>'Eléments de constr. inté. et ex'!N9</f>
        <v>30</v>
      </c>
      <c r="M131" s="648">
        <f t="shared" si="324"/>
        <v>0.633625305744695</v>
      </c>
      <c r="N131" s="720">
        <f>IFERROR(($J131*VLOOKUP($H131, 'Baumaterialien Matériaux'!$A$11:$AD$318, 26,FALSE)),0)/$G$1</f>
        <v>0.18968400872611887</v>
      </c>
      <c r="O131" s="720">
        <f>IFERROR(($J131*VLOOKUP($H131, 'Baumaterialien Matériaux'!$A$11:$AH$318, 33,FALSE)),0)/$G$1</f>
        <v>0.14259932570899717</v>
      </c>
      <c r="P131" s="720">
        <f t="shared" si="330"/>
        <v>0.2455129900178489</v>
      </c>
      <c r="Q131" s="720">
        <f>IFERROR(($J131*VLOOKUP($H131, 'Baumaterialien Matériaux'!$A$11:$AH$318, 27,FALSE)),0)/$G$1</f>
        <v>5.5828981291730029E-2</v>
      </c>
      <c r="R131" s="720">
        <f>IFERROR(($J131*VLOOKUP($H131, 'Baumaterialien Matériaux'!$A$11:$AH$318, 34,FALSE)),0)/$G$1</f>
        <v>6.1748198585311043E-4</v>
      </c>
      <c r="S131" s="720">
        <f>IFERROR((J131*VLOOKUP(H131, 'Baumaterialien Matériaux'!$A$11:$AD$318, 29,FALSE)),0)/$G$1</f>
        <v>0</v>
      </c>
      <c r="T131" s="720">
        <f>S131*AJ131</f>
        <v>0</v>
      </c>
      <c r="V131" s="638">
        <f t="shared" si="186"/>
        <v>0</v>
      </c>
      <c r="W131" s="638">
        <f t="shared" si="187"/>
        <v>0</v>
      </c>
      <c r="Y131" s="638" t="str">
        <f t="shared" si="269"/>
        <v>Revêtement</v>
      </c>
      <c r="Z131" s="638">
        <f t="shared" si="188"/>
        <v>30</v>
      </c>
      <c r="AA131" s="648" t="s">
        <v>3456</v>
      </c>
      <c r="AB131" t="str">
        <f>_xlfn.XLOOKUP($H131,'[1]Baumaterialien Matériaux'!$A:$A,'[1]Baumaterialien Matériaux'!AK:AK,0,0)</f>
        <v>stone</v>
      </c>
      <c r="AC131" cm="1">
        <f t="array" ref="AC131">_xlfn.SWITCH(I131,"kg"," ",0," ",_xlfn.XLOOKUP(H131, '[1]Baumaterialien Matériaux'!$A:$A, '[1]Baumaterialien Matériaux'!$AL:$AL, "-", 0, 1))</f>
        <v>18</v>
      </c>
      <c r="AD131" s="622" cm="1">
        <f t="array" ref="AD131">IFERROR(_xlfn.SWITCH(I131,"kg",1,"m3",AC131,AC131)*J131/(_xlfn.XLOOKUP(AA131,Métrés!A:A,Métrés!D:D,0)),0)</f>
        <v>0.32651423987164063</v>
      </c>
      <c r="AE131" s="1092">
        <f>IFERROR(N131*$G$1/(_xlfn.XLOOKUP($AA131,Métrés!$A:$A,Métrés!$D:$D,0)),0)</f>
        <v>0.25576948789945181</v>
      </c>
      <c r="AF131" s="1092">
        <f>IFERROR(O131*$G$1/(_xlfn.XLOOKUP($AA131,Métrés!$A:$A,Métrés!$D:$D,0)),0)</f>
        <v>0.1922806079244106</v>
      </c>
      <c r="AG131" s="1092">
        <f>IFERROR(Q131*$G$1/(_xlfn.XLOOKUP($AA131,Métrés!$A:$A,Métrés!$D:$D,0)),0)</f>
        <v>7.527967197040604E-2</v>
      </c>
      <c r="AH131" s="1092">
        <f>IFERROR(R131*$G$1/(_xlfn.XLOOKUP($AA131,Métrés!$A:$A,Métrés!$D:$D,0)),0)</f>
        <v>8.3261131167268368E-4</v>
      </c>
      <c r="AI131" s="1092">
        <f>IFERROR(S131*$G$1/(_xlfn.XLOOKUP($AA131,Métrés!$A:$A,Métrés!$D:$D,0)),0)</f>
        <v>0</v>
      </c>
      <c r="AJ131" s="1030"/>
      <c r="AK131" s="1030">
        <f>IF(L131=60,0,T131)</f>
        <v>0</v>
      </c>
      <c r="AL131" s="1030">
        <f>IF(L131=60,0,S131)</f>
        <v>0</v>
      </c>
      <c r="AM131" s="638" t="str">
        <f>IF(L131=$L$2, "Structure", IF(L131&gt;0,"Revêtement",0))</f>
        <v>Revêtement</v>
      </c>
      <c r="AN131" s="1032">
        <f>IF(AM131="Structure",N131,0)</f>
        <v>0</v>
      </c>
      <c r="AO131" s="1030">
        <f>IF(AM131="Structure",P131,0)</f>
        <v>0</v>
      </c>
      <c r="AP131" s="1030">
        <f>IF(AM131="Structure",Q131,0)</f>
        <v>0</v>
      </c>
      <c r="AQ131" s="1030">
        <f>IF(AM131="Structure",S131,0)</f>
        <v>0</v>
      </c>
      <c r="AR131" s="1033">
        <f>IF(AM131="Structure",T131,0)</f>
        <v>0</v>
      </c>
      <c r="AS131" s="1032">
        <f>IF($AM131="Insulation",N131,0)</f>
        <v>0</v>
      </c>
      <c r="AT131" s="1030">
        <f>IF($AM131="Insulation",P131,0)</f>
        <v>0</v>
      </c>
      <c r="AU131" s="1030">
        <f>IF($AM131="Insulation",Q131,0)</f>
        <v>0</v>
      </c>
      <c r="AV131" s="1030">
        <f>IF($AM131="Insulation",S131,0)</f>
        <v>0</v>
      </c>
      <c r="AW131" s="1033">
        <f>IF($AM131="Insulation",T131,0)</f>
        <v>0</v>
      </c>
      <c r="AX131" s="1032">
        <f>IF($AM131="Revêtement",N131,0)</f>
        <v>0.18968400872611887</v>
      </c>
      <c r="AY131" s="1030">
        <f>IF($AM131="Revêtement",P131,0)</f>
        <v>0.2455129900178489</v>
      </c>
      <c r="AZ131" s="1030">
        <f>IF($AM131="Revêtement",Q131,0)</f>
        <v>5.5828981291730029E-2</v>
      </c>
      <c r="BA131" s="1030">
        <f>IF($AM131="Revêtement",S131,0)</f>
        <v>0</v>
      </c>
      <c r="BB131" s="1033">
        <f>IF($AM131="Revêtement",T131,0)</f>
        <v>0</v>
      </c>
      <c r="BC131" s="1032">
        <f>IF($AM131="Installation",N131,0)</f>
        <v>0</v>
      </c>
      <c r="BD131" s="1030">
        <f>IF($AM131="Installation",P131,0)</f>
        <v>0</v>
      </c>
      <c r="BE131" s="1030">
        <f>IF($AM131="Installation",Q131,0)</f>
        <v>0</v>
      </c>
      <c r="BF131" s="1033">
        <f>IF($AM131="Installation",S131,0)</f>
        <v>0</v>
      </c>
      <c r="BG131" s="1032">
        <f>IF($AM131="Structure", IF($I131="kg",$J131,0), 0)</f>
        <v>0</v>
      </c>
      <c r="BH131" s="1030">
        <f>IF($AM131="Insulation", IF($I131="kg",$J131,0), 0)</f>
        <v>0</v>
      </c>
      <c r="BI131" s="1033">
        <f>IF($AM131="Revêtement", IF($I131="kg",$J131,0), 0)</f>
        <v>0</v>
      </c>
      <c r="BJ131" s="1030">
        <f>_xlfn.XLOOKUP(H131, 'Baumaterialien Matériaux'!A:A, 'Baumaterialien Matériaux'!E:E, "-", 0, 1)</f>
        <v>18</v>
      </c>
      <c r="BK131" s="1032">
        <f t="shared" si="182"/>
        <v>0</v>
      </c>
      <c r="BL131" s="1030">
        <f t="shared" si="183"/>
        <v>0</v>
      </c>
      <c r="BM131" s="1033">
        <f t="shared" si="184"/>
        <v>0</v>
      </c>
      <c r="BN131" s="720">
        <f>IFERROR((J131*VLOOKUP(H131, 'Baumaterialien Matériaux'!$A$11:$AH$318, 32,FALSE))*($L$2/L131-1),0)/$G$1</f>
        <v>0.1439446023666292</v>
      </c>
      <c r="BO131" s="720">
        <f>IFERROR((N131+Q131)*($L$2/L131-1),0)</f>
        <v>0.2455129900178489</v>
      </c>
    </row>
    <row r="132" spans="2:67">
      <c r="B132" s="1103"/>
      <c r="C132" s="1099"/>
      <c r="D132" s="478"/>
      <c r="E132" s="478"/>
      <c r="F132" s="478" t="s">
        <v>3053</v>
      </c>
      <c r="G132" s="478" t="str">
        <f>_xlfn.XLOOKUP(H132, 'Baumaterialien Matériaux'!A:A, 'Baumaterialien Matériaux'!AD:AD, "-", 0, 1)</f>
        <v>Dalle en céramique/grès, 9 mm</v>
      </c>
      <c r="H132" s="902" t="s">
        <v>786</v>
      </c>
      <c r="I132" s="641" t="str">
        <f>_xlfn.XLOOKUP(H132, 'Baumaterialien Matériaux'!A:A, 'Baumaterialien Matériaux'!F:F, "-", 0, 1)</f>
        <v>m2</v>
      </c>
      <c r="J132" s="890">
        <v>267.17</v>
      </c>
      <c r="K132" s="647"/>
      <c r="L132" s="647">
        <v>30</v>
      </c>
      <c r="M132" s="648">
        <f t="shared" si="324"/>
        <v>13.864510477953328</v>
      </c>
      <c r="N132" s="720">
        <f>IFERROR(($J132*VLOOKUP($H132, 'Baumaterialien Matériaux'!$A$11:$AD$318, 26,FALSE)),0)/$G$1</f>
        <v>4.1505222449923975</v>
      </c>
      <c r="O132" s="720">
        <f>IFERROR(($J132*VLOOKUP($H132, 'Baumaterialien Matériaux'!$A$11:$AH$318, 33,FALSE)),0)/$G$1</f>
        <v>3.1202507657389655</v>
      </c>
      <c r="P132" s="720">
        <f t="shared" si="330"/>
        <v>5.3721298561071817</v>
      </c>
      <c r="Q132" s="720">
        <f>IFERROR(($J132*VLOOKUP($H132, 'Baumaterialien Matériaux'!$A$11:$AH$318, 27,FALSE)),0)/$G$1</f>
        <v>1.221607611114784</v>
      </c>
      <c r="R132" s="720">
        <f>IFERROR(($J132*VLOOKUP($H132, 'Baumaterialien Matériaux'!$A$11:$AH$318, 34,FALSE)),0)/$G$1</f>
        <v>1.3511274542209295E-2</v>
      </c>
      <c r="S132" s="720">
        <f>IFERROR((J132*VLOOKUP(H132, 'Baumaterialien Matériaux'!$A$11:$AD$318, 29,FALSE)),0)/$G$1</f>
        <v>0</v>
      </c>
      <c r="T132" s="720">
        <f>S132*AJ132</f>
        <v>0</v>
      </c>
      <c r="V132" s="638">
        <f t="shared" si="186"/>
        <v>0</v>
      </c>
      <c r="W132" s="638">
        <f t="shared" si="187"/>
        <v>0</v>
      </c>
      <c r="Y132" s="638" t="str">
        <f t="shared" si="269"/>
        <v>Revêtement</v>
      </c>
      <c r="Z132" s="638">
        <f t="shared" si="188"/>
        <v>30</v>
      </c>
      <c r="AA132" s="648" t="s">
        <v>3456</v>
      </c>
      <c r="AB132" t="str">
        <f>_xlfn.XLOOKUP($H132,'[1]Baumaterialien Matériaux'!$A:$A,'[1]Baumaterialien Matériaux'!AK:AK,0,0)</f>
        <v>stone</v>
      </c>
      <c r="AC132" cm="1">
        <f t="array" ref="AC132">_xlfn.SWITCH(I132,"kg"," ",0," ",_xlfn.XLOOKUP(H132, '[1]Baumaterialien Matériaux'!$A:$A, '[1]Baumaterialien Matériaux'!$AL:$AL, "-", 0, 1))</f>
        <v>18</v>
      </c>
      <c r="AD132" s="622" cm="1">
        <f t="array" ref="AD132">IFERROR(_xlfn.SWITCH(I132,"kg",1,"m3",AC132,AC132)*J132/(_xlfn.XLOOKUP(AA132,Métrés!A:A,Métrés!D:D,0)),0)</f>
        <v>7.1445380398448997</v>
      </c>
      <c r="AE132" s="1092">
        <f>IFERROR(N132*$G$1/(_xlfn.XLOOKUP($AA132,Métrés!$A:$A,Métrés!$D:$D,0)),0)</f>
        <v>5.596554797878504</v>
      </c>
      <c r="AF132" s="1092">
        <f>IFERROR(O132*$G$1/(_xlfn.XLOOKUP($AA132,Métrés!$A:$A,Métrés!$D:$D,0)),0)</f>
        <v>4.2073390679086629</v>
      </c>
      <c r="AG132" s="1092">
        <f>IFERROR(Q132*$G$1/(_xlfn.XLOOKUP($AA132,Métrés!$A:$A,Métrés!$D:$D,0)),0)</f>
        <v>1.647212936964241</v>
      </c>
      <c r="AH132" s="1092">
        <f>IFERROR(R132*$G$1/(_xlfn.XLOOKUP($AA132,Métrés!$A:$A,Métrés!$D:$D,0)),0)</f>
        <v>1.8218572001604493E-2</v>
      </c>
      <c r="AI132" s="1092">
        <f>IFERROR(S132*$G$1/(_xlfn.XLOOKUP($AA132,Métrés!$A:$A,Métrés!$D:$D,0)),0)</f>
        <v>0</v>
      </c>
      <c r="AJ132" s="1030"/>
      <c r="AK132" s="1030">
        <f>IF(L132=60,0,T132)</f>
        <v>0</v>
      </c>
      <c r="AL132" s="1030">
        <f>IF(L132=60,0,S132)</f>
        <v>0</v>
      </c>
      <c r="AM132" s="638" t="str">
        <f>IF(L132=$L$2, "Structure", IF(L132&gt;0,"Revêtement",0))</f>
        <v>Revêtement</v>
      </c>
      <c r="AN132" s="1032">
        <f>IF(AM132="Structure",N132,0)</f>
        <v>0</v>
      </c>
      <c r="AO132" s="1030">
        <f>IF(AM132="Structure",P132,0)</f>
        <v>0</v>
      </c>
      <c r="AP132" s="1030">
        <f>IF(AM132="Structure",Q132,0)</f>
        <v>0</v>
      </c>
      <c r="AQ132" s="1030">
        <f>IF(AM132="Structure",S132,0)</f>
        <v>0</v>
      </c>
      <c r="AR132" s="1033">
        <f>IF(AM132="Structure",T132,0)</f>
        <v>0</v>
      </c>
      <c r="AS132" s="1032">
        <f>IF($AM132="Insulation",N132,0)</f>
        <v>0</v>
      </c>
      <c r="AT132" s="1030">
        <f>IF($AM132="Insulation",P132,0)</f>
        <v>0</v>
      </c>
      <c r="AU132" s="1030">
        <f>IF($AM132="Insulation",Q132,0)</f>
        <v>0</v>
      </c>
      <c r="AV132" s="1030">
        <f>IF($AM132="Insulation",S132,0)</f>
        <v>0</v>
      </c>
      <c r="AW132" s="1033">
        <f>IF($AM132="Insulation",T132,0)</f>
        <v>0</v>
      </c>
      <c r="AX132" s="1032">
        <f>IF($AM132="Revêtement",N132,0)</f>
        <v>4.1505222449923975</v>
      </c>
      <c r="AY132" s="1030">
        <f>IF($AM132="Revêtement",P132,0)</f>
        <v>5.3721298561071817</v>
      </c>
      <c r="AZ132" s="1030">
        <f>IF($AM132="Revêtement",Q132,0)</f>
        <v>1.221607611114784</v>
      </c>
      <c r="BA132" s="1030">
        <f>IF($AM132="Revêtement",S132,0)</f>
        <v>0</v>
      </c>
      <c r="BB132" s="1033">
        <f>IF($AM132="Revêtement",T132,0)</f>
        <v>0</v>
      </c>
      <c r="BC132" s="1032">
        <f>IF($AM132="Installation",N132,0)</f>
        <v>0</v>
      </c>
      <c r="BD132" s="1030">
        <f>IF($AM132="Installation",P132,0)</f>
        <v>0</v>
      </c>
      <c r="BE132" s="1030">
        <f>IF($AM132="Installation",Q132,0)</f>
        <v>0</v>
      </c>
      <c r="BF132" s="1033">
        <f>IF($AM132="Installation",S132,0)</f>
        <v>0</v>
      </c>
      <c r="BG132" s="1032">
        <f>IF($AM132="Structure", IF($I132="kg",$J132,0), 0)</f>
        <v>0</v>
      </c>
      <c r="BH132" s="1030">
        <f>IF($AM132="Insulation", IF($I132="kg",$J132,0), 0)</f>
        <v>0</v>
      </c>
      <c r="BI132" s="1033">
        <f>IF($AM132="Revêtement", IF($I132="kg",$J132,0), 0)</f>
        <v>0</v>
      </c>
      <c r="BJ132" s="1030">
        <f>_xlfn.XLOOKUP(H132, 'Baumaterialien Matériaux'!A:A, 'Baumaterialien Matériaux'!E:E, "-", 0, 1)</f>
        <v>18</v>
      </c>
      <c r="BK132" s="1032">
        <f t="shared" si="182"/>
        <v>0</v>
      </c>
      <c r="BL132" s="1030">
        <f t="shared" si="183"/>
        <v>0</v>
      </c>
      <c r="BM132" s="1033">
        <f t="shared" si="184"/>
        <v>0</v>
      </c>
    </row>
    <row r="133" spans="2:67">
      <c r="B133" s="1103"/>
      <c r="C133" s="1099"/>
      <c r="D133" s="478"/>
      <c r="E133" s="478"/>
      <c r="F133" s="479" t="s">
        <v>3071</v>
      </c>
      <c r="G133" s="479"/>
      <c r="H133" s="479"/>
      <c r="I133" s="460" t="s">
        <v>39</v>
      </c>
      <c r="J133" s="662">
        <v>101.05</v>
      </c>
      <c r="K133" s="663"/>
      <c r="L133" s="663"/>
      <c r="M133" s="664">
        <f>SUM(M134:M136)</f>
        <v>16.656514521495779</v>
      </c>
      <c r="N133" s="664">
        <f t="shared" ref="N133:T133" si="346">SUM(N134:N136)</f>
        <v>12.730570238646129</v>
      </c>
      <c r="O133" s="664">
        <f t="shared" ref="O133" si="347">SUM(O134:O136)</f>
        <v>2.7803585861924596</v>
      </c>
      <c r="P133" s="664">
        <f t="shared" si="346"/>
        <v>0</v>
      </c>
      <c r="Q133" s="664">
        <f t="shared" si="346"/>
        <v>1.1455856966571911</v>
      </c>
      <c r="R133" s="664">
        <f t="shared" ref="R133" si="348">SUM(R134:R136)</f>
        <v>0.23300574689848175</v>
      </c>
      <c r="S133" s="664">
        <f t="shared" si="346"/>
        <v>0</v>
      </c>
      <c r="T133" s="664">
        <f t="shared" si="346"/>
        <v>0</v>
      </c>
      <c r="V133" s="638">
        <f t="shared" si="186"/>
        <v>0</v>
      </c>
      <c r="W133" s="638">
        <f t="shared" si="187"/>
        <v>0</v>
      </c>
      <c r="Z133" s="638">
        <f t="shared" si="188"/>
        <v>0</v>
      </c>
      <c r="AA133" s="648" t="s">
        <v>3456</v>
      </c>
      <c r="AB133">
        <f>_xlfn.XLOOKUP($H133,'[1]Baumaterialien Matériaux'!$A:$A,'[1]Baumaterialien Matériaux'!AK:AK,0,0)</f>
        <v>0</v>
      </c>
      <c r="AC133" cm="1">
        <f t="array" ref="AC133">_xlfn.SWITCH(I133,"kg"," ",0," ",_xlfn.XLOOKUP(H133, '[1]Baumaterialien Matériaux'!$A:$A, '[1]Baumaterialien Matériaux'!$AL:$AL, "-", 0, 1))</f>
        <v>0</v>
      </c>
      <c r="AD133" s="622" cm="1">
        <f t="array" ref="AD133">IFERROR(_xlfn.SWITCH(I133,"kg",1,"m3",AC133,AC133)*J133/(_xlfn.XLOOKUP(AA133,Métrés!A:A,Métrés!D:D,0)),0)</f>
        <v>0</v>
      </c>
      <c r="AE133" s="1092">
        <f>IFERROR(N133*$G$1/(_xlfn.XLOOKUP($AA133,Métrés!$A:$A,Métrés!$D:$D,0)),0)</f>
        <v>17.165872086286043</v>
      </c>
      <c r="AF133" s="1092">
        <f>IFERROR(O133*$G$1/(_xlfn.XLOOKUP($AA133,Métrés!$A:$A,Métrés!$D:$D,0)),0)</f>
        <v>3.7490292225639199</v>
      </c>
      <c r="AG133" s="1092">
        <f>IFERROR(Q133*$G$1/(_xlfn.XLOOKUP($AA133,Métrés!$A:$A,Métrés!$D:$D,0)),0)</f>
        <v>1.5447051596321548</v>
      </c>
      <c r="AH133" s="1092">
        <f>IFERROR(R133*$G$1/(_xlfn.XLOOKUP($AA133,Métrés!$A:$A,Métrés!$D:$D,0)),0)</f>
        <v>0.31418442156556881</v>
      </c>
      <c r="AI133" s="1092">
        <f>IFERROR(S133*$G$1/(_xlfn.XLOOKUP($AA133,Métrés!$A:$A,Métrés!$D:$D,0)),0)</f>
        <v>0</v>
      </c>
      <c r="AJ133" s="1064"/>
      <c r="AK133" s="1064"/>
      <c r="AL133" s="1064"/>
      <c r="AM133" s="1021"/>
      <c r="AN133" s="1073"/>
      <c r="AO133" s="1064"/>
      <c r="AP133" s="1064"/>
      <c r="AQ133" s="1064"/>
      <c r="AR133" s="1074"/>
      <c r="AS133" s="1073"/>
      <c r="AT133" s="1064"/>
      <c r="AU133" s="1064"/>
      <c r="AV133" s="1064"/>
      <c r="AW133" s="1074"/>
      <c r="AX133" s="1073"/>
      <c r="AY133" s="1064"/>
      <c r="AZ133" s="1064"/>
      <c r="BA133" s="1064"/>
      <c r="BB133" s="1074"/>
      <c r="BC133" s="1073"/>
      <c r="BD133" s="1064"/>
      <c r="BE133" s="1064"/>
      <c r="BF133" s="1074"/>
      <c r="BG133" s="1073"/>
      <c r="BH133" s="1064"/>
      <c r="BI133" s="1074"/>
      <c r="BJ133" s="1078"/>
      <c r="BK133" s="1073"/>
      <c r="BL133" s="1064"/>
      <c r="BM133" s="1074"/>
    </row>
    <row r="134" spans="2:67">
      <c r="B134" s="1103"/>
      <c r="C134" s="1099"/>
      <c r="D134" s="478"/>
      <c r="E134" s="478"/>
      <c r="F134" s="638" t="s">
        <v>2981</v>
      </c>
      <c r="G134" s="478" t="str">
        <f>_xlfn.XLOOKUP(H134, 'Baumaterialien Matériaux'!A:A, 'Baumaterialien Matériaux'!AD:AD, "-", 0, 1)</f>
        <v>Béton pour bâtiment (sans armature)</v>
      </c>
      <c r="H134" s="891">
        <v>1.0019999999999998</v>
      </c>
      <c r="I134" s="641" t="str">
        <f>_xlfn.XLOOKUP(H134, 'Baumaterialien Matériaux'!A:A, 'Baumaterialien Matériaux'!F:F, "-", 0, 1)</f>
        <v>kg</v>
      </c>
      <c r="J134" s="649">
        <f>$J$133*K134</f>
        <v>46483</v>
      </c>
      <c r="K134" s="893">
        <f>0.2*2300</f>
        <v>460</v>
      </c>
      <c r="L134" s="643">
        <v>60</v>
      </c>
      <c r="M134" s="648">
        <f t="shared" ref="M134:M136" si="349">SUM(N134:Q134)</f>
        <v>6.2634923205746897</v>
      </c>
      <c r="N134" s="720">
        <f>IFERROR(($J134*VLOOKUP($H134, 'Baumaterialien Matériaux'!$A$11:$AD$318, 26,FALSE)),0)/$G$1</f>
        <v>4.547817809215311</v>
      </c>
      <c r="O134" s="720">
        <f>IFERROR(($J134*VLOOKUP($H134, 'Baumaterialien Matériaux'!$A$11:$AH$318, 33,FALSE)),0)/$G$1</f>
        <v>1.065254621978361</v>
      </c>
      <c r="P134" s="720">
        <f t="shared" ref="P134:P136" si="350">IFERROR((N134+Q134)*($L$2/L134-1),0)</f>
        <v>0</v>
      </c>
      <c r="Q134" s="720">
        <f>IFERROR(($J134*VLOOKUP($H134, 'Baumaterialien Matériaux'!$A$11:$AH$318, 27,FALSE)),0)/$G$1</f>
        <v>0.65041988938101836</v>
      </c>
      <c r="R134" s="720">
        <f>IFERROR(($J134*VLOOKUP($H134, 'Baumaterialien Matériaux'!$A$11:$AH$318, 34,FALSE)),0)/$G$1</f>
        <v>0.13725396090875036</v>
      </c>
      <c r="S134" s="720">
        <f>IFERROR((J134*VLOOKUP(H134, 'Baumaterialien Matériaux'!$A$11:$AD$318, 29,FALSE)),0)/$G$1</f>
        <v>0</v>
      </c>
      <c r="T134" s="720">
        <f>S134*AJ134</f>
        <v>0</v>
      </c>
      <c r="V134" s="638">
        <f t="shared" si="186"/>
        <v>0</v>
      </c>
      <c r="W134" s="638">
        <f t="shared" si="187"/>
        <v>0</v>
      </c>
      <c r="Z134" s="638">
        <f t="shared" si="188"/>
        <v>60</v>
      </c>
      <c r="AA134" s="648" t="s">
        <v>3456</v>
      </c>
      <c r="AB134" t="str">
        <f>_xlfn.XLOOKUP($H134,'[1]Baumaterialien Matériaux'!$A:$A,'[1]Baumaterialien Matériaux'!AK:AK,0,0)</f>
        <v>concrete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 s="622" cm="1">
        <f t="array" ref="AD134">IFERROR(_xlfn.SWITCH(I134,"kg",1,"m3",AC134,AC134)*J134/(_xlfn.XLOOKUP(AA134,Métrés!A:A,Métrés!D:D,0)),0)</f>
        <v>69.057063481451763</v>
      </c>
      <c r="AE134" s="1092">
        <f>IFERROR(N134*$G$1/(_xlfn.XLOOKUP($AA134,Métrés!$A:$A,Métrés!$D:$D,0)),0)</f>
        <v>6.1322672371529174</v>
      </c>
      <c r="AF134" s="1092">
        <f>IFERROR(O134*$G$1/(_xlfn.XLOOKUP($AA134,Métrés!$A:$A,Métrés!$D:$D,0)),0)</f>
        <v>1.4363869204141968</v>
      </c>
      <c r="AG134" s="1092">
        <f>IFERROR(Q134*$G$1/(_xlfn.XLOOKUP($AA134,Métrés!$A:$A,Métrés!$D:$D,0)),0)</f>
        <v>0.87702470621443729</v>
      </c>
      <c r="AH134" s="1092">
        <f>IFERROR(R134*$G$1/(_xlfn.XLOOKUP($AA134,Métrés!$A:$A,Métrés!$D:$D,0)),0)</f>
        <v>0.18507293013029075</v>
      </c>
      <c r="AI134" s="1092">
        <f>IFERROR(S134*$G$1/(_xlfn.XLOOKUP($AA134,Métrés!$A:$A,Métrés!$D:$D,0)),0)</f>
        <v>0</v>
      </c>
      <c r="AJ134" s="1030"/>
      <c r="AK134" s="1030">
        <f>IF(L134=60,0,T134)</f>
        <v>0</v>
      </c>
      <c r="AL134" s="1030">
        <f>IF(L134=60,0,S134)</f>
        <v>0</v>
      </c>
      <c r="AM134" s="638" t="str">
        <f>IF(L134=$L$2, "Structure", IF(L134&gt;0,"Revêtement",0))</f>
        <v>Structure</v>
      </c>
      <c r="AN134" s="1032">
        <f>IF(AM134="Structure",N134,0)</f>
        <v>4.547817809215311</v>
      </c>
      <c r="AO134" s="1030">
        <f>IF(AM134="Structure",P134,0)</f>
        <v>0</v>
      </c>
      <c r="AP134" s="1030">
        <f>IF(AM134="Structure",Q134,0)</f>
        <v>0.65041988938101836</v>
      </c>
      <c r="AQ134" s="1030">
        <f>IF(AM134="Structure",S134,0)</f>
        <v>0</v>
      </c>
      <c r="AR134" s="1033">
        <f>IF(AM134="Structure",T134,0)</f>
        <v>0</v>
      </c>
      <c r="AS134" s="1032">
        <f>IF($AM134="Insulation",N134,0)</f>
        <v>0</v>
      </c>
      <c r="AT134" s="1030">
        <f t="shared" ref="AT134:AU136" si="351">IF($AM134="Insulation",P134,0)</f>
        <v>0</v>
      </c>
      <c r="AU134" s="1030">
        <f t="shared" si="351"/>
        <v>0</v>
      </c>
      <c r="AV134" s="1030">
        <f t="shared" ref="AV134:AW136" si="352">IF($AM134="Insulation",S134,0)</f>
        <v>0</v>
      </c>
      <c r="AW134" s="1033">
        <f t="shared" si="352"/>
        <v>0</v>
      </c>
      <c r="AX134" s="1032">
        <f>IF($AM134="Revêtement",N134,0)</f>
        <v>0</v>
      </c>
      <c r="AY134" s="1030">
        <f t="shared" ref="AY134:AZ136" si="353">IF($AM134="Revêtement",P134,0)</f>
        <v>0</v>
      </c>
      <c r="AZ134" s="1030">
        <f t="shared" si="353"/>
        <v>0</v>
      </c>
      <c r="BA134" s="1030">
        <f t="shared" ref="BA134:BB136" si="354">IF($AM134="Revêtement",S134,0)</f>
        <v>0</v>
      </c>
      <c r="BB134" s="1033">
        <f t="shared" si="354"/>
        <v>0</v>
      </c>
      <c r="BC134" s="1032">
        <f>IF($AM134="Installation",N134,0)</f>
        <v>0</v>
      </c>
      <c r="BD134" s="1030">
        <f t="shared" ref="BD134:BE136" si="355">IF($AM134="Installation",P134,0)</f>
        <v>0</v>
      </c>
      <c r="BE134" s="1030">
        <f t="shared" si="355"/>
        <v>0</v>
      </c>
      <c r="BF134" s="1033">
        <f>IF($AM134="Installation",S134,0)</f>
        <v>0</v>
      </c>
      <c r="BG134" s="1032">
        <f>IF($AM134="Structure", IF($I134="kg",$J134,0), 0)</f>
        <v>46483</v>
      </c>
      <c r="BH134" s="1030">
        <f>IF($AM134="Insulation", IF($I134="kg",$J134,0), 0)</f>
        <v>0</v>
      </c>
      <c r="BI134" s="1033">
        <f>IF($AM134="Revêtement", IF($I134="kg",$J134,0), 0)</f>
        <v>0</v>
      </c>
      <c r="BJ134" s="1030">
        <f>_xlfn.XLOOKUP(H134, 'Baumaterialien Matériaux'!A:A, 'Baumaterialien Matériaux'!E:E, "-", 0, 1)</f>
        <v>2300</v>
      </c>
      <c r="BK134" s="1032">
        <f t="shared" ref="BK134:BK195" si="356">IFERROR(BG134/$BJ134,0)</f>
        <v>20.21</v>
      </c>
      <c r="BL134" s="1030">
        <f t="shared" ref="BL134:BL195" si="357">IFERROR(BH134/$BJ134,0)</f>
        <v>0</v>
      </c>
      <c r="BM134" s="1033">
        <f t="shared" ref="BM134:BM195" si="358">IFERROR(BI134/$BJ134,0)</f>
        <v>0</v>
      </c>
    </row>
    <row r="135" spans="2:67">
      <c r="B135" s="1103"/>
      <c r="C135" s="1099"/>
      <c r="D135" s="478"/>
      <c r="E135" s="478"/>
      <c r="F135" s="478" t="s">
        <v>3004</v>
      </c>
      <c r="G135" s="478" t="str">
        <f>_xlfn.XLOOKUP(H135, 'Baumaterialien Matériaux'!A:A, 'Baumaterialien Matériaux'!AD:AD, "-", 0, 1)</f>
        <v>Acier d'armature</v>
      </c>
      <c r="H135" s="892" t="s">
        <v>497</v>
      </c>
      <c r="I135" s="641" t="str">
        <f>_xlfn.XLOOKUP(H135, 'Baumaterialien Matériaux'!A:A, 'Baumaterialien Matériaux'!F:F, "-", 0, 1)</f>
        <v>kg</v>
      </c>
      <c r="J135" s="649">
        <f>$J$133*K135</f>
        <v>3031.5</v>
      </c>
      <c r="K135" s="894">
        <f>0.2*150</f>
        <v>30</v>
      </c>
      <c r="L135" s="647">
        <v>60</v>
      </c>
      <c r="M135" s="648">
        <f t="shared" si="349"/>
        <v>6.0234537581807359</v>
      </c>
      <c r="N135" s="720">
        <f>IFERROR(($J135*VLOOKUP($H135, 'Baumaterialien Matériaux'!$A$11:$AD$318, 26,FALSE)),0)/$G$1</f>
        <v>5.0100813115621072</v>
      </c>
      <c r="O135" s="720">
        <f>IFERROR(($J135*VLOOKUP($H135, 'Baumaterialien Matériaux'!$A$11:$AH$318, 33,FALSE)),0)/$G$1</f>
        <v>0.97195577444304881</v>
      </c>
      <c r="P135" s="720">
        <f t="shared" si="350"/>
        <v>0</v>
      </c>
      <c r="Q135" s="720">
        <f>IFERROR(($J135*VLOOKUP($H135, 'Baumaterialien Matériaux'!$A$11:$AH$318, 27,FALSE)),0)/$G$1</f>
        <v>4.1416672175580094E-2</v>
      </c>
      <c r="R135" s="720">
        <f>IFERROR(($J135*VLOOKUP($H135, 'Baumaterialien Matériaux'!$A$11:$AH$318, 34,FALSE)),0)/$G$1</f>
        <v>0</v>
      </c>
      <c r="S135" s="720">
        <f>IFERROR((J135*VLOOKUP(H135, 'Baumaterialien Matériaux'!$A$11:$AD$318, 29,FALSE)),0)/$G$1</f>
        <v>0</v>
      </c>
      <c r="T135" s="720">
        <f>S135*AJ135</f>
        <v>0</v>
      </c>
      <c r="V135" s="638">
        <f t="shared" si="186"/>
        <v>0</v>
      </c>
      <c r="W135" s="638">
        <f t="shared" si="187"/>
        <v>0</v>
      </c>
      <c r="Z135" s="638">
        <f t="shared" si="188"/>
        <v>60</v>
      </c>
      <c r="AA135" s="648" t="s">
        <v>3456</v>
      </c>
      <c r="AB135" t="str">
        <f>_xlfn.XLOOKUP($H135,'[1]Baumaterialien Matériaux'!$A:$A,'[1]Baumaterialien Matériaux'!AK:AK,0,0)</f>
        <v>metal</v>
      </c>
      <c r="AC135" t="str" cm="1">
        <f t="array" ref="AC135">_xlfn.SWITCH(I135,"kg"," ",0," ",_xlfn.XLOOKUP(H135, '[1]Baumaterialien Matériaux'!$A:$A, '[1]Baumaterialien Matériaux'!$AL:$AL, "-", 0, 1))</f>
        <v xml:space="preserve"> </v>
      </c>
      <c r="AD135" s="622" cm="1">
        <f t="array" ref="AD135">IFERROR(_xlfn.SWITCH(I135,"kg",1,"m3",AC135,AC135)*J135/(_xlfn.XLOOKUP(AA135,Métrés!A:A,Métrés!D:D,0)),0)</f>
        <v>4.5037215313990284</v>
      </c>
      <c r="AE135" s="1092">
        <f>IFERROR(N135*$G$1/(_xlfn.XLOOKUP($AA135,Métrés!$A:$A,Métrés!$D:$D,0)),0)</f>
        <v>6.7555822970985426</v>
      </c>
      <c r="AF135" s="1092">
        <f>IFERROR(O135*$G$1/(_xlfn.XLOOKUP($AA135,Métrés!$A:$A,Métrés!$D:$D,0)),0)</f>
        <v>1.3105829656371171</v>
      </c>
      <c r="AG135" s="1092">
        <f>IFERROR(Q135*$G$1/(_xlfn.XLOOKUP($AA135,Métrés!$A:$A,Métrés!$D:$D,0)),0)</f>
        <v>5.5846146989347957E-2</v>
      </c>
      <c r="AH135" s="1092">
        <f>IFERROR(R135*$G$1/(_xlfn.XLOOKUP($AA135,Métrés!$A:$A,Métrés!$D:$D,0)),0)</f>
        <v>0</v>
      </c>
      <c r="AI135" s="1092">
        <f>IFERROR(S135*$G$1/(_xlfn.XLOOKUP($AA135,Métrés!$A:$A,Métrés!$D:$D,0)),0)</f>
        <v>0</v>
      </c>
      <c r="AJ135" s="1030"/>
      <c r="AK135" s="1030">
        <f>IF(L135=60,0,T135)</f>
        <v>0</v>
      </c>
      <c r="AL135" s="1030">
        <f>IF(L135=60,0,S135)</f>
        <v>0</v>
      </c>
      <c r="AM135" s="638" t="str">
        <f>IF(L135=$L$2, "Structure", IF(L135&gt;0,"Revêtement",0))</f>
        <v>Structure</v>
      </c>
      <c r="AN135" s="1032">
        <f>IF(AM135="Structure",N135,0)</f>
        <v>5.0100813115621072</v>
      </c>
      <c r="AO135" s="1030">
        <f>IF(AM135="Structure",P135,0)</f>
        <v>0</v>
      </c>
      <c r="AP135" s="1030">
        <f>IF(AM135="Structure",Q135,0)</f>
        <v>4.1416672175580094E-2</v>
      </c>
      <c r="AQ135" s="1030">
        <f>IF(AM135="Structure",S135,0)</f>
        <v>0</v>
      </c>
      <c r="AR135" s="1033">
        <f>IF(AM135="Structure",T135,0)</f>
        <v>0</v>
      </c>
      <c r="AS135" s="1032">
        <f>IF($AM135="Insulation",N135,0)</f>
        <v>0</v>
      </c>
      <c r="AT135" s="1030">
        <f t="shared" si="351"/>
        <v>0</v>
      </c>
      <c r="AU135" s="1030">
        <f t="shared" si="351"/>
        <v>0</v>
      </c>
      <c r="AV135" s="1030">
        <f t="shared" si="352"/>
        <v>0</v>
      </c>
      <c r="AW135" s="1033">
        <f t="shared" si="352"/>
        <v>0</v>
      </c>
      <c r="AX135" s="1032">
        <f>IF($AM135="Revêtement",N135,0)</f>
        <v>0</v>
      </c>
      <c r="AY135" s="1030">
        <f t="shared" si="353"/>
        <v>0</v>
      </c>
      <c r="AZ135" s="1030">
        <f t="shared" si="353"/>
        <v>0</v>
      </c>
      <c r="BA135" s="1030">
        <f t="shared" si="354"/>
        <v>0</v>
      </c>
      <c r="BB135" s="1033">
        <f t="shared" si="354"/>
        <v>0</v>
      </c>
      <c r="BC135" s="1032">
        <f>IF($AM135="Installation",N135,0)</f>
        <v>0</v>
      </c>
      <c r="BD135" s="1030">
        <f t="shared" si="355"/>
        <v>0</v>
      </c>
      <c r="BE135" s="1030">
        <f t="shared" si="355"/>
        <v>0</v>
      </c>
      <c r="BF135" s="1033">
        <f>IF($AM135="Installation",S135,0)</f>
        <v>0</v>
      </c>
      <c r="BG135" s="1032">
        <f>IF($AM135="Structure", IF($I135="kg",$J135,0), 0)</f>
        <v>3031.5</v>
      </c>
      <c r="BH135" s="1030">
        <f>IF($AM135="Insulation", IF($I135="kg",$J135,0), 0)</f>
        <v>0</v>
      </c>
      <c r="BI135" s="1033">
        <f>IF($AM135="Revêtement", IF($I135="kg",$J135,0), 0)</f>
        <v>0</v>
      </c>
      <c r="BJ135" s="1030">
        <f>_xlfn.XLOOKUP(H135, 'Baumaterialien Matériaux'!A:A, 'Baumaterialien Matériaux'!E:E, "-", 0, 1)</f>
        <v>7850</v>
      </c>
      <c r="BK135" s="1032">
        <f t="shared" si="356"/>
        <v>0.3861783439490446</v>
      </c>
      <c r="BL135" s="1030">
        <f t="shared" si="357"/>
        <v>0</v>
      </c>
      <c r="BM135" s="1033">
        <f t="shared" si="358"/>
        <v>0</v>
      </c>
    </row>
    <row r="136" spans="2:67">
      <c r="B136" s="1103"/>
      <c r="C136" s="1099"/>
      <c r="D136" s="478"/>
      <c r="E136" s="478"/>
      <c r="F136" s="478" t="s">
        <v>3361</v>
      </c>
      <c r="G136" s="478" t="str">
        <f>_xlfn.XLOOKUP(H136, 'Baumaterialien Matériaux'!A:A, 'Baumaterialien Matériaux'!AD:AD, "-", 0, 1)</f>
        <v>Béton pour bâtiment (sans armature)</v>
      </c>
      <c r="H136" s="891">
        <v>1.0019999999999998</v>
      </c>
      <c r="I136" s="641" t="str">
        <f>_xlfn.XLOOKUP(H136, 'Baumaterialien Matériaux'!A:A, 'Baumaterialien Matériaux'!F:F, "-", 0, 1)</f>
        <v>kg</v>
      </c>
      <c r="J136" s="649">
        <f>K136*140.99</f>
        <v>32427.7</v>
      </c>
      <c r="K136" s="893">
        <f>0.1*2300</f>
        <v>230</v>
      </c>
      <c r="L136" s="647">
        <v>60</v>
      </c>
      <c r="M136" s="648">
        <f t="shared" si="349"/>
        <v>4.3695684427403538</v>
      </c>
      <c r="N136" s="720">
        <f>IFERROR(($J136*VLOOKUP($H136, 'Baumaterialien Matériaux'!$A$11:$AD$318, 26,FALSE)),0)/$G$1</f>
        <v>3.1726711178687115</v>
      </c>
      <c r="O136" s="720">
        <f>IFERROR(($J136*VLOOKUP($H136, 'Baumaterialien Matériaux'!$A$11:$AH$318, 33,FALSE)),0)/$G$1</f>
        <v>0.74314818977104957</v>
      </c>
      <c r="P136" s="720">
        <f t="shared" si="350"/>
        <v>0</v>
      </c>
      <c r="Q136" s="720">
        <f>IFERROR(($J136*VLOOKUP($H136, 'Baumaterialien Matériaux'!$A$11:$AH$318, 27,FALSE)),0)/$G$1</f>
        <v>0.45374913510059278</v>
      </c>
      <c r="R136" s="720">
        <f>IFERROR(($J136*VLOOKUP($H136, 'Baumaterialien Matériaux'!$A$11:$AH$318, 34,FALSE)),0)/$G$1</f>
        <v>9.5751785989731386E-2</v>
      </c>
      <c r="S136" s="720">
        <f>IFERROR((J136*VLOOKUP(H136, 'Baumaterialien Matériaux'!$A$11:$AD$318, 29,FALSE)),0)/$G$1</f>
        <v>0</v>
      </c>
      <c r="T136" s="720"/>
      <c r="Z136" s="638">
        <f t="shared" si="188"/>
        <v>60</v>
      </c>
      <c r="AA136" s="648" t="s">
        <v>3456</v>
      </c>
      <c r="AB136" t="str">
        <f>_xlfn.XLOOKUP($H136,'[1]Baumaterialien Matériaux'!$A:$A,'[1]Baumaterialien Matériaux'!AK:AK,0,0)</f>
        <v>concrete</v>
      </c>
      <c r="AC136" t="str" cm="1">
        <f t="array" ref="AC136">_xlfn.SWITCH(I136,"kg"," ",0," ",_xlfn.XLOOKUP(H136, '[1]Baumaterialien Matériaux'!$A:$A, '[1]Baumaterialien Matériaux'!$AL:$AL, "-", 0, 1))</f>
        <v xml:space="preserve"> </v>
      </c>
      <c r="AD136" s="622" cm="1">
        <f t="array" ref="AD136">IFERROR(_xlfn.SWITCH(I136,"kg",1,"m3",AC136,AC136)*J136/(_xlfn.XLOOKUP(AA136,Métrés!A:A,Métrés!D:D,0)),0)</f>
        <v>48.175929640029118</v>
      </c>
      <c r="AE136" s="1092">
        <f>IFERROR(N136*$G$1/(_xlfn.XLOOKUP($AA136,Métrés!$A:$A,Métrés!$D:$D,0)),0)</f>
        <v>4.278022552034586</v>
      </c>
      <c r="AF136" s="1092">
        <f>IFERROR(O136*$G$1/(_xlfn.XLOOKUP($AA136,Métrés!$A:$A,Métrés!$D:$D,0)),0)</f>
        <v>1.0020593365126056</v>
      </c>
      <c r="AG136" s="1092">
        <f>IFERROR(Q136*$G$1/(_xlfn.XLOOKUP($AA136,Métrés!$A:$A,Métrés!$D:$D,0)),0)</f>
        <v>0.61183430642836978</v>
      </c>
      <c r="AH136" s="1092">
        <f>IFERROR(R136*$G$1/(_xlfn.XLOOKUP($AA136,Métrés!$A:$A,Métrés!$D:$D,0)),0)</f>
        <v>0.12911149143527806</v>
      </c>
      <c r="AI136" s="1092">
        <f>IFERROR(S136*$G$1/(_xlfn.XLOOKUP($AA136,Métrés!$A:$A,Métrés!$D:$D,0)),0)</f>
        <v>0</v>
      </c>
      <c r="AJ136" s="1030"/>
      <c r="AK136" s="1030"/>
      <c r="AL136" s="1030"/>
      <c r="AM136" s="638" t="str">
        <f>IF(L136=$L$2, "Structure", IF(L136&gt;0,"Revêtement",0))</f>
        <v>Structure</v>
      </c>
      <c r="AN136" s="1032">
        <f>IF(AM136="Structure",N136,0)</f>
        <v>3.1726711178687115</v>
      </c>
      <c r="AO136" s="1030">
        <f>IF(AM136="Structure",P136,0)</f>
        <v>0</v>
      </c>
      <c r="AP136" s="1030">
        <f>IF(AM136="Structure",Q136,0)</f>
        <v>0.45374913510059278</v>
      </c>
      <c r="AQ136" s="1030">
        <f>IF(AM136="Structure",S136,0)</f>
        <v>0</v>
      </c>
      <c r="AR136" s="1033">
        <f>IF(AM136="Structure",T136,0)</f>
        <v>0</v>
      </c>
      <c r="AS136" s="1032">
        <f>IF($AM136="Insulation",N136,0)</f>
        <v>0</v>
      </c>
      <c r="AT136" s="1030">
        <f t="shared" si="351"/>
        <v>0</v>
      </c>
      <c r="AU136" s="1030">
        <f t="shared" si="351"/>
        <v>0</v>
      </c>
      <c r="AV136" s="1030">
        <f t="shared" si="352"/>
        <v>0</v>
      </c>
      <c r="AW136" s="1033">
        <f t="shared" si="352"/>
        <v>0</v>
      </c>
      <c r="AX136" s="1032">
        <f>IF($AM136="Revêtement",N136,0)</f>
        <v>0</v>
      </c>
      <c r="AY136" s="1030">
        <f t="shared" si="353"/>
        <v>0</v>
      </c>
      <c r="AZ136" s="1030">
        <f t="shared" si="353"/>
        <v>0</v>
      </c>
      <c r="BA136" s="1030">
        <f t="shared" si="354"/>
        <v>0</v>
      </c>
      <c r="BB136" s="1033">
        <f t="shared" si="354"/>
        <v>0</v>
      </c>
      <c r="BC136" s="1032">
        <f>IF($AM136="Installation",N136,0)</f>
        <v>0</v>
      </c>
      <c r="BD136" s="1030">
        <f t="shared" si="355"/>
        <v>0</v>
      </c>
      <c r="BE136" s="1030">
        <f t="shared" si="355"/>
        <v>0</v>
      </c>
      <c r="BF136" s="1033">
        <f>IF($AM136="Installation",S136,0)</f>
        <v>0</v>
      </c>
      <c r="BG136" s="1032">
        <f>IF($AM136="Structure", IF($I136="kg",$J136,0), 0)</f>
        <v>32427.7</v>
      </c>
      <c r="BH136" s="1030">
        <f>IF($AM136="Insulation", IF($I136="kg",$J136,0), 0)</f>
        <v>0</v>
      </c>
      <c r="BI136" s="1033">
        <f>IF($AM136="Revêtement", IF($I136="kg",$J136,0), 0)</f>
        <v>0</v>
      </c>
      <c r="BJ136" s="1030">
        <f>_xlfn.XLOOKUP(H136, 'Baumaterialien Matériaux'!A:A, 'Baumaterialien Matériaux'!E:E, "-", 0, 1)</f>
        <v>2300</v>
      </c>
      <c r="BK136" s="1032">
        <f t="shared" si="356"/>
        <v>14.099</v>
      </c>
      <c r="BL136" s="1030">
        <f t="shared" si="357"/>
        <v>0</v>
      </c>
      <c r="BM136" s="1033">
        <f t="shared" si="358"/>
        <v>0</v>
      </c>
    </row>
    <row r="137" spans="2:67">
      <c r="B137" s="1103"/>
      <c r="C137" s="1099"/>
      <c r="D137" s="478"/>
      <c r="E137" s="478"/>
      <c r="F137" s="479" t="s">
        <v>3072</v>
      </c>
      <c r="G137" s="479"/>
      <c r="H137" s="479"/>
      <c r="I137" s="460" t="s">
        <v>39</v>
      </c>
      <c r="J137" s="662">
        <v>50.78</v>
      </c>
      <c r="K137" s="663"/>
      <c r="L137" s="663"/>
      <c r="M137" s="664">
        <f>SUM(M138:M141)</f>
        <v>8.3554729236905327</v>
      </c>
      <c r="N137" s="664">
        <f t="shared" ref="N137:T137" si="359">SUM(N138:N141)</f>
        <v>5.3766855787664447</v>
      </c>
      <c r="O137" s="664">
        <f t="shared" ref="O137" si="360">SUM(O138:O141)</f>
        <v>1.2761281869064147</v>
      </c>
      <c r="P137" s="664">
        <f t="shared" si="359"/>
        <v>0.96430582732861758</v>
      </c>
      <c r="Q137" s="664">
        <f t="shared" si="359"/>
        <v>0.73835333068905484</v>
      </c>
      <c r="R137" s="664">
        <f t="shared" ref="R137" si="361">SUM(R138:R141)</f>
        <v>0.15816460192591614</v>
      </c>
      <c r="S137" s="664">
        <f t="shared" si="359"/>
        <v>7.2013810845948753E-2</v>
      </c>
      <c r="T137" s="664">
        <f t="shared" si="359"/>
        <v>7.2013810845948753E-4</v>
      </c>
      <c r="V137" s="638">
        <f t="shared" si="186"/>
        <v>7.2013810845948753E-4</v>
      </c>
      <c r="W137" s="638">
        <f t="shared" si="187"/>
        <v>7.2013810845948753E-2</v>
      </c>
      <c r="Z137" s="638">
        <f t="shared" ref="Z137:Z200" si="362">L137</f>
        <v>0</v>
      </c>
      <c r="AA137" s="648" t="s">
        <v>3456</v>
      </c>
      <c r="AB137">
        <f>_xlfn.XLOOKUP($H137,'[1]Baumaterialien Matériaux'!$A:$A,'[1]Baumaterialien Matériaux'!AK:AK,0,0)</f>
        <v>0</v>
      </c>
      <c r="AC137" cm="1">
        <f t="array" ref="AC137">_xlfn.SWITCH(I137,"kg"," ",0," ",_xlfn.XLOOKUP(H137, '[1]Baumaterialien Matériaux'!$A:$A, '[1]Baumaterialien Matériaux'!$AL:$AL, "-", 0, 1))</f>
        <v>0</v>
      </c>
      <c r="AD137" s="622" cm="1">
        <f t="array" ref="AD137">IFERROR(_xlfn.SWITCH(I137,"kg",1,"m3",AC137,AC137)*J137/(_xlfn.XLOOKUP(AA137,Métrés!A:A,Métrés!D:D,0)),0)</f>
        <v>0</v>
      </c>
      <c r="AE137" s="1092">
        <f>IFERROR(N137*$G$1/(_xlfn.XLOOKUP($AA137,Métrés!$A:$A,Métrés!$D:$D,0)),0)</f>
        <v>7.2499106609618051</v>
      </c>
      <c r="AF137" s="1092">
        <f>IFERROR(O137*$G$1/(_xlfn.XLOOKUP($AA137,Métrés!$A:$A,Métrés!$D:$D,0)),0)</f>
        <v>1.7207283579206967</v>
      </c>
      <c r="AG137" s="1092">
        <f>IFERROR(Q137*$G$1/(_xlfn.XLOOKUP($AA137,Métrés!$A:$A,Métrés!$D:$D,0)),0)</f>
        <v>0.99559395938256734</v>
      </c>
      <c r="AH137" s="1092">
        <f>IFERROR(R137*$G$1/(_xlfn.XLOOKUP($AA137,Métrés!$A:$A,Métrés!$D:$D,0)),0)</f>
        <v>0.21326879113369288</v>
      </c>
      <c r="AI137" s="1092">
        <f>IFERROR(S137*$G$1/(_xlfn.XLOOKUP($AA137,Métrés!$A:$A,Métrés!$D:$D,0)),0)</f>
        <v>9.7103259496961872E-2</v>
      </c>
      <c r="AJ137" s="1064"/>
      <c r="AK137" s="1064"/>
      <c r="AL137" s="1064"/>
      <c r="AM137" s="1021"/>
      <c r="AN137" s="1073"/>
      <c r="AO137" s="1064"/>
      <c r="AP137" s="1064"/>
      <c r="AQ137" s="1064"/>
      <c r="AR137" s="1074"/>
      <c r="AS137" s="1073"/>
      <c r="AT137" s="1064"/>
      <c r="AU137" s="1064"/>
      <c r="AV137" s="1064"/>
      <c r="AW137" s="1074"/>
      <c r="AX137" s="1073"/>
      <c r="AY137" s="1064"/>
      <c r="AZ137" s="1064"/>
      <c r="BA137" s="1064"/>
      <c r="BB137" s="1074"/>
      <c r="BC137" s="1073"/>
      <c r="BD137" s="1064"/>
      <c r="BE137" s="1064"/>
      <c r="BF137" s="1074"/>
      <c r="BG137" s="1073"/>
      <c r="BH137" s="1064"/>
      <c r="BI137" s="1074"/>
      <c r="BJ137" s="1078"/>
      <c r="BK137" s="1073"/>
      <c r="BL137" s="1064"/>
      <c r="BM137" s="1074"/>
    </row>
    <row r="138" spans="2:67">
      <c r="B138" s="1103"/>
      <c r="C138" s="1099"/>
      <c r="D138" s="478"/>
      <c r="E138" s="478"/>
      <c r="F138" s="638" t="s">
        <v>2981</v>
      </c>
      <c r="G138" s="478" t="str">
        <f>_xlfn.XLOOKUP(H138, 'Baumaterialien Matériaux'!A:A, 'Baumaterialien Matériaux'!AD:AD, "-", 0, 1)</f>
        <v>Béton pour bâtiment (sans armature)</v>
      </c>
      <c r="H138" s="891">
        <v>1.0019999999999998</v>
      </c>
      <c r="I138" s="641" t="str">
        <f>_xlfn.XLOOKUP(H138, 'Baumaterialien Matériaux'!A:A, 'Baumaterialien Matériaux'!F:F, "-", 0, 1)</f>
        <v>kg</v>
      </c>
      <c r="J138" s="649">
        <f>$J$137*K138</f>
        <v>23358.799999999999</v>
      </c>
      <c r="K138" s="893">
        <f>0.2*2300</f>
        <v>460</v>
      </c>
      <c r="L138" s="643">
        <v>60</v>
      </c>
      <c r="M138" s="648">
        <f t="shared" ref="M138:M141" si="363">SUM(N138:Q138)</f>
        <v>3.1475521033031448</v>
      </c>
      <c r="N138" s="720">
        <f>IFERROR(($J138*VLOOKUP($H138, 'Baumaterialien Matériaux'!$A$11:$AD$318, 26,FALSE)),0)/$G$1</f>
        <v>2.2853853374760367</v>
      </c>
      <c r="O138" s="720">
        <f>IFERROR(($J138*VLOOKUP($H138, 'Baumaterialien Matériaux'!$A$11:$AH$318, 33,FALSE)),0)/$G$1</f>
        <v>0.53531548445384625</v>
      </c>
      <c r="P138" s="720">
        <f t="shared" ref="P138:P141" si="364">IFERROR((N138+Q138)*($L$2/L138-1),0)</f>
        <v>0</v>
      </c>
      <c r="Q138" s="720">
        <f>IFERROR(($J138*VLOOKUP($H138, 'Baumaterialien Matériaux'!$A$11:$AH$318, 27,FALSE)),0)/$G$1</f>
        <v>0.32685128137326191</v>
      </c>
      <c r="R138" s="720">
        <f>IFERROR(($J138*VLOOKUP($H138, 'Baumaterialien Matériaux'!$A$11:$AH$318, 34,FALSE)),0)/$G$1</f>
        <v>6.8973341266168664E-2</v>
      </c>
      <c r="S138" s="720">
        <f>IFERROR((J138*VLOOKUP(H138, 'Baumaterialien Matériaux'!$A$11:$AD$318, 29,FALSE)),0)/$G$1</f>
        <v>0</v>
      </c>
      <c r="T138" s="720">
        <f>S138*AJ138</f>
        <v>0</v>
      </c>
      <c r="V138" s="638">
        <f t="shared" si="186"/>
        <v>0</v>
      </c>
      <c r="W138" s="638">
        <f t="shared" si="187"/>
        <v>0</v>
      </c>
      <c r="Z138" s="638">
        <f t="shared" si="362"/>
        <v>60</v>
      </c>
      <c r="AA138" s="648" t="s">
        <v>3456</v>
      </c>
      <c r="AB138" t="str">
        <f>_xlfn.XLOOKUP($H138,'[1]Baumaterialien Matériaux'!$A:$A,'[1]Baumaterialien Matériaux'!AK:AK,0,0)</f>
        <v>concrete</v>
      </c>
      <c r="AC138" t="str" cm="1">
        <f t="array" ref="AC138">_xlfn.SWITCH(I138,"kg"," ",0," ",_xlfn.XLOOKUP(H138, '[1]Baumaterialien Matériaux'!$A:$A, '[1]Baumaterialien Matériaux'!$AL:$AL, "-", 0, 1))</f>
        <v xml:space="preserve"> </v>
      </c>
      <c r="AD138" s="622" cm="1">
        <f t="array" ref="AD138">IFERROR(_xlfn.SWITCH(I138,"kg",1,"m3",AC138,AC138)*J138/(_xlfn.XLOOKUP(AA138,Métrés!A:A,Métrés!D:D,0)),0)</f>
        <v>34.7027974625247</v>
      </c>
      <c r="AE138" s="1092">
        <f>IFERROR(N138*$G$1/(_xlfn.XLOOKUP($AA138,Métrés!$A:$A,Métrés!$D:$D,0)),0)</f>
        <v>3.0816084146721936</v>
      </c>
      <c r="AF138" s="1092">
        <f>IFERROR(O138*$G$1/(_xlfn.XLOOKUP($AA138,Métrés!$A:$A,Métrés!$D:$D,0)),0)</f>
        <v>0.72181818722051361</v>
      </c>
      <c r="AG138" s="1092">
        <f>IFERROR(Q138*$G$1/(_xlfn.XLOOKUP($AA138,Métrés!$A:$A,Métrés!$D:$D,0)),0)</f>
        <v>0.4407255277740636</v>
      </c>
      <c r="AH138" s="1092">
        <f>IFERROR(R138*$G$1/(_xlfn.XLOOKUP($AA138,Métrés!$A:$A,Métrés!$D:$D,0)),0)</f>
        <v>9.3003497199566201E-2</v>
      </c>
      <c r="AI138" s="1092">
        <f>IFERROR(S138*$G$1/(_xlfn.XLOOKUP($AA138,Métrés!$A:$A,Métrés!$D:$D,0)),0)</f>
        <v>0</v>
      </c>
      <c r="AJ138" s="1030"/>
      <c r="AK138" s="1030">
        <f>IF(L138=60,0,T138)</f>
        <v>0</v>
      </c>
      <c r="AL138" s="1030">
        <f>IF(L138=60,0,S138)</f>
        <v>0</v>
      </c>
      <c r="AM138" s="638" t="str">
        <f>IF(L138=$L$2, "Structure", IF(L138&gt;0,"Revêtement",0))</f>
        <v>Structure</v>
      </c>
      <c r="AN138" s="1032">
        <f>IF(AM138="Structure",N138,0)</f>
        <v>2.2853853374760367</v>
      </c>
      <c r="AO138" s="1030">
        <f>IF(AM138="Structure",P138,0)</f>
        <v>0</v>
      </c>
      <c r="AP138" s="1030">
        <f>IF(AM138="Structure",Q138,0)</f>
        <v>0.32685128137326191</v>
      </c>
      <c r="AQ138" s="1030">
        <f>IF(AM138="Structure",S138,0)</f>
        <v>0</v>
      </c>
      <c r="AR138" s="1033">
        <f>IF(AM138="Structure",T138,0)</f>
        <v>0</v>
      </c>
      <c r="AS138" s="1032">
        <f>IF($AM138="Insulation",N138,0)</f>
        <v>0</v>
      </c>
      <c r="AT138" s="1030">
        <f t="shared" ref="AT138:AU141" si="365">IF($AM138="Insulation",P138,0)</f>
        <v>0</v>
      </c>
      <c r="AU138" s="1030">
        <f t="shared" si="365"/>
        <v>0</v>
      </c>
      <c r="AV138" s="1030">
        <f t="shared" ref="AV138:AW141" si="366">IF($AM138="Insulation",S138,0)</f>
        <v>0</v>
      </c>
      <c r="AW138" s="1033">
        <f t="shared" si="366"/>
        <v>0</v>
      </c>
      <c r="AX138" s="1032">
        <f>IF($AM138="Revêtement",N138,0)</f>
        <v>0</v>
      </c>
      <c r="AY138" s="1030">
        <f t="shared" ref="AY138:AZ141" si="367">IF($AM138="Revêtement",P138,0)</f>
        <v>0</v>
      </c>
      <c r="AZ138" s="1030">
        <f t="shared" si="367"/>
        <v>0</v>
      </c>
      <c r="BA138" s="1030">
        <f t="shared" ref="BA138:BB141" si="368">IF($AM138="Revêtement",S138,0)</f>
        <v>0</v>
      </c>
      <c r="BB138" s="1033">
        <f t="shared" si="368"/>
        <v>0</v>
      </c>
      <c r="BC138" s="1032">
        <f>IF($AM138="Installation",N138,0)</f>
        <v>0</v>
      </c>
      <c r="BD138" s="1030">
        <f t="shared" ref="BD138:BE141" si="369">IF($AM138="Installation",P138,0)</f>
        <v>0</v>
      </c>
      <c r="BE138" s="1030">
        <f t="shared" si="369"/>
        <v>0</v>
      </c>
      <c r="BF138" s="1033">
        <f>IF($AM138="Installation",S138,0)</f>
        <v>0</v>
      </c>
      <c r="BG138" s="1032">
        <f>IF($AM138="Structure", IF($I138="kg",$J138,0), 0)</f>
        <v>23358.799999999999</v>
      </c>
      <c r="BH138" s="1030">
        <f>IF($AM138="Insulation", IF($I138="kg",$J138,0), 0)</f>
        <v>0</v>
      </c>
      <c r="BI138" s="1033">
        <f>IF($AM138="Revêtement", IF($I138="kg",$J138,0), 0)</f>
        <v>0</v>
      </c>
      <c r="BJ138" s="1030">
        <f>_xlfn.XLOOKUP(H138, 'Baumaterialien Matériaux'!A:A, 'Baumaterialien Matériaux'!E:E, "-", 0, 1)</f>
        <v>2300</v>
      </c>
      <c r="BK138" s="1032">
        <f t="shared" si="356"/>
        <v>10.155999999999999</v>
      </c>
      <c r="BL138" s="1030">
        <f t="shared" si="357"/>
        <v>0</v>
      </c>
      <c r="BM138" s="1033">
        <f t="shared" si="358"/>
        <v>0</v>
      </c>
    </row>
    <row r="139" spans="2:67">
      <c r="B139" s="1103"/>
      <c r="C139" s="1099"/>
      <c r="D139" s="478"/>
      <c r="E139" s="478"/>
      <c r="F139" s="478" t="s">
        <v>3004</v>
      </c>
      <c r="G139" s="478" t="str">
        <f>_xlfn.XLOOKUP(H139, 'Baumaterialien Matériaux'!A:A, 'Baumaterialien Matériaux'!AD:AD, "-", 0, 1)</f>
        <v>Acier d'armature</v>
      </c>
      <c r="H139" s="892" t="s">
        <v>497</v>
      </c>
      <c r="I139" s="641" t="str">
        <f>_xlfn.XLOOKUP(H139, 'Baumaterialien Matériaux'!A:A, 'Baumaterialien Matériaux'!F:F, "-", 0, 1)</f>
        <v>kg</v>
      </c>
      <c r="J139" s="649">
        <f t="shared" ref="J139:J140" si="370">$J$137*K139</f>
        <v>1523.4</v>
      </c>
      <c r="K139" s="894">
        <f>0.2*150</f>
        <v>30</v>
      </c>
      <c r="L139" s="647">
        <v>60</v>
      </c>
      <c r="M139" s="648">
        <f t="shared" si="363"/>
        <v>3.0269270840219482</v>
      </c>
      <c r="N139" s="720">
        <f>IFERROR(($J139*VLOOKUP($H139, 'Baumaterialien Matériaux'!$A$11:$AD$318, 26,FALSE)),0)/$G$1</f>
        <v>2.5176836120843529</v>
      </c>
      <c r="O139" s="720">
        <f>IFERROR(($J139*VLOOKUP($H139, 'Baumaterialien Matériaux'!$A$11:$AH$318, 33,FALSE)),0)/$G$1</f>
        <v>0.48843062074436439</v>
      </c>
      <c r="P139" s="720">
        <f t="shared" si="364"/>
        <v>0</v>
      </c>
      <c r="Q139" s="720">
        <f>IFERROR(($J139*VLOOKUP($H139, 'Baumaterialien Matériaux'!$A$11:$AH$318, 27,FALSE)),0)/$G$1</f>
        <v>2.081285119323065E-2</v>
      </c>
      <c r="R139" s="720">
        <f>IFERROR(($J139*VLOOKUP($H139, 'Baumaterialien Matériaux'!$A$11:$AH$318, 34,FALSE)),0)/$G$1</f>
        <v>0</v>
      </c>
      <c r="S139" s="720">
        <f>IFERROR((J139*VLOOKUP(H139, 'Baumaterialien Matériaux'!$A$11:$AD$318, 29,FALSE)),0)/$G$1</f>
        <v>0</v>
      </c>
      <c r="T139" s="720">
        <f>S139*AJ139</f>
        <v>0</v>
      </c>
      <c r="V139" s="638">
        <f t="shared" si="186"/>
        <v>0</v>
      </c>
      <c r="W139" s="638">
        <f t="shared" si="187"/>
        <v>0</v>
      </c>
      <c r="Z139" s="638">
        <f t="shared" si="362"/>
        <v>60</v>
      </c>
      <c r="AA139" s="648" t="s">
        <v>3456</v>
      </c>
      <c r="AB139" t="str">
        <f>_xlfn.XLOOKUP($H139,'[1]Baumaterialien Matériaux'!$A:$A,'[1]Baumaterialien Matériaux'!AK:AK,0,0)</f>
        <v>metal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 s="622" cm="1">
        <f t="array" ref="AD139">IFERROR(_xlfn.SWITCH(I139,"kg",1,"m3",AC139,AC139)*J139/(_xlfn.XLOOKUP(AA139,Métrés!A:A,Métrés!D:D,0)),0)</f>
        <v>2.2632259214690023</v>
      </c>
      <c r="AE139" s="1092">
        <f>IFERROR(N139*$G$1/(_xlfn.XLOOKUP($AA139,Métrés!$A:$A,Métrés!$D:$D,0)),0)</f>
        <v>3.3948388822035036</v>
      </c>
      <c r="AF139" s="1092">
        <f>IFERROR(O139*$G$1/(_xlfn.XLOOKUP($AA139,Métrés!$A:$A,Métrés!$D:$D,0)),0)</f>
        <v>0.65859874314747957</v>
      </c>
      <c r="AG139" s="1092">
        <f>IFERROR(Q139*$G$1/(_xlfn.XLOOKUP($AA139,Métrés!$A:$A,Métrés!$D:$D,0)),0)</f>
        <v>2.8064001426215627E-2</v>
      </c>
      <c r="AH139" s="1092">
        <f>IFERROR(R139*$G$1/(_xlfn.XLOOKUP($AA139,Métrés!$A:$A,Métrés!$D:$D,0)),0)</f>
        <v>0</v>
      </c>
      <c r="AI139" s="1092">
        <f>IFERROR(S139*$G$1/(_xlfn.XLOOKUP($AA139,Métrés!$A:$A,Métrés!$D:$D,0)),0)</f>
        <v>0</v>
      </c>
      <c r="AJ139" s="1030"/>
      <c r="AK139" s="1030">
        <f>IF(L139=60,0,T139)</f>
        <v>0</v>
      </c>
      <c r="AL139" s="1030">
        <f>IF(L139=60,0,S139)</f>
        <v>0</v>
      </c>
      <c r="AM139" s="638" t="str">
        <f>IF(L139=$L$2, "Structure", IF(L139&gt;0,"Revêtement",0))</f>
        <v>Structure</v>
      </c>
      <c r="AN139" s="1032">
        <f>IF(AM139="Structure",N139,0)</f>
        <v>2.5176836120843529</v>
      </c>
      <c r="AO139" s="1030">
        <f>IF(AM139="Structure",P139,0)</f>
        <v>0</v>
      </c>
      <c r="AP139" s="1030">
        <f>IF(AM139="Structure",Q139,0)</f>
        <v>2.081285119323065E-2</v>
      </c>
      <c r="AQ139" s="1030">
        <f>IF(AM139="Structure",S139,0)</f>
        <v>0</v>
      </c>
      <c r="AR139" s="1033">
        <f>IF(AM139="Structure",T139,0)</f>
        <v>0</v>
      </c>
      <c r="AS139" s="1032">
        <f>IF($AM139="Insulation",N139,0)</f>
        <v>0</v>
      </c>
      <c r="AT139" s="1030">
        <f t="shared" si="365"/>
        <v>0</v>
      </c>
      <c r="AU139" s="1030">
        <f t="shared" si="365"/>
        <v>0</v>
      </c>
      <c r="AV139" s="1030">
        <f t="shared" si="366"/>
        <v>0</v>
      </c>
      <c r="AW139" s="1033">
        <f t="shared" si="366"/>
        <v>0</v>
      </c>
      <c r="AX139" s="1032">
        <f>IF($AM139="Revêtement",N139,0)</f>
        <v>0</v>
      </c>
      <c r="AY139" s="1030">
        <f t="shared" si="367"/>
        <v>0</v>
      </c>
      <c r="AZ139" s="1030">
        <f t="shared" si="367"/>
        <v>0</v>
      </c>
      <c r="BA139" s="1030">
        <f t="shared" si="368"/>
        <v>0</v>
      </c>
      <c r="BB139" s="1033">
        <f t="shared" si="368"/>
        <v>0</v>
      </c>
      <c r="BC139" s="1032">
        <f>IF($AM139="Installation",N139,0)</f>
        <v>0</v>
      </c>
      <c r="BD139" s="1030">
        <f t="shared" si="369"/>
        <v>0</v>
      </c>
      <c r="BE139" s="1030">
        <f t="shared" si="369"/>
        <v>0</v>
      </c>
      <c r="BF139" s="1033">
        <f>IF($AM139="Installation",S139,0)</f>
        <v>0</v>
      </c>
      <c r="BG139" s="1032">
        <f>IF($AM139="Structure", IF($I139="kg",$J139,0), 0)</f>
        <v>1523.4</v>
      </c>
      <c r="BH139" s="1030">
        <f>IF($AM139="Insulation", IF($I139="kg",$J139,0), 0)</f>
        <v>0</v>
      </c>
      <c r="BI139" s="1033">
        <f>IF($AM139="Revêtement", IF($I139="kg",$J139,0), 0)</f>
        <v>0</v>
      </c>
      <c r="BJ139" s="1030">
        <f>_xlfn.XLOOKUP(H139, 'Baumaterialien Matériaux'!A:A, 'Baumaterialien Matériaux'!E:E, "-", 0, 1)</f>
        <v>7850</v>
      </c>
      <c r="BK139" s="1032">
        <f t="shared" si="356"/>
        <v>0.19406369426751593</v>
      </c>
      <c r="BL139" s="1030">
        <f t="shared" si="357"/>
        <v>0</v>
      </c>
      <c r="BM139" s="1033">
        <f t="shared" si="358"/>
        <v>0</v>
      </c>
    </row>
    <row r="140" spans="2:67">
      <c r="B140" s="1103"/>
      <c r="C140" s="1099"/>
      <c r="D140" s="478"/>
      <c r="E140" s="478"/>
      <c r="F140" s="478" t="s">
        <v>3074</v>
      </c>
      <c r="G140" s="478" t="str">
        <f>_xlfn.XLOOKUP(H140, 'Baumaterialien Matériaux'!A:A, 'Baumaterialien Matériaux'!AD:AD, "-", 0, 1)</f>
        <v>Polystyrène expansé (EPS)</v>
      </c>
      <c r="H140" s="902" t="s">
        <v>118</v>
      </c>
      <c r="I140" s="641" t="str">
        <f>_xlfn.XLOOKUP(H140, 'Baumaterialien Matériaux'!A:A, 'Baumaterialien Matériaux'!F:F, "-", 0, 1)</f>
        <v>kg</v>
      </c>
      <c r="J140" s="649">
        <f t="shared" si="370"/>
        <v>114.255</v>
      </c>
      <c r="K140" s="647">
        <f>0.15*15</f>
        <v>2.25</v>
      </c>
      <c r="L140" s="647">
        <v>30</v>
      </c>
      <c r="M140" s="648">
        <f t="shared" si="363"/>
        <v>2.1639490645865007</v>
      </c>
      <c r="N140" s="720">
        <f>IFERROR(($J140*VLOOKUP($H140, 'Baumaterialien Matériaux'!$A$11:$AD$318, 26,FALSE)),0)/$G$1</f>
        <v>0.56773765452502145</v>
      </c>
      <c r="O140" s="720">
        <f>IFERROR(($J140*VLOOKUP($H140, 'Baumaterialien Matériaux'!$A$11:$AH$318, 33,FALSE)),0)/$G$1</f>
        <v>0.25050951940239308</v>
      </c>
      <c r="P140" s="720">
        <f t="shared" si="364"/>
        <v>0.95671977259205387</v>
      </c>
      <c r="Q140" s="720">
        <f>IFERROR(($J140*VLOOKUP($H140, 'Baumaterialien Matériaux'!$A$11:$AH$318, 27,FALSE)),0)/$G$1</f>
        <v>0.38898211806703242</v>
      </c>
      <c r="R140" s="720">
        <f>IFERROR(($J140*VLOOKUP($H140, 'Baumaterialien Matériaux'!$A$11:$AH$318, 34,FALSE)),0)/$G$1</f>
        <v>8.8874231506577639E-2</v>
      </c>
      <c r="S140" s="720">
        <f>IFERROR((J140*VLOOKUP(H140, 'Baumaterialien Matériaux'!$A$11:$AD$318, 29,FALSE)),0)/$G$1</f>
        <v>0</v>
      </c>
      <c r="T140" s="720">
        <f>S140*AJ140</f>
        <v>0</v>
      </c>
      <c r="V140" s="638">
        <f t="shared" si="186"/>
        <v>0</v>
      </c>
      <c r="W140" s="638">
        <f t="shared" si="187"/>
        <v>0</v>
      </c>
      <c r="Z140" s="638">
        <f t="shared" si="362"/>
        <v>30</v>
      </c>
      <c r="AA140" s="648" t="s">
        <v>3456</v>
      </c>
      <c r="AB140" t="str">
        <f>_xlfn.XLOOKUP($H140,'[1]Baumaterialien Matériaux'!$A:$A,'[1]Baumaterialien Matériaux'!AK:AK,0,0)</f>
        <v>oil_product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 s="622" cm="1">
        <f t="array" ref="AD140">IFERROR(_xlfn.SWITCH(I140,"kg",1,"m3",AC140,AC140)*J140/(_xlfn.XLOOKUP(AA140,Métrés!A:A,Métrés!D:D,0)),0)</f>
        <v>0.16974194411017515</v>
      </c>
      <c r="AE140" s="1092">
        <f>IFERROR(N140*$G$1/(_xlfn.XLOOKUP($AA140,Métrés!$A:$A,Métrés!$D:$D,0)),0)</f>
        <v>0.76553616793688983</v>
      </c>
      <c r="AF140" s="1092">
        <f>IFERROR(O140*$G$1/(_xlfn.XLOOKUP($AA140,Métrés!$A:$A,Métrés!$D:$D,0)),0)</f>
        <v>0.33778646877924856</v>
      </c>
      <c r="AG140" s="1092">
        <f>IFERROR(Q140*$G$1/(_xlfn.XLOOKUP($AA140,Métrés!$A:$A,Métrés!$D:$D,0)),0)</f>
        <v>0.52450260730044118</v>
      </c>
      <c r="AH140" s="1092">
        <f>IFERROR(R140*$G$1/(_xlfn.XLOOKUP($AA140,Métrés!$A:$A,Métrés!$D:$D,0)),0)</f>
        <v>0.11983781254178365</v>
      </c>
      <c r="AI140" s="1092">
        <f>IFERROR(S140*$G$1/(_xlfn.XLOOKUP($AA140,Métrés!$A:$A,Métrés!$D:$D,0)),0)</f>
        <v>0</v>
      </c>
      <c r="AJ140" s="1030"/>
      <c r="AK140" s="1030">
        <f>IF(L140=60,0,T140)</f>
        <v>0</v>
      </c>
      <c r="AL140" s="1030">
        <f>IF(L140=60,0,S140)</f>
        <v>0</v>
      </c>
      <c r="AM140" s="638" t="s">
        <v>3388</v>
      </c>
      <c r="AN140" s="1032">
        <f>IF(AM140="Structure",N140,0)</f>
        <v>0</v>
      </c>
      <c r="AO140" s="1030">
        <f>IF(AM140="Structure",P140,0)</f>
        <v>0</v>
      </c>
      <c r="AP140" s="1030">
        <f>IF(AM140="Structure",Q140,0)</f>
        <v>0</v>
      </c>
      <c r="AQ140" s="1030">
        <f>IF(AM140="Structure",S140,0)</f>
        <v>0</v>
      </c>
      <c r="AR140" s="1033">
        <f>IF(AM140="Structure",T140,0)</f>
        <v>0</v>
      </c>
      <c r="AS140" s="1032">
        <f>IF($AM140="Insulation",N140,0)</f>
        <v>0.56773765452502145</v>
      </c>
      <c r="AT140" s="1030">
        <f t="shared" si="365"/>
        <v>0.95671977259205387</v>
      </c>
      <c r="AU140" s="1030">
        <f t="shared" si="365"/>
        <v>0.38898211806703242</v>
      </c>
      <c r="AV140" s="1030">
        <f t="shared" si="366"/>
        <v>0</v>
      </c>
      <c r="AW140" s="1033">
        <f t="shared" si="366"/>
        <v>0</v>
      </c>
      <c r="AX140" s="1032">
        <f>IF($AM140="Revêtement",N140,0)</f>
        <v>0</v>
      </c>
      <c r="AY140" s="1030">
        <f t="shared" si="367"/>
        <v>0</v>
      </c>
      <c r="AZ140" s="1030">
        <f t="shared" si="367"/>
        <v>0</v>
      </c>
      <c r="BA140" s="1030">
        <f t="shared" si="368"/>
        <v>0</v>
      </c>
      <c r="BB140" s="1033">
        <f t="shared" si="368"/>
        <v>0</v>
      </c>
      <c r="BC140" s="1032">
        <f>IF($AM140="Installation",N140,0)</f>
        <v>0</v>
      </c>
      <c r="BD140" s="1030">
        <f t="shared" si="369"/>
        <v>0</v>
      </c>
      <c r="BE140" s="1030">
        <f t="shared" si="369"/>
        <v>0</v>
      </c>
      <c r="BF140" s="1033">
        <f>IF($AM140="Installation",S140,0)</f>
        <v>0</v>
      </c>
      <c r="BG140" s="1032">
        <f>IF($AM140="Structure", IF($I140="kg",$J140,0), 0)</f>
        <v>0</v>
      </c>
      <c r="BH140" s="1030">
        <f>IF($AM140="Insulation", IF($I140="kg",$J140,0), 0)</f>
        <v>114.255</v>
      </c>
      <c r="BI140" s="1033">
        <f>IF($AM140="Revêtement", IF($I140="kg",$J140,0), 0)</f>
        <v>0</v>
      </c>
      <c r="BJ140" s="1030">
        <v>15</v>
      </c>
      <c r="BK140" s="1032">
        <f t="shared" si="356"/>
        <v>0</v>
      </c>
      <c r="BL140" s="1030">
        <f t="shared" si="357"/>
        <v>7.617</v>
      </c>
      <c r="BM140" s="1033">
        <f t="shared" si="358"/>
        <v>0</v>
      </c>
    </row>
    <row r="141" spans="2:67">
      <c r="B141" s="1103"/>
      <c r="C141" s="1099"/>
      <c r="D141" s="478"/>
      <c r="E141" s="478"/>
      <c r="F141" s="478" t="s">
        <v>3073</v>
      </c>
      <c r="G141" s="478" t="str">
        <f>_xlfn.XLOOKUP(H141, 'Baumaterialien Matériaux'!A:A, 'Baumaterialien Matériaux'!AD:AD, "-", 0, 1)</f>
        <v>Bois massif épicéa / sapin / mélèze, séché en cellule, raboté</v>
      </c>
      <c r="H141" s="902" t="s">
        <v>129</v>
      </c>
      <c r="I141" s="641" t="str">
        <f>_xlfn.XLOOKUP(H141, 'Baumaterialien Matériaux'!A:A, 'Baumaterialien Matériaux'!F:F, "-", 0, 1)</f>
        <v>kg</v>
      </c>
      <c r="J141" s="649">
        <f>465*0.085</f>
        <v>39.525000000000006</v>
      </c>
      <c r="K141" s="647"/>
      <c r="L141" s="647">
        <v>30</v>
      </c>
      <c r="M141" s="648">
        <f t="shared" si="363"/>
        <v>1.7044671778938328E-2</v>
      </c>
      <c r="N141" s="720">
        <f>IFERROR(($J141*VLOOKUP($H141, 'Baumaterialien Matériaux'!$A$11:$AD$318, 26,FALSE)),0)/$G$1</f>
        <v>5.8789746810339145E-3</v>
      </c>
      <c r="O141" s="720">
        <f>IFERROR(($J141*VLOOKUP($H141, 'Baumaterialien Matériaux'!$A$11:$AH$318, 33,FALSE)),0)/$G$1</f>
        <v>1.872562305810802E-3</v>
      </c>
      <c r="P141" s="720">
        <f t="shared" si="364"/>
        <v>7.5860547365637623E-3</v>
      </c>
      <c r="Q141" s="720">
        <f>IFERROR(($J141*VLOOKUP($H141, 'Baumaterialien Matériaux'!$A$11:$AH$318, 27,FALSE)),0)/$G$1</f>
        <v>1.7070800555298476E-3</v>
      </c>
      <c r="R141" s="720">
        <f>IFERROR(($J141*VLOOKUP($H141, 'Baumaterialien Matériaux'!$A$11:$AH$318, 34,FALSE)),0)/$G$1</f>
        <v>3.1702915316982885E-4</v>
      </c>
      <c r="S141" s="720">
        <f>IFERROR((J141*VLOOKUP(H141, 'Baumaterialien Matériaux'!$A$11:$AD$318, 29,FALSE)),0)/$G$1</f>
        <v>7.2013810845948753E-2</v>
      </c>
      <c r="T141" s="720">
        <f>S141*AJ141</f>
        <v>7.2013810845948753E-4</v>
      </c>
      <c r="U141" s="638">
        <v>0.01</v>
      </c>
      <c r="V141" s="638">
        <f t="shared" si="186"/>
        <v>7.2013810845948753E-4</v>
      </c>
      <c r="W141" s="638">
        <f t="shared" si="187"/>
        <v>7.2013810845948753E-2</v>
      </c>
      <c r="Z141" s="638">
        <f t="shared" si="362"/>
        <v>30</v>
      </c>
      <c r="AA141" s="648" t="s">
        <v>3456</v>
      </c>
      <c r="AB141" t="str">
        <f>_xlfn.XLOOKUP($H141,'[1]Baumaterialien Matériaux'!$A:$A,'[1]Baumaterialien Matériaux'!AK:AK,0,0)</f>
        <v>timber</v>
      </c>
      <c r="AC141" t="str" cm="1">
        <f t="array" ref="AC141">_xlfn.SWITCH(I141,"kg"," ",0," ",_xlfn.XLOOKUP(H141, '[1]Baumaterialien Matériaux'!$A:$A, '[1]Baumaterialien Matériaux'!$AL:$AL, "-", 0, 1))</f>
        <v xml:space="preserve"> </v>
      </c>
      <c r="AD141" s="622" cm="1">
        <f t="array" ref="AD141">IFERROR(_xlfn.SWITCH(I141,"kg",1,"m3",AC141,AC141)*J141/(_xlfn.XLOOKUP(AA141,Métrés!A:A,Métrés!D:D,0)),0)</f>
        <v>5.8719971475687485E-2</v>
      </c>
      <c r="AE141" s="1092">
        <f>IFERROR(N141*$G$1/(_xlfn.XLOOKUP($AA141,Métrés!$A:$A,Métrés!$D:$D,0)),0)</f>
        <v>7.9271961492178127E-3</v>
      </c>
      <c r="AF141" s="1092">
        <f>IFERROR(O141*$G$1/(_xlfn.XLOOKUP($AA141,Métrés!$A:$A,Métrés!$D:$D,0)),0)</f>
        <v>2.5249587734545616E-3</v>
      </c>
      <c r="AG141" s="1092">
        <f>IFERROR(Q141*$G$1/(_xlfn.XLOOKUP($AA141,Métrés!$A:$A,Métrés!$D:$D,0)),0)</f>
        <v>2.3018228818469494E-3</v>
      </c>
      <c r="AH141" s="1092">
        <f>IFERROR(R141*$G$1/(_xlfn.XLOOKUP($AA141,Métrés!$A:$A,Métrés!$D:$D,0)),0)</f>
        <v>4.2748139234300494E-4</v>
      </c>
      <c r="AI141" s="1092">
        <f>IFERROR(S141*$G$1/(_xlfn.XLOOKUP($AA141,Métrés!$A:$A,Métrés!$D:$D,0)),0)</f>
        <v>9.7103259496961872E-2</v>
      </c>
      <c r="AJ141" s="1030">
        <v>0.01</v>
      </c>
      <c r="AK141" s="1030">
        <f>IF(L141=60,0,T141)</f>
        <v>7.2013810845948753E-4</v>
      </c>
      <c r="AL141" s="1030">
        <f>IF(L141=60,0,S141)</f>
        <v>7.2013810845948753E-2</v>
      </c>
      <c r="AM141" s="638" t="str">
        <f>IF(L141=$L$2, "Structure", IF(L141&gt;0,"Revêtement",0))</f>
        <v>Revêtement</v>
      </c>
      <c r="AN141" s="1032">
        <f>IF(AM141="Structure",N141,0)</f>
        <v>0</v>
      </c>
      <c r="AO141" s="1030">
        <f>IF(AM141="Structure",P141,0)</f>
        <v>0</v>
      </c>
      <c r="AP141" s="1030">
        <f>IF(AM141="Structure",Q141,0)</f>
        <v>0</v>
      </c>
      <c r="AQ141" s="1030">
        <f>IF(AM141="Structure",S141,0)</f>
        <v>0</v>
      </c>
      <c r="AR141" s="1033">
        <f>IF(AM141="Structure",T141,0)</f>
        <v>0</v>
      </c>
      <c r="AS141" s="1032">
        <f>IF($AM141="Insulation",N141,0)</f>
        <v>0</v>
      </c>
      <c r="AT141" s="1030">
        <f t="shared" si="365"/>
        <v>0</v>
      </c>
      <c r="AU141" s="1030">
        <f t="shared" si="365"/>
        <v>0</v>
      </c>
      <c r="AV141" s="1030">
        <f t="shared" si="366"/>
        <v>0</v>
      </c>
      <c r="AW141" s="1033">
        <f t="shared" si="366"/>
        <v>0</v>
      </c>
      <c r="AX141" s="1032">
        <f>IF($AM141="Revêtement",N141,0)</f>
        <v>5.8789746810339145E-3</v>
      </c>
      <c r="AY141" s="1030">
        <f t="shared" si="367"/>
        <v>7.5860547365637623E-3</v>
      </c>
      <c r="AZ141" s="1030">
        <f t="shared" si="367"/>
        <v>1.7070800555298476E-3</v>
      </c>
      <c r="BA141" s="1030">
        <f t="shared" si="368"/>
        <v>7.2013810845948753E-2</v>
      </c>
      <c r="BB141" s="1033">
        <f t="shared" si="368"/>
        <v>7.2013810845948753E-4</v>
      </c>
      <c r="BC141" s="1032">
        <f>IF($AM141="Installation",N141,0)</f>
        <v>0</v>
      </c>
      <c r="BD141" s="1030">
        <f t="shared" si="369"/>
        <v>0</v>
      </c>
      <c r="BE141" s="1030">
        <f t="shared" si="369"/>
        <v>0</v>
      </c>
      <c r="BF141" s="1033">
        <f>IF($AM141="Installation",S141,0)</f>
        <v>0</v>
      </c>
      <c r="BG141" s="1032">
        <f>IF($AM141="Structure", IF($I141="kg",$J141,0), 0)</f>
        <v>0</v>
      </c>
      <c r="BH141" s="1030">
        <f>IF($AM141="Insulation", IF($I141="kg",$J141,0), 0)</f>
        <v>0</v>
      </c>
      <c r="BI141" s="1033">
        <f>IF($AM141="Revêtement", IF($I141="kg",$J141,0), 0)</f>
        <v>39.525000000000006</v>
      </c>
      <c r="BJ141" s="1030">
        <f>_xlfn.XLOOKUP(H141, 'Baumaterialien Matériaux'!A:A, 'Baumaterialien Matériaux'!E:E, "-", 0, 1)</f>
        <v>465</v>
      </c>
      <c r="BK141" s="1032">
        <f t="shared" si="356"/>
        <v>0</v>
      </c>
      <c r="BL141" s="1030">
        <f t="shared" si="357"/>
        <v>0</v>
      </c>
      <c r="BM141" s="1033">
        <f t="shared" si="358"/>
        <v>8.5000000000000006E-2</v>
      </c>
    </row>
    <row r="142" spans="2:67">
      <c r="B142" s="1103"/>
      <c r="C142" s="1099"/>
      <c r="D142" s="478"/>
      <c r="E142" s="478"/>
      <c r="F142" s="479" t="s">
        <v>3075</v>
      </c>
      <c r="G142" s="479"/>
      <c r="H142" s="479"/>
      <c r="I142" s="460" t="s">
        <v>39</v>
      </c>
      <c r="J142" s="662">
        <v>91.88</v>
      </c>
      <c r="K142" s="663"/>
      <c r="L142" s="663"/>
      <c r="M142" s="664">
        <f>SUM(M143:M144)</f>
        <v>15.640716952028384</v>
      </c>
      <c r="N142" s="664">
        <f t="shared" ref="N142:T142" si="371">SUM(N143:N144)</f>
        <v>12.16676575659417</v>
      </c>
      <c r="O142" s="664">
        <f t="shared" ref="O142" si="372">SUM(O143:O144)</f>
        <v>2.5932750886935061</v>
      </c>
      <c r="P142" s="664">
        <f t="shared" si="371"/>
        <v>0</v>
      </c>
      <c r="Q142" s="664">
        <f t="shared" si="371"/>
        <v>0.88067610674070651</v>
      </c>
      <c r="R142" s="664">
        <f t="shared" ref="R142" si="373">SUM(R143:R144)</f>
        <v>0.17471797624556534</v>
      </c>
      <c r="S142" s="664">
        <f t="shared" si="371"/>
        <v>0</v>
      </c>
      <c r="T142" s="664">
        <f t="shared" si="371"/>
        <v>0</v>
      </c>
      <c r="V142" s="638">
        <f t="shared" ref="V142:V205" si="374">IF(L142=60,0,T142)</f>
        <v>0</v>
      </c>
      <c r="W142" s="638">
        <f t="shared" ref="W142:W205" si="375">IF(L142=60,0,S142)</f>
        <v>0</v>
      </c>
      <c r="Y142" s="638">
        <f t="shared" si="269"/>
        <v>0</v>
      </c>
      <c r="Z142" s="638">
        <f t="shared" si="362"/>
        <v>0</v>
      </c>
      <c r="AA142" s="648" t="s">
        <v>3456</v>
      </c>
      <c r="AB142">
        <f>_xlfn.XLOOKUP($H142,'[1]Baumaterialien Matériaux'!$A:$A,'[1]Baumaterialien Matériaux'!AK:AK,0,0)</f>
        <v>0</v>
      </c>
      <c r="AC142" cm="1">
        <f t="array" ref="AC142">_xlfn.SWITCH(I142,"kg"," ",0," ",_xlfn.XLOOKUP(H142, '[1]Baumaterialien Matériaux'!$A:$A, '[1]Baumaterialien Matériaux'!$AL:$AL, "-", 0, 1))</f>
        <v>0</v>
      </c>
      <c r="AD142" s="622" cm="1">
        <f t="array" ref="AD142">IFERROR(_xlfn.SWITCH(I142,"kg",1,"m3",AC142,AC142)*J142/(_xlfn.XLOOKUP(AA142,Métrés!A:A,Métrés!D:D,0)),0)</f>
        <v>0</v>
      </c>
      <c r="AE142" s="1092">
        <f>IFERROR(N142*$G$1/(_xlfn.XLOOKUP($AA142,Métrés!$A:$A,Métrés!$D:$D,0)),0)</f>
        <v>16.40563939920667</v>
      </c>
      <c r="AF142" s="1092">
        <f>IFERROR(O142*$G$1/(_xlfn.XLOOKUP($AA142,Métrés!$A:$A,Métrés!$D:$D,0)),0)</f>
        <v>3.4967662581153158</v>
      </c>
      <c r="AG142" s="1092">
        <f>IFERROR(Q142*$G$1/(_xlfn.XLOOKUP($AA142,Métrés!$A:$A,Métrés!$D:$D,0)),0)</f>
        <v>1.187501668375154</v>
      </c>
      <c r="AH142" s="1092">
        <f>IFERROR(R142*$G$1/(_xlfn.XLOOKUP($AA142,Métrés!$A:$A,Métrés!$D:$D,0)),0)</f>
        <v>0.23558932358752657</v>
      </c>
      <c r="AI142" s="1092">
        <f>IFERROR(S142*$G$1/(_xlfn.XLOOKUP($AA142,Métrés!$A:$A,Métrés!$D:$D,0)),0)</f>
        <v>0</v>
      </c>
      <c r="AJ142" s="1064"/>
      <c r="AK142" s="1064"/>
      <c r="AL142" s="1064"/>
      <c r="AM142" s="1021"/>
      <c r="AN142" s="1073"/>
      <c r="AO142" s="1064"/>
      <c r="AP142" s="1064"/>
      <c r="AQ142" s="1064"/>
      <c r="AR142" s="1074"/>
      <c r="AS142" s="1073"/>
      <c r="AT142" s="1064"/>
      <c r="AU142" s="1064"/>
      <c r="AV142" s="1064"/>
      <c r="AW142" s="1074"/>
      <c r="AX142" s="1073"/>
      <c r="AY142" s="1064"/>
      <c r="AZ142" s="1064"/>
      <c r="BA142" s="1064"/>
      <c r="BB142" s="1074"/>
      <c r="BC142" s="1073"/>
      <c r="BD142" s="1064"/>
      <c r="BE142" s="1064"/>
      <c r="BF142" s="1074"/>
      <c r="BG142" s="1073"/>
      <c r="BH142" s="1064"/>
      <c r="BI142" s="1074"/>
      <c r="BJ142" s="1078"/>
      <c r="BK142" s="1073"/>
      <c r="BL142" s="1064"/>
      <c r="BM142" s="1074"/>
    </row>
    <row r="143" spans="2:67">
      <c r="B143" s="1103"/>
      <c r="C143" s="1099"/>
      <c r="D143" s="478"/>
      <c r="E143" s="478"/>
      <c r="F143" s="638" t="s">
        <v>3076</v>
      </c>
      <c r="G143" s="478" t="str">
        <f>_xlfn.XLOOKUP(H143, 'Baumaterialien Matériaux'!A:A, 'Baumaterialien Matériaux'!AD:AD, "-", 0, 1)</f>
        <v>Béton pour bâtiment (sans armature)</v>
      </c>
      <c r="H143" s="891">
        <v>1.0019999999999998</v>
      </c>
      <c r="I143" s="641" t="str">
        <f>_xlfn.XLOOKUP(H143, 'Baumaterialien Matériaux'!A:A, 'Baumaterialien Matériaux'!F:F, "-", 0, 1)</f>
        <v>kg</v>
      </c>
      <c r="J143" s="649">
        <f>$J$142*K143</f>
        <v>59170.720000000008</v>
      </c>
      <c r="K143" s="893">
        <f>0.28*2300</f>
        <v>644.00000000000011</v>
      </c>
      <c r="L143" s="643">
        <v>60</v>
      </c>
      <c r="M143" s="648">
        <f t="shared" ref="M143:M144" si="376">SUM(N143:Q143)</f>
        <v>7.9731374980718819</v>
      </c>
      <c r="N143" s="720">
        <f>IFERROR(($J143*VLOOKUP($H143, 'Baumaterialien Matériaux'!$A$11:$AD$318, 26,FALSE)),0)/$G$1</f>
        <v>5.7891627950023148</v>
      </c>
      <c r="O143" s="720">
        <f>IFERROR(($J143*VLOOKUP($H143, 'Baumaterialien Matériaux'!$A$11:$AH$318, 33,FALSE)),0)/$G$1</f>
        <v>1.3560201141446862</v>
      </c>
      <c r="P143" s="720">
        <f t="shared" ref="P143:P144" si="377">IFERROR((N143+Q143)*($L$2/L143-1),0)</f>
        <v>0</v>
      </c>
      <c r="Q143" s="720">
        <f>IFERROR(($J143*VLOOKUP($H143, 'Baumaterialien Matériaux'!$A$11:$AH$318, 27,FALSE)),0)/$G$1</f>
        <v>0.8279545889248805</v>
      </c>
      <c r="R143" s="720">
        <f>IFERROR(($J143*VLOOKUP($H143, 'Baumaterialien Matériaux'!$A$11:$AH$318, 34,FALSE)),0)/$G$1</f>
        <v>0.17471797624556534</v>
      </c>
      <c r="S143" s="720">
        <f>IFERROR((J143*VLOOKUP(H143, 'Baumaterialien Matériaux'!$A$11:$AD$318, 29,FALSE)),0)/$G$1</f>
        <v>0</v>
      </c>
      <c r="T143" s="720">
        <f>S143*AJ143</f>
        <v>0</v>
      </c>
      <c r="V143" s="638">
        <f t="shared" si="374"/>
        <v>0</v>
      </c>
      <c r="W143" s="638">
        <f t="shared" si="375"/>
        <v>0</v>
      </c>
      <c r="Z143" s="638">
        <f t="shared" si="362"/>
        <v>60</v>
      </c>
      <c r="AA143" s="648" t="s">
        <v>3456</v>
      </c>
      <c r="AB143" t="str">
        <f>_xlfn.XLOOKUP($H143,'[1]Baumaterialien Matériaux'!$A:$A,'[1]Baumaterialien Matériaux'!AK:AK,0,0)</f>
        <v>concrete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 s="622" cm="1">
        <f t="array" ref="AD143">IFERROR(_xlfn.SWITCH(I143,"kg",1,"m3",AC143,AC143)*J143/(_xlfn.XLOOKUP(AA143,Métrés!A:A,Métrés!D:D,0)),0)</f>
        <v>87.906464025196485</v>
      </c>
      <c r="AE143" s="1092">
        <f>IFERROR(N143*$G$1/(_xlfn.XLOOKUP($AA143,Métrés!$A:$A,Métrés!$D:$D,0)),0)</f>
        <v>7.8060940054374477</v>
      </c>
      <c r="AF143" s="1092">
        <f>IFERROR(O143*$G$1/(_xlfn.XLOOKUP($AA143,Métrés!$A:$A,Métrés!$D:$D,0)),0)</f>
        <v>1.8284544517240868</v>
      </c>
      <c r="AG143" s="1092">
        <f>IFERROR(Q143*$G$1/(_xlfn.XLOOKUP($AA143,Métrés!$A:$A,Métrés!$D:$D,0)),0)</f>
        <v>1.1164120931199952</v>
      </c>
      <c r="AH143" s="1092">
        <f>IFERROR(R143*$G$1/(_xlfn.XLOOKUP($AA143,Métrés!$A:$A,Métrés!$D:$D,0)),0)</f>
        <v>0.23558932358752657</v>
      </c>
      <c r="AI143" s="1092">
        <f>IFERROR(S143*$G$1/(_xlfn.XLOOKUP($AA143,Métrés!$A:$A,Métrés!$D:$D,0)),0)</f>
        <v>0</v>
      </c>
      <c r="AJ143" s="1030"/>
      <c r="AK143" s="1030">
        <f>IF(L143=60,0,T143)</f>
        <v>0</v>
      </c>
      <c r="AL143" s="1030">
        <f>IF(L143=60,0,S143)</f>
        <v>0</v>
      </c>
      <c r="AM143" s="638" t="str">
        <f>IF(L143=$L$2, "Structure", IF(L143&gt;0,"Revêtement",0))</f>
        <v>Structure</v>
      </c>
      <c r="AN143" s="1032">
        <f>IF(AM143="Structure",N143,0)</f>
        <v>5.7891627950023148</v>
      </c>
      <c r="AO143" s="1030">
        <f>IF(AM143="Structure",P143,0)</f>
        <v>0</v>
      </c>
      <c r="AP143" s="1030">
        <f>IF(AM143="Structure",Q143,0)</f>
        <v>0.8279545889248805</v>
      </c>
      <c r="AQ143" s="1030">
        <f>IF(AM143="Structure",S143,0)</f>
        <v>0</v>
      </c>
      <c r="AR143" s="1033">
        <f>IF(AM143="Structure",T143,0)</f>
        <v>0</v>
      </c>
      <c r="AS143" s="1032">
        <f>IF($AM143="Insulation",N143,0)</f>
        <v>0</v>
      </c>
      <c r="AT143" s="1030">
        <f>IF($AM143="Insulation",P143,0)</f>
        <v>0</v>
      </c>
      <c r="AU143" s="1030">
        <f>IF($AM143="Insulation",Q143,0)</f>
        <v>0</v>
      </c>
      <c r="AV143" s="1030">
        <f>IF($AM143="Insulation",S143,0)</f>
        <v>0</v>
      </c>
      <c r="AW143" s="1033">
        <f>IF($AM143="Insulation",T143,0)</f>
        <v>0</v>
      </c>
      <c r="AX143" s="1032">
        <f>IF($AM143="Revêtement",N143,0)</f>
        <v>0</v>
      </c>
      <c r="AY143" s="1030">
        <f>IF($AM143="Revêtement",P143,0)</f>
        <v>0</v>
      </c>
      <c r="AZ143" s="1030">
        <f>IF($AM143="Revêtement",Q143,0)</f>
        <v>0</v>
      </c>
      <c r="BA143" s="1030">
        <f>IF($AM143="Revêtement",S143,0)</f>
        <v>0</v>
      </c>
      <c r="BB143" s="1033">
        <f>IF($AM143="Revêtement",T143,0)</f>
        <v>0</v>
      </c>
      <c r="BC143" s="1032">
        <f>IF($AM143="Installation",N143,0)</f>
        <v>0</v>
      </c>
      <c r="BD143" s="1030">
        <f>IF($AM143="Installation",P143,0)</f>
        <v>0</v>
      </c>
      <c r="BE143" s="1030">
        <f>IF($AM143="Installation",Q143,0)</f>
        <v>0</v>
      </c>
      <c r="BF143" s="1033">
        <f>IF($AM143="Installation",S143,0)</f>
        <v>0</v>
      </c>
      <c r="BG143" s="1032">
        <f>IF($AM143="Structure", IF($I143="kg",$J143,0), 0)</f>
        <v>59170.720000000008</v>
      </c>
      <c r="BH143" s="1030">
        <f>IF($AM143="Insulation", IF($I143="kg",$J143,0), 0)</f>
        <v>0</v>
      </c>
      <c r="BI143" s="1033">
        <f>IF($AM143="Revêtement", IF($I143="kg",$J143,0), 0)</f>
        <v>0</v>
      </c>
      <c r="BJ143" s="1030">
        <f>_xlfn.XLOOKUP(H143, 'Baumaterialien Matériaux'!A:A, 'Baumaterialien Matériaux'!E:E, "-", 0, 1)</f>
        <v>2300</v>
      </c>
      <c r="BK143" s="1032">
        <f t="shared" si="356"/>
        <v>25.726400000000005</v>
      </c>
      <c r="BL143" s="1030">
        <f t="shared" si="357"/>
        <v>0</v>
      </c>
      <c r="BM143" s="1033">
        <f t="shared" si="358"/>
        <v>0</v>
      </c>
    </row>
    <row r="144" spans="2:67">
      <c r="B144" s="1103"/>
      <c r="C144" s="1099"/>
      <c r="D144" s="478"/>
      <c r="E144" s="478"/>
      <c r="F144" s="478" t="s">
        <v>3004</v>
      </c>
      <c r="G144" s="478" t="str">
        <f>_xlfn.XLOOKUP(H144, 'Baumaterialien Matériaux'!A:A, 'Baumaterialien Matériaux'!AD:AD, "-", 0, 1)</f>
        <v>Acier d'armature</v>
      </c>
      <c r="H144" s="892" t="s">
        <v>497</v>
      </c>
      <c r="I144" s="641" t="str">
        <f>_xlfn.XLOOKUP(H144, 'Baumaterialien Matériaux'!A:A, 'Baumaterialien Matériaux'!F:F, "-", 0, 1)</f>
        <v>kg</v>
      </c>
      <c r="J144" s="649">
        <f>$J$142*K144</f>
        <v>3858.9600000000005</v>
      </c>
      <c r="K144" s="894">
        <f>0.28*150</f>
        <v>42.000000000000007</v>
      </c>
      <c r="L144" s="647">
        <v>60</v>
      </c>
      <c r="M144" s="648">
        <f t="shared" si="376"/>
        <v>7.6675794539565025</v>
      </c>
      <c r="N144" s="720">
        <f>IFERROR(($J144*VLOOKUP($H144, 'Baumaterialien Matériaux'!$A$11:$AD$318, 26,FALSE)),0)/$G$1</f>
        <v>6.3776029615918564</v>
      </c>
      <c r="O144" s="720">
        <f>IFERROR(($J144*VLOOKUP($H144, 'Baumaterialien Matériaux'!$A$11:$AH$318, 33,FALSE)),0)/$G$1</f>
        <v>1.2372549745488202</v>
      </c>
      <c r="P144" s="720">
        <f t="shared" si="377"/>
        <v>0</v>
      </c>
      <c r="Q144" s="720">
        <f>IFERROR(($J144*VLOOKUP($H144, 'Baumaterialien Matériaux'!$A$11:$AH$318, 27,FALSE)),0)/$G$1</f>
        <v>5.2721517815826013E-2</v>
      </c>
      <c r="R144" s="720">
        <f>IFERROR(($J144*VLOOKUP($H144, 'Baumaterialien Matériaux'!$A$11:$AH$318, 34,FALSE)),0)/$G$1</f>
        <v>0</v>
      </c>
      <c r="S144" s="720">
        <f>IFERROR((J144*VLOOKUP(H144, 'Baumaterialien Matériaux'!$A$11:$AD$318, 29,FALSE)),0)/$G$1</f>
        <v>0</v>
      </c>
      <c r="T144" s="720">
        <f>S144*AJ144</f>
        <v>0</v>
      </c>
      <c r="V144" s="638">
        <f t="shared" si="374"/>
        <v>0</v>
      </c>
      <c r="W144" s="638">
        <f t="shared" si="375"/>
        <v>0</v>
      </c>
      <c r="Z144" s="638">
        <f t="shared" si="362"/>
        <v>60</v>
      </c>
      <c r="AA144" s="648" t="s">
        <v>3456</v>
      </c>
      <c r="AB144" t="str">
        <f>_xlfn.XLOOKUP($H144,'[1]Baumaterialien Matériaux'!$A:$A,'[1]Baumaterialien Matériaux'!AK:AK,0,0)</f>
        <v>metal</v>
      </c>
      <c r="AC144" t="str" cm="1">
        <f t="array" ref="AC144">_xlfn.SWITCH(I144,"kg"," ",0," ",_xlfn.XLOOKUP(H144, '[1]Baumaterialien Matériaux'!$A:$A, '[1]Baumaterialien Matériaux'!$AL:$AL, "-", 0, 1))</f>
        <v xml:space="preserve"> </v>
      </c>
      <c r="AD144" s="622" cm="1">
        <f t="array" ref="AD144">IFERROR(_xlfn.SWITCH(I144,"kg",1,"m3",AC144,AC144)*J144/(_xlfn.XLOOKUP(AA144,Métrés!A:A,Métrés!D:D,0)),0)</f>
        <v>5.7330302625128144</v>
      </c>
      <c r="AE144" s="1092">
        <f>IFERROR(N144*$G$1/(_xlfn.XLOOKUP($AA144,Métrés!$A:$A,Métrés!$D:$D,0)),0)</f>
        <v>8.5995453937692208</v>
      </c>
      <c r="AF144" s="1092">
        <f>IFERROR(O144*$G$1/(_xlfn.XLOOKUP($AA144,Métrés!$A:$A,Métrés!$D:$D,0)),0)</f>
        <v>1.668311806391229</v>
      </c>
      <c r="AG144" s="1092">
        <f>IFERROR(Q144*$G$1/(_xlfn.XLOOKUP($AA144,Métrés!$A:$A,Métrés!$D:$D,0)),0)</f>
        <v>7.1089575255158896E-2</v>
      </c>
      <c r="AH144" s="1092">
        <f>IFERROR(R144*$G$1/(_xlfn.XLOOKUP($AA144,Métrés!$A:$A,Métrés!$D:$D,0)),0)</f>
        <v>0</v>
      </c>
      <c r="AI144" s="1092">
        <f>IFERROR(S144*$G$1/(_xlfn.XLOOKUP($AA144,Métrés!$A:$A,Métrés!$D:$D,0)),0)</f>
        <v>0</v>
      </c>
      <c r="AJ144" s="1030"/>
      <c r="AK144" s="1030">
        <f>IF(L144=60,0,T144)</f>
        <v>0</v>
      </c>
      <c r="AL144" s="1030">
        <f>IF(L144=60,0,S144)</f>
        <v>0</v>
      </c>
      <c r="AM144" s="638" t="str">
        <f>IF(L144=$L$2, "Structure", IF(L144&gt;0,"Revêtement",0))</f>
        <v>Structure</v>
      </c>
      <c r="AN144" s="1032">
        <f>IF(AM144="Structure",N144,0)</f>
        <v>6.3776029615918564</v>
      </c>
      <c r="AO144" s="1030">
        <f>IF(AM144="Structure",P144,0)</f>
        <v>0</v>
      </c>
      <c r="AP144" s="1030">
        <f>IF(AM144="Structure",Q144,0)</f>
        <v>5.2721517815826013E-2</v>
      </c>
      <c r="AQ144" s="1030">
        <f>IF(AM144="Structure",S144,0)</f>
        <v>0</v>
      </c>
      <c r="AR144" s="1033">
        <f>IF(AM144="Structure",T144,0)</f>
        <v>0</v>
      </c>
      <c r="AS144" s="1032">
        <f>IF($AM144="Insulation",N144,0)</f>
        <v>0</v>
      </c>
      <c r="AT144" s="1030">
        <f>IF($AM144="Insulation",P144,0)</f>
        <v>0</v>
      </c>
      <c r="AU144" s="1030">
        <f>IF($AM144="Insulation",Q144,0)</f>
        <v>0</v>
      </c>
      <c r="AV144" s="1030">
        <f>IF($AM144="Insulation",S144,0)</f>
        <v>0</v>
      </c>
      <c r="AW144" s="1033">
        <f>IF($AM144="Insulation",T144,0)</f>
        <v>0</v>
      </c>
      <c r="AX144" s="1032">
        <f>IF($AM144="Revêtement",N144,0)</f>
        <v>0</v>
      </c>
      <c r="AY144" s="1030">
        <f>IF($AM144="Revêtement",P144,0)</f>
        <v>0</v>
      </c>
      <c r="AZ144" s="1030">
        <f>IF($AM144="Revêtement",Q144,0)</f>
        <v>0</v>
      </c>
      <c r="BA144" s="1030">
        <f>IF($AM144="Revêtement",S144,0)</f>
        <v>0</v>
      </c>
      <c r="BB144" s="1033">
        <f>IF($AM144="Revêtement",T144,0)</f>
        <v>0</v>
      </c>
      <c r="BC144" s="1032">
        <f>IF($AM144="Installation",N144,0)</f>
        <v>0</v>
      </c>
      <c r="BD144" s="1030">
        <f>IF($AM144="Installation",P144,0)</f>
        <v>0</v>
      </c>
      <c r="BE144" s="1030">
        <f>IF($AM144="Installation",Q144,0)</f>
        <v>0</v>
      </c>
      <c r="BF144" s="1033">
        <f>IF($AM144="Installation",S144,0)</f>
        <v>0</v>
      </c>
      <c r="BG144" s="1032">
        <f>IF($AM144="Structure", IF($I144="kg",$J144,0), 0)</f>
        <v>3858.9600000000005</v>
      </c>
      <c r="BH144" s="1030">
        <f>IF($AM144="Insulation", IF($I144="kg",$J144,0), 0)</f>
        <v>0</v>
      </c>
      <c r="BI144" s="1033">
        <f>IF($AM144="Revêtement", IF($I144="kg",$J144,0), 0)</f>
        <v>0</v>
      </c>
      <c r="BJ144" s="1030">
        <f>_xlfn.XLOOKUP(H144, 'Baumaterialien Matériaux'!A:A, 'Baumaterialien Matériaux'!E:E, "-", 0, 1)</f>
        <v>7850</v>
      </c>
      <c r="BK144" s="1032">
        <f t="shared" si="356"/>
        <v>0.49158726114649687</v>
      </c>
      <c r="BL144" s="1030">
        <f t="shared" si="357"/>
        <v>0</v>
      </c>
      <c r="BM144" s="1033">
        <f t="shared" si="358"/>
        <v>0</v>
      </c>
    </row>
    <row r="145" spans="2:67">
      <c r="B145" s="1103"/>
      <c r="C145" s="1099"/>
      <c r="D145" s="478"/>
      <c r="E145" s="478"/>
      <c r="F145" s="479" t="s">
        <v>3077</v>
      </c>
      <c r="G145" s="479"/>
      <c r="H145" s="479"/>
      <c r="I145" s="460" t="s">
        <v>39</v>
      </c>
      <c r="J145" s="662">
        <v>30.47</v>
      </c>
      <c r="K145" s="663"/>
      <c r="L145" s="663"/>
      <c r="M145" s="664">
        <f>SUM(M146:M147)</f>
        <v>3.7049306978691519</v>
      </c>
      <c r="N145" s="664">
        <f t="shared" ref="N145:T145" si="378">SUM(N146:N147)</f>
        <v>2.882030541416011</v>
      </c>
      <c r="O145" s="664">
        <f t="shared" ref="O145" si="379">SUM(O146:O147)</f>
        <v>0.61428798395804396</v>
      </c>
      <c r="P145" s="664">
        <f t="shared" si="378"/>
        <v>0</v>
      </c>
      <c r="Q145" s="664">
        <f t="shared" si="378"/>
        <v>0.20861217249509703</v>
      </c>
      <c r="R145" s="664">
        <f t="shared" ref="R145" si="380">SUM(R146:R147)</f>
        <v>4.1386721315087811E-2</v>
      </c>
      <c r="S145" s="664">
        <f t="shared" si="378"/>
        <v>0</v>
      </c>
      <c r="T145" s="664">
        <f t="shared" si="378"/>
        <v>0</v>
      </c>
      <c r="V145" s="638">
        <f t="shared" si="374"/>
        <v>0</v>
      </c>
      <c r="W145" s="638">
        <f t="shared" si="375"/>
        <v>0</v>
      </c>
      <c r="Z145" s="638">
        <f t="shared" si="362"/>
        <v>0</v>
      </c>
      <c r="AA145" s="648" t="s">
        <v>3456</v>
      </c>
      <c r="AB145">
        <f>_xlfn.XLOOKUP($H145,'[1]Baumaterialien Matériaux'!$A:$A,'[1]Baumaterialien Matériaux'!AK:AK,0,0)</f>
        <v>0</v>
      </c>
      <c r="AC145" cm="1">
        <f t="array" ref="AC145">_xlfn.SWITCH(I145,"kg"," ",0," ",_xlfn.XLOOKUP(H145, '[1]Baumaterialien Matériaux'!$A:$A, '[1]Baumaterialien Matériaux'!$AL:$AL, "-", 0, 1))</f>
        <v>0</v>
      </c>
      <c r="AD145" s="622" cm="1">
        <f t="array" ref="AD145">IFERROR(_xlfn.SWITCH(I145,"kg",1,"m3",AC145,AC145)*J145/(_xlfn.XLOOKUP(AA145,Métrés!A:A,Métrés!D:D,0)),0)</f>
        <v>0</v>
      </c>
      <c r="AE145" s="1092">
        <f>IFERROR(N145*$G$1/(_xlfn.XLOOKUP($AA145,Métrés!$A:$A,Métrés!$D:$D,0)),0)</f>
        <v>3.8861234567901235</v>
      </c>
      <c r="AF145" s="1092">
        <f>IFERROR(O145*$G$1/(_xlfn.XLOOKUP($AA145,Métrés!$A:$A,Métrés!$D:$D,0)),0)</f>
        <v>0.82830452674897093</v>
      </c>
      <c r="AG145" s="1092">
        <f>IFERROR(Q145*$G$1/(_xlfn.XLOOKUP($AA145,Métrés!$A:$A,Métrés!$D:$D,0)),0)</f>
        <v>0.28129218106995879</v>
      </c>
      <c r="AH145" s="1092">
        <f>IFERROR(R145*$G$1/(_xlfn.XLOOKUP($AA145,Métrés!$A:$A,Métrés!$D:$D,0)),0)</f>
        <v>5.580576131687242E-2</v>
      </c>
      <c r="AI145" s="1092">
        <f>IFERROR(S145*$G$1/(_xlfn.XLOOKUP($AA145,Métrés!$A:$A,Métrés!$D:$D,0)),0)</f>
        <v>0</v>
      </c>
      <c r="AJ145" s="1064"/>
      <c r="AK145" s="1064"/>
      <c r="AL145" s="1064"/>
      <c r="AM145" s="1021"/>
      <c r="AN145" s="1073"/>
      <c r="AO145" s="1064"/>
      <c r="AP145" s="1064"/>
      <c r="AQ145" s="1064"/>
      <c r="AR145" s="1074"/>
      <c r="AS145" s="1073"/>
      <c r="AT145" s="1064"/>
      <c r="AU145" s="1064"/>
      <c r="AV145" s="1064"/>
      <c r="AW145" s="1074"/>
      <c r="AX145" s="1073"/>
      <c r="AY145" s="1064"/>
      <c r="AZ145" s="1064"/>
      <c r="BA145" s="1064"/>
      <c r="BB145" s="1074"/>
      <c r="BC145" s="1073"/>
      <c r="BD145" s="1064"/>
      <c r="BE145" s="1064"/>
      <c r="BF145" s="1074"/>
      <c r="BG145" s="1073"/>
      <c r="BH145" s="1064"/>
      <c r="BI145" s="1074"/>
      <c r="BJ145" s="1078"/>
      <c r="BK145" s="1073"/>
      <c r="BL145" s="1064"/>
      <c r="BM145" s="1074"/>
    </row>
    <row r="146" spans="2:67">
      <c r="B146" s="1103"/>
      <c r="C146" s="1099"/>
      <c r="D146" s="478"/>
      <c r="E146" s="478"/>
      <c r="F146" s="638" t="s">
        <v>2981</v>
      </c>
      <c r="G146" s="478" t="str">
        <f>_xlfn.XLOOKUP(H146, 'Baumaterialien Matériaux'!A:A, 'Baumaterialien Matériaux'!AD:AD, "-", 0, 1)</f>
        <v>Béton pour bâtiment (sans armature)</v>
      </c>
      <c r="H146" s="891">
        <v>1.0019999999999998</v>
      </c>
      <c r="I146" s="641" t="str">
        <f>_xlfn.XLOOKUP(H146, 'Baumaterialien Matériaux'!A:A, 'Baumaterialien Matériaux'!F:F, "-", 0, 1)</f>
        <v>kg</v>
      </c>
      <c r="J146" s="649">
        <f>$J$145*K146</f>
        <v>14016.199999999999</v>
      </c>
      <c r="K146" s="893">
        <f>0.2*2300</f>
        <v>460</v>
      </c>
      <c r="L146" s="643">
        <v>60</v>
      </c>
      <c r="M146" s="648">
        <f t="shared" ref="M146:M147" si="381">SUM(N146:Q146)</f>
        <v>1.8886552301624024</v>
      </c>
      <c r="N146" s="720">
        <f>IFERROR(($J146*VLOOKUP($H146, 'Baumaterialien Matériaux'!$A$11:$AD$318, 26,FALSE)),0)/$G$1</f>
        <v>1.3713212137238049</v>
      </c>
      <c r="O146" s="720">
        <f>IFERROR(($J146*VLOOKUP($H146, 'Baumaterialien Matériaux'!$A$11:$AH$318, 33,FALSE)),0)/$G$1</f>
        <v>0.32121037438575611</v>
      </c>
      <c r="P146" s="720">
        <f t="shared" ref="P146:P147" si="382">IFERROR((N146+Q146)*($L$2/L146-1),0)</f>
        <v>0</v>
      </c>
      <c r="Q146" s="720">
        <f>IFERROR(($J146*VLOOKUP($H146, 'Baumaterialien Matériaux'!$A$11:$AH$318, 27,FALSE)),0)/$G$1</f>
        <v>0.19612364205284147</v>
      </c>
      <c r="R146" s="720">
        <f>IFERROR(($J146*VLOOKUP($H146, 'Baumaterialien Matériaux'!$A$11:$AH$318, 34,FALSE)),0)/$G$1</f>
        <v>4.1386721315087811E-2</v>
      </c>
      <c r="S146" s="720">
        <f>IFERROR((J146*VLOOKUP(H146, 'Baumaterialien Matériaux'!$A$11:$AD$318, 29,FALSE)),0)/$G$1</f>
        <v>0</v>
      </c>
      <c r="T146" s="720">
        <f>S146*AJ146</f>
        <v>0</v>
      </c>
      <c r="V146" s="638">
        <f t="shared" si="374"/>
        <v>0</v>
      </c>
      <c r="W146" s="638">
        <f t="shared" si="375"/>
        <v>0</v>
      </c>
      <c r="Z146" s="638">
        <f t="shared" si="362"/>
        <v>60</v>
      </c>
      <c r="AA146" s="648" t="s">
        <v>3456</v>
      </c>
      <c r="AB146" t="str">
        <f>_xlfn.XLOOKUP($H146,'[1]Baumaterialien Matériaux'!$A:$A,'[1]Baumaterialien Matériaux'!AK:AK,0,0)</f>
        <v>concrete</v>
      </c>
      <c r="AC146" t="str" cm="1">
        <f t="array" ref="AC146">_xlfn.SWITCH(I146,"kg"," ",0," ",_xlfn.XLOOKUP(H146, '[1]Baumaterialien Matériaux'!$A:$A, '[1]Baumaterialien Matériaux'!$AL:$AL, "-", 0, 1))</f>
        <v xml:space="preserve"> </v>
      </c>
      <c r="AD146" s="622" cm="1">
        <f t="array" ref="AD146">IFERROR(_xlfn.SWITCH(I146,"kg",1,"m3",AC146,AC146)*J146/(_xlfn.XLOOKUP(AA146,Métrés!A:A,Métrés!D:D,0)),0)</f>
        <v>20.823045267489711</v>
      </c>
      <c r="AE146" s="1092">
        <f>IFERROR(N146*$G$1/(_xlfn.XLOOKUP($AA146,Métrés!$A:$A,Métrés!$D:$D,0)),0)</f>
        <v>1.8490864197530863</v>
      </c>
      <c r="AF146" s="1092">
        <f>IFERROR(O146*$G$1/(_xlfn.XLOOKUP($AA146,Métrés!$A:$A,Métrés!$D:$D,0)),0)</f>
        <v>0.43311934156378595</v>
      </c>
      <c r="AG146" s="1092">
        <f>IFERROR(Q146*$G$1/(_xlfn.XLOOKUP($AA146,Métrés!$A:$A,Métrés!$D:$D,0)),0)</f>
        <v>0.26445267489711932</v>
      </c>
      <c r="AH146" s="1092">
        <f>IFERROR(R146*$G$1/(_xlfn.XLOOKUP($AA146,Métrés!$A:$A,Métrés!$D:$D,0)),0)</f>
        <v>5.580576131687242E-2</v>
      </c>
      <c r="AI146" s="1092">
        <f>IFERROR(S146*$G$1/(_xlfn.XLOOKUP($AA146,Métrés!$A:$A,Métrés!$D:$D,0)),0)</f>
        <v>0</v>
      </c>
      <c r="AJ146" s="1030"/>
      <c r="AK146" s="1030">
        <f>IF(L146=60,0,T146)</f>
        <v>0</v>
      </c>
      <c r="AL146" s="1030">
        <f>IF(L146=60,0,S146)</f>
        <v>0</v>
      </c>
      <c r="AM146" s="638" t="str">
        <f>IF(L146=$L$2, "Structure", IF(L146&gt;0,"Revêtement",0))</f>
        <v>Structure</v>
      </c>
      <c r="AN146" s="1032">
        <f>IF(AM146="Structure",N146,0)</f>
        <v>1.3713212137238049</v>
      </c>
      <c r="AO146" s="1030">
        <f>IF(AM146="Structure",P146,0)</f>
        <v>0</v>
      </c>
      <c r="AP146" s="1030">
        <f>IF(AM146="Structure",Q146,0)</f>
        <v>0.19612364205284147</v>
      </c>
      <c r="AQ146" s="1030">
        <f>IF(AM146="Structure",S146,0)</f>
        <v>0</v>
      </c>
      <c r="AR146" s="1033">
        <f>IF(AM146="Structure",T146,0)</f>
        <v>0</v>
      </c>
      <c r="AS146" s="1032">
        <f>IF($AM146="Insulation",N146,0)</f>
        <v>0</v>
      </c>
      <c r="AT146" s="1030">
        <f>IF($AM146="Insulation",P146,0)</f>
        <v>0</v>
      </c>
      <c r="AU146" s="1030">
        <f>IF($AM146="Insulation",Q146,0)</f>
        <v>0</v>
      </c>
      <c r="AV146" s="1030">
        <f>IF($AM146="Insulation",S146,0)</f>
        <v>0</v>
      </c>
      <c r="AW146" s="1033">
        <f>IF($AM146="Insulation",T146,0)</f>
        <v>0</v>
      </c>
      <c r="AX146" s="1032">
        <f>IF($AM146="Revêtement",N146,0)</f>
        <v>0</v>
      </c>
      <c r="AY146" s="1030">
        <f>IF($AM146="Revêtement",P146,0)</f>
        <v>0</v>
      </c>
      <c r="AZ146" s="1030">
        <f>IF($AM146="Revêtement",Q146,0)</f>
        <v>0</v>
      </c>
      <c r="BA146" s="1030">
        <f>IF($AM146="Revêtement",S146,0)</f>
        <v>0</v>
      </c>
      <c r="BB146" s="1033">
        <f>IF($AM146="Revêtement",T146,0)</f>
        <v>0</v>
      </c>
      <c r="BC146" s="1032">
        <f>IF($AM146="Installation",N146,0)</f>
        <v>0</v>
      </c>
      <c r="BD146" s="1030">
        <f>IF($AM146="Installation",P146,0)</f>
        <v>0</v>
      </c>
      <c r="BE146" s="1030">
        <f>IF($AM146="Installation",Q146,0)</f>
        <v>0</v>
      </c>
      <c r="BF146" s="1033">
        <f>IF($AM146="Installation",S146,0)</f>
        <v>0</v>
      </c>
      <c r="BG146" s="1032">
        <f>IF($AM146="Structure", IF($I146="kg",$J146,0), 0)</f>
        <v>14016.199999999999</v>
      </c>
      <c r="BH146" s="1030">
        <f>IF($AM146="Insulation", IF($I146="kg",$J146,0), 0)</f>
        <v>0</v>
      </c>
      <c r="BI146" s="1033">
        <f>IF($AM146="Revêtement", IF($I146="kg",$J146,0), 0)</f>
        <v>0</v>
      </c>
      <c r="BJ146" s="1030">
        <f>_xlfn.XLOOKUP(H146, 'Baumaterialien Matériaux'!A:A, 'Baumaterialien Matériaux'!E:E, "-", 0, 1)</f>
        <v>2300</v>
      </c>
      <c r="BK146" s="1032">
        <f t="shared" si="356"/>
        <v>6.0939999999999994</v>
      </c>
      <c r="BL146" s="1030">
        <f t="shared" si="357"/>
        <v>0</v>
      </c>
      <c r="BM146" s="1033">
        <f t="shared" si="358"/>
        <v>0</v>
      </c>
    </row>
    <row r="147" spans="2:67">
      <c r="B147" s="1103"/>
      <c r="C147" s="1099"/>
      <c r="D147" s="478"/>
      <c r="E147" s="478"/>
      <c r="F147" s="478" t="s">
        <v>3004</v>
      </c>
      <c r="G147" s="478" t="str">
        <f>_xlfn.XLOOKUP(H147, 'Baumaterialien Matériaux'!A:A, 'Baumaterialien Matériaux'!AD:AD, "-", 0, 1)</f>
        <v>Acier d'armature</v>
      </c>
      <c r="H147" s="892" t="s">
        <v>497</v>
      </c>
      <c r="I147" s="641" t="str">
        <f>_xlfn.XLOOKUP(H147, 'Baumaterialien Matériaux'!A:A, 'Baumaterialien Matériaux'!F:F, "-", 0, 1)</f>
        <v>kg</v>
      </c>
      <c r="J147" s="649">
        <f>$J$145*K147</f>
        <v>914.09999999999991</v>
      </c>
      <c r="K147" s="894">
        <f>0.2*150</f>
        <v>30</v>
      </c>
      <c r="L147" s="647">
        <v>60</v>
      </c>
      <c r="M147" s="648">
        <f t="shared" si="381"/>
        <v>1.8162754677067492</v>
      </c>
      <c r="N147" s="720">
        <f>IFERROR(($J147*VLOOKUP($H147, 'Baumaterialien Matériaux'!$A$11:$AD$318, 26,FALSE)),0)/$G$1</f>
        <v>1.5107093276922059</v>
      </c>
      <c r="O147" s="720">
        <f>IFERROR(($J147*VLOOKUP($H147, 'Baumaterialien Matériaux'!$A$11:$AH$318, 33,FALSE)),0)/$G$1</f>
        <v>0.2930776095722879</v>
      </c>
      <c r="P147" s="720">
        <f t="shared" si="382"/>
        <v>0</v>
      </c>
      <c r="Q147" s="720">
        <f>IFERROR(($J147*VLOOKUP($H147, 'Baumaterialien Matériaux'!$A$11:$AH$318, 27,FALSE)),0)/$G$1</f>
        <v>1.2488530442255567E-2</v>
      </c>
      <c r="R147" s="720">
        <f>IFERROR(($J147*VLOOKUP($H147, 'Baumaterialien Matériaux'!$A$11:$AH$318, 34,FALSE)),0)/$G$1</f>
        <v>0</v>
      </c>
      <c r="S147" s="720">
        <f>IFERROR((J147*VLOOKUP(H147, 'Baumaterialien Matériaux'!$A$11:$AD$318, 29,FALSE)),0)/$G$1</f>
        <v>0</v>
      </c>
      <c r="T147" s="720">
        <f>S147*AJ147</f>
        <v>0</v>
      </c>
      <c r="V147" s="638">
        <f t="shared" si="374"/>
        <v>0</v>
      </c>
      <c r="W147" s="638">
        <f t="shared" si="375"/>
        <v>0</v>
      </c>
      <c r="Z147" s="638">
        <f t="shared" si="362"/>
        <v>60</v>
      </c>
      <c r="AA147" s="648" t="s">
        <v>3456</v>
      </c>
      <c r="AB147" t="str">
        <f>_xlfn.XLOOKUP($H147,'[1]Baumaterialien Matériaux'!$A:$A,'[1]Baumaterialien Matériaux'!AK:AK,0,0)</f>
        <v>metal</v>
      </c>
      <c r="AC147" t="str" cm="1">
        <f t="array" ref="AC147">_xlfn.SWITCH(I147,"kg"," ",0," ",_xlfn.XLOOKUP(H147, '[1]Baumaterialien Matériaux'!$A:$A, '[1]Baumaterialien Matériaux'!$AL:$AL, "-", 0, 1))</f>
        <v xml:space="preserve"> </v>
      </c>
      <c r="AD147" s="622" cm="1">
        <f t="array" ref="AD147">IFERROR(_xlfn.SWITCH(I147,"kg",1,"m3",AC147,AC147)*J147/(_xlfn.XLOOKUP(AA147,Métrés!A:A,Métrés!D:D,0)),0)</f>
        <v>1.3580246913580245</v>
      </c>
      <c r="AE147" s="1092">
        <f>IFERROR(N147*$G$1/(_xlfn.XLOOKUP($AA147,Métrés!$A:$A,Métrés!$D:$D,0)),0)</f>
        <v>2.0370370370370368</v>
      </c>
      <c r="AF147" s="1092">
        <f>IFERROR(O147*$G$1/(_xlfn.XLOOKUP($AA147,Métrés!$A:$A,Métrés!$D:$D,0)),0)</f>
        <v>0.39518518518518514</v>
      </c>
      <c r="AG147" s="1092">
        <f>IFERROR(Q147*$G$1/(_xlfn.XLOOKUP($AA147,Métrés!$A:$A,Métrés!$D:$D,0)),0)</f>
        <v>1.6839506172839504E-2</v>
      </c>
      <c r="AH147" s="1092">
        <f>IFERROR(R147*$G$1/(_xlfn.XLOOKUP($AA147,Métrés!$A:$A,Métrés!$D:$D,0)),0)</f>
        <v>0</v>
      </c>
      <c r="AI147" s="1092">
        <f>IFERROR(S147*$G$1/(_xlfn.XLOOKUP($AA147,Métrés!$A:$A,Métrés!$D:$D,0)),0)</f>
        <v>0</v>
      </c>
      <c r="AJ147" s="1030"/>
      <c r="AK147" s="1030">
        <f>IF(L147=60,0,T147)</f>
        <v>0</v>
      </c>
      <c r="AL147" s="1030">
        <f>IF(L147=60,0,S147)</f>
        <v>0</v>
      </c>
      <c r="AM147" s="638" t="str">
        <f>IF(L147=$L$2, "Structure", IF(L147&gt;0,"Revêtement",0))</f>
        <v>Structure</v>
      </c>
      <c r="AN147" s="1032">
        <f>IF(AM147="Structure",N147,0)</f>
        <v>1.5107093276922059</v>
      </c>
      <c r="AO147" s="1030">
        <f>IF(AM147="Structure",P147,0)</f>
        <v>0</v>
      </c>
      <c r="AP147" s="1030">
        <f>IF(AM147="Structure",Q147,0)</f>
        <v>1.2488530442255567E-2</v>
      </c>
      <c r="AQ147" s="1030">
        <f>IF(AM147="Structure",S147,0)</f>
        <v>0</v>
      </c>
      <c r="AR147" s="1033">
        <f>IF(AM147="Structure",T147,0)</f>
        <v>0</v>
      </c>
      <c r="AS147" s="1032">
        <f>IF($AM147="Insulation",N147,0)</f>
        <v>0</v>
      </c>
      <c r="AT147" s="1030">
        <f>IF($AM147="Insulation",P147,0)</f>
        <v>0</v>
      </c>
      <c r="AU147" s="1030">
        <f>IF($AM147="Insulation",Q147,0)</f>
        <v>0</v>
      </c>
      <c r="AV147" s="1030">
        <f>IF($AM147="Insulation",S147,0)</f>
        <v>0</v>
      </c>
      <c r="AW147" s="1033">
        <f>IF($AM147="Insulation",T147,0)</f>
        <v>0</v>
      </c>
      <c r="AX147" s="1032">
        <f>IF($AM147="Revêtement",N147,0)</f>
        <v>0</v>
      </c>
      <c r="AY147" s="1030">
        <f>IF($AM147="Revêtement",P147,0)</f>
        <v>0</v>
      </c>
      <c r="AZ147" s="1030">
        <f>IF($AM147="Revêtement",Q147,0)</f>
        <v>0</v>
      </c>
      <c r="BA147" s="1030">
        <f>IF($AM147="Revêtement",S147,0)</f>
        <v>0</v>
      </c>
      <c r="BB147" s="1033">
        <f>IF($AM147="Revêtement",T147,0)</f>
        <v>0</v>
      </c>
      <c r="BC147" s="1032">
        <f>IF($AM147="Installation",N147,0)</f>
        <v>0</v>
      </c>
      <c r="BD147" s="1030">
        <f>IF($AM147="Installation",P147,0)</f>
        <v>0</v>
      </c>
      <c r="BE147" s="1030">
        <f>IF($AM147="Installation",Q147,0)</f>
        <v>0</v>
      </c>
      <c r="BF147" s="1033">
        <f>IF($AM147="Installation",S147,0)</f>
        <v>0</v>
      </c>
      <c r="BG147" s="1032">
        <f>IF($AM147="Structure", IF($I147="kg",$J147,0), 0)</f>
        <v>914.09999999999991</v>
      </c>
      <c r="BH147" s="1030">
        <f>IF($AM147="Insulation", IF($I147="kg",$J147,0), 0)</f>
        <v>0</v>
      </c>
      <c r="BI147" s="1033">
        <f>IF($AM147="Revêtement", IF($I147="kg",$J147,0), 0)</f>
        <v>0</v>
      </c>
      <c r="BJ147" s="1030">
        <f>_xlfn.XLOOKUP(H147, 'Baumaterialien Matériaux'!A:A, 'Baumaterialien Matériaux'!E:E, "-", 0, 1)</f>
        <v>7850</v>
      </c>
      <c r="BK147" s="1032">
        <f t="shared" si="356"/>
        <v>0.11644585987261145</v>
      </c>
      <c r="BL147" s="1030">
        <f t="shared" si="357"/>
        <v>0</v>
      </c>
      <c r="BM147" s="1033">
        <f t="shared" si="358"/>
        <v>0</v>
      </c>
    </row>
    <row r="148" spans="2:67">
      <c r="B148" s="1103"/>
      <c r="C148" s="1099"/>
      <c r="D148" s="478" t="s">
        <v>135</v>
      </c>
      <c r="E148" s="479" t="str">
        <f>BillQuantities!E25</f>
        <v>Non porteuse (moyenne) (avec enduit intérieur)</v>
      </c>
      <c r="F148" s="479" t="s">
        <v>3044</v>
      </c>
      <c r="G148" s="479"/>
      <c r="H148" s="479"/>
      <c r="I148" s="460" t="s">
        <v>39</v>
      </c>
      <c r="J148" s="662">
        <v>77.632000000000005</v>
      </c>
      <c r="K148" s="663"/>
      <c r="L148" s="663"/>
      <c r="M148" s="664">
        <f>SUM(M149:M152)</f>
        <v>6.3066222329168609</v>
      </c>
      <c r="N148" s="664">
        <f t="shared" ref="N148:T148" si="383">SUM(N149:N152)</f>
        <v>2.1504896057821559</v>
      </c>
      <c r="O148" s="664">
        <f t="shared" ref="O148" si="384">SUM(O149:O152)</f>
        <v>1.7859135232806684</v>
      </c>
      <c r="P148" s="664">
        <f t="shared" si="383"/>
        <v>2.2603543548180962</v>
      </c>
      <c r="Q148" s="664">
        <f t="shared" si="383"/>
        <v>0.10986474903594017</v>
      </c>
      <c r="R148" s="664">
        <f t="shared" ref="R148" si="385">SUM(R149:R152)</f>
        <v>1.6820031220114145E-2</v>
      </c>
      <c r="S148" s="664">
        <f t="shared" si="383"/>
        <v>1.7592839928604485</v>
      </c>
      <c r="T148" s="664">
        <f t="shared" si="383"/>
        <v>1.7592839928604484E-2</v>
      </c>
      <c r="V148" s="638">
        <f t="shared" si="374"/>
        <v>1.7592839928604484E-2</v>
      </c>
      <c r="W148" s="638">
        <f t="shared" si="375"/>
        <v>1.7592839928604485</v>
      </c>
      <c r="Y148" s="638">
        <f t="shared" si="269"/>
        <v>0</v>
      </c>
      <c r="Z148" s="638">
        <f t="shared" si="362"/>
        <v>0</v>
      </c>
      <c r="AB148">
        <f>_xlfn.XLOOKUP($H148,'[1]Baumaterialien Matériaux'!$A:$A,'[1]Baumaterialien Matériaux'!AK:AK,0,0)</f>
        <v>0</v>
      </c>
      <c r="AC148" cm="1">
        <f t="array" ref="AC148">_xlfn.SWITCH(I148,"kg"," ",0," ",_xlfn.XLOOKUP(H148, '[1]Baumaterialien Matériaux'!$A:$A, '[1]Baumaterialien Matériaux'!$AL:$AL, "-", 0, 1))</f>
        <v>0</v>
      </c>
      <c r="AD148" s="622" cm="1">
        <f t="array" ref="AD148">IFERROR(_xlfn.SWITCH(I148,"kg",1,"m3",AC148,AC148)*J148/(_xlfn.XLOOKUP(AA148,Métrés!A:A,Métrés!D:D,0)),0)</f>
        <v>0</v>
      </c>
      <c r="AE148" s="1092">
        <f>IFERROR(N148*$G$1/(_xlfn.XLOOKUP($AA148,Métrés!$A:$A,Métrés!$D:$D,0)),0)</f>
        <v>0</v>
      </c>
      <c r="AF148" s="1092">
        <f>IFERROR(O148*$G$1/(_xlfn.XLOOKUP($AA148,Métrés!$A:$A,Métrés!$D:$D,0)),0)</f>
        <v>0</v>
      </c>
      <c r="AG148" s="1092">
        <f>IFERROR(Q148*$G$1/(_xlfn.XLOOKUP($AA148,Métrés!$A:$A,Métrés!$D:$D,0)),0)</f>
        <v>0</v>
      </c>
      <c r="AH148" s="1092">
        <f>IFERROR(R148*$G$1/(_xlfn.XLOOKUP($AA148,Métrés!$A:$A,Métrés!$D:$D,0)),0)</f>
        <v>0</v>
      </c>
      <c r="AI148" s="1092">
        <f>IFERROR(S148*$G$1/(_xlfn.XLOOKUP($AA148,Métrés!$A:$A,Métrés!$D:$D,0)),0)</f>
        <v>0</v>
      </c>
      <c r="AJ148" s="1064"/>
      <c r="AK148" s="1064"/>
      <c r="AL148" s="1064"/>
      <c r="AM148" s="1021"/>
      <c r="AN148" s="1073"/>
      <c r="AO148" s="1064"/>
      <c r="AP148" s="1064"/>
      <c r="AQ148" s="1064"/>
      <c r="AR148" s="1074"/>
      <c r="AS148" s="1073"/>
      <c r="AT148" s="1064"/>
      <c r="AU148" s="1064"/>
      <c r="AV148" s="1064"/>
      <c r="AW148" s="1074"/>
      <c r="AX148" s="1073"/>
      <c r="AY148" s="1064"/>
      <c r="AZ148" s="1064"/>
      <c r="BA148" s="1064"/>
      <c r="BB148" s="1074"/>
      <c r="BC148" s="1073"/>
      <c r="BD148" s="1064"/>
      <c r="BE148" s="1064"/>
      <c r="BF148" s="1074"/>
      <c r="BG148" s="1073"/>
      <c r="BH148" s="1064"/>
      <c r="BI148" s="1074"/>
      <c r="BJ148" s="1078"/>
      <c r="BK148" s="1073"/>
      <c r="BL148" s="1064"/>
      <c r="BM148" s="1074"/>
    </row>
    <row r="149" spans="2:67">
      <c r="B149" s="1103"/>
      <c r="C149" s="1099"/>
      <c r="D149" s="478"/>
      <c r="E149" s="478"/>
      <c r="F149" s="478" t="s">
        <v>3279</v>
      </c>
      <c r="G149" s="478" t="str">
        <f>_xlfn.XLOOKUP(H149, 'Baumaterialien Matériaux'!A:A, 'Baumaterialien Matériaux'!AD:AD, "-", 0, 1)</f>
        <v>Plaque de plâtre armé de fibres</v>
      </c>
      <c r="H149" s="875" t="s">
        <v>739</v>
      </c>
      <c r="I149" s="641" t="str">
        <f>_xlfn.XLOOKUP(H149, 'Baumaterialien Matériaux'!A:A, 'Baumaterialien Matériaux'!F:F, "-", 0, 1)</f>
        <v>kg</v>
      </c>
      <c r="J149" s="649">
        <f>$J$148*K149</f>
        <v>1397.3760000000002</v>
      </c>
      <c r="K149" s="647">
        <f>0.015*1200</f>
        <v>18</v>
      </c>
      <c r="L149" s="643">
        <f>'Eléments de constr. inté. et ex'!N29</f>
        <v>30</v>
      </c>
      <c r="M149" s="648">
        <f t="shared" ref="M149:M152" si="386">SUM(N149:Q149)</f>
        <v>2.5043209730944676</v>
      </c>
      <c r="N149" s="720">
        <f>IFERROR(($J149*VLOOKUP($H149, 'Baumaterialien Matériaux'!$A$11:$AD$318, 26,FALSE)),0)/$G$1</f>
        <v>0.82214889931909851</v>
      </c>
      <c r="O149" s="720">
        <f>IFERROR(($J149*VLOOKUP($H149, 'Baumaterialien Matériaux'!$A$11:$AH$318, 33,FALSE)),0)/$G$1</f>
        <v>0.80213403847425147</v>
      </c>
      <c r="P149" s="720">
        <f>IFERROR((N149+Q149)*($L$2/L149-1),0)</f>
        <v>0.85109346731010793</v>
      </c>
      <c r="Q149" s="720">
        <f>IFERROR(($J149*VLOOKUP($H149, 'Baumaterialien Matériaux'!$A$11:$AH$318, 27,FALSE)),0)/$G$1</f>
        <v>2.8944567991009459E-2</v>
      </c>
      <c r="R149" s="720">
        <f>IFERROR(($J149*VLOOKUP($H149, 'Baumaterialien Matériaux'!$A$11:$AH$318, 34,FALSE)),0)/$G$1</f>
        <v>5.1114875388378403E-3</v>
      </c>
      <c r="S149" s="720">
        <f>IFERROR((J149*VLOOKUP(H149, 'Baumaterialien Matériaux'!$A$11:$AD$318, 29,FALSE)),0)/$G$1</f>
        <v>0.25347025054538247</v>
      </c>
      <c r="T149" s="720">
        <f>S149*AJ149</f>
        <v>2.5347025054538249E-3</v>
      </c>
      <c r="U149" s="638">
        <v>0.01</v>
      </c>
      <c r="V149" s="638">
        <f t="shared" si="374"/>
        <v>2.5347025054538249E-3</v>
      </c>
      <c r="W149" s="638">
        <f t="shared" si="375"/>
        <v>0.25347025054538247</v>
      </c>
      <c r="Y149" s="638" t="str">
        <f t="shared" si="269"/>
        <v>Revêtement</v>
      </c>
      <c r="Z149" s="638">
        <f t="shared" si="362"/>
        <v>30</v>
      </c>
      <c r="AA149" s="648" t="s">
        <v>3454</v>
      </c>
      <c r="AB149" t="str">
        <f>_xlfn.XLOOKUP($H149,'[1]Baumaterialien Matériaux'!$A:$A,'[1]Baumaterialien Matériaux'!AK:AK,0,0)</f>
        <v>gypsum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 s="622" cm="1">
        <f t="array" ref="AD149">IFERROR(_xlfn.SWITCH(I149,"kg",1,"m3",AC149,AC149)*J149/(_xlfn.XLOOKUP(AA149,Métrés!A:A,Métrés!D:D,0)),0)</f>
        <v>7.1854868567197343</v>
      </c>
      <c r="AE149" s="1092">
        <f>IFERROR(N149*$G$1/(_xlfn.XLOOKUP($AA149,Métrés!$A:$A,Métrés!$D:$D,0)),0)</f>
        <v>3.8370499814883381</v>
      </c>
      <c r="AF149" s="1092">
        <f>IFERROR(O149*$G$1/(_xlfn.XLOOKUP($AA149,Métrés!$A:$A,Métrés!$D:$D,0)),0)</f>
        <v>3.7436386523509819</v>
      </c>
      <c r="AG149" s="1092">
        <f>IFERROR(Q149*$G$1/(_xlfn.XLOOKUP($AA149,Métrés!$A:$A,Métrés!$D:$D,0)),0)</f>
        <v>0.13508715290633103</v>
      </c>
      <c r="AH149" s="1092">
        <f>IFERROR(R149*$G$1/(_xlfn.XLOOKUP($AA149,Métrés!$A:$A,Métrés!$D:$D,0)),0)</f>
        <v>2.3855816364309515E-2</v>
      </c>
      <c r="AI149" s="1092">
        <f>IFERROR(S149*$G$1/(_xlfn.XLOOKUP($AA149,Métrés!$A:$A,Métrés!$D:$D,0)),0)</f>
        <v>1.1829706528446255</v>
      </c>
      <c r="AJ149" s="1030">
        <v>0.01</v>
      </c>
      <c r="AK149" s="1030">
        <f>IF(L149=60,0,T149)</f>
        <v>2.5347025054538249E-3</v>
      </c>
      <c r="AL149" s="1030">
        <f>IF(L149=60,0,S149)</f>
        <v>0.25347025054538247</v>
      </c>
      <c r="AM149" s="638" t="str">
        <f>IF(L149=$L$2, "Structure", IF(L149&gt;0,"Revêtement",0))</f>
        <v>Revêtement</v>
      </c>
      <c r="AN149" s="1032">
        <f>IF(AM149="Structure",N149,0)</f>
        <v>0</v>
      </c>
      <c r="AO149" s="1030">
        <f>IF(AM149="Structure",P149,0)</f>
        <v>0</v>
      </c>
      <c r="AP149" s="1030">
        <f>IF(AM149="Structure",Q149,0)</f>
        <v>0</v>
      </c>
      <c r="AQ149" s="1030">
        <f>IF(AM149="Structure",S149,0)</f>
        <v>0</v>
      </c>
      <c r="AR149" s="1033">
        <f>IF(AM149="Structure",T149,0)</f>
        <v>0</v>
      </c>
      <c r="AS149" s="1032">
        <f>IF($AM149="Insulation",N149,0)</f>
        <v>0</v>
      </c>
      <c r="AT149" s="1030">
        <f t="shared" ref="AT149:AU152" si="387">IF($AM149="Insulation",P149,0)</f>
        <v>0</v>
      </c>
      <c r="AU149" s="1030">
        <f t="shared" si="387"/>
        <v>0</v>
      </c>
      <c r="AV149" s="1030">
        <f t="shared" ref="AV149:AW152" si="388">IF($AM149="Insulation",S149,0)</f>
        <v>0</v>
      </c>
      <c r="AW149" s="1033">
        <f t="shared" si="388"/>
        <v>0</v>
      </c>
      <c r="AX149" s="1032">
        <f>IF($AM149="Revêtement",N149,0)</f>
        <v>0.82214889931909851</v>
      </c>
      <c r="AY149" s="1030">
        <f t="shared" ref="AY149:AZ152" si="389">IF($AM149="Revêtement",P149,0)</f>
        <v>0.85109346731010793</v>
      </c>
      <c r="AZ149" s="1030">
        <f t="shared" si="389"/>
        <v>2.8944567991009459E-2</v>
      </c>
      <c r="BA149" s="1030">
        <f t="shared" ref="BA149:BB152" si="390">IF($AM149="Revêtement",S149,0)</f>
        <v>0.25347025054538247</v>
      </c>
      <c r="BB149" s="1033">
        <f t="shared" si="390"/>
        <v>2.5347025054538249E-3</v>
      </c>
      <c r="BC149" s="1032">
        <f>IF($AM149="Installation",N149,0)</f>
        <v>0</v>
      </c>
      <c r="BD149" s="1030">
        <f t="shared" ref="BD149:BE152" si="391">IF($AM149="Installation",P149,0)</f>
        <v>0</v>
      </c>
      <c r="BE149" s="1030">
        <f t="shared" si="391"/>
        <v>0</v>
      </c>
      <c r="BF149" s="1033">
        <f>IF($AM149="Installation",S149,0)</f>
        <v>0</v>
      </c>
      <c r="BG149" s="1032">
        <f>IF($AM149="Structure", IF($I149="kg",$J149,0), 0)</f>
        <v>0</v>
      </c>
      <c r="BH149" s="1030">
        <f>IF($AM149="Insulation", IF($I149="kg",$J149,0), 0)</f>
        <v>0</v>
      </c>
      <c r="BI149" s="1033">
        <f>IF($AM149="Revêtement", IF($I149="kg",$J149,0), 0)</f>
        <v>1397.3760000000002</v>
      </c>
      <c r="BJ149" s="1030">
        <f>_xlfn.XLOOKUP(H149, 'Baumaterialien Matériaux'!A:A, 'Baumaterialien Matériaux'!E:E, "-", 0, 1)</f>
        <v>1200</v>
      </c>
      <c r="BK149" s="1032">
        <f t="shared" si="356"/>
        <v>0</v>
      </c>
      <c r="BL149" s="1030">
        <f t="shared" si="357"/>
        <v>0</v>
      </c>
      <c r="BM149" s="1033">
        <f t="shared" si="358"/>
        <v>1.1644800000000002</v>
      </c>
      <c r="BN149" s="720">
        <f>IFERROR((J149*VLOOKUP(H149, 'Baumaterialien Matériaux'!$A$11:$AH$318, 32,FALSE))*($L$2/L149-1),0)/$G$1</f>
        <v>0.80829245719574283</v>
      </c>
      <c r="BO149" s="720">
        <f>IFERROR((N149+Q149)*($L$2/L149-1),0)</f>
        <v>0.85109346731010793</v>
      </c>
    </row>
    <row r="150" spans="2:67">
      <c r="B150" s="1103"/>
      <c r="C150" s="1099"/>
      <c r="D150" s="478"/>
      <c r="E150" s="478"/>
      <c r="F150" s="638" t="s">
        <v>3281</v>
      </c>
      <c r="G150" s="478" t="str">
        <f>_xlfn.XLOOKUP(H150, 'Baumaterialien Matériaux'!A:A, 'Baumaterialien Matériaux'!AD:AD, "-", 0, 1)</f>
        <v>Bois massif de construction</v>
      </c>
      <c r="H150" s="875" t="s">
        <v>547</v>
      </c>
      <c r="I150" s="641" t="str">
        <f>_xlfn.XLOOKUP(H150, 'Baumaterialien Matériaux'!A:A, 'Baumaterialien Matériaux'!F:F, "-", 0, 1)</f>
        <v>kg</v>
      </c>
      <c r="J150" s="649">
        <f>436*1.58</f>
        <v>688.88</v>
      </c>
      <c r="K150" s="893"/>
      <c r="L150" s="643">
        <f>'Eléments de constr. inté. et ex'!N30</f>
        <v>30</v>
      </c>
      <c r="M150" s="648">
        <f t="shared" si="386"/>
        <v>0.49085792908926645</v>
      </c>
      <c r="N150" s="720">
        <f>IFERROR(($J150*VLOOKUP($H150, 'Baumaterialien Matériaux'!$A$11:$AD$318, 26,FALSE)),0)/$G$1</f>
        <v>0.18595403362640753</v>
      </c>
      <c r="O150" s="720">
        <f>IFERROR(($J150*VLOOKUP($H150, 'Baumaterialien Matériaux'!$A$11:$AH$318, 33,FALSE)),0)/$G$1</f>
        <v>5.1702811308697472E-2</v>
      </c>
      <c r="P150" s="720">
        <f t="shared" ref="P150:P152" si="392">IFERROR((N150+Q150)*($L$2/L150-1),0)</f>
        <v>0.21957755889028446</v>
      </c>
      <c r="Q150" s="720">
        <f>IFERROR(($J150*VLOOKUP($H150, 'Baumaterialien Matériaux'!$A$11:$AH$318, 27,FALSE)),0)/$G$1</f>
        <v>3.3623525263876949E-2</v>
      </c>
      <c r="R150" s="720">
        <f>IFERROR(($J150*VLOOKUP($H150, 'Baumaterialien Matériaux'!$A$11:$AH$318, 34,FALSE)),0)/$G$1</f>
        <v>5.5254912848989668E-3</v>
      </c>
      <c r="S150" s="720">
        <f>IFERROR((J150*VLOOKUP(H150, 'Baumaterialien Matériaux'!$A$11:$AD$318, 29,FALSE)),0)/$G$1</f>
        <v>1.2523434917696834</v>
      </c>
      <c r="T150" s="720">
        <f>S150*AJ150</f>
        <v>1.2523434917696835E-2</v>
      </c>
      <c r="U150" s="638">
        <v>0.01</v>
      </c>
      <c r="V150" s="638">
        <f t="shared" si="374"/>
        <v>1.2523434917696835E-2</v>
      </c>
      <c r="W150" s="638">
        <f t="shared" si="375"/>
        <v>1.2523434917696834</v>
      </c>
      <c r="Y150" s="638" t="str">
        <f t="shared" si="269"/>
        <v>Revêtement</v>
      </c>
      <c r="Z150" s="638">
        <f t="shared" si="362"/>
        <v>30</v>
      </c>
      <c r="AA150" s="648" t="s">
        <v>3454</v>
      </c>
      <c r="AB150" t="str">
        <f>_xlfn.XLOOKUP($H150,'[1]Baumaterialien Matériaux'!$A:$A,'[1]Baumaterialien Matériaux'!AK:AK,0,0)</f>
        <v>timber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 s="622" cm="1">
        <f t="array" ref="AD150">IFERROR(_xlfn.SWITCH(I150,"kg",1,"m3",AC150,AC150)*J150/(_xlfn.XLOOKUP(AA150,Métrés!A:A,Métrés!D:D,0)),0)</f>
        <v>3.5423094327203914</v>
      </c>
      <c r="AE150" s="1092">
        <f>IFERROR(N150*$G$1/(_xlfn.XLOOKUP($AA150,Métrés!$A:$A,Métrés!$D:$D,0)),0)</f>
        <v>0.86786581101649585</v>
      </c>
      <c r="AF150" s="1092">
        <f>IFERROR(O150*$G$1/(_xlfn.XLOOKUP($AA150,Métrés!$A:$A,Métrés!$D:$D,0)),0)</f>
        <v>0.24130211855691305</v>
      </c>
      <c r="AG150" s="1092">
        <f>IFERROR(Q150*$G$1/(_xlfn.XLOOKUP($AA150,Métrés!$A:$A,Métrés!$D:$D,0)),0)</f>
        <v>0.15692430786951334</v>
      </c>
      <c r="AH150" s="1092">
        <f>IFERROR(R150*$G$1/(_xlfn.XLOOKUP($AA150,Métrés!$A:$A,Métrés!$D:$D,0)),0)</f>
        <v>2.578801267020445E-2</v>
      </c>
      <c r="AI150" s="1092">
        <f>IFERROR(S150*$G$1/(_xlfn.XLOOKUP($AA150,Métrés!$A:$A,Métrés!$D:$D,0)),0)</f>
        <v>5.8448105639886458</v>
      </c>
      <c r="AJ150" s="1030">
        <v>0.01</v>
      </c>
      <c r="AK150" s="1030">
        <f>IF(L150=60,0,T150)</f>
        <v>1.2523434917696835E-2</v>
      </c>
      <c r="AL150" s="1030">
        <f>IF(L150=60,0,S150)</f>
        <v>1.2523434917696834</v>
      </c>
      <c r="AM150" s="638" t="str">
        <f>IF(L150=$L$2, "Structure", IF(L150&gt;0,"Revêtement",0))</f>
        <v>Revêtement</v>
      </c>
      <c r="AN150" s="1032">
        <f>IF(AM150="Structure",N150,0)</f>
        <v>0</v>
      </c>
      <c r="AO150" s="1030">
        <f>IF(AM150="Structure",P150,0)</f>
        <v>0</v>
      </c>
      <c r="AP150" s="1030">
        <f>IF(AM150="Structure",Q150,0)</f>
        <v>0</v>
      </c>
      <c r="AQ150" s="1030">
        <f>IF(AM150="Structure",S150,0)</f>
        <v>0</v>
      </c>
      <c r="AR150" s="1033">
        <f>IF(AM150="Structure",T150,0)</f>
        <v>0</v>
      </c>
      <c r="AS150" s="1032">
        <f>IF($AM150="Insulation",N150,0)</f>
        <v>0</v>
      </c>
      <c r="AT150" s="1030">
        <f t="shared" si="387"/>
        <v>0</v>
      </c>
      <c r="AU150" s="1030">
        <f t="shared" si="387"/>
        <v>0</v>
      </c>
      <c r="AV150" s="1030">
        <f t="shared" si="388"/>
        <v>0</v>
      </c>
      <c r="AW150" s="1033">
        <f t="shared" si="388"/>
        <v>0</v>
      </c>
      <c r="AX150" s="1032">
        <f>IF($AM150="Revêtement",N150,0)</f>
        <v>0.18595403362640753</v>
      </c>
      <c r="AY150" s="1030">
        <f t="shared" si="389"/>
        <v>0.21957755889028446</v>
      </c>
      <c r="AZ150" s="1030">
        <f t="shared" si="389"/>
        <v>3.3623525263876949E-2</v>
      </c>
      <c r="BA150" s="1030">
        <f t="shared" si="390"/>
        <v>1.2523434917696834</v>
      </c>
      <c r="BB150" s="1033">
        <f t="shared" si="390"/>
        <v>1.2523434917696835E-2</v>
      </c>
      <c r="BC150" s="1032">
        <f>IF($AM150="Installation",N150,0)</f>
        <v>0</v>
      </c>
      <c r="BD150" s="1030">
        <f t="shared" si="391"/>
        <v>0</v>
      </c>
      <c r="BE150" s="1030">
        <f t="shared" si="391"/>
        <v>0</v>
      </c>
      <c r="BF150" s="1033">
        <f>IF($AM150="Installation",S150,0)</f>
        <v>0</v>
      </c>
      <c r="BG150" s="1032">
        <f>IF($AM150="Structure", IF($I150="kg",$J150,0), 0)</f>
        <v>0</v>
      </c>
      <c r="BH150" s="1030">
        <f>IF($AM150="Insulation", IF($I150="kg",$J150,0), 0)</f>
        <v>0</v>
      </c>
      <c r="BI150" s="1033">
        <f>IF($AM150="Revêtement", IF($I150="kg",$J150,0), 0)</f>
        <v>688.88</v>
      </c>
      <c r="BJ150" s="1030">
        <f>_xlfn.XLOOKUP(H150, 'Baumaterialien Matériaux'!A:A, 'Baumaterialien Matériaux'!E:E, "-", 0, 1)</f>
        <v>436</v>
      </c>
      <c r="BK150" s="1032">
        <f t="shared" si="356"/>
        <v>0</v>
      </c>
      <c r="BL150" s="1030">
        <f t="shared" si="357"/>
        <v>0</v>
      </c>
      <c r="BM150" s="1033">
        <f t="shared" si="358"/>
        <v>1.58</v>
      </c>
      <c r="BN150" s="720">
        <f>IFERROR((J150*VLOOKUP(H150, 'Baumaterialien Matériaux'!$A$11:$AH$318, 32,FALSE))*($L$2/L150-1),0)/$G$1</f>
        <v>5.7228302593596431E-2</v>
      </c>
      <c r="BO150" s="720">
        <f>IFERROR((N150+Q150)*($L$2/L150-1),0)</f>
        <v>0.21957755889028446</v>
      </c>
    </row>
    <row r="151" spans="2:67">
      <c r="B151" s="1103"/>
      <c r="C151" s="1099"/>
      <c r="D151" s="478"/>
      <c r="E151" s="478"/>
      <c r="F151" s="478" t="s">
        <v>3280</v>
      </c>
      <c r="G151" s="478" t="str">
        <f>_xlfn.XLOOKUP(H151, 'Baumaterialien Matériaux'!A:A, 'Baumaterialien Matériaux'!AD:AD, "-", 0, 1)</f>
        <v>Laine de verre</v>
      </c>
      <c r="H151" s="875" t="s">
        <v>130</v>
      </c>
      <c r="I151" s="641" t="str">
        <f>_xlfn.XLOOKUP(H151, 'Baumaterialien Matériaux'!A:A, 'Baumaterialien Matériaux'!F:F, "-", 0, 1)</f>
        <v>kg</v>
      </c>
      <c r="J151" s="649">
        <f t="shared" ref="J151:J152" si="393">$J$148*K151</f>
        <v>279.47519999999997</v>
      </c>
      <c r="K151" s="894">
        <f>0.12*30</f>
        <v>3.5999999999999996</v>
      </c>
      <c r="L151" s="643">
        <f>'Eléments de constr. inté. et ex'!N31</f>
        <v>30</v>
      </c>
      <c r="M151" s="648">
        <f t="shared" si="386"/>
        <v>0.80712235763865925</v>
      </c>
      <c r="N151" s="720">
        <f>IFERROR(($J151*VLOOKUP($H151, 'Baumaterialien Matériaux'!$A$11:$AD$318, 26,FALSE)),0)/$G$1</f>
        <v>0.32023777351755139</v>
      </c>
      <c r="O151" s="720">
        <f>IFERROR(($J151*VLOOKUP($H151, 'Baumaterialien Matériaux'!$A$11:$AH$318, 33,FALSE)),0)/$G$1</f>
        <v>0.12994263502346795</v>
      </c>
      <c r="P151" s="720">
        <f t="shared" si="392"/>
        <v>0.33858986130759566</v>
      </c>
      <c r="Q151" s="720">
        <f>IFERROR(($J151*VLOOKUP($H151, 'Baumaterialien Matériaux'!$A$11:$AH$318, 27,FALSE)),0)/$G$1</f>
        <v>1.835208779004429E-2</v>
      </c>
      <c r="R151" s="720">
        <f>IFERROR(($J151*VLOOKUP($H151, 'Baumaterialien Matériaux'!$A$11:$AH$318, 34,FALSE)),0)/$G$1</f>
        <v>1.0715648575394987E-3</v>
      </c>
      <c r="S151" s="720">
        <f>IFERROR((J151*VLOOKUP(H151, 'Baumaterialien Matériaux'!$A$11:$AD$318, 29,FALSE)),0)/$G$1</f>
        <v>0</v>
      </c>
      <c r="T151" s="720">
        <f>S151*AJ151</f>
        <v>0</v>
      </c>
      <c r="V151" s="638">
        <f t="shared" si="374"/>
        <v>0</v>
      </c>
      <c r="W151" s="638">
        <f t="shared" si="375"/>
        <v>0</v>
      </c>
      <c r="Y151" s="638" t="str">
        <f t="shared" si="269"/>
        <v>Revêtement</v>
      </c>
      <c r="Z151" s="638">
        <f t="shared" si="362"/>
        <v>30</v>
      </c>
      <c r="AA151" s="648" t="s">
        <v>3454</v>
      </c>
      <c r="AB151" t="str">
        <f>_xlfn.XLOOKUP($H151,'[1]Baumaterialien Matériaux'!$A:$A,'[1]Baumaterialien Matériaux'!AK:AK,0,0)</f>
        <v>mineral_fiber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 s="622" cm="1">
        <f t="array" ref="AD151">IFERROR(_xlfn.SWITCH(I151,"kg",1,"m3",AC151,AC151)*J151/(_xlfn.XLOOKUP(AA151,Métrés!A:A,Métrés!D:D,0)),0)</f>
        <v>1.4370973713439466</v>
      </c>
      <c r="AE151" s="1092">
        <f>IFERROR(N151*$G$1/(_xlfn.XLOOKUP($AA151,Métrés!$A:$A,Métrés!$D:$D,0)),0)</f>
        <v>1.4945812661977045</v>
      </c>
      <c r="AF151" s="1092">
        <f>IFERROR(O151*$G$1/(_xlfn.XLOOKUP($AA151,Métrés!$A:$A,Métrés!$D:$D,0)),0)</f>
        <v>0.60645509070714543</v>
      </c>
      <c r="AG151" s="1092">
        <f>IFERROR(Q151*$G$1/(_xlfn.XLOOKUP($AA151,Métrés!$A:$A,Métrés!$D:$D,0)),0)</f>
        <v>8.5651003332099213E-2</v>
      </c>
      <c r="AH151" s="1092">
        <f>IFERROR(R151*$G$1/(_xlfn.XLOOKUP($AA151,Métrés!$A:$A,Métrés!$D:$D,0)),0)</f>
        <v>5.0010988522769338E-3</v>
      </c>
      <c r="AI151" s="1092">
        <f>IFERROR(S151*$G$1/(_xlfn.XLOOKUP($AA151,Métrés!$A:$A,Métrés!$D:$D,0)),0)</f>
        <v>0</v>
      </c>
      <c r="AJ151" s="1030"/>
      <c r="AK151" s="1030">
        <f>IF(L151=60,0,T151)</f>
        <v>0</v>
      </c>
      <c r="AL151" s="1030">
        <f>IF(L151=60,0,S151)</f>
        <v>0</v>
      </c>
      <c r="AM151" s="638" t="s">
        <v>3388</v>
      </c>
      <c r="AN151" s="1032">
        <f>IF(AM151="Structure",N151,0)</f>
        <v>0</v>
      </c>
      <c r="AO151" s="1030">
        <f>IF(AM151="Structure",P151,0)</f>
        <v>0</v>
      </c>
      <c r="AP151" s="1030">
        <f>IF(AM151="Structure",Q151,0)</f>
        <v>0</v>
      </c>
      <c r="AQ151" s="1030">
        <f>IF(AM151="Structure",S151,0)</f>
        <v>0</v>
      </c>
      <c r="AR151" s="1033">
        <f>IF(AM151="Structure",T151,0)</f>
        <v>0</v>
      </c>
      <c r="AS151" s="1032">
        <f>IF($AM151="Insulation",N151,0)</f>
        <v>0.32023777351755139</v>
      </c>
      <c r="AT151" s="1030">
        <f t="shared" si="387"/>
        <v>0.33858986130759566</v>
      </c>
      <c r="AU151" s="1030">
        <f t="shared" si="387"/>
        <v>1.835208779004429E-2</v>
      </c>
      <c r="AV151" s="1030">
        <f t="shared" si="388"/>
        <v>0</v>
      </c>
      <c r="AW151" s="1033">
        <f t="shared" si="388"/>
        <v>0</v>
      </c>
      <c r="AX151" s="1032">
        <f>IF($AM151="Revêtement",N151,0)</f>
        <v>0</v>
      </c>
      <c r="AY151" s="1030">
        <f t="shared" si="389"/>
        <v>0</v>
      </c>
      <c r="AZ151" s="1030">
        <f t="shared" si="389"/>
        <v>0</v>
      </c>
      <c r="BA151" s="1030">
        <f t="shared" si="390"/>
        <v>0</v>
      </c>
      <c r="BB151" s="1033">
        <f t="shared" si="390"/>
        <v>0</v>
      </c>
      <c r="BC151" s="1032">
        <f>IF($AM151="Installation",N151,0)</f>
        <v>0</v>
      </c>
      <c r="BD151" s="1030">
        <f t="shared" si="391"/>
        <v>0</v>
      </c>
      <c r="BE151" s="1030">
        <f t="shared" si="391"/>
        <v>0</v>
      </c>
      <c r="BF151" s="1033">
        <f>IF($AM151="Installation",S151,0)</f>
        <v>0</v>
      </c>
      <c r="BG151" s="1032">
        <f>IF($AM151="Structure", IF($I151="kg",$J151,0), 0)</f>
        <v>0</v>
      </c>
      <c r="BH151" s="1030">
        <f>IF($AM151="Insulation", IF($I151="kg",$J151,0), 0)</f>
        <v>279.47519999999997</v>
      </c>
      <c r="BI151" s="1033">
        <f>IF($AM151="Revêtement", IF($I151="kg",$J151,0), 0)</f>
        <v>0</v>
      </c>
      <c r="BJ151" s="1030">
        <v>30</v>
      </c>
      <c r="BK151" s="1032">
        <f t="shared" si="356"/>
        <v>0</v>
      </c>
      <c r="BL151" s="1030">
        <f t="shared" si="357"/>
        <v>9.3158399999999997</v>
      </c>
      <c r="BM151" s="1033">
        <f t="shared" si="358"/>
        <v>0</v>
      </c>
      <c r="BN151" s="720">
        <f>IFERROR((J151*VLOOKUP(H151, 'Baumaterialien Matériaux'!$A$11:$AH$318, 32,FALSE))*($L$2/L151-1),0)/$G$1</f>
        <v>0.13086639783169166</v>
      </c>
      <c r="BO151" s="720">
        <f>IFERROR((N151+Q151)*($L$2/L151-1),0)</f>
        <v>0.33858986130759566</v>
      </c>
    </row>
    <row r="152" spans="2:67">
      <c r="B152" s="1103"/>
      <c r="C152" s="1099"/>
      <c r="D152" s="478"/>
      <c r="E152" s="478"/>
      <c r="F152" s="478" t="s">
        <v>3279</v>
      </c>
      <c r="G152" s="478" t="str">
        <f>_xlfn.XLOOKUP(H152, 'Baumaterialien Matériaux'!A:A, 'Baumaterialien Matériaux'!AD:AD, "-", 0, 1)</f>
        <v>Plaque de plâtre armé de fibres</v>
      </c>
      <c r="H152" s="875" t="s">
        <v>739</v>
      </c>
      <c r="I152" s="641" t="str">
        <f>_xlfn.XLOOKUP(H152, 'Baumaterialien Matériaux'!A:A, 'Baumaterialien Matériaux'!F:F, "-", 0, 1)</f>
        <v>kg</v>
      </c>
      <c r="J152" s="649">
        <f t="shared" si="393"/>
        <v>1397.3760000000002</v>
      </c>
      <c r="K152" s="647">
        <f>0.015*1200</f>
        <v>18</v>
      </c>
      <c r="L152" s="643">
        <v>30</v>
      </c>
      <c r="M152" s="648">
        <f t="shared" si="386"/>
        <v>2.5043209730944676</v>
      </c>
      <c r="N152" s="720">
        <f>IFERROR(($J152*VLOOKUP($H152, 'Baumaterialien Matériaux'!$A$11:$AD$318, 26,FALSE)),0)/$G$1</f>
        <v>0.82214889931909851</v>
      </c>
      <c r="O152" s="720">
        <f>IFERROR(($J152*VLOOKUP($H152, 'Baumaterialien Matériaux'!$A$11:$AH$318, 33,FALSE)),0)/$G$1</f>
        <v>0.80213403847425147</v>
      </c>
      <c r="P152" s="720">
        <f t="shared" si="392"/>
        <v>0.85109346731010793</v>
      </c>
      <c r="Q152" s="720">
        <f>IFERROR(($J152*VLOOKUP($H152, 'Baumaterialien Matériaux'!$A$11:$AH$318, 27,FALSE)),0)/$G$1</f>
        <v>2.8944567991009459E-2</v>
      </c>
      <c r="R152" s="720">
        <f>IFERROR(($J152*VLOOKUP($H152, 'Baumaterialien Matériaux'!$A$11:$AH$318, 34,FALSE)),0)/$G$1</f>
        <v>5.1114875388378403E-3</v>
      </c>
      <c r="S152" s="720">
        <f>IFERROR((J152*VLOOKUP(H152, 'Baumaterialien Matériaux'!$A$11:$AD$318, 29,FALSE)),0)/$G$1</f>
        <v>0.25347025054538247</v>
      </c>
      <c r="T152" s="720">
        <f>S152*AJ152</f>
        <v>2.5347025054538249E-3</v>
      </c>
      <c r="U152" s="638">
        <v>0.01</v>
      </c>
      <c r="V152" s="638">
        <f t="shared" si="374"/>
        <v>2.5347025054538249E-3</v>
      </c>
      <c r="W152" s="638">
        <f t="shared" si="375"/>
        <v>0.25347025054538247</v>
      </c>
      <c r="Z152" s="638">
        <f t="shared" si="362"/>
        <v>30</v>
      </c>
      <c r="AA152" s="648" t="s">
        <v>3454</v>
      </c>
      <c r="AB152" t="str">
        <f>_xlfn.XLOOKUP($H152,'[1]Baumaterialien Matériaux'!$A:$A,'[1]Baumaterialien Matériaux'!AK:AK,0,0)</f>
        <v>gypsum</v>
      </c>
      <c r="AC152" t="str" cm="1">
        <f t="array" ref="AC152">_xlfn.SWITCH(I152,"kg"," ",0," ",_xlfn.XLOOKUP(H152, '[1]Baumaterialien Matériaux'!$A:$A, '[1]Baumaterialien Matériaux'!$AL:$AL, "-", 0, 1))</f>
        <v xml:space="preserve"> </v>
      </c>
      <c r="AD152" s="622" cm="1">
        <f t="array" ref="AD152">IFERROR(_xlfn.SWITCH(I152,"kg",1,"m3",AC152,AC152)*J152/(_xlfn.XLOOKUP(AA152,Métrés!A:A,Métrés!D:D,0)),0)</f>
        <v>7.1854868567197343</v>
      </c>
      <c r="AE152" s="1092">
        <f>IFERROR(N152*$G$1/(_xlfn.XLOOKUP($AA152,Métrés!$A:$A,Métrés!$D:$D,0)),0)</f>
        <v>3.8370499814883381</v>
      </c>
      <c r="AF152" s="1092">
        <f>IFERROR(O152*$G$1/(_xlfn.XLOOKUP($AA152,Métrés!$A:$A,Métrés!$D:$D,0)),0)</f>
        <v>3.7436386523509819</v>
      </c>
      <c r="AG152" s="1092">
        <f>IFERROR(Q152*$G$1/(_xlfn.XLOOKUP($AA152,Métrés!$A:$A,Métrés!$D:$D,0)),0)</f>
        <v>0.13508715290633103</v>
      </c>
      <c r="AH152" s="1092">
        <f>IFERROR(R152*$G$1/(_xlfn.XLOOKUP($AA152,Métrés!$A:$A,Métrés!$D:$D,0)),0)</f>
        <v>2.3855816364309515E-2</v>
      </c>
      <c r="AI152" s="1092">
        <f>IFERROR(S152*$G$1/(_xlfn.XLOOKUP($AA152,Métrés!$A:$A,Métrés!$D:$D,0)),0)</f>
        <v>1.1829706528446255</v>
      </c>
      <c r="AJ152" s="1030">
        <v>0.01</v>
      </c>
      <c r="AK152" s="1030">
        <f>IF(L152=60,0,T152)</f>
        <v>2.5347025054538249E-3</v>
      </c>
      <c r="AL152" s="1030">
        <f>IF(L152=60,0,S152)</f>
        <v>0.25347025054538247</v>
      </c>
      <c r="AM152" s="638" t="str">
        <f>IF(L152=$L$2, "Structure", IF(L152&gt;0,"Revêtement",0))</f>
        <v>Revêtement</v>
      </c>
      <c r="AN152" s="1032">
        <f>IF(AM152="Structure",N152,0)</f>
        <v>0</v>
      </c>
      <c r="AO152" s="1030">
        <f>IF(AM152="Structure",P152,0)</f>
        <v>0</v>
      </c>
      <c r="AP152" s="1030">
        <f>IF(AM152="Structure",Q152,0)</f>
        <v>0</v>
      </c>
      <c r="AQ152" s="1030">
        <f>IF(AM152="Structure",S152,0)</f>
        <v>0</v>
      </c>
      <c r="AR152" s="1033">
        <f>IF(AM152="Structure",T152,0)</f>
        <v>0</v>
      </c>
      <c r="AS152" s="1032">
        <f>IF($AM152="Insulation",N152,0)</f>
        <v>0</v>
      </c>
      <c r="AT152" s="1030">
        <f t="shared" si="387"/>
        <v>0</v>
      </c>
      <c r="AU152" s="1030">
        <f t="shared" si="387"/>
        <v>0</v>
      </c>
      <c r="AV152" s="1030">
        <f t="shared" si="388"/>
        <v>0</v>
      </c>
      <c r="AW152" s="1033">
        <f t="shared" si="388"/>
        <v>0</v>
      </c>
      <c r="AX152" s="1032">
        <f>IF($AM152="Revêtement",N152,0)</f>
        <v>0.82214889931909851</v>
      </c>
      <c r="AY152" s="1030">
        <f t="shared" si="389"/>
        <v>0.85109346731010793</v>
      </c>
      <c r="AZ152" s="1030">
        <f t="shared" si="389"/>
        <v>2.8944567991009459E-2</v>
      </c>
      <c r="BA152" s="1030">
        <f t="shared" si="390"/>
        <v>0.25347025054538247</v>
      </c>
      <c r="BB152" s="1033">
        <f t="shared" si="390"/>
        <v>2.5347025054538249E-3</v>
      </c>
      <c r="BC152" s="1032">
        <f>IF($AM152="Installation",N152,0)</f>
        <v>0</v>
      </c>
      <c r="BD152" s="1030">
        <f t="shared" si="391"/>
        <v>0</v>
      </c>
      <c r="BE152" s="1030">
        <f t="shared" si="391"/>
        <v>0</v>
      </c>
      <c r="BF152" s="1033">
        <f>IF($AM152="Installation",S152,0)</f>
        <v>0</v>
      </c>
      <c r="BG152" s="1032">
        <f>IF($AM152="Structure", IF($I152="kg",$J152,0), 0)</f>
        <v>0</v>
      </c>
      <c r="BH152" s="1030">
        <f>IF($AM152="Insulation", IF($I152="kg",$J152,0), 0)</f>
        <v>0</v>
      </c>
      <c r="BI152" s="1033">
        <f>IF($AM152="Revêtement", IF($I152="kg",$J152,0), 0)</f>
        <v>1397.3760000000002</v>
      </c>
      <c r="BJ152" s="1030">
        <f>_xlfn.XLOOKUP(H152, 'Baumaterialien Matériaux'!A:A, 'Baumaterialien Matériaux'!E:E, "-", 0, 1)</f>
        <v>1200</v>
      </c>
      <c r="BK152" s="1032">
        <f t="shared" si="356"/>
        <v>0</v>
      </c>
      <c r="BL152" s="1030">
        <f t="shared" si="357"/>
        <v>0</v>
      </c>
      <c r="BM152" s="1033">
        <f t="shared" si="358"/>
        <v>1.1644800000000002</v>
      </c>
      <c r="BN152" s="720"/>
      <c r="BO152" s="720"/>
    </row>
    <row r="153" spans="2:67">
      <c r="B153" s="1103"/>
      <c r="C153" s="1099"/>
      <c r="D153" s="478"/>
      <c r="E153" s="478"/>
      <c r="F153" s="479" t="s">
        <v>3048</v>
      </c>
      <c r="G153" s="479"/>
      <c r="H153" s="479"/>
      <c r="I153" s="460" t="s">
        <v>39</v>
      </c>
      <c r="J153" s="662">
        <v>116.84</v>
      </c>
      <c r="K153" s="663"/>
      <c r="L153" s="663"/>
      <c r="M153" s="664">
        <f>SUM(M154:M155)</f>
        <v>5.7893751671933185</v>
      </c>
      <c r="N153" s="664">
        <f t="shared" ref="N153:T153" si="394">SUM(N154:N155)</f>
        <v>2.3001048610652037</v>
      </c>
      <c r="O153" s="664">
        <f t="shared" ref="O153" si="395">SUM(O154:O155)</f>
        <v>1.0810100857186928</v>
      </c>
      <c r="P153" s="664">
        <f t="shared" si="394"/>
        <v>2.3541825407373134</v>
      </c>
      <c r="Q153" s="664">
        <f t="shared" si="394"/>
        <v>5.4077679672109476E-2</v>
      </c>
      <c r="R153" s="664">
        <f t="shared" ref="R153" si="396">SUM(R154:R155)</f>
        <v>8.9999961437606055E-3</v>
      </c>
      <c r="S153" s="664">
        <f t="shared" si="394"/>
        <v>0.18054703510279629</v>
      </c>
      <c r="T153" s="664">
        <f t="shared" si="394"/>
        <v>1.805470351027963E-3</v>
      </c>
      <c r="V153" s="638">
        <f t="shared" si="374"/>
        <v>1.805470351027963E-3</v>
      </c>
      <c r="W153" s="638">
        <f t="shared" si="375"/>
        <v>0.18054703510279629</v>
      </c>
      <c r="Y153" s="638">
        <f t="shared" si="269"/>
        <v>0</v>
      </c>
      <c r="Z153" s="638">
        <f t="shared" si="362"/>
        <v>0</v>
      </c>
      <c r="AA153" s="648" t="s">
        <v>3454</v>
      </c>
      <c r="AB153">
        <f>_xlfn.XLOOKUP($H153,'[1]Baumaterialien Matériaux'!$A:$A,'[1]Baumaterialien Matériaux'!AK:AK,0,0)</f>
        <v>0</v>
      </c>
      <c r="AC153" cm="1">
        <f t="array" ref="AC153">_xlfn.SWITCH(I153,"kg"," ",0," ",_xlfn.XLOOKUP(H153, '[1]Baumaterialien Matériaux'!$A:$A, '[1]Baumaterialien Matériaux'!$AL:$AL, "-", 0, 1))</f>
        <v>0</v>
      </c>
      <c r="AD153" s="622" cm="1">
        <f t="array" ref="AD153">IFERROR(_xlfn.SWITCH(I153,"kg",1,"m3",AC153,AC153)*J153/(_xlfn.XLOOKUP(AA153,Métrés!A:A,Métrés!D:D,0)),0)</f>
        <v>0</v>
      </c>
      <c r="AE153" s="1092">
        <f>IFERROR(N153*$G$1/(_xlfn.XLOOKUP($AA153,Métrés!$A:$A,Métrés!$D:$D,0)),0)</f>
        <v>10.734816189477149</v>
      </c>
      <c r="AF153" s="1092">
        <f>IFERROR(O153*$G$1/(_xlfn.XLOOKUP($AA153,Métrés!$A:$A,Métrés!$D:$D,0)),0)</f>
        <v>5.0451806635402523</v>
      </c>
      <c r="AG153" s="1092">
        <f>IFERROR(Q153*$G$1/(_xlfn.XLOOKUP($AA153,Métrés!$A:$A,Métrés!$D:$D,0)),0)</f>
        <v>0.25238586338393187</v>
      </c>
      <c r="AH153" s="1092">
        <f>IFERROR(R153*$G$1/(_xlfn.XLOOKUP($AA153,Métrés!$A:$A,Métrés!$D:$D,0)),0)</f>
        <v>4.2003869451643423E-2</v>
      </c>
      <c r="AI153" s="1092">
        <f>IFERROR(S153*$G$1/(_xlfn.XLOOKUP($AA153,Métrés!$A:$A,Métrés!$D:$D,0)),0)</f>
        <v>0.84263081574725396</v>
      </c>
      <c r="AJ153" s="1064"/>
      <c r="AK153" s="1064"/>
      <c r="AL153" s="1064"/>
      <c r="AM153" s="1021"/>
      <c r="AN153" s="1073"/>
      <c r="AO153" s="1064"/>
      <c r="AP153" s="1064"/>
      <c r="AQ153" s="1064"/>
      <c r="AR153" s="1074"/>
      <c r="AS153" s="1073"/>
      <c r="AT153" s="1064"/>
      <c r="AU153" s="1064"/>
      <c r="AV153" s="1064"/>
      <c r="AW153" s="1074"/>
      <c r="AX153" s="1073"/>
      <c r="AY153" s="1064"/>
      <c r="AZ153" s="1064"/>
      <c r="BA153" s="1064"/>
      <c r="BB153" s="1074"/>
      <c r="BC153" s="1073"/>
      <c r="BD153" s="1064"/>
      <c r="BE153" s="1064"/>
      <c r="BF153" s="1074"/>
      <c r="BG153" s="1073"/>
      <c r="BH153" s="1064"/>
      <c r="BI153" s="1074"/>
      <c r="BJ153" s="1078"/>
      <c r="BK153" s="1073"/>
      <c r="BL153" s="1064"/>
      <c r="BM153" s="1074"/>
      <c r="BN153" s="720">
        <f>IFERROR((J153*VLOOKUP(H153, 'Baumaterialien Matériaux'!$A$11:$AH$318, 32,FALSE))*($L$2/L153-1),0)/$G$1</f>
        <v>0</v>
      </c>
      <c r="BO153" s="720">
        <f>IFERROR((N153+Q153)*($L$2/L153-1),0)</f>
        <v>0</v>
      </c>
    </row>
    <row r="154" spans="2:67">
      <c r="B154" s="1103"/>
      <c r="C154" s="1099"/>
      <c r="D154" s="478"/>
      <c r="E154" s="478"/>
      <c r="F154" s="478" t="s">
        <v>3062</v>
      </c>
      <c r="G154" s="478" t="str">
        <f>_xlfn.XLOOKUP(H154, 'Baumaterialien Matériaux'!A:A, 'Baumaterialien Matériaux'!AD:AD, "-", 0, 1)</f>
        <v>Tôle d'acier, zinguée</v>
      </c>
      <c r="H154" s="892" t="s">
        <v>618</v>
      </c>
      <c r="I154" s="641" t="str">
        <f>_xlfn.XLOOKUP(H154, 'Baumaterialien Matériaux'!A:A, 'Baumaterialien Matériaux'!F:F, "-", 0, 1)</f>
        <v>kg</v>
      </c>
      <c r="J154" s="649">
        <f>$J$153*K154</f>
        <v>308.45760000000001</v>
      </c>
      <c r="K154" s="884">
        <v>2.64</v>
      </c>
      <c r="L154" s="643">
        <f>'Eléments de constr. inté. et ex'!N33</f>
        <v>30</v>
      </c>
      <c r="M154" s="648">
        <f t="shared" ref="M154:M155" si="397">SUM(N154:Q154)</f>
        <v>3.6479779084286381</v>
      </c>
      <c r="N154" s="720">
        <f>IFERROR(($J154*VLOOKUP($H154, 'Baumaterialien Matériaux'!$A$11:$AD$318, 26,FALSE)),0)/$G$1</f>
        <v>1.5259410590335165</v>
      </c>
      <c r="O154" s="720">
        <f>IFERROR(($J154*VLOOKUP($H154, 'Baumaterialien Matériaux'!$A$11:$AH$318, 33,FALSE)),0)/$G$1</f>
        <v>0.59134464203080583</v>
      </c>
      <c r="P154" s="720">
        <f>IFERROR((N154+Q154)*($L$2/L154-1),0)</f>
        <v>1.5283166331989162</v>
      </c>
      <c r="Q154" s="720">
        <f>IFERROR(($J154*VLOOKUP($H154, 'Baumaterialien Matériaux'!$A$11:$AH$318, 27,FALSE)),0)/$G$1</f>
        <v>2.3755741653996164E-3</v>
      </c>
      <c r="R154" s="720">
        <f>IFERROR(($J154*VLOOKUP($H154, 'Baumaterialien Matériaux'!$A$11:$AH$318, 34,FALSE)),0)/$G$1</f>
        <v>0</v>
      </c>
      <c r="S154" s="720">
        <f>IFERROR((J154*VLOOKUP(H154, 'Baumaterialien Matériaux'!$A$11:$AD$318, 29,FALSE)),0)/$G$1</f>
        <v>0</v>
      </c>
      <c r="T154" s="720">
        <f>S154*AJ154</f>
        <v>0</v>
      </c>
      <c r="V154" s="638">
        <f t="shared" si="374"/>
        <v>0</v>
      </c>
      <c r="W154" s="638">
        <f t="shared" si="375"/>
        <v>0</v>
      </c>
      <c r="Y154" s="638" t="str">
        <f t="shared" si="269"/>
        <v>Revêtement</v>
      </c>
      <c r="Z154" s="638">
        <f t="shared" si="362"/>
        <v>30</v>
      </c>
      <c r="AA154" s="648" t="s">
        <v>3454</v>
      </c>
      <c r="AB154" t="str">
        <f>_xlfn.XLOOKUP($H154,'[1]Baumaterialien Matériaux'!$A:$A,'[1]Baumaterialien Matériaux'!AK:AK,0,0)</f>
        <v>metal</v>
      </c>
      <c r="AC154" t="str" cm="1">
        <f t="array" ref="AC154">_xlfn.SWITCH(I154,"kg"," ",0," ",_xlfn.XLOOKUP(H154, '[1]Baumaterialien Matériaux'!$A:$A, '[1]Baumaterialien Matériaux'!$AL:$AL, "-", 0, 1))</f>
        <v xml:space="preserve"> </v>
      </c>
      <c r="AD154" s="622" cm="1">
        <f t="array" ref="AD154">IFERROR(_xlfn.SWITCH(I154,"kg",1,"m3",AC154,AC154)*J154/(_xlfn.XLOOKUP(AA154,Métrés!A:A,Métrés!D:D,0)),0)</f>
        <v>1.5861285943477725</v>
      </c>
      <c r="AE154" s="1092">
        <f>IFERROR(N154*$G$1/(_xlfn.XLOOKUP($AA154,Métrés!$A:$A,Métrés!$D:$D,0)),0)</f>
        <v>7.1217173886214988</v>
      </c>
      <c r="AF154" s="1092">
        <f>IFERROR(O154*$G$1/(_xlfn.XLOOKUP($AA154,Métrés!$A:$A,Métrés!$D:$D,0)),0)</f>
        <v>2.7598637541651239</v>
      </c>
      <c r="AG154" s="1092">
        <f>IFERROR(Q154*$G$1/(_xlfn.XLOOKUP($AA154,Métrés!$A:$A,Métrés!$D:$D,0)),0)</f>
        <v>1.1087038874490928E-2</v>
      </c>
      <c r="AH154" s="1092">
        <f>IFERROR(R154*$G$1/(_xlfn.XLOOKUP($AA154,Métrés!$A:$A,Métrés!$D:$D,0)),0)</f>
        <v>0</v>
      </c>
      <c r="AI154" s="1092">
        <f>IFERROR(S154*$G$1/(_xlfn.XLOOKUP($AA154,Métrés!$A:$A,Métrés!$D:$D,0)),0)</f>
        <v>0</v>
      </c>
      <c r="AJ154" s="1030"/>
      <c r="AK154" s="1030">
        <f>IF(L154=60,0,T154)</f>
        <v>0</v>
      </c>
      <c r="AL154" s="1030">
        <f>IF(L154=60,0,S154)</f>
        <v>0</v>
      </c>
      <c r="AM154" s="638" t="str">
        <f>IF(L154=$L$2, "Structure", IF(L154&gt;0,"Revêtement",0))</f>
        <v>Revêtement</v>
      </c>
      <c r="AN154" s="1032">
        <f>IF(AM154="Structure",N154,0)</f>
        <v>0</v>
      </c>
      <c r="AO154" s="1030">
        <f>IF(AM154="Structure",P154,0)</f>
        <v>0</v>
      </c>
      <c r="AP154" s="1030">
        <f>IF(AM154="Structure",Q154,0)</f>
        <v>0</v>
      </c>
      <c r="AQ154" s="1030">
        <f>IF(AM154="Structure",S154,0)</f>
        <v>0</v>
      </c>
      <c r="AR154" s="1033">
        <f>IF(AM154="Structure",T154,0)</f>
        <v>0</v>
      </c>
      <c r="AS154" s="1032">
        <f>IF($AM154="Insulation",N154,0)</f>
        <v>0</v>
      </c>
      <c r="AT154" s="1030">
        <f>IF($AM154="Insulation",P154,0)</f>
        <v>0</v>
      </c>
      <c r="AU154" s="1030">
        <f>IF($AM154="Insulation",Q154,0)</f>
        <v>0</v>
      </c>
      <c r="AV154" s="1030">
        <f>IF($AM154="Insulation",S154,0)</f>
        <v>0</v>
      </c>
      <c r="AW154" s="1033">
        <f>IF($AM154="Insulation",T154,0)</f>
        <v>0</v>
      </c>
      <c r="AX154" s="1032">
        <f>IF($AM154="Revêtement",N154,0)</f>
        <v>1.5259410590335165</v>
      </c>
      <c r="AY154" s="1030">
        <f>IF($AM154="Revêtement",P154,0)</f>
        <v>1.5283166331989162</v>
      </c>
      <c r="AZ154" s="1030">
        <f>IF($AM154="Revêtement",Q154,0)</f>
        <v>2.3755741653996164E-3</v>
      </c>
      <c r="BA154" s="1030">
        <f>IF($AM154="Revêtement",S154,0)</f>
        <v>0</v>
      </c>
      <c r="BB154" s="1033">
        <f>IF($AM154="Revêtement",T154,0)</f>
        <v>0</v>
      </c>
      <c r="BC154" s="1032">
        <f>IF($AM154="Installation",N154,0)</f>
        <v>0</v>
      </c>
      <c r="BD154" s="1030">
        <f>IF($AM154="Installation",P154,0)</f>
        <v>0</v>
      </c>
      <c r="BE154" s="1030">
        <f>IF($AM154="Installation",Q154,0)</f>
        <v>0</v>
      </c>
      <c r="BF154" s="1033">
        <f>IF($AM154="Installation",S154,0)</f>
        <v>0</v>
      </c>
      <c r="BG154" s="1032">
        <f>IF($AM154="Structure", IF($I154="kg",$J154,0), 0)</f>
        <v>0</v>
      </c>
      <c r="BH154" s="1030">
        <f>IF($AM154="Insulation", IF($I154="kg",$J154,0), 0)</f>
        <v>0</v>
      </c>
      <c r="BI154" s="1033">
        <f>IF($AM154="Revêtement", IF($I154="kg",$J154,0), 0)</f>
        <v>308.45760000000001</v>
      </c>
      <c r="BJ154" s="1030">
        <f>_xlfn.XLOOKUP(H154, 'Baumaterialien Matériaux'!A:A, 'Baumaterialien Matériaux'!E:E, "-", 0, 1)</f>
        <v>7850</v>
      </c>
      <c r="BK154" s="1032">
        <f t="shared" si="356"/>
        <v>0</v>
      </c>
      <c r="BL154" s="1030">
        <f t="shared" si="357"/>
        <v>0</v>
      </c>
      <c r="BM154" s="1033">
        <f t="shared" si="358"/>
        <v>3.9293961783439489E-2</v>
      </c>
      <c r="BN154" s="720">
        <f>IFERROR((J154*VLOOKUP(H154, 'Baumaterialien Matériaux'!$A$11:$AH$318, 32,FALSE))*($L$2/L154-1),0)/$G$1</f>
        <v>0.59134464203080583</v>
      </c>
      <c r="BO154" s="720">
        <f>IFERROR((N154+Q154)*($L$2/L154-1),0)</f>
        <v>1.5283166331989162</v>
      </c>
    </row>
    <row r="155" spans="2:67">
      <c r="B155" s="1103"/>
      <c r="C155" s="1099"/>
      <c r="D155" s="478"/>
      <c r="E155" s="478"/>
      <c r="F155" s="478" t="s">
        <v>3063</v>
      </c>
      <c r="G155" s="478" t="str">
        <f>_xlfn.XLOOKUP(H155, 'Baumaterialien Matériaux'!A:A, 'Baumaterialien Matériaux'!AD:AD, "-", 0, 1)</f>
        <v>Plaque de plâtre cartonnée</v>
      </c>
      <c r="H155" s="892" t="s">
        <v>107</v>
      </c>
      <c r="I155" s="641" t="str">
        <f>_xlfn.XLOOKUP(H155, 'Baumaterialien Matériaux'!A:A, 'Baumaterialien Matériaux'!F:F, "-", 0, 1)</f>
        <v>kg</v>
      </c>
      <c r="J155" s="649">
        <f>$J$153*K155</f>
        <v>2482.85</v>
      </c>
      <c r="K155" s="894">
        <f>0.025*850</f>
        <v>21.25</v>
      </c>
      <c r="L155" s="643">
        <f>'Eléments de constr. inté. et ex'!N34</f>
        <v>30</v>
      </c>
      <c r="M155" s="648">
        <f t="shared" si="397"/>
        <v>2.1413972587646808</v>
      </c>
      <c r="N155" s="720">
        <f>IFERROR(($J155*VLOOKUP($H155, 'Baumaterialien Matériaux'!$A$11:$AD$318, 26,FALSE)),0)/$G$1</f>
        <v>0.77416380203168722</v>
      </c>
      <c r="O155" s="720">
        <f>IFERROR(($J155*VLOOKUP($H155, 'Baumaterialien Matériaux'!$A$11:$AH$318, 33,FALSE)),0)/$G$1</f>
        <v>0.48966544368788695</v>
      </c>
      <c r="P155" s="720">
        <f t="shared" ref="P155" si="398">IFERROR((N155+Q155)*($L$2/L155-1),0)</f>
        <v>0.82586590753839706</v>
      </c>
      <c r="Q155" s="720">
        <f>IFERROR(($J155*VLOOKUP($H155, 'Baumaterialien Matériaux'!$A$11:$AH$318, 27,FALSE)),0)/$G$1</f>
        <v>5.170210550670986E-2</v>
      </c>
      <c r="R155" s="720">
        <f>IFERROR(($J155*VLOOKUP($H155, 'Baumaterialien Matériaux'!$A$11:$AH$318, 34,FALSE)),0)/$G$1</f>
        <v>8.9999961437606055E-3</v>
      </c>
      <c r="S155" s="720">
        <f>IFERROR((J155*VLOOKUP(H155, 'Baumaterialien Matériaux'!$A$11:$AD$318, 29,FALSE)),0)/$G$1</f>
        <v>0.18054703510279629</v>
      </c>
      <c r="T155" s="720">
        <f>S155*AJ155</f>
        <v>1.805470351027963E-3</v>
      </c>
      <c r="U155" s="638">
        <v>0.01</v>
      </c>
      <c r="V155" s="638">
        <f t="shared" si="374"/>
        <v>1.805470351027963E-3</v>
      </c>
      <c r="W155" s="638">
        <f t="shared" si="375"/>
        <v>0.18054703510279629</v>
      </c>
      <c r="Y155" s="638" t="str">
        <f t="shared" si="269"/>
        <v>Revêtement</v>
      </c>
      <c r="Z155" s="638">
        <f t="shared" si="362"/>
        <v>30</v>
      </c>
      <c r="AA155" s="648" t="s">
        <v>3454</v>
      </c>
      <c r="AB155" t="str">
        <f>_xlfn.XLOOKUP($H155,'[1]Baumaterialien Matériaux'!$A:$A,'[1]Baumaterialien Matériaux'!AK:AK,0,0)</f>
        <v>gypsum</v>
      </c>
      <c r="AC155" t="str" cm="1">
        <f t="array" ref="AC155">_xlfn.SWITCH(I155,"kg"," ",0," ",_xlfn.XLOOKUP(H155, '[1]Baumaterialien Matériaux'!$A:$A, '[1]Baumaterialien Matériaux'!$AL:$AL, "-", 0, 1))</f>
        <v xml:space="preserve"> </v>
      </c>
      <c r="AD155" s="622" cm="1">
        <f t="array" ref="AD155">IFERROR(_xlfn.SWITCH(I155,"kg",1,"m3",AC155,AC155)*J155/(_xlfn.XLOOKUP(AA155,Métrés!A:A,Métrés!D:D,0)),0)</f>
        <v>12.767133571928092</v>
      </c>
      <c r="AE155" s="1092">
        <f>IFERROR(N155*$G$1/(_xlfn.XLOOKUP($AA155,Métrés!$A:$A,Métrés!$D:$D,0)),0)</f>
        <v>3.6130988008556497</v>
      </c>
      <c r="AF155" s="1092">
        <f>IFERROR(O155*$G$1/(_xlfn.XLOOKUP($AA155,Métrés!$A:$A,Métrés!$D:$D,0)),0)</f>
        <v>2.2853169093751284</v>
      </c>
      <c r="AG155" s="1092">
        <f>IFERROR(Q155*$G$1/(_xlfn.XLOOKUP($AA155,Métrés!$A:$A,Métrés!$D:$D,0)),0)</f>
        <v>0.24129882450944096</v>
      </c>
      <c r="AH155" s="1092">
        <f>IFERROR(R155*$G$1/(_xlfn.XLOOKUP($AA155,Métrés!$A:$A,Métrés!$D:$D,0)),0)</f>
        <v>4.2003869451643423E-2</v>
      </c>
      <c r="AI155" s="1092">
        <f>IFERROR(S155*$G$1/(_xlfn.XLOOKUP($AA155,Métrés!$A:$A,Métrés!$D:$D,0)),0)</f>
        <v>0.84263081574725396</v>
      </c>
      <c r="AJ155" s="1030">
        <v>0.01</v>
      </c>
      <c r="AK155" s="1030">
        <f>IF(L155=60,0,T155)</f>
        <v>1.805470351027963E-3</v>
      </c>
      <c r="AL155" s="1030">
        <f>IF(L155=60,0,S155)</f>
        <v>0.18054703510279629</v>
      </c>
      <c r="AM155" s="638" t="str">
        <f>IF(L155=$L$2, "Structure", IF(L155&gt;0,"Revêtement",0))</f>
        <v>Revêtement</v>
      </c>
      <c r="AN155" s="1032">
        <f>IF(AM155="Structure",N155,0)</f>
        <v>0</v>
      </c>
      <c r="AO155" s="1030">
        <f>IF(AM155="Structure",P155,0)</f>
        <v>0</v>
      </c>
      <c r="AP155" s="1030">
        <f>IF(AM155="Structure",Q155,0)</f>
        <v>0</v>
      </c>
      <c r="AQ155" s="1030">
        <f>IF(AM155="Structure",S155,0)</f>
        <v>0</v>
      </c>
      <c r="AR155" s="1033">
        <f>IF(AM155="Structure",T155,0)</f>
        <v>0</v>
      </c>
      <c r="AS155" s="1032">
        <f>IF($AM155="Insulation",N155,0)</f>
        <v>0</v>
      </c>
      <c r="AT155" s="1030">
        <f>IF($AM155="Insulation",P155,0)</f>
        <v>0</v>
      </c>
      <c r="AU155" s="1030">
        <f>IF($AM155="Insulation",Q155,0)</f>
        <v>0</v>
      </c>
      <c r="AV155" s="1030">
        <f>IF($AM155="Insulation",S155,0)</f>
        <v>0</v>
      </c>
      <c r="AW155" s="1033">
        <f>IF($AM155="Insulation",T155,0)</f>
        <v>0</v>
      </c>
      <c r="AX155" s="1032">
        <f>IF($AM155="Revêtement",N155,0)</f>
        <v>0.77416380203168722</v>
      </c>
      <c r="AY155" s="1030">
        <f>IF($AM155="Revêtement",P155,0)</f>
        <v>0.82586590753839706</v>
      </c>
      <c r="AZ155" s="1030">
        <f>IF($AM155="Revêtement",Q155,0)</f>
        <v>5.170210550670986E-2</v>
      </c>
      <c r="BA155" s="1030">
        <f>IF($AM155="Revêtement",S155,0)</f>
        <v>0.18054703510279629</v>
      </c>
      <c r="BB155" s="1033">
        <f>IF($AM155="Revêtement",T155,0)</f>
        <v>1.805470351027963E-3</v>
      </c>
      <c r="BC155" s="1032">
        <f>IF($AM155="Installation",N155,0)</f>
        <v>0</v>
      </c>
      <c r="BD155" s="1030">
        <f>IF($AM155="Installation",P155,0)</f>
        <v>0</v>
      </c>
      <c r="BE155" s="1030">
        <f>IF($AM155="Installation",Q155,0)</f>
        <v>0</v>
      </c>
      <c r="BF155" s="1033">
        <f>IF($AM155="Installation",S155,0)</f>
        <v>0</v>
      </c>
      <c r="BG155" s="1032">
        <f>IF($AM155="Structure", IF($I155="kg",$J155,0), 0)</f>
        <v>0</v>
      </c>
      <c r="BH155" s="1030">
        <f>IF($AM155="Insulation", IF($I155="kg",$J155,0), 0)</f>
        <v>0</v>
      </c>
      <c r="BI155" s="1033">
        <f>IF($AM155="Revêtement", IF($I155="kg",$J155,0), 0)</f>
        <v>2482.85</v>
      </c>
      <c r="BJ155" s="1030">
        <f>_xlfn.XLOOKUP(H155, 'Baumaterialien Matériaux'!A:A, 'Baumaterialien Matériaux'!E:E, "-", 0, 1)</f>
        <v>850</v>
      </c>
      <c r="BK155" s="1032">
        <f t="shared" si="356"/>
        <v>0</v>
      </c>
      <c r="BL155" s="1030">
        <f t="shared" si="357"/>
        <v>0</v>
      </c>
      <c r="BM155" s="1033">
        <f t="shared" si="358"/>
        <v>2.9209999999999998</v>
      </c>
    </row>
    <row r="156" spans="2:67">
      <c r="B156" s="1103"/>
      <c r="C156" s="1099"/>
      <c r="D156" s="478"/>
      <c r="E156" s="478"/>
      <c r="F156" s="479" t="s">
        <v>3049</v>
      </c>
      <c r="G156" s="479"/>
      <c r="H156" s="479"/>
      <c r="I156" s="460" t="s">
        <v>39</v>
      </c>
      <c r="J156" s="662"/>
      <c r="K156" s="663"/>
      <c r="L156" s="663"/>
      <c r="M156" s="664">
        <f>SUM(M157:M158)</f>
        <v>0.27672525946982218</v>
      </c>
      <c r="N156" s="664">
        <f t="shared" ref="N156:T156" si="399">SUM(N157:N158)</f>
        <v>9.5446883056785878E-2</v>
      </c>
      <c r="O156" s="664">
        <f t="shared" ref="O156" si="400">SUM(O157:O158)</f>
        <v>3.0401599788457721E-2</v>
      </c>
      <c r="P156" s="664">
        <f t="shared" si="399"/>
        <v>0.12316182984068222</v>
      </c>
      <c r="Q156" s="664">
        <f t="shared" si="399"/>
        <v>2.7714946783896341E-2</v>
      </c>
      <c r="R156" s="664">
        <f t="shared" ref="R156" si="401">SUM(R157:R158)</f>
        <v>5.1470615455807495E-3</v>
      </c>
      <c r="S156" s="664">
        <f t="shared" si="399"/>
        <v>1.1691653996165796</v>
      </c>
      <c r="T156" s="664">
        <f t="shared" si="399"/>
        <v>1.1691653996165797E-2</v>
      </c>
      <c r="V156" s="638">
        <f t="shared" si="374"/>
        <v>1.1691653996165797E-2</v>
      </c>
      <c r="W156" s="638">
        <f t="shared" si="375"/>
        <v>1.1691653996165796</v>
      </c>
      <c r="Y156" s="638">
        <f t="shared" si="269"/>
        <v>0</v>
      </c>
      <c r="Z156" s="638">
        <f t="shared" si="362"/>
        <v>0</v>
      </c>
      <c r="AA156" s="648" t="s">
        <v>3454</v>
      </c>
      <c r="AB156">
        <f>_xlfn.XLOOKUP($H156,'[1]Baumaterialien Matériaux'!$A:$A,'[1]Baumaterialien Matériaux'!AK:AK,0,0)</f>
        <v>0</v>
      </c>
      <c r="AC156" cm="1">
        <f t="array" ref="AC156">_xlfn.SWITCH(I156,"kg"," ",0," ",_xlfn.XLOOKUP(H156, '[1]Baumaterialien Matériaux'!$A:$A, '[1]Baumaterialien Matériaux'!$AL:$AL, "-", 0, 1))</f>
        <v>0</v>
      </c>
      <c r="AD156" s="622" cm="1">
        <f t="array" ref="AD156">IFERROR(_xlfn.SWITCH(I156,"kg",1,"m3",AC156,AC156)*J156/(_xlfn.XLOOKUP(AA156,Métrés!A:A,Métrés!D:D,0)),0)</f>
        <v>0</v>
      </c>
      <c r="AE156" s="1092">
        <f>IFERROR(N156*$G$1/(_xlfn.XLOOKUP($AA156,Métrés!$A:$A,Métrés!$D:$D,0)),0)</f>
        <v>0.44546001480932984</v>
      </c>
      <c r="AF156" s="1092">
        <f>IFERROR(O156*$G$1/(_xlfn.XLOOKUP($AA156,Métrés!$A:$A,Métrés!$D:$D,0)),0)</f>
        <v>0.14188726397630505</v>
      </c>
      <c r="AG156" s="1092">
        <f>IFERROR(Q156*$G$1/(_xlfn.XLOOKUP($AA156,Métrés!$A:$A,Métrés!$D:$D,0)),0)</f>
        <v>0.12934838948537578</v>
      </c>
      <c r="AH156" s="1092">
        <f>IFERROR(R156*$G$1/(_xlfn.XLOOKUP($AA156,Métrés!$A:$A,Métrés!$D:$D,0)),0)</f>
        <v>2.4021843761569787E-2</v>
      </c>
      <c r="AI156" s="1092">
        <f>IFERROR(S156*$G$1/(_xlfn.XLOOKUP($AA156,Métrés!$A:$A,Métrés!$D:$D,0)),0)</f>
        <v>5.4566102060965065</v>
      </c>
      <c r="AJ156" s="1064"/>
      <c r="AK156" s="1064"/>
      <c r="AL156" s="1064"/>
      <c r="AM156" s="1021"/>
      <c r="AN156" s="1073"/>
      <c r="AO156" s="1064"/>
      <c r="AP156" s="1064"/>
      <c r="AQ156" s="1064"/>
      <c r="AR156" s="1074"/>
      <c r="AS156" s="1073"/>
      <c r="AT156" s="1064"/>
      <c r="AU156" s="1064"/>
      <c r="AV156" s="1064"/>
      <c r="AW156" s="1074"/>
      <c r="AX156" s="1073"/>
      <c r="AY156" s="1064"/>
      <c r="AZ156" s="1064"/>
      <c r="BA156" s="1064"/>
      <c r="BB156" s="1074"/>
      <c r="BC156" s="1073"/>
      <c r="BD156" s="1064"/>
      <c r="BE156" s="1064"/>
      <c r="BF156" s="1074"/>
      <c r="BG156" s="1073"/>
      <c r="BH156" s="1064"/>
      <c r="BI156" s="1074"/>
      <c r="BJ156" s="1078"/>
      <c r="BK156" s="1073"/>
      <c r="BL156" s="1064"/>
      <c r="BM156" s="1074"/>
    </row>
    <row r="157" spans="2:67">
      <c r="B157" s="1103"/>
      <c r="C157" s="1099"/>
      <c r="D157" s="478"/>
      <c r="E157" s="478"/>
      <c r="F157" s="478" t="s">
        <v>3050</v>
      </c>
      <c r="G157" s="478" t="str">
        <f>_xlfn.XLOOKUP(H157, 'Baumaterialien Matériaux'!A:A, 'Baumaterialien Matériaux'!AD:AD, "-", 0, 1)</f>
        <v>Bois massif épicéa / sapin / mélèze, séché en cellule, raboté</v>
      </c>
      <c r="H157" s="875" t="s">
        <v>129</v>
      </c>
      <c r="I157" s="641" t="str">
        <f>_xlfn.XLOOKUP(H157, 'Baumaterialien Matériaux'!A:A, 'Baumaterialien Matériaux'!F:F, "-", 0, 1)</f>
        <v>kg</v>
      </c>
      <c r="J157" s="649">
        <f>465*1.38</f>
        <v>641.69999999999993</v>
      </c>
      <c r="K157" s="647"/>
      <c r="L157" s="643">
        <v>30</v>
      </c>
      <c r="M157" s="648">
        <f t="shared" ref="M157:M158" si="402">SUM(N157:Q157)</f>
        <v>0.27672525946982218</v>
      </c>
      <c r="N157" s="720">
        <f>IFERROR(($J157*VLOOKUP($H157, 'Baumaterialien Matériaux'!$A$11:$AD$318, 26,FALSE)),0)/$G$1</f>
        <v>9.5446883056785878E-2</v>
      </c>
      <c r="O157" s="720">
        <f>IFERROR(($J157*VLOOKUP($H157, 'Baumaterialien Matériaux'!$A$11:$AH$318, 33,FALSE)),0)/$G$1</f>
        <v>3.0401599788457721E-2</v>
      </c>
      <c r="P157" s="720">
        <f>IFERROR((N157+Q157)*($L$2/L157-1),0)</f>
        <v>0.12316182984068222</v>
      </c>
      <c r="Q157" s="720">
        <f>IFERROR(($J157*VLOOKUP($H157, 'Baumaterialien Matériaux'!$A$11:$AH$318, 27,FALSE)),0)/$G$1</f>
        <v>2.7714946783896341E-2</v>
      </c>
      <c r="R157" s="720">
        <f>IFERROR(($J157*VLOOKUP($H157, 'Baumaterialien Matériaux'!$A$11:$AH$318, 34,FALSE)),0)/$G$1</f>
        <v>5.1470615455807495E-3</v>
      </c>
      <c r="S157" s="720">
        <f>IFERROR((J157*VLOOKUP(H157, 'Baumaterialien Matériaux'!$A$11:$AD$318, 29,FALSE)),0)/$G$1</f>
        <v>1.1691653996165796</v>
      </c>
      <c r="T157" s="720">
        <f>S157*AJ157</f>
        <v>1.1691653996165797E-2</v>
      </c>
      <c r="U157" s="638">
        <v>0.01</v>
      </c>
      <c r="V157" s="638">
        <f t="shared" si="374"/>
        <v>1.1691653996165797E-2</v>
      </c>
      <c r="W157" s="638">
        <f t="shared" si="375"/>
        <v>1.1691653996165796</v>
      </c>
      <c r="Y157" s="638" t="str">
        <f t="shared" si="269"/>
        <v>Revêtement</v>
      </c>
      <c r="Z157" s="638">
        <f t="shared" si="362"/>
        <v>30</v>
      </c>
      <c r="AA157" s="648" t="s">
        <v>3454</v>
      </c>
      <c r="AB157" t="str">
        <f>_xlfn.XLOOKUP($H157,'[1]Baumaterialien Matériaux'!$A:$A,'[1]Baumaterialien Matériaux'!AK:AK,0,0)</f>
        <v>timber</v>
      </c>
      <c r="AC157" t="str" cm="1">
        <f t="array" ref="AC157">_xlfn.SWITCH(I157,"kg"," ",0," ",_xlfn.XLOOKUP(H157, '[1]Baumaterialien Matériaux'!$A:$A, '[1]Baumaterialien Matériaux'!$AL:$AL, "-", 0, 1))</f>
        <v xml:space="preserve"> </v>
      </c>
      <c r="AD157" s="622" cm="1">
        <f t="array" ref="AD157">IFERROR(_xlfn.SWITCH(I157,"kg",1,"m3",AC157,AC157)*J157/(_xlfn.XLOOKUP(AA157,Métrés!A:A,Métrés!D:D,0)),0)</f>
        <v>3.2997038134024432</v>
      </c>
      <c r="AE157" s="1092">
        <f>IFERROR(N157*$G$1/(_xlfn.XLOOKUP($AA157,Métrés!$A:$A,Métrés!$D:$D,0)),0)</f>
        <v>0.44546001480932984</v>
      </c>
      <c r="AF157" s="1092">
        <f>IFERROR(O157*$G$1/(_xlfn.XLOOKUP($AA157,Métrés!$A:$A,Métrés!$D:$D,0)),0)</f>
        <v>0.14188726397630505</v>
      </c>
      <c r="AG157" s="1092">
        <f>IFERROR(Q157*$G$1/(_xlfn.XLOOKUP($AA157,Métrés!$A:$A,Métrés!$D:$D,0)),0)</f>
        <v>0.12934838948537578</v>
      </c>
      <c r="AH157" s="1092">
        <f>IFERROR(R157*$G$1/(_xlfn.XLOOKUP($AA157,Métrés!$A:$A,Métrés!$D:$D,0)),0)</f>
        <v>2.4021843761569787E-2</v>
      </c>
      <c r="AI157" s="1092">
        <f>IFERROR(S157*$G$1/(_xlfn.XLOOKUP($AA157,Métrés!$A:$A,Métrés!$D:$D,0)),0)</f>
        <v>5.4566102060965065</v>
      </c>
      <c r="AJ157" s="1030">
        <v>0.01</v>
      </c>
      <c r="AK157" s="1030">
        <f>IF(L157=60,0,T157)</f>
        <v>1.1691653996165797E-2</v>
      </c>
      <c r="AL157" s="1030">
        <f>IF(L157=60,0,S157)</f>
        <v>1.1691653996165796</v>
      </c>
      <c r="AM157" s="638" t="str">
        <f>IF(L157=$L$2, "Structure", IF(L157&gt;0,"Revêtement",0))</f>
        <v>Revêtement</v>
      </c>
      <c r="AN157" s="1032">
        <f>IF(AM157="Structure",N157,0)</f>
        <v>0</v>
      </c>
      <c r="AO157" s="1030">
        <f>IF(AM157="Structure",P157,0)</f>
        <v>0</v>
      </c>
      <c r="AP157" s="1030">
        <f>IF(AM157="Structure",Q157,0)</f>
        <v>0</v>
      </c>
      <c r="AQ157" s="1030">
        <f>IF(AM157="Structure",S157,0)</f>
        <v>0</v>
      </c>
      <c r="AR157" s="1033">
        <f>IF(AM157="Structure",T157,0)</f>
        <v>0</v>
      </c>
      <c r="AS157" s="1032">
        <f>IF($AM157="Insulation",N157,0)</f>
        <v>0</v>
      </c>
      <c r="AT157" s="1030">
        <f>IF($AM157="Insulation",P157,0)</f>
        <v>0</v>
      </c>
      <c r="AU157" s="1030">
        <f>IF($AM157="Insulation",Q157,0)</f>
        <v>0</v>
      </c>
      <c r="AV157" s="1030">
        <f>IF($AM157="Insulation",S157,0)</f>
        <v>0</v>
      </c>
      <c r="AW157" s="1033">
        <f>IF($AM157="Insulation",T157,0)</f>
        <v>0</v>
      </c>
      <c r="AX157" s="1032">
        <f>IF($AM157="Revêtement",N157,0)</f>
        <v>9.5446883056785878E-2</v>
      </c>
      <c r="AY157" s="1030">
        <f>IF($AM157="Revêtement",P157,0)</f>
        <v>0.12316182984068222</v>
      </c>
      <c r="AZ157" s="1030">
        <f>IF($AM157="Revêtement",Q157,0)</f>
        <v>2.7714946783896341E-2</v>
      </c>
      <c r="BA157" s="1030">
        <f>IF($AM157="Revêtement",S157,0)</f>
        <v>1.1691653996165796</v>
      </c>
      <c r="BB157" s="1033">
        <f>IF($AM157="Revêtement",T157,0)</f>
        <v>1.1691653996165797E-2</v>
      </c>
      <c r="BC157" s="1032">
        <f>IF($AM157="Installation",N157,0)</f>
        <v>0</v>
      </c>
      <c r="BD157" s="1030">
        <f>IF($AM157="Installation",P157,0)</f>
        <v>0</v>
      </c>
      <c r="BE157" s="1030">
        <f>IF($AM157="Installation",Q157,0)</f>
        <v>0</v>
      </c>
      <c r="BF157" s="1033">
        <f>IF($AM157="Installation",S157,0)</f>
        <v>0</v>
      </c>
      <c r="BG157" s="1032">
        <f>IF($AM157="Structure", IF($I157="kg",$J157,0), 0)</f>
        <v>0</v>
      </c>
      <c r="BH157" s="1030">
        <f>IF($AM157="Insulation", IF($I157="kg",$J157,0), 0)</f>
        <v>0</v>
      </c>
      <c r="BI157" s="1033">
        <f>IF($AM157="Revêtement", IF($I157="kg",$J157,0), 0)</f>
        <v>641.69999999999993</v>
      </c>
      <c r="BJ157" s="1030">
        <f>_xlfn.XLOOKUP(H157, 'Baumaterialien Matériaux'!A:A, 'Baumaterialien Matériaux'!E:E, "-", 0, 1)</f>
        <v>465</v>
      </c>
      <c r="BK157" s="1032">
        <f t="shared" si="356"/>
        <v>0</v>
      </c>
      <c r="BL157" s="1030">
        <f t="shared" si="357"/>
        <v>0</v>
      </c>
      <c r="BM157" s="1033">
        <f t="shared" si="358"/>
        <v>1.38</v>
      </c>
    </row>
    <row r="158" spans="2:67">
      <c r="B158" s="1103"/>
      <c r="C158" s="1099"/>
      <c r="D158" s="478"/>
      <c r="E158" s="478"/>
      <c r="F158" s="478" t="s">
        <v>2989</v>
      </c>
      <c r="G158" s="478" t="str">
        <f>_xlfn.XLOOKUP(H158, 'Baumaterialien Matériaux'!A:A, 'Baumaterialien Matériaux'!AD:AD, "-", 0, 1)</f>
        <v>Tôle d'acier, zinguée</v>
      </c>
      <c r="H158" s="892" t="s">
        <v>618</v>
      </c>
      <c r="I158" s="641" t="str">
        <f>_xlfn.XLOOKUP(H158, 'Baumaterialien Matériaux'!A:A, 'Baumaterialien Matériaux'!F:F, "-", 0, 1)</f>
        <v>kg</v>
      </c>
      <c r="J158" s="649"/>
      <c r="K158" s="879"/>
      <c r="L158" s="643">
        <v>30</v>
      </c>
      <c r="M158" s="648">
        <f t="shared" si="402"/>
        <v>0</v>
      </c>
      <c r="N158" s="720">
        <f>IFERROR(($J158*VLOOKUP($H158, 'Baumaterialien Matériaux'!$A$11:$AD$318, 26,FALSE)),0)/$G$1</f>
        <v>0</v>
      </c>
      <c r="O158" s="720">
        <f>IFERROR(($J158*VLOOKUP($H158, 'Baumaterialien Matériaux'!$A$11:$AH$318, 33,FALSE)),0)/$G$1</f>
        <v>0</v>
      </c>
      <c r="P158" s="720">
        <f>IFERROR((N158+Q158)*($L$2/L158-1),0)</f>
        <v>0</v>
      </c>
      <c r="Q158" s="720">
        <f>IFERROR(($J158*VLOOKUP($H158, 'Baumaterialien Matériaux'!$A$11:$AH$318, 27,FALSE)),0)/$G$1</f>
        <v>0</v>
      </c>
      <c r="R158" s="720">
        <f>IFERROR(($J158*VLOOKUP($H158, 'Baumaterialien Matériaux'!$A$11:$AH$318, 34,FALSE)),0)/$G$1</f>
        <v>0</v>
      </c>
      <c r="S158" s="720">
        <f>IFERROR((J158*VLOOKUP(H158, 'Baumaterialien Matériaux'!$A$11:$AD$318, 29,FALSE)),0)/$G$1</f>
        <v>0</v>
      </c>
      <c r="T158" s="720">
        <f>S158*AJ158</f>
        <v>0</v>
      </c>
      <c r="V158" s="638">
        <f t="shared" si="374"/>
        <v>0</v>
      </c>
      <c r="W158" s="638">
        <f t="shared" si="375"/>
        <v>0</v>
      </c>
      <c r="Z158" s="638">
        <f t="shared" si="362"/>
        <v>30</v>
      </c>
      <c r="AA158" s="648" t="s">
        <v>3454</v>
      </c>
      <c r="AB158" t="str">
        <f>_xlfn.XLOOKUP($H158,'[1]Baumaterialien Matériaux'!$A:$A,'[1]Baumaterialien Matériaux'!AK:AK,0,0)</f>
        <v>metal</v>
      </c>
      <c r="AC158" t="str" cm="1">
        <f t="array" ref="AC158">_xlfn.SWITCH(I158,"kg"," ",0," ",_xlfn.XLOOKUP(H158, '[1]Baumaterialien Matériaux'!$A:$A, '[1]Baumaterialien Matériaux'!$AL:$AL, "-", 0, 1))</f>
        <v xml:space="preserve"> </v>
      </c>
      <c r="AD158" s="622" cm="1">
        <f t="array" ref="AD158">IFERROR(_xlfn.SWITCH(I158,"kg",1,"m3",AC158,AC158)*J158/(_xlfn.XLOOKUP(AA158,Métrés!A:A,Métrés!D:D,0)),0)</f>
        <v>0</v>
      </c>
      <c r="AE158" s="1092">
        <f>IFERROR(N158*$G$1/(_xlfn.XLOOKUP($AA158,Métrés!$A:$A,Métrés!$D:$D,0)),0)</f>
        <v>0</v>
      </c>
      <c r="AF158" s="1092">
        <f>IFERROR(O158*$G$1/(_xlfn.XLOOKUP($AA158,Métrés!$A:$A,Métrés!$D:$D,0)),0)</f>
        <v>0</v>
      </c>
      <c r="AG158" s="1092">
        <f>IFERROR(Q158*$G$1/(_xlfn.XLOOKUP($AA158,Métrés!$A:$A,Métrés!$D:$D,0)),0)</f>
        <v>0</v>
      </c>
      <c r="AH158" s="1092">
        <f>IFERROR(R158*$G$1/(_xlfn.XLOOKUP($AA158,Métrés!$A:$A,Métrés!$D:$D,0)),0)</f>
        <v>0</v>
      </c>
      <c r="AI158" s="1092">
        <f>IFERROR(S158*$G$1/(_xlfn.XLOOKUP($AA158,Métrés!$A:$A,Métrés!$D:$D,0)),0)</f>
        <v>0</v>
      </c>
      <c r="AJ158" s="1030"/>
      <c r="AK158" s="1030">
        <f>IF(L158=60,0,T158)</f>
        <v>0</v>
      </c>
      <c r="AL158" s="1030">
        <f>IF(L158=60,0,S158)</f>
        <v>0</v>
      </c>
      <c r="AM158" s="638" t="str">
        <f>IF(L158=$L$2, "Structure", IF(L158&gt;0,"Revêtement",0))</f>
        <v>Revêtement</v>
      </c>
      <c r="AN158" s="1032">
        <f>IF(AM158="Structure",N158,0)</f>
        <v>0</v>
      </c>
      <c r="AO158" s="1030">
        <f>IF(AM158="Structure",P158,0)</f>
        <v>0</v>
      </c>
      <c r="AP158" s="1030">
        <f>IF(AM158="Structure",Q158,0)</f>
        <v>0</v>
      </c>
      <c r="AQ158" s="1030">
        <f>IF(AM158="Structure",S158,0)</f>
        <v>0</v>
      </c>
      <c r="AR158" s="1033">
        <f>IF(AM158="Structure",T158,0)</f>
        <v>0</v>
      </c>
      <c r="AS158" s="1032">
        <f>IF($AM158="Insulation",N158,0)</f>
        <v>0</v>
      </c>
      <c r="AT158" s="1030">
        <f>IF($AM158="Insulation",P158,0)</f>
        <v>0</v>
      </c>
      <c r="AU158" s="1030">
        <f>IF($AM158="Insulation",Q158,0)</f>
        <v>0</v>
      </c>
      <c r="AV158" s="1030">
        <f>IF($AM158="Insulation",S158,0)</f>
        <v>0</v>
      </c>
      <c r="AW158" s="1033">
        <f>IF($AM158="Insulation",T158,0)</f>
        <v>0</v>
      </c>
      <c r="AX158" s="1032">
        <f>IF($AM158="Revêtement",N158,0)</f>
        <v>0</v>
      </c>
      <c r="AY158" s="1030">
        <f>IF($AM158="Revêtement",P158,0)</f>
        <v>0</v>
      </c>
      <c r="AZ158" s="1030">
        <f>IF($AM158="Revêtement",Q158,0)</f>
        <v>0</v>
      </c>
      <c r="BA158" s="1030">
        <f>IF($AM158="Revêtement",S158,0)</f>
        <v>0</v>
      </c>
      <c r="BB158" s="1033">
        <f>IF($AM158="Revêtement",T158,0)</f>
        <v>0</v>
      </c>
      <c r="BC158" s="1032">
        <f>IF($AM158="Installation",N158,0)</f>
        <v>0</v>
      </c>
      <c r="BD158" s="1030">
        <f>IF($AM158="Installation",P158,0)</f>
        <v>0</v>
      </c>
      <c r="BE158" s="1030">
        <f>IF($AM158="Installation",Q158,0)</f>
        <v>0</v>
      </c>
      <c r="BF158" s="1033">
        <f>IF($AM158="Installation",S158,0)</f>
        <v>0</v>
      </c>
      <c r="BG158" s="1032">
        <f>IF($AM158="Structure", IF($I158="kg",$J158,0), 0)</f>
        <v>0</v>
      </c>
      <c r="BH158" s="1030">
        <f>IF($AM158="Insulation", IF($I158="kg",$J158,0), 0)</f>
        <v>0</v>
      </c>
      <c r="BI158" s="1033">
        <f>IF($AM158="Revêtement", IF($I158="kg",$J158,0), 0)</f>
        <v>0</v>
      </c>
      <c r="BJ158" s="1030">
        <f>_xlfn.XLOOKUP(H158, 'Baumaterialien Matériaux'!A:A, 'Baumaterialien Matériaux'!E:E, "-", 0, 1)</f>
        <v>7850</v>
      </c>
      <c r="BK158" s="1032">
        <f t="shared" si="356"/>
        <v>0</v>
      </c>
      <c r="BL158" s="1030">
        <f t="shared" si="357"/>
        <v>0</v>
      </c>
      <c r="BM158" s="1033">
        <f t="shared" si="358"/>
        <v>0</v>
      </c>
    </row>
    <row r="159" spans="2:67">
      <c r="B159" s="1103"/>
      <c r="C159" s="1097" t="s">
        <v>136</v>
      </c>
      <c r="D159" s="473" t="s">
        <v>137</v>
      </c>
      <c r="E159" s="473"/>
      <c r="F159" s="473"/>
      <c r="G159" s="473"/>
      <c r="H159" s="473"/>
      <c r="I159" s="463"/>
      <c r="J159" s="654"/>
      <c r="K159" s="652"/>
      <c r="L159" s="652"/>
      <c r="M159" s="653">
        <f ca="1">M160+M169+M178</f>
        <v>116.57617147440558</v>
      </c>
      <c r="N159" s="653">
        <f>N160+N169+N178</f>
        <v>88.056229492518909</v>
      </c>
      <c r="O159" s="653">
        <f>O160+O169+O178</f>
        <v>21.472142315065778</v>
      </c>
      <c r="P159" s="653">
        <f t="shared" ref="P159:Q159" ca="1" si="403">P160+P169+P178</f>
        <v>0</v>
      </c>
      <c r="Q159" s="653">
        <f t="shared" si="403"/>
        <v>7.0477996668209162</v>
      </c>
      <c r="R159" s="653">
        <f t="shared" ref="R159" si="404">R160+R169+R178</f>
        <v>2.1657320376368965</v>
      </c>
      <c r="S159" s="653">
        <f>S160+S169+S178</f>
        <v>38.501853266051143</v>
      </c>
      <c r="T159" s="653">
        <f>T160+T169+T178</f>
        <v>-10.010481849173297</v>
      </c>
      <c r="V159" s="638">
        <f t="shared" si="374"/>
        <v>-10.010481849173297</v>
      </c>
      <c r="W159" s="638">
        <f t="shared" si="375"/>
        <v>38.501853266051143</v>
      </c>
      <c r="Y159" s="638">
        <f t="shared" si="269"/>
        <v>0</v>
      </c>
      <c r="Z159" s="638">
        <f t="shared" si="362"/>
        <v>0</v>
      </c>
      <c r="AA159" s="648"/>
      <c r="AB159">
        <f>_xlfn.XLOOKUP($H159,'[1]Baumaterialien Matériaux'!$A:$A,'[1]Baumaterialien Matériaux'!AK:AK,0,0)</f>
        <v>0</v>
      </c>
      <c r="AC159" t="str" cm="1">
        <f t="array" ref="AC159">_xlfn.SWITCH(I159,"kg"," ",0," ",_xlfn.XLOOKUP(H159, '[1]Baumaterialien Matériaux'!$A:$A, '[1]Baumaterialien Matériaux'!$AL:$AL, "-", 0, 1))</f>
        <v xml:space="preserve"> </v>
      </c>
      <c r="AD159" s="622" cm="1">
        <f t="array" ref="AD159">IFERROR(_xlfn.SWITCH(I159,"kg",1,"m3",AC159,AC159)*J159/(_xlfn.XLOOKUP(AA159,Métrés!A:A,Métrés!D:D,0)),0)</f>
        <v>0</v>
      </c>
      <c r="AE159" s="1092">
        <f>IFERROR(N159*$G$1/(_xlfn.XLOOKUP($AA159,Métrés!$A:$A,Métrés!$D:$D,0)),0)</f>
        <v>0</v>
      </c>
      <c r="AF159" s="1092">
        <f>IFERROR(O159*$G$1/(_xlfn.XLOOKUP($AA159,Métrés!$A:$A,Métrés!$D:$D,0)),0)</f>
        <v>0</v>
      </c>
      <c r="AG159" s="1092">
        <f>IFERROR(Q159*$G$1/(_xlfn.XLOOKUP($AA159,Métrés!$A:$A,Métrés!$D:$D,0)),0)</f>
        <v>0</v>
      </c>
      <c r="AH159" s="1092">
        <f>IFERROR(R159*$G$1/(_xlfn.XLOOKUP($AA159,Métrés!$A:$A,Métrés!$D:$D,0)),0)</f>
        <v>0</v>
      </c>
      <c r="AI159" s="1092">
        <f>IFERROR(S159*$G$1/(_xlfn.XLOOKUP($AA159,Métrés!$A:$A,Métrés!$D:$D,0)),0)</f>
        <v>0</v>
      </c>
      <c r="AJ159" s="1063"/>
      <c r="AK159" s="1063"/>
      <c r="AL159" s="1063"/>
      <c r="AM159" s="1020"/>
      <c r="AN159" s="1071"/>
      <c r="AO159" s="1063"/>
      <c r="AP159" s="1063"/>
      <c r="AQ159" s="1063"/>
      <c r="AR159" s="1072"/>
      <c r="AS159" s="1071"/>
      <c r="AT159" s="1063"/>
      <c r="AU159" s="1063"/>
      <c r="AV159" s="1063"/>
      <c r="AW159" s="1072"/>
      <c r="AX159" s="1071"/>
      <c r="AY159" s="1063"/>
      <c r="AZ159" s="1063"/>
      <c r="BA159" s="1063"/>
      <c r="BB159" s="1072"/>
      <c r="BC159" s="1071"/>
      <c r="BD159" s="1063"/>
      <c r="BE159" s="1063"/>
      <c r="BF159" s="1072"/>
      <c r="BG159" s="1071"/>
      <c r="BH159" s="1063"/>
      <c r="BI159" s="1072"/>
      <c r="BJ159" s="1077"/>
      <c r="BK159" s="1071"/>
      <c r="BL159" s="1063"/>
      <c r="BM159" s="1072"/>
    </row>
    <row r="160" spans="2:67">
      <c r="B160" s="1103"/>
      <c r="C160" s="1099"/>
      <c r="D160" s="478" t="s">
        <v>2979</v>
      </c>
      <c r="E160" s="479" t="str">
        <f>BillQuantities!E27</f>
        <v>Dalle en béton 25cm (avec enduit intérieur)</v>
      </c>
      <c r="F160" s="479" t="s">
        <v>3017</v>
      </c>
      <c r="G160" s="479"/>
      <c r="H160" s="479"/>
      <c r="I160" s="459" t="s">
        <v>39</v>
      </c>
      <c r="J160" s="662">
        <v>264.32</v>
      </c>
      <c r="K160" s="663"/>
      <c r="L160" s="663"/>
      <c r="M160" s="664">
        <f>SUM(M161:M167)</f>
        <v>63.081825609836713</v>
      </c>
      <c r="N160" s="664">
        <f t="shared" ref="N160:S160" si="405">SUM(N161:N167)</f>
        <v>49.070755391022679</v>
      </c>
      <c r="O160" s="664">
        <f t="shared" ref="O160" si="406">SUM(O161:O167)</f>
        <v>10.45914502545118</v>
      </c>
      <c r="P160" s="664">
        <f t="shared" si="405"/>
        <v>0</v>
      </c>
      <c r="Q160" s="664">
        <f t="shared" si="405"/>
        <v>3.5519251933628606</v>
      </c>
      <c r="R160" s="664">
        <f t="shared" ref="R160" si="407">SUM(R161:R167)</f>
        <v>0.70466903417729876</v>
      </c>
      <c r="S160" s="664">
        <f t="shared" si="405"/>
        <v>0</v>
      </c>
      <c r="T160" s="664">
        <f t="shared" ref="T160" si="408">SUM(T161:T167)</f>
        <v>0</v>
      </c>
      <c r="V160" s="638">
        <f t="shared" si="374"/>
        <v>0</v>
      </c>
      <c r="W160" s="638">
        <f t="shared" si="375"/>
        <v>0</v>
      </c>
      <c r="Y160" s="638">
        <f t="shared" si="269"/>
        <v>0</v>
      </c>
      <c r="Z160" s="638">
        <f t="shared" si="362"/>
        <v>0</v>
      </c>
      <c r="AB160">
        <f>_xlfn.XLOOKUP($H160,'[1]Baumaterialien Matériaux'!$A:$A,'[1]Baumaterialien Matériaux'!AK:AK,0,0)</f>
        <v>0</v>
      </c>
      <c r="AC160" cm="1">
        <f t="array" ref="AC160">_xlfn.SWITCH(I160,"kg"," ",0," ",_xlfn.XLOOKUP(H160, '[1]Baumaterialien Matériaux'!$A:$A, '[1]Baumaterialien Matériaux'!$AL:$AL, "-", 0, 1))</f>
        <v>0</v>
      </c>
      <c r="AD160" s="622" cm="1">
        <f t="array" ref="AD160">IFERROR(_xlfn.SWITCH(I160,"kg",1,"m3",AC160,AC160)*J160/(_xlfn.XLOOKUP(AA160,Métrés!A:A,Métrés!D:D,0)),0)</f>
        <v>0</v>
      </c>
      <c r="AE160" s="1092">
        <f>IFERROR(N160*$G$1/(_xlfn.XLOOKUP($AA160,Métrés!$A:$A,Métrés!$D:$D,0)),0)</f>
        <v>0</v>
      </c>
      <c r="AF160" s="1092">
        <f>IFERROR(O160*$G$1/(_xlfn.XLOOKUP($AA160,Métrés!$A:$A,Métrés!$D:$D,0)),0)</f>
        <v>0</v>
      </c>
      <c r="AG160" s="1092">
        <f>IFERROR(Q160*$G$1/(_xlfn.XLOOKUP($AA160,Métrés!$A:$A,Métrés!$D:$D,0)),0)</f>
        <v>0</v>
      </c>
      <c r="AH160" s="1092">
        <f>IFERROR(R160*$G$1/(_xlfn.XLOOKUP($AA160,Métrés!$A:$A,Métrés!$D:$D,0)),0)</f>
        <v>0</v>
      </c>
      <c r="AI160" s="1092">
        <f>IFERROR(S160*$G$1/(_xlfn.XLOOKUP($AA160,Métrés!$A:$A,Métrés!$D:$D,0)),0)</f>
        <v>0</v>
      </c>
      <c r="AJ160" s="1064"/>
      <c r="AK160" s="1064"/>
      <c r="AL160" s="1064"/>
      <c r="AM160" s="1021"/>
      <c r="AN160" s="1073"/>
      <c r="AO160" s="1064"/>
      <c r="AP160" s="1064"/>
      <c r="AQ160" s="1064"/>
      <c r="AR160" s="1074"/>
      <c r="AS160" s="1073"/>
      <c r="AT160" s="1064"/>
      <c r="AU160" s="1064"/>
      <c r="AV160" s="1064"/>
      <c r="AW160" s="1074"/>
      <c r="AX160" s="1073"/>
      <c r="AY160" s="1064"/>
      <c r="AZ160" s="1064"/>
      <c r="BA160" s="1064"/>
      <c r="BB160" s="1074"/>
      <c r="BC160" s="1073"/>
      <c r="BD160" s="1064"/>
      <c r="BE160" s="1064"/>
      <c r="BF160" s="1074"/>
      <c r="BG160" s="1073"/>
      <c r="BH160" s="1064"/>
      <c r="BI160" s="1074"/>
      <c r="BJ160" s="1078"/>
      <c r="BK160" s="1073"/>
      <c r="BL160" s="1064"/>
      <c r="BM160" s="1074"/>
    </row>
    <row r="161" spans="2:67">
      <c r="B161" s="1103"/>
      <c r="C161" s="1099"/>
      <c r="D161" s="478"/>
      <c r="E161" s="478"/>
      <c r="F161" s="638" t="s">
        <v>3006</v>
      </c>
      <c r="G161" s="478" t="str">
        <f>_xlfn.XLOOKUP(H161, 'Baumaterialien Matériaux'!A:A, 'Baumaterialien Matériaux'!AD:AD, "-", 0, 1)</f>
        <v>Béton pour bâtiment (sans armature)</v>
      </c>
      <c r="H161" s="891">
        <v>1.0019999999999998</v>
      </c>
      <c r="I161" s="641" t="str">
        <f>_xlfn.XLOOKUP(H161, 'Baumaterialien Matériaux'!A:A, 'Baumaterialien Matériaux'!F:F, "-", 0, 1)</f>
        <v>kg</v>
      </c>
      <c r="J161" s="649">
        <f>$J$160*K161</f>
        <v>218856.95999999999</v>
      </c>
      <c r="K161" s="893">
        <f>0.36*2300</f>
        <v>828</v>
      </c>
      <c r="L161" s="647">
        <v>60</v>
      </c>
      <c r="M161" s="648">
        <f t="shared" ref="M161:M163" si="409">SUM(N161:Q161)</f>
        <v>29.490542526608053</v>
      </c>
      <c r="N161" s="720">
        <f>IFERROR(($J161*VLOOKUP($H161, 'Baumaterialien Matériaux'!$A$11:$AD$318, 26,FALSE)),0)/$G$1</f>
        <v>21.412593428968073</v>
      </c>
      <c r="O161" s="720">
        <f>IFERROR(($J161*VLOOKUP($H161, 'Baumaterialien Matériaux'!$A$11:$AH$318, 33,FALSE)),0)/$G$1</f>
        <v>5.0155624248033321</v>
      </c>
      <c r="P161" s="720">
        <f>IFERROR((N161+Q161)*($L$2/L161-1),0)</f>
        <v>0</v>
      </c>
      <c r="Q161" s="720">
        <f>IFERROR(($J161*VLOOKUP($H161, 'Baumaterialien Matériaux'!$A$11:$AH$318, 27,FALSE)),0)/$G$1</f>
        <v>3.0623866728366491</v>
      </c>
      <c r="R161" s="720">
        <f>IFERROR(($J161*VLOOKUP($H161, 'Baumaterialien Matériaux'!$A$11:$AH$318, 34,FALSE)),0)/$G$1</f>
        <v>0.64623592781119843</v>
      </c>
      <c r="S161" s="720">
        <f>IFERROR((J161*VLOOKUP(H161, 'Baumaterialien Matériaux'!$A$11:$AD$318, 29,FALSE)),0)/$G$1</f>
        <v>0</v>
      </c>
      <c r="T161" s="720">
        <f t="shared" ref="T161:T168" si="410">S161*AJ161</f>
        <v>0</v>
      </c>
      <c r="V161" s="638">
        <f t="shared" si="374"/>
        <v>0</v>
      </c>
      <c r="W161" s="638">
        <f t="shared" si="375"/>
        <v>0</v>
      </c>
      <c r="Y161" s="638" t="str">
        <f t="shared" si="269"/>
        <v>Structure</v>
      </c>
      <c r="Z161" s="638">
        <f t="shared" si="362"/>
        <v>60</v>
      </c>
      <c r="AA161" s="664" t="s">
        <v>3448</v>
      </c>
      <c r="AB161" t="str">
        <f>_xlfn.XLOOKUP($H161,'[1]Baumaterialien Matériaux'!$A:$A,'[1]Baumaterialien Matériaux'!AK:AK,0,0)</f>
        <v>concrete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 s="622" cm="1">
        <f t="array" ref="AD161">IFERROR(_xlfn.SWITCH(I161,"kg",1,"m3",AC161,AC161)*J161/(_xlfn.XLOOKUP(AA161,Métrés!A:A,Métrés!D:D,0)),0)</f>
        <v>828</v>
      </c>
      <c r="AE161" s="1092">
        <f>IFERROR(N161*$G$1/(_xlfn.XLOOKUP($AA161,Métrés!$A:$A,Métrés!$D:$D,0)),0)</f>
        <v>73.52640000000001</v>
      </c>
      <c r="AF161" s="1092">
        <f>IFERROR(O161*$G$1/(_xlfn.XLOOKUP($AA161,Métrés!$A:$A,Métrés!$D:$D,0)),0)</f>
        <v>17.2224</v>
      </c>
      <c r="AG161" s="1092">
        <f>IFERROR(Q161*$G$1/(_xlfn.XLOOKUP($AA161,Métrés!$A:$A,Métrés!$D:$D,0)),0)</f>
        <v>10.515599999999999</v>
      </c>
      <c r="AH161" s="1092">
        <f>IFERROR(R161*$G$1/(_xlfn.XLOOKUP($AA161,Métrés!$A:$A,Métrés!$D:$D,0)),0)</f>
        <v>2.2190399999999997</v>
      </c>
      <c r="AI161" s="1092">
        <f>IFERROR(S161*$G$1/(_xlfn.XLOOKUP($AA161,Métrés!$A:$A,Métrés!$D:$D,0)),0)</f>
        <v>0</v>
      </c>
      <c r="AJ161" s="1030"/>
      <c r="AK161" s="1030">
        <f t="shared" ref="AK161:AK168" si="411">IF(L161=60,0,T161)</f>
        <v>0</v>
      </c>
      <c r="AL161" s="1030">
        <f t="shared" ref="AL161:AL168" si="412">IF(L161=60,0,S161)</f>
        <v>0</v>
      </c>
      <c r="AM161" s="638" t="str">
        <f t="shared" ref="AM161:AM168" si="413">IF(L161=$L$2, "Structure", IF(L161&gt;0,"Revêtement",0))</f>
        <v>Structure</v>
      </c>
      <c r="AN161" s="1032">
        <f t="shared" ref="AN161:AN168" si="414">IF(AM161="Structure",N161,0)</f>
        <v>21.412593428968073</v>
      </c>
      <c r="AO161" s="1030">
        <f t="shared" ref="AO161:AO168" si="415">IF(AM161="Structure",P161,0)</f>
        <v>0</v>
      </c>
      <c r="AP161" s="1030">
        <f t="shared" ref="AP161:AP168" si="416">IF(AM161="Structure",Q161,0)</f>
        <v>3.0623866728366491</v>
      </c>
      <c r="AQ161" s="1030">
        <f t="shared" ref="AQ161:AQ168" si="417">IF(AM161="Structure",S161,0)</f>
        <v>0</v>
      </c>
      <c r="AR161" s="1033">
        <f t="shared" ref="AR161:AR168" si="418">IF(AM161="Structure",T161,0)</f>
        <v>0</v>
      </c>
      <c r="AS161" s="1032">
        <f t="shared" ref="AS161:AS168" si="419">IF($AM161="Insulation",N161,0)</f>
        <v>0</v>
      </c>
      <c r="AT161" s="1030">
        <f t="shared" ref="AT161:AU168" si="420">IF($AM161="Insulation",P161,0)</f>
        <v>0</v>
      </c>
      <c r="AU161" s="1030">
        <f t="shared" si="420"/>
        <v>0</v>
      </c>
      <c r="AV161" s="1030">
        <f t="shared" ref="AV161:AW168" si="421">IF($AM161="Insulation",S161,0)</f>
        <v>0</v>
      </c>
      <c r="AW161" s="1033">
        <f t="shared" si="421"/>
        <v>0</v>
      </c>
      <c r="AX161" s="1032">
        <f t="shared" ref="AX161:AX168" si="422">IF($AM161="Revêtement",N161,0)</f>
        <v>0</v>
      </c>
      <c r="AY161" s="1030">
        <f t="shared" ref="AY161:AZ168" si="423">IF($AM161="Revêtement",P161,0)</f>
        <v>0</v>
      </c>
      <c r="AZ161" s="1030">
        <f t="shared" si="423"/>
        <v>0</v>
      </c>
      <c r="BA161" s="1030">
        <f t="shared" ref="BA161:BB168" si="424">IF($AM161="Revêtement",S161,0)</f>
        <v>0</v>
      </c>
      <c r="BB161" s="1033">
        <f t="shared" si="424"/>
        <v>0</v>
      </c>
      <c r="BC161" s="1032">
        <f t="shared" ref="BC161:BC168" si="425">IF($AM161="Installation",N161,0)</f>
        <v>0</v>
      </c>
      <c r="BD161" s="1030">
        <f t="shared" ref="BD161:BE168" si="426">IF($AM161="Installation",P161,0)</f>
        <v>0</v>
      </c>
      <c r="BE161" s="1030">
        <f t="shared" si="426"/>
        <v>0</v>
      </c>
      <c r="BF161" s="1033">
        <f t="shared" ref="BF161:BF168" si="427">IF($AM161="Installation",S161,0)</f>
        <v>0</v>
      </c>
      <c r="BG161" s="1032">
        <f t="shared" ref="BG161:BG168" si="428">IF($AM161="Structure", IF($I161="kg",$J161,0), 0)</f>
        <v>218856.95999999999</v>
      </c>
      <c r="BH161" s="1030">
        <f t="shared" ref="BH161:BH168" si="429">IF($AM161="Insulation", IF($I161="kg",$J161,0), 0)</f>
        <v>0</v>
      </c>
      <c r="BI161" s="1033">
        <f t="shared" ref="BI161:BI168" si="430">IF($AM161="Revêtement", IF($I161="kg",$J161,0), 0)</f>
        <v>0</v>
      </c>
      <c r="BJ161" s="1030">
        <f>_xlfn.XLOOKUP(H161, 'Baumaterialien Matériaux'!A:A, 'Baumaterialien Matériaux'!E:E, "-", 0, 1)</f>
        <v>2300</v>
      </c>
      <c r="BK161" s="1032">
        <f t="shared" si="356"/>
        <v>95.155199999999994</v>
      </c>
      <c r="BL161" s="1030">
        <f t="shared" si="357"/>
        <v>0</v>
      </c>
      <c r="BM161" s="1033">
        <f t="shared" si="358"/>
        <v>0</v>
      </c>
      <c r="BN161" s="720">
        <f>IFERROR((J161*VLOOKUP(H161, 'Baumaterialien Matériaux'!$A$11:$AH$318, 32,FALSE))*($L$2/L161-1),0)/$G$1</f>
        <v>0</v>
      </c>
      <c r="BO161" s="720">
        <f t="shared" ref="BO161:BO166" si="431">IFERROR((N161+Q161)*($L$2/L161-1),0)</f>
        <v>0</v>
      </c>
    </row>
    <row r="162" spans="2:67">
      <c r="B162" s="1103"/>
      <c r="C162" s="1099"/>
      <c r="D162" s="478"/>
      <c r="E162" s="478"/>
      <c r="F162" s="638" t="s">
        <v>3004</v>
      </c>
      <c r="G162" s="478" t="str">
        <f>_xlfn.XLOOKUP(H162, 'Baumaterialien Matériaux'!A:A, 'Baumaterialien Matériaux'!AD:AD, "-", 0, 1)</f>
        <v>Acier d'armature</v>
      </c>
      <c r="H162" s="892" t="s">
        <v>497</v>
      </c>
      <c r="I162" s="641" t="str">
        <f>_xlfn.XLOOKUP(H162, 'Baumaterialien Matériaux'!A:A, 'Baumaterialien Matériaux'!F:F, "-", 0, 1)</f>
        <v>kg</v>
      </c>
      <c r="J162" s="649">
        <f>$J$160*K162</f>
        <v>14273.279999999999</v>
      </c>
      <c r="K162" s="894">
        <f>0.36*150</f>
        <v>54</v>
      </c>
      <c r="L162" s="647">
        <v>60</v>
      </c>
      <c r="M162" s="648">
        <f t="shared" si="409"/>
        <v>28.360363535400275</v>
      </c>
      <c r="N162" s="720">
        <f>IFERROR(($J162*VLOOKUP($H162, 'Baumaterialien Matériaux'!$A$11:$AD$318, 26,FALSE)),0)/$G$1</f>
        <v>23.589079130032392</v>
      </c>
      <c r="O162" s="720">
        <f>IFERROR(($J162*VLOOKUP($H162, 'Baumaterialien Matériaux'!$A$11:$AH$318, 33,FALSE)),0)/$G$1</f>
        <v>4.5762813512262834</v>
      </c>
      <c r="P162" s="720">
        <f t="shared" ref="P162:P163" si="432">IFERROR((N162+Q162)*($L$2/L162-1),0)</f>
        <v>0</v>
      </c>
      <c r="Q162" s="720">
        <f>IFERROR(($J162*VLOOKUP($H162, 'Baumaterialien Matériaux'!$A$11:$AH$318, 27,FALSE)),0)/$G$1</f>
        <v>0.1950030541416011</v>
      </c>
      <c r="R162" s="720">
        <f>IFERROR(($J162*VLOOKUP($H162, 'Baumaterialien Matériaux'!$A$11:$AH$318, 34,FALSE)),0)/$G$1</f>
        <v>0</v>
      </c>
      <c r="S162" s="720">
        <f>IFERROR((J162*VLOOKUP(H162, 'Baumaterialien Matériaux'!$A$11:$AD$318, 29,FALSE)),0)/$G$1</f>
        <v>0</v>
      </c>
      <c r="T162" s="720">
        <f t="shared" si="410"/>
        <v>0</v>
      </c>
      <c r="V162" s="638">
        <f t="shared" si="374"/>
        <v>0</v>
      </c>
      <c r="W162" s="638">
        <f t="shared" si="375"/>
        <v>0</v>
      </c>
      <c r="Y162" s="638" t="str">
        <f t="shared" si="269"/>
        <v>Structure</v>
      </c>
      <c r="Z162" s="638">
        <f t="shared" si="362"/>
        <v>60</v>
      </c>
      <c r="AA162" s="664" t="s">
        <v>3448</v>
      </c>
      <c r="AB162" t="str">
        <f>_xlfn.XLOOKUP($H162,'[1]Baumaterialien Matériaux'!$A:$A,'[1]Baumaterialien Matériaux'!AK:AK,0,0)</f>
        <v>metal</v>
      </c>
      <c r="AC162" t="str" cm="1">
        <f t="array" ref="AC162">_xlfn.SWITCH(I162,"kg"," ",0," ",_xlfn.XLOOKUP(H162, '[1]Baumaterialien Matériaux'!$A:$A, '[1]Baumaterialien Matériaux'!$AL:$AL, "-", 0, 1))</f>
        <v xml:space="preserve"> </v>
      </c>
      <c r="AD162" s="622" cm="1">
        <f t="array" ref="AD162">IFERROR(_xlfn.SWITCH(I162,"kg",1,"m3",AC162,AC162)*J162/(_xlfn.XLOOKUP(AA162,Métrés!A:A,Métrés!D:D,0)),0)</f>
        <v>54</v>
      </c>
      <c r="AE162" s="1092">
        <f>IFERROR(N162*$G$1/(_xlfn.XLOOKUP($AA162,Métrés!$A:$A,Métrés!$D:$D,0)),0)</f>
        <v>81</v>
      </c>
      <c r="AF162" s="1092">
        <f>IFERROR(O162*$G$1/(_xlfn.XLOOKUP($AA162,Métrés!$A:$A,Métrés!$D:$D,0)),0)</f>
        <v>15.713999999999997</v>
      </c>
      <c r="AG162" s="1092">
        <f>IFERROR(Q162*$G$1/(_xlfn.XLOOKUP($AA162,Métrés!$A:$A,Métrés!$D:$D,0)),0)</f>
        <v>0.66959999999999997</v>
      </c>
      <c r="AH162" s="1092">
        <f>IFERROR(R162*$G$1/(_xlfn.XLOOKUP($AA162,Métrés!$A:$A,Métrés!$D:$D,0)),0)</f>
        <v>0</v>
      </c>
      <c r="AI162" s="1092">
        <f>IFERROR(S162*$G$1/(_xlfn.XLOOKUP($AA162,Métrés!$A:$A,Métrés!$D:$D,0)),0)</f>
        <v>0</v>
      </c>
      <c r="AJ162" s="1030"/>
      <c r="AK162" s="1030">
        <f t="shared" si="411"/>
        <v>0</v>
      </c>
      <c r="AL162" s="1030">
        <f t="shared" si="412"/>
        <v>0</v>
      </c>
      <c r="AM162" s="638" t="str">
        <f t="shared" si="413"/>
        <v>Structure</v>
      </c>
      <c r="AN162" s="1032">
        <f t="shared" si="414"/>
        <v>23.589079130032392</v>
      </c>
      <c r="AO162" s="1030">
        <f t="shared" si="415"/>
        <v>0</v>
      </c>
      <c r="AP162" s="1030">
        <f t="shared" si="416"/>
        <v>0.1950030541416011</v>
      </c>
      <c r="AQ162" s="1030">
        <f t="shared" si="417"/>
        <v>0</v>
      </c>
      <c r="AR162" s="1033">
        <f t="shared" si="418"/>
        <v>0</v>
      </c>
      <c r="AS162" s="1032">
        <f t="shared" si="419"/>
        <v>0</v>
      </c>
      <c r="AT162" s="1030">
        <f t="shared" si="420"/>
        <v>0</v>
      </c>
      <c r="AU162" s="1030">
        <f t="shared" si="420"/>
        <v>0</v>
      </c>
      <c r="AV162" s="1030">
        <f t="shared" si="421"/>
        <v>0</v>
      </c>
      <c r="AW162" s="1033">
        <f t="shared" si="421"/>
        <v>0</v>
      </c>
      <c r="AX162" s="1032">
        <f t="shared" si="422"/>
        <v>0</v>
      </c>
      <c r="AY162" s="1030">
        <f t="shared" si="423"/>
        <v>0</v>
      </c>
      <c r="AZ162" s="1030">
        <f t="shared" si="423"/>
        <v>0</v>
      </c>
      <c r="BA162" s="1030">
        <f t="shared" si="424"/>
        <v>0</v>
      </c>
      <c r="BB162" s="1033">
        <f t="shared" si="424"/>
        <v>0</v>
      </c>
      <c r="BC162" s="1032">
        <f t="shared" si="425"/>
        <v>0</v>
      </c>
      <c r="BD162" s="1030">
        <f t="shared" si="426"/>
        <v>0</v>
      </c>
      <c r="BE162" s="1030">
        <f t="shared" si="426"/>
        <v>0</v>
      </c>
      <c r="BF162" s="1033">
        <f t="shared" si="427"/>
        <v>0</v>
      </c>
      <c r="BG162" s="1032">
        <f t="shared" si="428"/>
        <v>14273.279999999999</v>
      </c>
      <c r="BH162" s="1030">
        <f t="shared" si="429"/>
        <v>0</v>
      </c>
      <c r="BI162" s="1033">
        <f t="shared" si="430"/>
        <v>0</v>
      </c>
      <c r="BJ162" s="1030">
        <f>_xlfn.XLOOKUP(H162, 'Baumaterialien Matériaux'!A:A, 'Baumaterialien Matériaux'!E:E, "-", 0, 1)</f>
        <v>7850</v>
      </c>
      <c r="BK162" s="1032">
        <f t="shared" si="356"/>
        <v>1.8182522292993628</v>
      </c>
      <c r="BL162" s="1030">
        <f t="shared" si="357"/>
        <v>0</v>
      </c>
      <c r="BM162" s="1033">
        <f t="shared" si="358"/>
        <v>0</v>
      </c>
      <c r="BN162" s="720">
        <f>IFERROR((J162*VLOOKUP(H162, 'Baumaterialien Matériaux'!$A$11:$AH$318, 32,FALSE))*($L$2/L162-1),0)/$G$1</f>
        <v>0</v>
      </c>
      <c r="BO162" s="720">
        <f t="shared" si="431"/>
        <v>0</v>
      </c>
    </row>
    <row r="163" spans="2:67">
      <c r="B163" s="1103"/>
      <c r="C163" s="1099"/>
      <c r="D163" s="478"/>
      <c r="E163" s="478"/>
      <c r="F163" s="483" t="s">
        <v>3393</v>
      </c>
      <c r="G163" s="478" t="str">
        <f>_xlfn.XLOOKUP(H163, 'Baumaterialien Matériaux'!A:A, 'Baumaterialien Matériaux'!AD:AD, "-", 0, 1)</f>
        <v>Béton pour bâtiment (sans armature)</v>
      </c>
      <c r="H163" s="891">
        <v>1.0019999999999998</v>
      </c>
      <c r="I163" s="641" t="str">
        <f>_xlfn.XLOOKUP(H163, 'Baumaterialien Matériaux'!A:A, 'Baumaterialien Matériaux'!F:F, "-", 0, 1)</f>
        <v>kg</v>
      </c>
      <c r="J163" s="649">
        <f>8.604*2300</f>
        <v>19789.199999999997</v>
      </c>
      <c r="K163" s="647"/>
      <c r="L163" s="647">
        <v>60</v>
      </c>
      <c r="M163" s="648">
        <f t="shared" si="409"/>
        <v>2.6665555629007729</v>
      </c>
      <c r="N163" s="720">
        <f>IFERROR(($J163*VLOOKUP($H163, 'Baumaterialien Matériaux'!$A$11:$AD$318, 26,FALSE)),0)/$G$1</f>
        <v>1.9361417333245188</v>
      </c>
      <c r="O163" s="720">
        <f>IFERROR(($J163*VLOOKUP($H163, 'Baumaterialien Matériaux'!$A$11:$AH$318, 33,FALSE)),0)/$G$1</f>
        <v>0.45351067627421154</v>
      </c>
      <c r="P163" s="720">
        <f t="shared" si="432"/>
        <v>0</v>
      </c>
      <c r="Q163" s="720">
        <f>IFERROR(($J163*VLOOKUP($H163, 'Baumaterialien Matériaux'!$A$11:$AH$318, 27,FALSE)),0)/$G$1</f>
        <v>0.27690315330204268</v>
      </c>
      <c r="R163" s="720">
        <f>IFERROR(($J163*VLOOKUP($H163, 'Baumaterialien Matériaux'!$A$11:$AH$318, 34,FALSE)),0)/$G$1</f>
        <v>5.843310636610035E-2</v>
      </c>
      <c r="S163" s="720">
        <f>IFERROR((J163*VLOOKUP(H163, 'Baumaterialien Matériaux'!$A$11:$AD$318, 29,FALSE)),0)/$G$1</f>
        <v>0</v>
      </c>
      <c r="T163" s="720">
        <f t="shared" si="410"/>
        <v>0</v>
      </c>
      <c r="V163" s="638">
        <f t="shared" si="374"/>
        <v>0</v>
      </c>
      <c r="W163" s="638">
        <f t="shared" si="375"/>
        <v>0</v>
      </c>
      <c r="Y163" s="638" t="str">
        <f t="shared" si="269"/>
        <v>Structure</v>
      </c>
      <c r="Z163" s="638">
        <f t="shared" si="362"/>
        <v>60</v>
      </c>
      <c r="AA163" s="664" t="s">
        <v>3448</v>
      </c>
      <c r="AB163" t="str">
        <f>_xlfn.XLOOKUP($H163,'[1]Baumaterialien Matériaux'!$A:$A,'[1]Baumaterialien Matériaux'!AK:AK,0,0)</f>
        <v>concrete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 s="622" cm="1">
        <f t="array" ref="AD163">IFERROR(_xlfn.SWITCH(I163,"kg",1,"m3",AC163,AC163)*J163/(_xlfn.XLOOKUP(AA163,Métrés!A:A,Métrés!D:D,0)),0)</f>
        <v>74.868341404358347</v>
      </c>
      <c r="AE163" s="1092">
        <f>IFERROR(N163*$G$1/(_xlfn.XLOOKUP($AA163,Métrés!$A:$A,Métrés!$D:$D,0)),0)</f>
        <v>6.6483087167070209</v>
      </c>
      <c r="AF163" s="1092">
        <f>IFERROR(O163*$G$1/(_xlfn.XLOOKUP($AA163,Métrés!$A:$A,Métrés!$D:$D,0)),0)</f>
        <v>1.5572615012106534</v>
      </c>
      <c r="AG163" s="1092">
        <f>IFERROR(Q163*$G$1/(_xlfn.XLOOKUP($AA163,Métrés!$A:$A,Métrés!$D:$D,0)),0)</f>
        <v>0.95082793583535108</v>
      </c>
      <c r="AH163" s="1092">
        <f>IFERROR(R163*$G$1/(_xlfn.XLOOKUP($AA163,Métrés!$A:$A,Métrés!$D:$D,0)),0)</f>
        <v>0.20064715496368038</v>
      </c>
      <c r="AI163" s="1092">
        <f>IFERROR(S163*$G$1/(_xlfn.XLOOKUP($AA163,Métrés!$A:$A,Métrés!$D:$D,0)),0)</f>
        <v>0</v>
      </c>
      <c r="AJ163" s="1030"/>
      <c r="AK163" s="1030">
        <f t="shared" si="411"/>
        <v>0</v>
      </c>
      <c r="AL163" s="1030">
        <f t="shared" si="412"/>
        <v>0</v>
      </c>
      <c r="AM163" s="638" t="str">
        <f t="shared" si="413"/>
        <v>Structure</v>
      </c>
      <c r="AN163" s="1032">
        <f t="shared" si="414"/>
        <v>1.9361417333245188</v>
      </c>
      <c r="AO163" s="1030">
        <f t="shared" si="415"/>
        <v>0</v>
      </c>
      <c r="AP163" s="1030">
        <f t="shared" si="416"/>
        <v>0.27690315330204268</v>
      </c>
      <c r="AQ163" s="1030">
        <f t="shared" si="417"/>
        <v>0</v>
      </c>
      <c r="AR163" s="1033">
        <f t="shared" si="418"/>
        <v>0</v>
      </c>
      <c r="AS163" s="1032">
        <f t="shared" si="419"/>
        <v>0</v>
      </c>
      <c r="AT163" s="1030">
        <f t="shared" si="420"/>
        <v>0</v>
      </c>
      <c r="AU163" s="1030">
        <f t="shared" si="420"/>
        <v>0</v>
      </c>
      <c r="AV163" s="1030">
        <f t="shared" si="421"/>
        <v>0</v>
      </c>
      <c r="AW163" s="1033">
        <f t="shared" si="421"/>
        <v>0</v>
      </c>
      <c r="AX163" s="1032">
        <f t="shared" si="422"/>
        <v>0</v>
      </c>
      <c r="AY163" s="1030">
        <f t="shared" si="423"/>
        <v>0</v>
      </c>
      <c r="AZ163" s="1030">
        <f t="shared" si="423"/>
        <v>0</v>
      </c>
      <c r="BA163" s="1030">
        <f t="shared" si="424"/>
        <v>0</v>
      </c>
      <c r="BB163" s="1033">
        <f t="shared" si="424"/>
        <v>0</v>
      </c>
      <c r="BC163" s="1032">
        <f t="shared" si="425"/>
        <v>0</v>
      </c>
      <c r="BD163" s="1030">
        <f t="shared" si="426"/>
        <v>0</v>
      </c>
      <c r="BE163" s="1030">
        <f t="shared" si="426"/>
        <v>0</v>
      </c>
      <c r="BF163" s="1033">
        <f t="shared" si="427"/>
        <v>0</v>
      </c>
      <c r="BG163" s="1032">
        <f t="shared" si="428"/>
        <v>19789.199999999997</v>
      </c>
      <c r="BH163" s="1030">
        <f t="shared" si="429"/>
        <v>0</v>
      </c>
      <c r="BI163" s="1033">
        <f t="shared" si="430"/>
        <v>0</v>
      </c>
      <c r="BJ163" s="1030">
        <f>_xlfn.XLOOKUP(H163, 'Baumaterialien Matériaux'!A:A, 'Baumaterialien Matériaux'!E:E, "-", 0, 1)</f>
        <v>2300</v>
      </c>
      <c r="BK163" s="1032">
        <f t="shared" si="356"/>
        <v>8.6039999999999992</v>
      </c>
      <c r="BL163" s="1030">
        <f t="shared" si="357"/>
        <v>0</v>
      </c>
      <c r="BM163" s="1033">
        <f t="shared" si="358"/>
        <v>0</v>
      </c>
      <c r="BN163" s="720">
        <f>IFERROR((J163*VLOOKUP(H163, 'Baumaterialien Matériaux'!$A$11:$AH$318, 32,FALSE))*($L$2/L163-1),0)/$G$1</f>
        <v>0</v>
      </c>
      <c r="BO163" s="720">
        <f t="shared" si="431"/>
        <v>0</v>
      </c>
    </row>
    <row r="164" spans="2:67">
      <c r="B164" s="1103"/>
      <c r="C164" s="1099"/>
      <c r="D164" s="478"/>
      <c r="E164" s="478"/>
      <c r="F164" s="483" t="s">
        <v>3392</v>
      </c>
      <c r="G164" s="478" t="str">
        <f>_xlfn.XLOOKUP(H164, 'Baumaterialien Matériaux'!A:A, 'Baumaterialien Matériaux'!AD:AD, "-", 0, 1)</f>
        <v>Acier d'armature</v>
      </c>
      <c r="H164" s="892" t="s">
        <v>497</v>
      </c>
      <c r="I164" s="641" t="str">
        <f>_xlfn.XLOOKUP(H164, 'Baumaterialien Matériaux'!A:A, 'Baumaterialien Matériaux'!F:F, "-", 0, 1)</f>
        <v>kg</v>
      </c>
      <c r="J164" s="649">
        <f>150*8.604</f>
        <v>1290.5999999999999</v>
      </c>
      <c r="K164" s="647"/>
      <c r="L164" s="647">
        <v>60</v>
      </c>
      <c r="M164" s="648">
        <f t="shared" ref="M164" si="433">SUM(N164:Q164)</f>
        <v>2.564363984927613</v>
      </c>
      <c r="N164" s="720">
        <f>IFERROR(($J164*VLOOKUP($H164, 'Baumaterialien Matériaux'!$A$11:$AD$318, 26,FALSE)),0)/$G$1</f>
        <v>2.1329410986976929</v>
      </c>
      <c r="O164" s="720">
        <f>IFERROR(($J164*VLOOKUP($H164, 'Baumaterialien Matériaux'!$A$11:$AH$318, 33,FALSE)),0)/$G$1</f>
        <v>0.41379057314735235</v>
      </c>
      <c r="P164" s="720">
        <f t="shared" ref="P164" si="434">IFERROR((N164+Q164)*($L$2/L164-1),0)</f>
        <v>0</v>
      </c>
      <c r="Q164" s="720">
        <f>IFERROR(($J164*VLOOKUP($H164, 'Baumaterialien Matériaux'!$A$11:$AH$318, 27,FALSE)),0)/$G$1</f>
        <v>1.7632313082567592E-2</v>
      </c>
      <c r="R164" s="720">
        <f>IFERROR(($J164*VLOOKUP($H164, 'Baumaterialien Matériaux'!$A$11:$AH$318, 34,FALSE)),0)/$G$1</f>
        <v>0</v>
      </c>
      <c r="S164" s="720">
        <f>IFERROR((J164*VLOOKUP(H164, 'Baumaterialien Matériaux'!$A$11:$AD$318, 29,FALSE)),0)/$G$1</f>
        <v>0</v>
      </c>
      <c r="T164" s="720">
        <f t="shared" si="410"/>
        <v>0</v>
      </c>
      <c r="V164" s="638">
        <f t="shared" si="374"/>
        <v>0</v>
      </c>
      <c r="W164" s="638">
        <f t="shared" si="375"/>
        <v>0</v>
      </c>
      <c r="Y164" s="638" t="str">
        <f t="shared" si="269"/>
        <v>Structure</v>
      </c>
      <c r="Z164" s="638">
        <f t="shared" si="362"/>
        <v>60</v>
      </c>
      <c r="AA164" s="664" t="s">
        <v>3448</v>
      </c>
      <c r="AB164" t="str">
        <f>_xlfn.XLOOKUP($H164,'[1]Baumaterialien Matériaux'!$A:$A,'[1]Baumaterialien Matériaux'!AK:AK,0,0)</f>
        <v>metal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 s="622" cm="1">
        <f t="array" ref="AD164">IFERROR(_xlfn.SWITCH(I164,"kg",1,"m3",AC164,AC164)*J164/(_xlfn.XLOOKUP(AA164,Métrés!A:A,Métrés!D:D,0)),0)</f>
        <v>4.8827179176755449</v>
      </c>
      <c r="AE164" s="1092">
        <f>IFERROR(N164*$G$1/(_xlfn.XLOOKUP($AA164,Métrés!$A:$A,Métrés!$D:$D,0)),0)</f>
        <v>7.3240768765133177</v>
      </c>
      <c r="AF164" s="1092">
        <f>IFERROR(O164*$G$1/(_xlfn.XLOOKUP($AA164,Métrés!$A:$A,Métrés!$D:$D,0)),0)</f>
        <v>1.4208709140435833</v>
      </c>
      <c r="AG164" s="1092">
        <f>IFERROR(Q164*$G$1/(_xlfn.XLOOKUP($AA164,Métrés!$A:$A,Métrés!$D:$D,0)),0)</f>
        <v>6.054570217917675E-2</v>
      </c>
      <c r="AH164" s="1092">
        <f>IFERROR(R164*$G$1/(_xlfn.XLOOKUP($AA164,Métrés!$A:$A,Métrés!$D:$D,0)),0)</f>
        <v>0</v>
      </c>
      <c r="AI164" s="1092">
        <f>IFERROR(S164*$G$1/(_xlfn.XLOOKUP($AA164,Métrés!$A:$A,Métrés!$D:$D,0)),0)</f>
        <v>0</v>
      </c>
      <c r="AJ164" s="1030"/>
      <c r="AK164" s="1030">
        <f t="shared" si="411"/>
        <v>0</v>
      </c>
      <c r="AL164" s="1030">
        <f t="shared" si="412"/>
        <v>0</v>
      </c>
      <c r="AM164" s="638" t="str">
        <f t="shared" si="413"/>
        <v>Structure</v>
      </c>
      <c r="AN164" s="1032">
        <f t="shared" si="414"/>
        <v>2.1329410986976929</v>
      </c>
      <c r="AO164" s="1030">
        <f t="shared" si="415"/>
        <v>0</v>
      </c>
      <c r="AP164" s="1030">
        <f t="shared" si="416"/>
        <v>1.7632313082567592E-2</v>
      </c>
      <c r="AQ164" s="1030">
        <f t="shared" si="417"/>
        <v>0</v>
      </c>
      <c r="AR164" s="1033">
        <f t="shared" si="418"/>
        <v>0</v>
      </c>
      <c r="AS164" s="1032">
        <f t="shared" si="419"/>
        <v>0</v>
      </c>
      <c r="AT164" s="1030">
        <f t="shared" si="420"/>
        <v>0</v>
      </c>
      <c r="AU164" s="1030">
        <f t="shared" si="420"/>
        <v>0</v>
      </c>
      <c r="AV164" s="1030">
        <f t="shared" si="421"/>
        <v>0</v>
      </c>
      <c r="AW164" s="1033">
        <f t="shared" si="421"/>
        <v>0</v>
      </c>
      <c r="AX164" s="1032">
        <f t="shared" si="422"/>
        <v>0</v>
      </c>
      <c r="AY164" s="1030">
        <f t="shared" si="423"/>
        <v>0</v>
      </c>
      <c r="AZ164" s="1030">
        <f t="shared" si="423"/>
        <v>0</v>
      </c>
      <c r="BA164" s="1030">
        <f t="shared" si="424"/>
        <v>0</v>
      </c>
      <c r="BB164" s="1033">
        <f t="shared" si="424"/>
        <v>0</v>
      </c>
      <c r="BC164" s="1032">
        <f t="shared" si="425"/>
        <v>0</v>
      </c>
      <c r="BD164" s="1030">
        <f t="shared" si="426"/>
        <v>0</v>
      </c>
      <c r="BE164" s="1030">
        <f t="shared" si="426"/>
        <v>0</v>
      </c>
      <c r="BF164" s="1033">
        <f t="shared" si="427"/>
        <v>0</v>
      </c>
      <c r="BG164" s="1032">
        <f t="shared" si="428"/>
        <v>1290.5999999999999</v>
      </c>
      <c r="BH164" s="1030">
        <f t="shared" si="429"/>
        <v>0</v>
      </c>
      <c r="BI164" s="1033">
        <f t="shared" si="430"/>
        <v>0</v>
      </c>
      <c r="BJ164" s="1030">
        <f>_xlfn.XLOOKUP(H164, 'Baumaterialien Matériaux'!A:A, 'Baumaterialien Matériaux'!E:E, "-", 0, 1)</f>
        <v>7850</v>
      </c>
      <c r="BK164" s="1032">
        <f t="shared" si="356"/>
        <v>0.16440764331210189</v>
      </c>
      <c r="BL164" s="1030">
        <f t="shared" si="357"/>
        <v>0</v>
      </c>
      <c r="BM164" s="1033">
        <f t="shared" si="358"/>
        <v>0</v>
      </c>
      <c r="BN164" s="720">
        <f>IFERROR((J164*VLOOKUP(H164, 'Baumaterialien Matériaux'!$A$11:$AH$318, 32,FALSE))*($L$2/L164-1),0)/$G$1</f>
        <v>0</v>
      </c>
      <c r="BO164" s="720">
        <f t="shared" si="431"/>
        <v>0</v>
      </c>
    </row>
    <row r="165" spans="2:67">
      <c r="B165" s="1103"/>
      <c r="C165" s="1099"/>
      <c r="D165" s="478"/>
      <c r="E165" s="478"/>
      <c r="F165" s="483"/>
      <c r="G165" s="478"/>
      <c r="H165" s="478"/>
      <c r="I165" s="641"/>
      <c r="J165" s="649"/>
      <c r="K165" s="647"/>
      <c r="L165" s="647"/>
      <c r="M165" s="648"/>
      <c r="N165" s="720"/>
      <c r="O165" s="720"/>
      <c r="P165" s="720"/>
      <c r="Q165" s="720"/>
      <c r="R165" s="720"/>
      <c r="S165" s="720"/>
      <c r="T165" s="720">
        <f t="shared" si="410"/>
        <v>0</v>
      </c>
      <c r="V165" s="638">
        <f t="shared" si="374"/>
        <v>0</v>
      </c>
      <c r="W165" s="638">
        <f t="shared" si="375"/>
        <v>0</v>
      </c>
      <c r="Y165" s="638">
        <f t="shared" si="269"/>
        <v>0</v>
      </c>
      <c r="Z165" s="638">
        <f t="shared" si="362"/>
        <v>0</v>
      </c>
      <c r="AA165" s="664" t="s">
        <v>3448</v>
      </c>
      <c r="AB165">
        <f>_xlfn.XLOOKUP($H165,'[1]Baumaterialien Matériaux'!$A:$A,'[1]Baumaterialien Matériaux'!AK:AK,0,0)</f>
        <v>0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 s="622" cm="1">
        <f t="array" ref="AD165">IFERROR(_xlfn.SWITCH(I165,"kg",1,"m3",AC165,AC165)*J165/(_xlfn.XLOOKUP(AA165,Métrés!A:A,Métrés!D:D,0)),0)</f>
        <v>0</v>
      </c>
      <c r="AE165" s="1092">
        <f>IFERROR(N165*$G$1/(_xlfn.XLOOKUP($AA165,Métrés!$A:$A,Métrés!$D:$D,0)),0)</f>
        <v>0</v>
      </c>
      <c r="AF165" s="1092">
        <f>IFERROR(O165*$G$1/(_xlfn.XLOOKUP($AA165,Métrés!$A:$A,Métrés!$D:$D,0)),0)</f>
        <v>0</v>
      </c>
      <c r="AG165" s="1092">
        <f>IFERROR(Q165*$G$1/(_xlfn.XLOOKUP($AA165,Métrés!$A:$A,Métrés!$D:$D,0)),0)</f>
        <v>0</v>
      </c>
      <c r="AH165" s="1092">
        <f>IFERROR(R165*$G$1/(_xlfn.XLOOKUP($AA165,Métrés!$A:$A,Métrés!$D:$D,0)),0)</f>
        <v>0</v>
      </c>
      <c r="AI165" s="1092">
        <f>IFERROR(S165*$G$1/(_xlfn.XLOOKUP($AA165,Métrés!$A:$A,Métrés!$D:$D,0)),0)</f>
        <v>0</v>
      </c>
      <c r="AJ165" s="1030"/>
      <c r="AK165" s="1030">
        <f t="shared" si="411"/>
        <v>0</v>
      </c>
      <c r="AL165" s="1030">
        <f t="shared" si="412"/>
        <v>0</v>
      </c>
      <c r="AM165" s="638">
        <f t="shared" si="413"/>
        <v>0</v>
      </c>
      <c r="AN165" s="1032">
        <f t="shared" si="414"/>
        <v>0</v>
      </c>
      <c r="AO165" s="1030">
        <f t="shared" si="415"/>
        <v>0</v>
      </c>
      <c r="AP165" s="1030">
        <f t="shared" si="416"/>
        <v>0</v>
      </c>
      <c r="AQ165" s="1030">
        <f t="shared" si="417"/>
        <v>0</v>
      </c>
      <c r="AR165" s="1033">
        <f t="shared" si="418"/>
        <v>0</v>
      </c>
      <c r="AS165" s="1032">
        <f t="shared" si="419"/>
        <v>0</v>
      </c>
      <c r="AT165" s="1030">
        <f t="shared" si="420"/>
        <v>0</v>
      </c>
      <c r="AU165" s="1030">
        <f t="shared" si="420"/>
        <v>0</v>
      </c>
      <c r="AV165" s="1030">
        <f t="shared" si="421"/>
        <v>0</v>
      </c>
      <c r="AW165" s="1033">
        <f t="shared" si="421"/>
        <v>0</v>
      </c>
      <c r="AX165" s="1032">
        <f t="shared" si="422"/>
        <v>0</v>
      </c>
      <c r="AY165" s="1030">
        <f t="shared" si="423"/>
        <v>0</v>
      </c>
      <c r="AZ165" s="1030">
        <f t="shared" si="423"/>
        <v>0</v>
      </c>
      <c r="BA165" s="1030">
        <f t="shared" si="424"/>
        <v>0</v>
      </c>
      <c r="BB165" s="1033">
        <f t="shared" si="424"/>
        <v>0</v>
      </c>
      <c r="BC165" s="1032">
        <f t="shared" si="425"/>
        <v>0</v>
      </c>
      <c r="BD165" s="1030">
        <f t="shared" si="426"/>
        <v>0</v>
      </c>
      <c r="BE165" s="1030">
        <f t="shared" si="426"/>
        <v>0</v>
      </c>
      <c r="BF165" s="1033">
        <f t="shared" si="427"/>
        <v>0</v>
      </c>
      <c r="BG165" s="1032">
        <f t="shared" si="428"/>
        <v>0</v>
      </c>
      <c r="BH165" s="1030">
        <f t="shared" si="429"/>
        <v>0</v>
      </c>
      <c r="BI165" s="1033">
        <f t="shared" si="430"/>
        <v>0</v>
      </c>
      <c r="BJ165" s="1030">
        <f>_xlfn.XLOOKUP(H165, 'Baumaterialien Matériaux'!A:A, 'Baumaterialien Matériaux'!E:E, "-", 0, 1)</f>
        <v>0</v>
      </c>
      <c r="BK165" s="1032">
        <f t="shared" si="356"/>
        <v>0</v>
      </c>
      <c r="BL165" s="1030">
        <f t="shared" si="357"/>
        <v>0</v>
      </c>
      <c r="BM165" s="1033">
        <f t="shared" si="358"/>
        <v>0</v>
      </c>
      <c r="BN165" s="720">
        <f>IFERROR((J165*VLOOKUP(H165, 'Baumaterialien Matériaux'!$A$11:$AH$318, 32,FALSE))*($L$2/L165-1),0)/$G$1</f>
        <v>0</v>
      </c>
      <c r="BO165" s="720">
        <f t="shared" si="431"/>
        <v>0</v>
      </c>
    </row>
    <row r="166" spans="2:67">
      <c r="B166" s="1103"/>
      <c r="C166" s="1099"/>
      <c r="D166" s="478"/>
      <c r="E166" s="478"/>
      <c r="F166" s="483"/>
      <c r="G166" s="478"/>
      <c r="H166" s="478"/>
      <c r="I166" s="641"/>
      <c r="J166" s="649"/>
      <c r="K166" s="647"/>
      <c r="L166" s="647"/>
      <c r="M166" s="648"/>
      <c r="N166" s="720"/>
      <c r="O166" s="720"/>
      <c r="P166" s="720"/>
      <c r="Q166" s="720"/>
      <c r="R166" s="720"/>
      <c r="S166" s="720"/>
      <c r="T166" s="720">
        <f t="shared" si="410"/>
        <v>0</v>
      </c>
      <c r="V166" s="638">
        <f t="shared" si="374"/>
        <v>0</v>
      </c>
      <c r="W166" s="638">
        <f t="shared" si="375"/>
        <v>0</v>
      </c>
      <c r="Y166" s="638">
        <f t="shared" si="269"/>
        <v>0</v>
      </c>
      <c r="Z166" s="638">
        <f t="shared" si="362"/>
        <v>0</v>
      </c>
      <c r="AA166" s="664" t="s">
        <v>3448</v>
      </c>
      <c r="AB166">
        <f>_xlfn.XLOOKUP($H166,'[1]Baumaterialien Matériaux'!$A:$A,'[1]Baumaterialien Matériaux'!AK:AK,0,0)</f>
        <v>0</v>
      </c>
      <c r="AC166" t="str" cm="1">
        <f t="array" ref="AC166">_xlfn.SWITCH(I166,"kg"," ",0," ",_xlfn.XLOOKUP(H166, '[1]Baumaterialien Matériaux'!$A:$A, '[1]Baumaterialien Matériaux'!$AL:$AL, "-", 0, 1))</f>
        <v xml:space="preserve"> </v>
      </c>
      <c r="AD166" s="622" cm="1">
        <f t="array" ref="AD166">IFERROR(_xlfn.SWITCH(I166,"kg",1,"m3",AC166,AC166)*J166/(_xlfn.XLOOKUP(AA166,Métrés!A:A,Métrés!D:D,0)),0)</f>
        <v>0</v>
      </c>
      <c r="AE166" s="1092">
        <f>IFERROR(N166*$G$1/(_xlfn.XLOOKUP($AA166,Métrés!$A:$A,Métrés!$D:$D,0)),0)</f>
        <v>0</v>
      </c>
      <c r="AF166" s="1092">
        <f>IFERROR(O166*$G$1/(_xlfn.XLOOKUP($AA166,Métrés!$A:$A,Métrés!$D:$D,0)),0)</f>
        <v>0</v>
      </c>
      <c r="AG166" s="1092">
        <f>IFERROR(Q166*$G$1/(_xlfn.XLOOKUP($AA166,Métrés!$A:$A,Métrés!$D:$D,0)),0)</f>
        <v>0</v>
      </c>
      <c r="AH166" s="1092">
        <f>IFERROR(R166*$G$1/(_xlfn.XLOOKUP($AA166,Métrés!$A:$A,Métrés!$D:$D,0)),0)</f>
        <v>0</v>
      </c>
      <c r="AI166" s="1092">
        <f>IFERROR(S166*$G$1/(_xlfn.XLOOKUP($AA166,Métrés!$A:$A,Métrés!$D:$D,0)),0)</f>
        <v>0</v>
      </c>
      <c r="AJ166" s="1030"/>
      <c r="AK166" s="1030">
        <f t="shared" si="411"/>
        <v>0</v>
      </c>
      <c r="AL166" s="1030">
        <f t="shared" si="412"/>
        <v>0</v>
      </c>
      <c r="AM166" s="638">
        <f t="shared" si="413"/>
        <v>0</v>
      </c>
      <c r="AN166" s="1032">
        <f t="shared" si="414"/>
        <v>0</v>
      </c>
      <c r="AO166" s="1030">
        <f t="shared" si="415"/>
        <v>0</v>
      </c>
      <c r="AP166" s="1030">
        <f t="shared" si="416"/>
        <v>0</v>
      </c>
      <c r="AQ166" s="1030">
        <f t="shared" si="417"/>
        <v>0</v>
      </c>
      <c r="AR166" s="1033">
        <f t="shared" si="418"/>
        <v>0</v>
      </c>
      <c r="AS166" s="1032">
        <f t="shared" si="419"/>
        <v>0</v>
      </c>
      <c r="AT166" s="1030">
        <f t="shared" si="420"/>
        <v>0</v>
      </c>
      <c r="AU166" s="1030">
        <f t="shared" si="420"/>
        <v>0</v>
      </c>
      <c r="AV166" s="1030">
        <f t="shared" si="421"/>
        <v>0</v>
      </c>
      <c r="AW166" s="1033">
        <f t="shared" si="421"/>
        <v>0</v>
      </c>
      <c r="AX166" s="1032">
        <f t="shared" si="422"/>
        <v>0</v>
      </c>
      <c r="AY166" s="1030">
        <f t="shared" si="423"/>
        <v>0</v>
      </c>
      <c r="AZ166" s="1030">
        <f t="shared" si="423"/>
        <v>0</v>
      </c>
      <c r="BA166" s="1030">
        <f t="shared" si="424"/>
        <v>0</v>
      </c>
      <c r="BB166" s="1033">
        <f t="shared" si="424"/>
        <v>0</v>
      </c>
      <c r="BC166" s="1032">
        <f t="shared" si="425"/>
        <v>0</v>
      </c>
      <c r="BD166" s="1030">
        <f t="shared" si="426"/>
        <v>0</v>
      </c>
      <c r="BE166" s="1030">
        <f t="shared" si="426"/>
        <v>0</v>
      </c>
      <c r="BF166" s="1033">
        <f t="shared" si="427"/>
        <v>0</v>
      </c>
      <c r="BG166" s="1032">
        <f t="shared" si="428"/>
        <v>0</v>
      </c>
      <c r="BH166" s="1030">
        <f t="shared" si="429"/>
        <v>0</v>
      </c>
      <c r="BI166" s="1033">
        <f t="shared" si="430"/>
        <v>0</v>
      </c>
      <c r="BJ166" s="1030">
        <f>_xlfn.XLOOKUP(H166, 'Baumaterialien Matériaux'!A:A, 'Baumaterialien Matériaux'!E:E, "-", 0, 1)</f>
        <v>0</v>
      </c>
      <c r="BK166" s="1032">
        <f t="shared" si="356"/>
        <v>0</v>
      </c>
      <c r="BL166" s="1030">
        <f t="shared" si="357"/>
        <v>0</v>
      </c>
      <c r="BM166" s="1033">
        <f t="shared" si="358"/>
        <v>0</v>
      </c>
      <c r="BN166" s="720">
        <f>IFERROR((J166*VLOOKUP(H166, 'Baumaterialien Matériaux'!$A$11:$AH$318, 32,FALSE))*($L$2/L166-1),0)/$G$1</f>
        <v>0</v>
      </c>
      <c r="BO166" s="720">
        <f t="shared" si="431"/>
        <v>0</v>
      </c>
    </row>
    <row r="167" spans="2:67">
      <c r="B167" s="1103"/>
      <c r="C167" s="1099"/>
      <c r="D167" s="478"/>
      <c r="E167" s="478"/>
      <c r="F167" s="483"/>
      <c r="G167" s="478"/>
      <c r="H167" s="478"/>
      <c r="I167" s="641"/>
      <c r="J167" s="649"/>
      <c r="K167" s="647"/>
      <c r="L167" s="647"/>
      <c r="M167" s="648"/>
      <c r="N167" s="720"/>
      <c r="O167" s="720"/>
      <c r="P167" s="720"/>
      <c r="Q167" s="720"/>
      <c r="R167" s="720"/>
      <c r="S167" s="720"/>
      <c r="T167" s="720">
        <f t="shared" si="410"/>
        <v>0</v>
      </c>
      <c r="V167" s="638">
        <f t="shared" si="374"/>
        <v>0</v>
      </c>
      <c r="W167" s="638">
        <f t="shared" si="375"/>
        <v>0</v>
      </c>
      <c r="Y167" s="638">
        <f t="shared" si="269"/>
        <v>0</v>
      </c>
      <c r="Z167" s="638">
        <f t="shared" si="362"/>
        <v>0</v>
      </c>
      <c r="AA167" s="664" t="s">
        <v>3448</v>
      </c>
      <c r="AB167">
        <f>_xlfn.XLOOKUP($H167,'[1]Baumaterialien Matériaux'!$A:$A,'[1]Baumaterialien Matériaux'!AK:AK,0,0)</f>
        <v>0</v>
      </c>
      <c r="AC167" t="str" cm="1">
        <f t="array" ref="AC167">_xlfn.SWITCH(I167,"kg"," ",0," ",_xlfn.XLOOKUP(H167, '[1]Baumaterialien Matériaux'!$A:$A, '[1]Baumaterialien Matériaux'!$AL:$AL, "-", 0, 1))</f>
        <v xml:space="preserve"> </v>
      </c>
      <c r="AD167" s="622" cm="1">
        <f t="array" ref="AD167">IFERROR(_xlfn.SWITCH(I167,"kg",1,"m3",AC167,AC167)*J167/(_xlfn.XLOOKUP(AA167,Métrés!A:A,Métrés!D:D,0)),0)</f>
        <v>0</v>
      </c>
      <c r="AE167" s="1092">
        <f>IFERROR(N167*$G$1/(_xlfn.XLOOKUP($AA167,Métrés!$A:$A,Métrés!$D:$D,0)),0)</f>
        <v>0</v>
      </c>
      <c r="AF167" s="1092">
        <f>IFERROR(O167*$G$1/(_xlfn.XLOOKUP($AA167,Métrés!$A:$A,Métrés!$D:$D,0)),0)</f>
        <v>0</v>
      </c>
      <c r="AG167" s="1092">
        <f>IFERROR(Q167*$G$1/(_xlfn.XLOOKUP($AA167,Métrés!$A:$A,Métrés!$D:$D,0)),0)</f>
        <v>0</v>
      </c>
      <c r="AH167" s="1092">
        <f>IFERROR(R167*$G$1/(_xlfn.XLOOKUP($AA167,Métrés!$A:$A,Métrés!$D:$D,0)),0)</f>
        <v>0</v>
      </c>
      <c r="AI167" s="1092">
        <f>IFERROR(S167*$G$1/(_xlfn.XLOOKUP($AA167,Métrés!$A:$A,Métrés!$D:$D,0)),0)</f>
        <v>0</v>
      </c>
      <c r="AJ167" s="1030"/>
      <c r="AK167" s="1030">
        <f t="shared" si="411"/>
        <v>0</v>
      </c>
      <c r="AL167" s="1030">
        <f t="shared" si="412"/>
        <v>0</v>
      </c>
      <c r="AM167" s="638">
        <f t="shared" si="413"/>
        <v>0</v>
      </c>
      <c r="AN167" s="1032">
        <f t="shared" si="414"/>
        <v>0</v>
      </c>
      <c r="AO167" s="1030">
        <f t="shared" si="415"/>
        <v>0</v>
      </c>
      <c r="AP167" s="1030">
        <f t="shared" si="416"/>
        <v>0</v>
      </c>
      <c r="AQ167" s="1030">
        <f t="shared" si="417"/>
        <v>0</v>
      </c>
      <c r="AR167" s="1033">
        <f t="shared" si="418"/>
        <v>0</v>
      </c>
      <c r="AS167" s="1032">
        <f t="shared" si="419"/>
        <v>0</v>
      </c>
      <c r="AT167" s="1030">
        <f t="shared" si="420"/>
        <v>0</v>
      </c>
      <c r="AU167" s="1030">
        <f t="shared" si="420"/>
        <v>0</v>
      </c>
      <c r="AV167" s="1030">
        <f t="shared" si="421"/>
        <v>0</v>
      </c>
      <c r="AW167" s="1033">
        <f t="shared" si="421"/>
        <v>0</v>
      </c>
      <c r="AX167" s="1032">
        <f t="shared" si="422"/>
        <v>0</v>
      </c>
      <c r="AY167" s="1030">
        <f t="shared" si="423"/>
        <v>0</v>
      </c>
      <c r="AZ167" s="1030">
        <f t="shared" si="423"/>
        <v>0</v>
      </c>
      <c r="BA167" s="1030">
        <f t="shared" si="424"/>
        <v>0</v>
      </c>
      <c r="BB167" s="1033">
        <f t="shared" si="424"/>
        <v>0</v>
      </c>
      <c r="BC167" s="1032">
        <f t="shared" si="425"/>
        <v>0</v>
      </c>
      <c r="BD167" s="1030">
        <f t="shared" si="426"/>
        <v>0</v>
      </c>
      <c r="BE167" s="1030">
        <f t="shared" si="426"/>
        <v>0</v>
      </c>
      <c r="BF167" s="1033">
        <f t="shared" si="427"/>
        <v>0</v>
      </c>
      <c r="BG167" s="1032">
        <f t="shared" si="428"/>
        <v>0</v>
      </c>
      <c r="BH167" s="1030">
        <f t="shared" si="429"/>
        <v>0</v>
      </c>
      <c r="BI167" s="1033">
        <f t="shared" si="430"/>
        <v>0</v>
      </c>
      <c r="BJ167" s="1030">
        <f>_xlfn.XLOOKUP(H167, 'Baumaterialien Matériaux'!A:A, 'Baumaterialien Matériaux'!E:E, "-", 0, 1)</f>
        <v>0</v>
      </c>
      <c r="BK167" s="1032">
        <f t="shared" si="356"/>
        <v>0</v>
      </c>
      <c r="BL167" s="1030">
        <f t="shared" si="357"/>
        <v>0</v>
      </c>
      <c r="BM167" s="1033">
        <f t="shared" si="358"/>
        <v>0</v>
      </c>
    </row>
    <row r="168" spans="2:67">
      <c r="B168" s="1103"/>
      <c r="C168" s="1099"/>
      <c r="D168" s="478"/>
      <c r="E168" s="478"/>
      <c r="F168" s="478"/>
      <c r="G168" s="478"/>
      <c r="H168" s="478"/>
      <c r="I168" s="641"/>
      <c r="J168" s="649"/>
      <c r="K168" s="647"/>
      <c r="L168" s="647"/>
      <c r="M168" s="648"/>
      <c r="T168" s="720">
        <f t="shared" si="410"/>
        <v>0</v>
      </c>
      <c r="V168" s="638">
        <f t="shared" si="374"/>
        <v>0</v>
      </c>
      <c r="W168" s="638">
        <f t="shared" si="375"/>
        <v>0</v>
      </c>
      <c r="Y168" s="638">
        <f t="shared" si="269"/>
        <v>0</v>
      </c>
      <c r="Z168" s="638">
        <f t="shared" si="362"/>
        <v>0</v>
      </c>
      <c r="AA168" s="664" t="s">
        <v>3448</v>
      </c>
      <c r="AB168">
        <f>_xlfn.XLOOKUP($H168,'[1]Baumaterialien Matériaux'!$A:$A,'[1]Baumaterialien Matériaux'!AK:AK,0,0)</f>
        <v>0</v>
      </c>
      <c r="AC168" t="str" cm="1">
        <f t="array" ref="AC168">_xlfn.SWITCH(I168,"kg"," ",0," ",_xlfn.XLOOKUP(H168, '[1]Baumaterialien Matériaux'!$A:$A, '[1]Baumaterialien Matériaux'!$AL:$AL, "-", 0, 1))</f>
        <v xml:space="preserve"> </v>
      </c>
      <c r="AD168" s="622" cm="1">
        <f t="array" ref="AD168">IFERROR(_xlfn.SWITCH(I168,"kg",1,"m3",AC168,AC168)*J168/(_xlfn.XLOOKUP(AA168,Métrés!A:A,Métrés!D:D,0)),0)</f>
        <v>0</v>
      </c>
      <c r="AE168" s="1092">
        <f>IFERROR(N168*$G$1/(_xlfn.XLOOKUP($AA168,Métrés!$A:$A,Métrés!$D:$D,0)),0)</f>
        <v>0</v>
      </c>
      <c r="AF168" s="1092">
        <f>IFERROR(O168*$G$1/(_xlfn.XLOOKUP($AA168,Métrés!$A:$A,Métrés!$D:$D,0)),0)</f>
        <v>0</v>
      </c>
      <c r="AG168" s="1092">
        <f>IFERROR(Q168*$G$1/(_xlfn.XLOOKUP($AA168,Métrés!$A:$A,Métrés!$D:$D,0)),0)</f>
        <v>0</v>
      </c>
      <c r="AH168" s="1092">
        <f>IFERROR(R168*$G$1/(_xlfn.XLOOKUP($AA168,Métrés!$A:$A,Métrés!$D:$D,0)),0)</f>
        <v>0</v>
      </c>
      <c r="AI168" s="1092">
        <f>IFERROR(S168*$G$1/(_xlfn.XLOOKUP($AA168,Métrés!$A:$A,Métrés!$D:$D,0)),0)</f>
        <v>0</v>
      </c>
      <c r="AJ168" s="1030"/>
      <c r="AK168" s="1030">
        <f t="shared" si="411"/>
        <v>0</v>
      </c>
      <c r="AL168" s="1030">
        <f t="shared" si="412"/>
        <v>0</v>
      </c>
      <c r="AM168" s="638">
        <f t="shared" si="413"/>
        <v>0</v>
      </c>
      <c r="AN168" s="1032">
        <f t="shared" si="414"/>
        <v>0</v>
      </c>
      <c r="AO168" s="1030">
        <f t="shared" si="415"/>
        <v>0</v>
      </c>
      <c r="AP168" s="1030">
        <f t="shared" si="416"/>
        <v>0</v>
      </c>
      <c r="AQ168" s="1030">
        <f t="shared" si="417"/>
        <v>0</v>
      </c>
      <c r="AR168" s="1033">
        <f t="shared" si="418"/>
        <v>0</v>
      </c>
      <c r="AS168" s="1032">
        <f t="shared" si="419"/>
        <v>0</v>
      </c>
      <c r="AT168" s="1030">
        <f t="shared" si="420"/>
        <v>0</v>
      </c>
      <c r="AU168" s="1030">
        <f t="shared" si="420"/>
        <v>0</v>
      </c>
      <c r="AV168" s="1030">
        <f t="shared" si="421"/>
        <v>0</v>
      </c>
      <c r="AW168" s="1033">
        <f t="shared" si="421"/>
        <v>0</v>
      </c>
      <c r="AX168" s="1032">
        <f t="shared" si="422"/>
        <v>0</v>
      </c>
      <c r="AY168" s="1030">
        <f t="shared" si="423"/>
        <v>0</v>
      </c>
      <c r="AZ168" s="1030">
        <f t="shared" si="423"/>
        <v>0</v>
      </c>
      <c r="BA168" s="1030">
        <f t="shared" si="424"/>
        <v>0</v>
      </c>
      <c r="BB168" s="1033">
        <f t="shared" si="424"/>
        <v>0</v>
      </c>
      <c r="BC168" s="1032">
        <f t="shared" si="425"/>
        <v>0</v>
      </c>
      <c r="BD168" s="1030">
        <f t="shared" si="426"/>
        <v>0</v>
      </c>
      <c r="BE168" s="1030">
        <f t="shared" si="426"/>
        <v>0</v>
      </c>
      <c r="BF168" s="1033">
        <f t="shared" si="427"/>
        <v>0</v>
      </c>
      <c r="BG168" s="1032">
        <f t="shared" si="428"/>
        <v>0</v>
      </c>
      <c r="BH168" s="1030">
        <f t="shared" si="429"/>
        <v>0</v>
      </c>
      <c r="BI168" s="1033">
        <f t="shared" si="430"/>
        <v>0</v>
      </c>
      <c r="BJ168" s="1030">
        <f>_xlfn.XLOOKUP(H168, 'Baumaterialien Matériaux'!A:A, 'Baumaterialien Matériaux'!E:E, "-", 0, 1)</f>
        <v>0</v>
      </c>
      <c r="BK168" s="1032">
        <f t="shared" si="356"/>
        <v>0</v>
      </c>
      <c r="BL168" s="1030">
        <f t="shared" si="357"/>
        <v>0</v>
      </c>
      <c r="BM168" s="1033">
        <f t="shared" si="358"/>
        <v>0</v>
      </c>
    </row>
    <row r="169" spans="2:67">
      <c r="B169" s="1103"/>
      <c r="C169" s="1099"/>
      <c r="D169" s="478" t="s">
        <v>2984</v>
      </c>
      <c r="E169" s="479" t="str">
        <f>BillQuantities!E28</f>
        <v>Dalle en béton 25cm (avec enduit intérieur)</v>
      </c>
      <c r="F169" s="479"/>
      <c r="G169" s="479"/>
      <c r="H169" s="479"/>
      <c r="I169" s="459" t="s">
        <v>39</v>
      </c>
      <c r="J169" s="662">
        <v>486.76</v>
      </c>
      <c r="K169" s="663"/>
      <c r="L169" s="663"/>
      <c r="M169" s="664">
        <f ca="1">SUM(M170:M176)</f>
        <v>53.494345864568878</v>
      </c>
      <c r="N169" s="664">
        <f t="shared" ref="N169:T169" si="435">SUM(N170:N176)</f>
        <v>38.98547410149623</v>
      </c>
      <c r="O169" s="664">
        <f t="shared" ref="O169" si="436">SUM(O170:O176)</f>
        <v>11.012997289614598</v>
      </c>
      <c r="P169" s="664">
        <f t="shared" ca="1" si="435"/>
        <v>0</v>
      </c>
      <c r="Q169" s="664">
        <f t="shared" si="435"/>
        <v>3.4958744734580556</v>
      </c>
      <c r="R169" s="664">
        <f t="shared" ref="R169" si="437">SUM(R170:R176)</f>
        <v>1.4610630034595977</v>
      </c>
      <c r="S169" s="664">
        <f t="shared" si="435"/>
        <v>38.501853266051143</v>
      </c>
      <c r="T169" s="664">
        <f t="shared" si="435"/>
        <v>-10.010481849173297</v>
      </c>
      <c r="V169" s="638">
        <f t="shared" si="374"/>
        <v>-10.010481849173297</v>
      </c>
      <c r="W169" s="638">
        <f t="shared" si="375"/>
        <v>38.501853266051143</v>
      </c>
      <c r="Y169" s="638">
        <f t="shared" si="269"/>
        <v>0</v>
      </c>
      <c r="Z169" s="638">
        <f t="shared" si="362"/>
        <v>0</v>
      </c>
      <c r="AB169">
        <f>_xlfn.XLOOKUP($H169,'[1]Baumaterialien Matériaux'!$A:$A,'[1]Baumaterialien Matériaux'!AK:AK,0,0)</f>
        <v>0</v>
      </c>
      <c r="AC169" cm="1">
        <f t="array" ref="AC169">_xlfn.SWITCH(I169,"kg"," ",0," ",_xlfn.XLOOKUP(H169, '[1]Baumaterialien Matériaux'!$A:$A, '[1]Baumaterialien Matériaux'!$AL:$AL, "-", 0, 1))</f>
        <v>0</v>
      </c>
      <c r="AD169" s="622" cm="1">
        <f t="array" ref="AD169">IFERROR(_xlfn.SWITCH(I169,"kg",1,"m3",AC169,AC169)*J169/(_xlfn.XLOOKUP(AA169,Métrés!A:A,Métrés!D:D,0)),0)</f>
        <v>0</v>
      </c>
      <c r="AE169" s="1092">
        <f>IFERROR(N169*$G$1/(_xlfn.XLOOKUP($AA169,Métrés!$A:$A,Métrés!$D:$D,0)),0)</f>
        <v>0</v>
      </c>
      <c r="AF169" s="1092">
        <f>IFERROR(O169*$G$1/(_xlfn.XLOOKUP($AA169,Métrés!$A:$A,Métrés!$D:$D,0)),0)</f>
        <v>0</v>
      </c>
      <c r="AG169" s="1092">
        <f>IFERROR(Q169*$G$1/(_xlfn.XLOOKUP($AA169,Métrés!$A:$A,Métrés!$D:$D,0)),0)</f>
        <v>0</v>
      </c>
      <c r="AH169" s="1092">
        <f>IFERROR(R169*$G$1/(_xlfn.XLOOKUP($AA169,Métrés!$A:$A,Métrés!$D:$D,0)),0)</f>
        <v>0</v>
      </c>
      <c r="AI169" s="1092">
        <f>IFERROR(S169*$G$1/(_xlfn.XLOOKUP($AA169,Métrés!$A:$A,Métrés!$D:$D,0)),0)</f>
        <v>0</v>
      </c>
      <c r="AJ169" s="1064"/>
      <c r="AK169" s="1064"/>
      <c r="AL169" s="1064"/>
      <c r="AM169" s="1021"/>
      <c r="AN169" s="1073"/>
      <c r="AO169" s="1064"/>
      <c r="AP169" s="1064"/>
      <c r="AQ169" s="1064"/>
      <c r="AR169" s="1074"/>
      <c r="AS169" s="1073"/>
      <c r="AT169" s="1064"/>
      <c r="AU169" s="1064"/>
      <c r="AV169" s="1064"/>
      <c r="AW169" s="1074"/>
      <c r="AX169" s="1073"/>
      <c r="AY169" s="1064"/>
      <c r="AZ169" s="1064"/>
      <c r="BA169" s="1064"/>
      <c r="BB169" s="1074"/>
      <c r="BC169" s="1073"/>
      <c r="BD169" s="1064"/>
      <c r="BE169" s="1064"/>
      <c r="BF169" s="1074"/>
      <c r="BG169" s="1073"/>
      <c r="BH169" s="1064"/>
      <c r="BI169" s="1074"/>
      <c r="BJ169" s="1078"/>
      <c r="BK169" s="1073"/>
      <c r="BL169" s="1064"/>
      <c r="BM169" s="1074"/>
    </row>
    <row r="170" spans="2:67">
      <c r="B170" s="1103"/>
      <c r="C170" s="1099"/>
      <c r="D170" s="478"/>
      <c r="E170" s="478"/>
      <c r="F170" s="483" t="s">
        <v>3285</v>
      </c>
      <c r="G170" s="478" t="str">
        <f>_xlfn.XLOOKUP(H170, 'Baumaterialien Matériaux'!A:A, 'Baumaterialien Matériaux'!AD:AD, "-", 0, 1)</f>
        <v>Béton pour bâtiment (sans armature)</v>
      </c>
      <c r="H170" s="891">
        <v>1.0019999999999998</v>
      </c>
      <c r="I170" s="641" t="str">
        <f>_xlfn.XLOOKUP(H170, 'Baumaterialien Matériaux'!A:A, 'Baumaterialien Matériaux'!F:F, "-", 0, 1)</f>
        <v>kg</v>
      </c>
      <c r="J170" s="649">
        <f>$J$169*K170</f>
        <v>156736.72000000003</v>
      </c>
      <c r="K170" s="893">
        <f>0.14*2300</f>
        <v>322.00000000000006</v>
      </c>
      <c r="L170" s="647" cm="1">
        <f t="array" aca="1" ref="L170" ca="1">INDEX('Eléments de constr. inté. et ex'!N46:N88, 'Eléments de constr. inté. et ex'!W56)</f>
        <v>60</v>
      </c>
      <c r="M170" s="648">
        <f t="shared" ref="M170:M172" ca="1" si="438">SUM(N170:Q170)</f>
        <v>21.11996304180164</v>
      </c>
      <c r="N170" s="720">
        <f>IFERROR(($J170*VLOOKUP($H170, 'Baumaterialien Matériaux'!$A$11:$AD$318, 26,FALSE)),0)/$G$1</f>
        <v>15.334854604349841</v>
      </c>
      <c r="O170" s="720">
        <f>IFERROR(($J170*VLOOKUP($H170, 'Baumaterialien Matériaux'!$A$11:$AH$318, 33,FALSE)),0)/$G$1</f>
        <v>3.5919479253432058</v>
      </c>
      <c r="P170" s="720">
        <f ca="1">IFERROR((N170+Q170)*($L$2/L170-1),0)</f>
        <v>0</v>
      </c>
      <c r="Q170" s="720">
        <f>IFERROR(($J170*VLOOKUP($H170, 'Baumaterialien Matériaux'!$A$11:$AH$318, 27,FALSE)),0)/$G$1</f>
        <v>2.1931605121085922</v>
      </c>
      <c r="R170" s="720">
        <f>IFERROR(($J170*VLOOKUP($H170, 'Baumaterialien Matériaux'!$A$11:$AH$318, 34,FALSE)),0)/$G$1</f>
        <v>0.46280867499614387</v>
      </c>
      <c r="S170" s="720">
        <f>IFERROR((J170*VLOOKUP(H170, 'Baumaterialien Matériaux'!$A$11:$AD$318, 29,FALSE)),0)/$G$1</f>
        <v>0</v>
      </c>
      <c r="T170" s="720">
        <f t="shared" ref="T170:T177" si="439">S170*AJ170</f>
        <v>0</v>
      </c>
      <c r="V170" s="638">
        <f t="shared" ca="1" si="374"/>
        <v>0</v>
      </c>
      <c r="W170" s="638">
        <f t="shared" ca="1" si="375"/>
        <v>0</v>
      </c>
      <c r="Y170" s="638" t="str">
        <f t="shared" ca="1" si="269"/>
        <v>Structure</v>
      </c>
      <c r="Z170" s="638">
        <f t="shared" ca="1" si="362"/>
        <v>60</v>
      </c>
      <c r="AA170" s="648" t="s">
        <v>3458</v>
      </c>
      <c r="AB170" t="str">
        <f>_xlfn.XLOOKUP($H170,'[1]Baumaterialien Matériaux'!$A:$A,'[1]Baumaterialien Matériaux'!AK:AK,0,0)</f>
        <v>concrete</v>
      </c>
      <c r="AC170" t="str" cm="1">
        <f t="array" ref="AC170">_xlfn.SWITCH(I170,"kg"," ",0," ",_xlfn.XLOOKUP(H170, '[1]Baumaterialien Matériaux'!$A:$A, '[1]Baumaterialien Matériaux'!$AL:$AL, "-", 0, 1))</f>
        <v xml:space="preserve"> </v>
      </c>
      <c r="AD170" s="622" cm="1">
        <f t="array" ref="AD170">IFERROR(_xlfn.SWITCH(I170,"kg",1,"m3",AC170,AC170)*J170/(_xlfn.XLOOKUP(AA170,Métrés!A:A,Métrés!D:D,0)),0)</f>
        <v>322.00000000000006</v>
      </c>
      <c r="AE170" s="1092">
        <f>IFERROR(N170*$G$1/(_xlfn.XLOOKUP($AA170,Métrés!$A:$A,Métrés!$D:$D,0)),0)</f>
        <v>28.593600000000006</v>
      </c>
      <c r="AF170" s="1092">
        <f>IFERROR(O170*$G$1/(_xlfn.XLOOKUP($AA170,Métrés!$A:$A,Métrés!$D:$D,0)),0)</f>
        <v>6.6976000000000004</v>
      </c>
      <c r="AG170" s="1092">
        <f>IFERROR(Q170*$G$1/(_xlfn.XLOOKUP($AA170,Métrés!$A:$A,Métrés!$D:$D,0)),0)</f>
        <v>4.0894000000000013</v>
      </c>
      <c r="AH170" s="1092">
        <f>IFERROR(R170*$G$1/(_xlfn.XLOOKUP($AA170,Métrés!$A:$A,Métrés!$D:$D,0)),0)</f>
        <v>0.86296000000000017</v>
      </c>
      <c r="AI170" s="1092">
        <f>IFERROR(S170*$G$1/(_xlfn.XLOOKUP($AA170,Métrés!$A:$A,Métrés!$D:$D,0)),0)</f>
        <v>0</v>
      </c>
      <c r="AJ170" s="1030"/>
      <c r="AK170" s="1030">
        <f t="shared" ref="AK170:AK177" ca="1" si="440">IF(L170=60,0,T170)</f>
        <v>0</v>
      </c>
      <c r="AL170" s="1030">
        <f t="shared" ref="AL170:AL177" ca="1" si="441">IF(L170=60,0,S170)</f>
        <v>0</v>
      </c>
      <c r="AM170" s="638" t="str">
        <f t="shared" ref="AM170:AM177" ca="1" si="442">IF(L170=$L$2, "Structure", IF(L170&gt;0,"Revêtement",0))</f>
        <v>Structure</v>
      </c>
      <c r="AN170" s="1032">
        <f t="shared" ref="AN170:AN177" ca="1" si="443">IF(AM170="Structure",N170,0)</f>
        <v>15.334854604349841</v>
      </c>
      <c r="AO170" s="1030">
        <f t="shared" ref="AO170:AO177" ca="1" si="444">IF(AM170="Structure",P170,0)</f>
        <v>0</v>
      </c>
      <c r="AP170" s="1030">
        <f t="shared" ref="AP170:AP177" ca="1" si="445">IF(AM170="Structure",Q170,0)</f>
        <v>2.1931605121085922</v>
      </c>
      <c r="AQ170" s="1030">
        <f t="shared" ref="AQ170:AQ177" ca="1" si="446">IF(AM170="Structure",S170,0)</f>
        <v>0</v>
      </c>
      <c r="AR170" s="1033">
        <f t="shared" ref="AR170:AR177" ca="1" si="447">IF(AM170="Structure",T170,0)</f>
        <v>0</v>
      </c>
      <c r="AS170" s="1032">
        <f t="shared" ref="AS170:AS177" ca="1" si="448">IF($AM170="Insulation",N170,0)</f>
        <v>0</v>
      </c>
      <c r="AT170" s="1030">
        <f t="shared" ref="AT170:AU177" ca="1" si="449">IF($AM170="Insulation",P170,0)</f>
        <v>0</v>
      </c>
      <c r="AU170" s="1030">
        <f t="shared" ca="1" si="449"/>
        <v>0</v>
      </c>
      <c r="AV170" s="1030">
        <f t="shared" ref="AV170:AW177" ca="1" si="450">IF($AM170="Insulation",S170,0)</f>
        <v>0</v>
      </c>
      <c r="AW170" s="1033">
        <f t="shared" ca="1" si="450"/>
        <v>0</v>
      </c>
      <c r="AX170" s="1032">
        <f t="shared" ref="AX170:AX177" ca="1" si="451">IF($AM170="Revêtement",N170,0)</f>
        <v>0</v>
      </c>
      <c r="AY170" s="1030">
        <f t="shared" ref="AY170:AZ177" ca="1" si="452">IF($AM170="Revêtement",P170,0)</f>
        <v>0</v>
      </c>
      <c r="AZ170" s="1030">
        <f t="shared" ca="1" si="452"/>
        <v>0</v>
      </c>
      <c r="BA170" s="1030">
        <f t="shared" ref="BA170:BB177" ca="1" si="453">IF($AM170="Revêtement",S170,0)</f>
        <v>0</v>
      </c>
      <c r="BB170" s="1033">
        <f t="shared" ca="1" si="453"/>
        <v>0</v>
      </c>
      <c r="BC170" s="1032">
        <f t="shared" ref="BC170:BC177" ca="1" si="454">IF($AM170="Installation",N170,0)</f>
        <v>0</v>
      </c>
      <c r="BD170" s="1030">
        <f t="shared" ref="BD170:BE177" ca="1" si="455">IF($AM170="Installation",P170,0)</f>
        <v>0</v>
      </c>
      <c r="BE170" s="1030">
        <f t="shared" ca="1" si="455"/>
        <v>0</v>
      </c>
      <c r="BF170" s="1033">
        <f t="shared" ref="BF170:BF177" ca="1" si="456">IF($AM170="Installation",S170,0)</f>
        <v>0</v>
      </c>
      <c r="BG170" s="1032">
        <f t="shared" ref="BG170:BG177" ca="1" si="457">IF($AM170="Structure", IF($I170="kg",$J170,0), 0)</f>
        <v>156736.72000000003</v>
      </c>
      <c r="BH170" s="1030">
        <f t="shared" ref="BH170:BH177" ca="1" si="458">IF($AM170="Insulation", IF($I170="kg",$J170,0), 0)</f>
        <v>0</v>
      </c>
      <c r="BI170" s="1033">
        <f t="shared" ref="BI170:BI177" ca="1" si="459">IF($AM170="Revêtement", IF($I170="kg",$J170,0), 0)</f>
        <v>0</v>
      </c>
      <c r="BJ170" s="1030">
        <f>_xlfn.XLOOKUP(H170, 'Baumaterialien Matériaux'!A:A, 'Baumaterialien Matériaux'!E:E, "-", 0, 1)</f>
        <v>2300</v>
      </c>
      <c r="BK170" s="1032">
        <f t="shared" ca="1" si="356"/>
        <v>68.146400000000014</v>
      </c>
      <c r="BL170" s="1030">
        <f t="shared" ca="1" si="357"/>
        <v>0</v>
      </c>
      <c r="BM170" s="1033">
        <f t="shared" ca="1" si="358"/>
        <v>0</v>
      </c>
      <c r="BN170" s="720">
        <f ca="1">IFERROR((J170*VLOOKUP(H170, 'Baumaterialien Matériaux'!$A$11:$AH$318, 32,FALSE))*($L$2/L170-1),0)/$G$1</f>
        <v>0</v>
      </c>
      <c r="BO170" s="720">
        <f t="shared" ref="BO170:BO176" ca="1" si="460">IFERROR((N170+Q170)*($L$2/L170-1),0)</f>
        <v>0</v>
      </c>
    </row>
    <row r="171" spans="2:67">
      <c r="B171" s="1103"/>
      <c r="C171" s="1099"/>
      <c r="D171" s="478"/>
      <c r="E171" s="478"/>
      <c r="F171" s="638" t="s">
        <v>3008</v>
      </c>
      <c r="G171" s="478" t="str">
        <f>_xlfn.XLOOKUP(H171, 'Baumaterialien Matériaux'!A:A, 'Baumaterialien Matériaux'!AD:AD, "-", 0, 1)</f>
        <v>Acier d'armature</v>
      </c>
      <c r="H171" s="892" t="s">
        <v>497</v>
      </c>
      <c r="I171" s="641" t="str">
        <f>_xlfn.XLOOKUP(H171, 'Baumaterialien Matériaux'!A:A, 'Baumaterialien Matériaux'!F:F, "-", 0, 1)</f>
        <v>kg</v>
      </c>
      <c r="J171" s="649">
        <f t="shared" ref="J171:J172" si="461">$J$169*K171</f>
        <v>10221.960000000001</v>
      </c>
      <c r="K171" s="894">
        <f>0.14*150</f>
        <v>21.000000000000004</v>
      </c>
      <c r="L171" s="647" cm="1">
        <f t="array" aca="1" ref="L171" ca="1">INDEX('Eléments de constr. inté. et ex'!N47:N89, 'Eléments de constr. inté. et ex'!W57)</f>
        <v>60</v>
      </c>
      <c r="M171" s="648">
        <f t="shared" ca="1" si="438"/>
        <v>20.310573438223045</v>
      </c>
      <c r="N171" s="720">
        <f>IFERROR(($J171*VLOOKUP($H171, 'Baumaterialien Matériaux'!$A$11:$AD$318, 26,FALSE)),0)/$G$1</f>
        <v>16.893567792688572</v>
      </c>
      <c r="O171" s="720">
        <f>IFERROR(($J171*VLOOKUP($H171, 'Baumaterialien Matériaux'!$A$11:$AH$318, 33,FALSE)),0)/$G$1</f>
        <v>3.2773521517815829</v>
      </c>
      <c r="P171" s="720">
        <f t="shared" ref="P171:P172" ca="1" si="462">IFERROR((N171+Q171)*($L$2/L171-1),0)</f>
        <v>0</v>
      </c>
      <c r="Q171" s="720">
        <f>IFERROR(($J171*VLOOKUP($H171, 'Baumaterialien Matériaux'!$A$11:$AH$318, 27,FALSE)),0)/$G$1</f>
        <v>0.13965349375289218</v>
      </c>
      <c r="R171" s="720">
        <f>IFERROR(($J171*VLOOKUP($H171, 'Baumaterialien Matériaux'!$A$11:$AH$318, 34,FALSE)),0)/$G$1</f>
        <v>0</v>
      </c>
      <c r="S171" s="720">
        <f>IFERROR((J171*VLOOKUP(H171, 'Baumaterialien Matériaux'!$A$11:$AD$318, 29,FALSE)),0)/$G$1</f>
        <v>0</v>
      </c>
      <c r="T171" s="720">
        <f t="shared" si="439"/>
        <v>0</v>
      </c>
      <c r="V171" s="638">
        <f t="shared" ca="1" si="374"/>
        <v>0</v>
      </c>
      <c r="W171" s="638">
        <f t="shared" ca="1" si="375"/>
        <v>0</v>
      </c>
      <c r="Y171" s="638" t="str">
        <f t="shared" ca="1" si="269"/>
        <v>Structure</v>
      </c>
      <c r="Z171" s="638">
        <f t="shared" ca="1" si="362"/>
        <v>60</v>
      </c>
      <c r="AA171" s="648" t="s">
        <v>3458</v>
      </c>
      <c r="AB171" t="str">
        <f>_xlfn.XLOOKUP($H171,'[1]Baumaterialien Matériaux'!$A:$A,'[1]Baumaterialien Matériaux'!AK:AK,0,0)</f>
        <v>metal</v>
      </c>
      <c r="AC171" t="str" cm="1">
        <f t="array" ref="AC171">_xlfn.SWITCH(I171,"kg"," ",0," ",_xlfn.XLOOKUP(H171, '[1]Baumaterialien Matériaux'!$A:$A, '[1]Baumaterialien Matériaux'!$AL:$AL, "-", 0, 1))</f>
        <v xml:space="preserve"> </v>
      </c>
      <c r="AD171" s="622" cm="1">
        <f t="array" ref="AD171">IFERROR(_xlfn.SWITCH(I171,"kg",1,"m3",AC171,AC171)*J171/(_xlfn.XLOOKUP(AA171,Métrés!A:A,Métrés!D:D,0)),0)</f>
        <v>21.000000000000004</v>
      </c>
      <c r="AE171" s="1092">
        <f>IFERROR(N171*$G$1/(_xlfn.XLOOKUP($AA171,Métrés!$A:$A,Métrés!$D:$D,0)),0)</f>
        <v>31.500000000000007</v>
      </c>
      <c r="AF171" s="1092">
        <f>IFERROR(O171*$G$1/(_xlfn.XLOOKUP($AA171,Métrés!$A:$A,Métrés!$D:$D,0)),0)</f>
        <v>6.1110000000000007</v>
      </c>
      <c r="AG171" s="1092">
        <f>IFERROR(Q171*$G$1/(_xlfn.XLOOKUP($AA171,Métrés!$A:$A,Métrés!$D:$D,0)),0)</f>
        <v>0.26040000000000002</v>
      </c>
      <c r="AH171" s="1092">
        <f>IFERROR(R171*$G$1/(_xlfn.XLOOKUP($AA171,Métrés!$A:$A,Métrés!$D:$D,0)),0)</f>
        <v>0</v>
      </c>
      <c r="AI171" s="1092">
        <f>IFERROR(S171*$G$1/(_xlfn.XLOOKUP($AA171,Métrés!$A:$A,Métrés!$D:$D,0)),0)</f>
        <v>0</v>
      </c>
      <c r="AJ171" s="1030"/>
      <c r="AK171" s="1030">
        <f t="shared" ca="1" si="440"/>
        <v>0</v>
      </c>
      <c r="AL171" s="1030">
        <f t="shared" ca="1" si="441"/>
        <v>0</v>
      </c>
      <c r="AM171" s="638" t="str">
        <f t="shared" ca="1" si="442"/>
        <v>Structure</v>
      </c>
      <c r="AN171" s="1032">
        <f t="shared" ca="1" si="443"/>
        <v>16.893567792688572</v>
      </c>
      <c r="AO171" s="1030">
        <f t="shared" ca="1" si="444"/>
        <v>0</v>
      </c>
      <c r="AP171" s="1030">
        <f t="shared" ca="1" si="445"/>
        <v>0.13965349375289218</v>
      </c>
      <c r="AQ171" s="1030">
        <f t="shared" ca="1" si="446"/>
        <v>0</v>
      </c>
      <c r="AR171" s="1033">
        <f t="shared" ca="1" si="447"/>
        <v>0</v>
      </c>
      <c r="AS171" s="1032">
        <f t="shared" ca="1" si="448"/>
        <v>0</v>
      </c>
      <c r="AT171" s="1030">
        <f t="shared" ca="1" si="449"/>
        <v>0</v>
      </c>
      <c r="AU171" s="1030">
        <f t="shared" ca="1" si="449"/>
        <v>0</v>
      </c>
      <c r="AV171" s="1030">
        <f t="shared" ca="1" si="450"/>
        <v>0</v>
      </c>
      <c r="AW171" s="1033">
        <f t="shared" ca="1" si="450"/>
        <v>0</v>
      </c>
      <c r="AX171" s="1032">
        <f t="shared" ca="1" si="451"/>
        <v>0</v>
      </c>
      <c r="AY171" s="1030">
        <f t="shared" ca="1" si="452"/>
        <v>0</v>
      </c>
      <c r="AZ171" s="1030">
        <f t="shared" ca="1" si="452"/>
        <v>0</v>
      </c>
      <c r="BA171" s="1030">
        <f t="shared" ca="1" si="453"/>
        <v>0</v>
      </c>
      <c r="BB171" s="1033">
        <f t="shared" ca="1" si="453"/>
        <v>0</v>
      </c>
      <c r="BC171" s="1032">
        <f t="shared" ca="1" si="454"/>
        <v>0</v>
      </c>
      <c r="BD171" s="1030">
        <f t="shared" ca="1" si="455"/>
        <v>0</v>
      </c>
      <c r="BE171" s="1030">
        <f t="shared" ca="1" si="455"/>
        <v>0</v>
      </c>
      <c r="BF171" s="1033">
        <f t="shared" ca="1" si="456"/>
        <v>0</v>
      </c>
      <c r="BG171" s="1032">
        <f t="shared" ca="1" si="457"/>
        <v>10221.960000000001</v>
      </c>
      <c r="BH171" s="1030">
        <f t="shared" ca="1" si="458"/>
        <v>0</v>
      </c>
      <c r="BI171" s="1033">
        <f t="shared" ca="1" si="459"/>
        <v>0</v>
      </c>
      <c r="BJ171" s="1030">
        <f>_xlfn.XLOOKUP(H171, 'Baumaterialien Matériaux'!A:A, 'Baumaterialien Matériaux'!E:E, "-", 0, 1)</f>
        <v>7850</v>
      </c>
      <c r="BK171" s="1032">
        <f t="shared" ca="1" si="356"/>
        <v>1.3021605095541402</v>
      </c>
      <c r="BL171" s="1030">
        <f t="shared" ca="1" si="357"/>
        <v>0</v>
      </c>
      <c r="BM171" s="1033">
        <f t="shared" ca="1" si="358"/>
        <v>0</v>
      </c>
      <c r="BN171" s="720">
        <f ca="1">IFERROR((J171*VLOOKUP(H171, 'Baumaterialien Matériaux'!$A$11:$AH$318, 32,FALSE))*($L$2/L171-1),0)/$G$1</f>
        <v>0</v>
      </c>
      <c r="BO171" s="720">
        <f t="shared" ca="1" si="460"/>
        <v>0</v>
      </c>
    </row>
    <row r="172" spans="2:67">
      <c r="B172" s="1103"/>
      <c r="C172" s="1099"/>
      <c r="D172" s="478"/>
      <c r="E172" s="478"/>
      <c r="F172" s="483" t="s">
        <v>3286</v>
      </c>
      <c r="G172" s="478" t="str">
        <f>_xlfn.XLOOKUP(H172, 'Baumaterialien Matériaux'!A:A, 'Baumaterialien Matériaux'!AD:AD, "-", 0, 1)</f>
        <v>Bois lamellé-collé</v>
      </c>
      <c r="H172" s="895" t="s">
        <v>1445</v>
      </c>
      <c r="I172" s="641" t="str">
        <f>_xlfn.XLOOKUP(H172, 'Baumaterialien Matériaux'!A:A, 'Baumaterialien Matériaux'!F:F, "-", 0, 1)</f>
        <v>kg</v>
      </c>
      <c r="J172" s="649">
        <f t="shared" si="461"/>
        <v>21368.764000000003</v>
      </c>
      <c r="K172" s="894">
        <f>0.1*439</f>
        <v>43.900000000000006</v>
      </c>
      <c r="L172" s="647">
        <v>60</v>
      </c>
      <c r="M172" s="648">
        <f t="shared" si="438"/>
        <v>12.063809384544193</v>
      </c>
      <c r="N172" s="720">
        <f>IFERROR(($J172*VLOOKUP($H172, 'Baumaterialien Matériaux'!$A$11:$AD$318, 26,FALSE)),0)/$G$1</f>
        <v>6.7570517044578136</v>
      </c>
      <c r="O172" s="720">
        <f>IFERROR(($J172*VLOOKUP($H172, 'Baumaterialien Matériaux'!$A$11:$AH$318, 33,FALSE)),0)/$G$1</f>
        <v>4.1436972124898084</v>
      </c>
      <c r="P172" s="720">
        <f t="shared" si="462"/>
        <v>0</v>
      </c>
      <c r="Q172" s="720">
        <f>IFERROR(($J172*VLOOKUP($H172, 'Baumaterialien Matériaux'!$A$11:$AH$318, 27,FALSE)),0)/$G$1</f>
        <v>1.1630604675965712</v>
      </c>
      <c r="R172" s="720">
        <f>IFERROR(($J172*VLOOKUP($H172, 'Baumaterialien Matériaux'!$A$11:$AH$318, 34,FALSE)),0)/$G$1</f>
        <v>0.99825432846345397</v>
      </c>
      <c r="S172" s="720">
        <f>IFERROR((J172*VLOOKUP(H172, 'Baumaterialien Matériaux'!$A$11:$AD$318, 29,FALSE)),0)/$G$1</f>
        <v>38.501853266051143</v>
      </c>
      <c r="T172" s="720">
        <f t="shared" si="439"/>
        <v>-10.010481849173297</v>
      </c>
      <c r="U172" s="638">
        <v>-0.26</v>
      </c>
      <c r="V172" s="638">
        <f t="shared" si="374"/>
        <v>0</v>
      </c>
      <c r="W172" s="638">
        <f t="shared" si="375"/>
        <v>0</v>
      </c>
      <c r="Y172" s="638" t="str">
        <f t="shared" si="269"/>
        <v>Structure</v>
      </c>
      <c r="Z172" s="638">
        <f t="shared" si="362"/>
        <v>60</v>
      </c>
      <c r="AA172" s="648" t="s">
        <v>3458</v>
      </c>
      <c r="AB172" t="str">
        <f>_xlfn.XLOOKUP($H172,'[1]Baumaterialien Matériaux'!$A:$A,'[1]Baumaterialien Matériaux'!AK:AK,0,0)</f>
        <v>timber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 s="622" cm="1">
        <f t="array" ref="AD172">IFERROR(_xlfn.SWITCH(I172,"kg",1,"m3",AC172,AC172)*J172/(_xlfn.XLOOKUP(AA172,Métrés!A:A,Métrés!D:D,0)),0)</f>
        <v>43.900000000000006</v>
      </c>
      <c r="AE172" s="1092">
        <f>IFERROR(N172*$G$1/(_xlfn.XLOOKUP($AA172,Métrés!$A:$A,Métrés!$D:$D,0)),0)</f>
        <v>12.599300000000001</v>
      </c>
      <c r="AF172" s="1092">
        <f>IFERROR(O172*$G$1/(_xlfn.XLOOKUP($AA172,Métrés!$A:$A,Métrés!$D:$D,0)),0)</f>
        <v>7.7263999999999999</v>
      </c>
      <c r="AG172" s="1092">
        <f>IFERROR(Q172*$G$1/(_xlfn.XLOOKUP($AA172,Métrés!$A:$A,Métrés!$D:$D,0)),0)</f>
        <v>2.16866</v>
      </c>
      <c r="AH172" s="1092">
        <f>IFERROR(R172*$G$1/(_xlfn.XLOOKUP($AA172,Métrés!$A:$A,Métrés!$D:$D,0)),0)</f>
        <v>1.8613600000000001</v>
      </c>
      <c r="AI172" s="1092">
        <f>IFERROR(S172*$G$1/(_xlfn.XLOOKUP($AA172,Métrés!$A:$A,Métrés!$D:$D,0)),0)</f>
        <v>71.791133333333335</v>
      </c>
      <c r="AJ172" s="1030">
        <v>-0.26</v>
      </c>
      <c r="AK172" s="1030">
        <f t="shared" si="440"/>
        <v>0</v>
      </c>
      <c r="AL172" s="1030">
        <f t="shared" si="441"/>
        <v>0</v>
      </c>
      <c r="AM172" s="638" t="str">
        <f t="shared" si="442"/>
        <v>Structure</v>
      </c>
      <c r="AN172" s="1032">
        <f t="shared" si="443"/>
        <v>6.7570517044578136</v>
      </c>
      <c r="AO172" s="1030">
        <f t="shared" si="444"/>
        <v>0</v>
      </c>
      <c r="AP172" s="1030">
        <f t="shared" si="445"/>
        <v>1.1630604675965712</v>
      </c>
      <c r="AQ172" s="1030">
        <f t="shared" si="446"/>
        <v>38.501853266051143</v>
      </c>
      <c r="AR172" s="1033">
        <f t="shared" si="447"/>
        <v>-10.010481849173297</v>
      </c>
      <c r="AS172" s="1032">
        <f t="shared" si="448"/>
        <v>0</v>
      </c>
      <c r="AT172" s="1030">
        <f t="shared" si="449"/>
        <v>0</v>
      </c>
      <c r="AU172" s="1030">
        <f t="shared" si="449"/>
        <v>0</v>
      </c>
      <c r="AV172" s="1030">
        <f t="shared" si="450"/>
        <v>0</v>
      </c>
      <c r="AW172" s="1033">
        <f t="shared" si="450"/>
        <v>0</v>
      </c>
      <c r="AX172" s="1032">
        <f t="shared" si="451"/>
        <v>0</v>
      </c>
      <c r="AY172" s="1030">
        <f t="shared" si="452"/>
        <v>0</v>
      </c>
      <c r="AZ172" s="1030">
        <f t="shared" si="452"/>
        <v>0</v>
      </c>
      <c r="BA172" s="1030">
        <f t="shared" si="453"/>
        <v>0</v>
      </c>
      <c r="BB172" s="1033">
        <f t="shared" si="453"/>
        <v>0</v>
      </c>
      <c r="BC172" s="1032">
        <f t="shared" si="454"/>
        <v>0</v>
      </c>
      <c r="BD172" s="1030">
        <f t="shared" si="455"/>
        <v>0</v>
      </c>
      <c r="BE172" s="1030">
        <f t="shared" si="455"/>
        <v>0</v>
      </c>
      <c r="BF172" s="1033">
        <f t="shared" si="456"/>
        <v>0</v>
      </c>
      <c r="BG172" s="1032">
        <f t="shared" si="457"/>
        <v>21368.764000000003</v>
      </c>
      <c r="BH172" s="1030">
        <f t="shared" si="458"/>
        <v>0</v>
      </c>
      <c r="BI172" s="1033">
        <f t="shared" si="459"/>
        <v>0</v>
      </c>
      <c r="BJ172" s="1030">
        <f>_xlfn.XLOOKUP(H172, 'Baumaterialien Matériaux'!A:A, 'Baumaterialien Matériaux'!E:E, "-", 0, 1)</f>
        <v>439</v>
      </c>
      <c r="BK172" s="1032">
        <f t="shared" si="356"/>
        <v>48.676000000000009</v>
      </c>
      <c r="BL172" s="1030">
        <f t="shared" si="357"/>
        <v>0</v>
      </c>
      <c r="BM172" s="1033">
        <f t="shared" si="358"/>
        <v>0</v>
      </c>
      <c r="BN172" s="720">
        <f>IFERROR((J172*VLOOKUP(H172, 'Baumaterialien Matériaux'!$A$11:$AH$318, 32,FALSE))*($L$2/L172-1),0)/$G$1</f>
        <v>0</v>
      </c>
      <c r="BO172" s="720">
        <f t="shared" si="460"/>
        <v>0</v>
      </c>
    </row>
    <row r="173" spans="2:67">
      <c r="B173" s="1103"/>
      <c r="C173" s="1099"/>
      <c r="D173" s="478"/>
      <c r="E173" s="478"/>
      <c r="F173" s="483"/>
      <c r="G173" s="478"/>
      <c r="H173" s="478"/>
      <c r="I173" s="641"/>
      <c r="J173" s="649"/>
      <c r="K173" s="647"/>
      <c r="L173" s="647"/>
      <c r="M173" s="648"/>
      <c r="N173" s="720"/>
      <c r="O173" s="720"/>
      <c r="P173" s="720"/>
      <c r="Q173" s="720"/>
      <c r="R173" s="720"/>
      <c r="S173" s="720"/>
      <c r="T173" s="720">
        <f t="shared" si="439"/>
        <v>0</v>
      </c>
      <c r="V173" s="638">
        <f t="shared" si="374"/>
        <v>0</v>
      </c>
      <c r="W173" s="638">
        <f t="shared" si="375"/>
        <v>0</v>
      </c>
      <c r="Y173" s="638">
        <f t="shared" si="269"/>
        <v>0</v>
      </c>
      <c r="Z173" s="638">
        <f t="shared" si="362"/>
        <v>0</v>
      </c>
      <c r="AA173" s="648" t="s">
        <v>3458</v>
      </c>
      <c r="AB173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 s="622" cm="1">
        <f t="array" ref="AD173">IFERROR(_xlfn.SWITCH(I173,"kg",1,"m3",AC173,AC173)*J173/(_xlfn.XLOOKUP(AA173,Métrés!A:A,Métrés!D:D,0)),0)</f>
        <v>0</v>
      </c>
      <c r="AE173" s="1092">
        <f>IFERROR(N173*$G$1/(_xlfn.XLOOKUP($AA173,Métrés!$A:$A,Métrés!$D:$D,0)),0)</f>
        <v>0</v>
      </c>
      <c r="AF173" s="1092">
        <f>IFERROR(O173*$G$1/(_xlfn.XLOOKUP($AA173,Métrés!$A:$A,Métrés!$D:$D,0)),0)</f>
        <v>0</v>
      </c>
      <c r="AG173" s="1092">
        <f>IFERROR(Q173*$G$1/(_xlfn.XLOOKUP($AA173,Métrés!$A:$A,Métrés!$D:$D,0)),0)</f>
        <v>0</v>
      </c>
      <c r="AH173" s="1092">
        <f>IFERROR(R173*$G$1/(_xlfn.XLOOKUP($AA173,Métrés!$A:$A,Métrés!$D:$D,0)),0)</f>
        <v>0</v>
      </c>
      <c r="AI173" s="1092">
        <f>IFERROR(S173*$G$1/(_xlfn.XLOOKUP($AA173,Métrés!$A:$A,Métrés!$D:$D,0)),0)</f>
        <v>0</v>
      </c>
      <c r="AJ173" s="1030"/>
      <c r="AK173" s="1030">
        <f t="shared" si="440"/>
        <v>0</v>
      </c>
      <c r="AL173" s="1030">
        <f t="shared" si="441"/>
        <v>0</v>
      </c>
      <c r="AM173" s="638">
        <f t="shared" si="442"/>
        <v>0</v>
      </c>
      <c r="AN173" s="1032">
        <f t="shared" si="443"/>
        <v>0</v>
      </c>
      <c r="AO173" s="1030">
        <f t="shared" si="444"/>
        <v>0</v>
      </c>
      <c r="AP173" s="1030">
        <f t="shared" si="445"/>
        <v>0</v>
      </c>
      <c r="AQ173" s="1030">
        <f t="shared" si="446"/>
        <v>0</v>
      </c>
      <c r="AR173" s="1033">
        <f t="shared" si="447"/>
        <v>0</v>
      </c>
      <c r="AS173" s="1032">
        <f t="shared" si="448"/>
        <v>0</v>
      </c>
      <c r="AT173" s="1030">
        <f t="shared" si="449"/>
        <v>0</v>
      </c>
      <c r="AU173" s="1030">
        <f t="shared" si="449"/>
        <v>0</v>
      </c>
      <c r="AV173" s="1030">
        <f t="shared" si="450"/>
        <v>0</v>
      </c>
      <c r="AW173" s="1033">
        <f t="shared" si="450"/>
        <v>0</v>
      </c>
      <c r="AX173" s="1032">
        <f t="shared" si="451"/>
        <v>0</v>
      </c>
      <c r="AY173" s="1030">
        <f t="shared" si="452"/>
        <v>0</v>
      </c>
      <c r="AZ173" s="1030">
        <f t="shared" si="452"/>
        <v>0</v>
      </c>
      <c r="BA173" s="1030">
        <f t="shared" si="453"/>
        <v>0</v>
      </c>
      <c r="BB173" s="1033">
        <f t="shared" si="453"/>
        <v>0</v>
      </c>
      <c r="BC173" s="1032">
        <f t="shared" si="454"/>
        <v>0</v>
      </c>
      <c r="BD173" s="1030">
        <f t="shared" si="455"/>
        <v>0</v>
      </c>
      <c r="BE173" s="1030">
        <f t="shared" si="455"/>
        <v>0</v>
      </c>
      <c r="BF173" s="1033">
        <f t="shared" si="456"/>
        <v>0</v>
      </c>
      <c r="BG173" s="1032">
        <f t="shared" si="457"/>
        <v>0</v>
      </c>
      <c r="BH173" s="1030">
        <f t="shared" si="458"/>
        <v>0</v>
      </c>
      <c r="BI173" s="1033">
        <f t="shared" si="459"/>
        <v>0</v>
      </c>
      <c r="BJ173" s="1030">
        <f>_xlfn.XLOOKUP(H173, 'Baumaterialien Matériaux'!A:A, 'Baumaterialien Matériaux'!E:E, "-", 0, 1)</f>
        <v>0</v>
      </c>
      <c r="BK173" s="1032">
        <f t="shared" si="356"/>
        <v>0</v>
      </c>
      <c r="BL173" s="1030">
        <f t="shared" si="357"/>
        <v>0</v>
      </c>
      <c r="BM173" s="1033">
        <f t="shared" si="358"/>
        <v>0</v>
      </c>
      <c r="BN173" s="720">
        <f>IFERROR((J173*VLOOKUP(H173, 'Baumaterialien Matériaux'!$A$11:$AH$318, 32,FALSE))*($L$2/L173-1),0)/$G$1</f>
        <v>0</v>
      </c>
      <c r="BO173" s="720">
        <f t="shared" si="460"/>
        <v>0</v>
      </c>
    </row>
    <row r="174" spans="2:67">
      <c r="B174" s="1103"/>
      <c r="C174" s="1099"/>
      <c r="D174" s="478"/>
      <c r="E174" s="478"/>
      <c r="F174" s="483"/>
      <c r="G174" s="478"/>
      <c r="H174" s="478"/>
      <c r="I174" s="641"/>
      <c r="J174" s="649"/>
      <c r="K174" s="647"/>
      <c r="L174" s="647"/>
      <c r="M174" s="648"/>
      <c r="N174" s="720"/>
      <c r="O174" s="720"/>
      <c r="P174" s="720"/>
      <c r="Q174" s="720"/>
      <c r="R174" s="720"/>
      <c r="S174" s="720"/>
      <c r="T174" s="720">
        <f t="shared" si="439"/>
        <v>0</v>
      </c>
      <c r="V174" s="638">
        <f t="shared" si="374"/>
        <v>0</v>
      </c>
      <c r="W174" s="638">
        <f t="shared" si="375"/>
        <v>0</v>
      </c>
      <c r="Y174" s="638">
        <f t="shared" si="269"/>
        <v>0</v>
      </c>
      <c r="Z174" s="638">
        <f t="shared" si="362"/>
        <v>0</v>
      </c>
      <c r="AA174" s="648" t="s">
        <v>3458</v>
      </c>
      <c r="AB174">
        <f>_xlfn.XLOOKUP($H174,'[1]Baumaterialien Matériaux'!$A:$A,'[1]Baumaterialien Matériaux'!AK:AK,0,0)</f>
        <v>0</v>
      </c>
      <c r="AC174" t="str" cm="1">
        <f t="array" ref="AC174">_xlfn.SWITCH(I174,"kg"," ",0," ",_xlfn.XLOOKUP(H174, '[1]Baumaterialien Matériaux'!$A:$A, '[1]Baumaterialien Matériaux'!$AL:$AL, "-", 0, 1))</f>
        <v xml:space="preserve"> </v>
      </c>
      <c r="AD174" s="622" cm="1">
        <f t="array" ref="AD174">IFERROR(_xlfn.SWITCH(I174,"kg",1,"m3",AC174,AC174)*J174/(_xlfn.XLOOKUP(AA174,Métrés!A:A,Métrés!D:D,0)),0)</f>
        <v>0</v>
      </c>
      <c r="AE174" s="1092">
        <f>IFERROR(N174*$G$1/(_xlfn.XLOOKUP($AA174,Métrés!$A:$A,Métrés!$D:$D,0)),0)</f>
        <v>0</v>
      </c>
      <c r="AF174" s="1092">
        <f>IFERROR(O174*$G$1/(_xlfn.XLOOKUP($AA174,Métrés!$A:$A,Métrés!$D:$D,0)),0)</f>
        <v>0</v>
      </c>
      <c r="AG174" s="1092">
        <f>IFERROR(Q174*$G$1/(_xlfn.XLOOKUP($AA174,Métrés!$A:$A,Métrés!$D:$D,0)),0)</f>
        <v>0</v>
      </c>
      <c r="AH174" s="1092">
        <f>IFERROR(R174*$G$1/(_xlfn.XLOOKUP($AA174,Métrés!$A:$A,Métrés!$D:$D,0)),0)</f>
        <v>0</v>
      </c>
      <c r="AI174" s="1092">
        <f>IFERROR(S174*$G$1/(_xlfn.XLOOKUP($AA174,Métrés!$A:$A,Métrés!$D:$D,0)),0)</f>
        <v>0</v>
      </c>
      <c r="AJ174" s="1030"/>
      <c r="AK174" s="1030">
        <f t="shared" si="440"/>
        <v>0</v>
      </c>
      <c r="AL174" s="1030">
        <f t="shared" si="441"/>
        <v>0</v>
      </c>
      <c r="AM174" s="638">
        <f t="shared" si="442"/>
        <v>0</v>
      </c>
      <c r="AN174" s="1032">
        <f t="shared" si="443"/>
        <v>0</v>
      </c>
      <c r="AO174" s="1030">
        <f t="shared" si="444"/>
        <v>0</v>
      </c>
      <c r="AP174" s="1030">
        <f t="shared" si="445"/>
        <v>0</v>
      </c>
      <c r="AQ174" s="1030">
        <f t="shared" si="446"/>
        <v>0</v>
      </c>
      <c r="AR174" s="1033">
        <f t="shared" si="447"/>
        <v>0</v>
      </c>
      <c r="AS174" s="1032">
        <f t="shared" si="448"/>
        <v>0</v>
      </c>
      <c r="AT174" s="1030">
        <f t="shared" si="449"/>
        <v>0</v>
      </c>
      <c r="AU174" s="1030">
        <f t="shared" si="449"/>
        <v>0</v>
      </c>
      <c r="AV174" s="1030">
        <f t="shared" si="450"/>
        <v>0</v>
      </c>
      <c r="AW174" s="1033">
        <f t="shared" si="450"/>
        <v>0</v>
      </c>
      <c r="AX174" s="1032">
        <f t="shared" si="451"/>
        <v>0</v>
      </c>
      <c r="AY174" s="1030">
        <f t="shared" si="452"/>
        <v>0</v>
      </c>
      <c r="AZ174" s="1030">
        <f t="shared" si="452"/>
        <v>0</v>
      </c>
      <c r="BA174" s="1030">
        <f t="shared" si="453"/>
        <v>0</v>
      </c>
      <c r="BB174" s="1033">
        <f t="shared" si="453"/>
        <v>0</v>
      </c>
      <c r="BC174" s="1032">
        <f t="shared" si="454"/>
        <v>0</v>
      </c>
      <c r="BD174" s="1030">
        <f t="shared" si="455"/>
        <v>0</v>
      </c>
      <c r="BE174" s="1030">
        <f t="shared" si="455"/>
        <v>0</v>
      </c>
      <c r="BF174" s="1033">
        <f t="shared" si="456"/>
        <v>0</v>
      </c>
      <c r="BG174" s="1032">
        <f t="shared" si="457"/>
        <v>0</v>
      </c>
      <c r="BH174" s="1030">
        <f t="shared" si="458"/>
        <v>0</v>
      </c>
      <c r="BI174" s="1033">
        <f t="shared" si="459"/>
        <v>0</v>
      </c>
      <c r="BJ174" s="1030">
        <f>_xlfn.XLOOKUP(H174, 'Baumaterialien Matériaux'!A:A, 'Baumaterialien Matériaux'!E:E, "-", 0, 1)</f>
        <v>0</v>
      </c>
      <c r="BK174" s="1032">
        <f t="shared" si="356"/>
        <v>0</v>
      </c>
      <c r="BL174" s="1030">
        <f t="shared" si="357"/>
        <v>0</v>
      </c>
      <c r="BM174" s="1033">
        <f t="shared" si="358"/>
        <v>0</v>
      </c>
      <c r="BN174" s="720">
        <f>IFERROR((J174*VLOOKUP(H174, 'Baumaterialien Matériaux'!$A$11:$AH$318, 32,FALSE))*($L$2/L174-1),0)/$G$1</f>
        <v>0</v>
      </c>
      <c r="BO174" s="720">
        <f t="shared" si="460"/>
        <v>0</v>
      </c>
    </row>
    <row r="175" spans="2:67">
      <c r="B175" s="1103"/>
      <c r="C175" s="1099"/>
      <c r="D175" s="478"/>
      <c r="E175" s="478"/>
      <c r="F175" s="483"/>
      <c r="G175" s="478"/>
      <c r="H175" s="478"/>
      <c r="I175" s="641"/>
      <c r="J175" s="649"/>
      <c r="K175" s="647"/>
      <c r="L175" s="647"/>
      <c r="M175" s="648"/>
      <c r="N175" s="720"/>
      <c r="O175" s="720"/>
      <c r="P175" s="720"/>
      <c r="Q175" s="720"/>
      <c r="R175" s="720"/>
      <c r="S175" s="720"/>
      <c r="T175" s="720">
        <f t="shared" si="439"/>
        <v>0</v>
      </c>
      <c r="V175" s="638">
        <f t="shared" si="374"/>
        <v>0</v>
      </c>
      <c r="W175" s="638">
        <f t="shared" si="375"/>
        <v>0</v>
      </c>
      <c r="Y175" s="638">
        <f t="shared" si="269"/>
        <v>0</v>
      </c>
      <c r="Z175" s="638">
        <f t="shared" si="362"/>
        <v>0</v>
      </c>
      <c r="AA175" s="648" t="s">
        <v>3458</v>
      </c>
      <c r="AB175">
        <f>_xlfn.XLOOKUP($H175,'[1]Baumaterialien Matériaux'!$A:$A,'[1]Baumaterialien Matériaux'!AK:AK,0,0)</f>
        <v>0</v>
      </c>
      <c r="AC175" t="str" cm="1">
        <f t="array" ref="AC175">_xlfn.SWITCH(I175,"kg"," ",0," ",_xlfn.XLOOKUP(H175, '[1]Baumaterialien Matériaux'!$A:$A, '[1]Baumaterialien Matériaux'!$AL:$AL, "-", 0, 1))</f>
        <v xml:space="preserve"> </v>
      </c>
      <c r="AD175" s="622" cm="1">
        <f t="array" ref="AD175">IFERROR(_xlfn.SWITCH(I175,"kg",1,"m3",AC175,AC175)*J175/(_xlfn.XLOOKUP(AA175,Métrés!A:A,Métrés!D:D,0)),0)</f>
        <v>0</v>
      </c>
      <c r="AE175" s="1092">
        <f>IFERROR(N175*$G$1/(_xlfn.XLOOKUP($AA175,Métrés!$A:$A,Métrés!$D:$D,0)),0)</f>
        <v>0</v>
      </c>
      <c r="AF175" s="1092">
        <f>IFERROR(O175*$G$1/(_xlfn.XLOOKUP($AA175,Métrés!$A:$A,Métrés!$D:$D,0)),0)</f>
        <v>0</v>
      </c>
      <c r="AG175" s="1092">
        <f>IFERROR(Q175*$G$1/(_xlfn.XLOOKUP($AA175,Métrés!$A:$A,Métrés!$D:$D,0)),0)</f>
        <v>0</v>
      </c>
      <c r="AH175" s="1092">
        <f>IFERROR(R175*$G$1/(_xlfn.XLOOKUP($AA175,Métrés!$A:$A,Métrés!$D:$D,0)),0)</f>
        <v>0</v>
      </c>
      <c r="AI175" s="1092">
        <f>IFERROR(S175*$G$1/(_xlfn.XLOOKUP($AA175,Métrés!$A:$A,Métrés!$D:$D,0)),0)</f>
        <v>0</v>
      </c>
      <c r="AJ175" s="1030"/>
      <c r="AK175" s="1030">
        <f t="shared" si="440"/>
        <v>0</v>
      </c>
      <c r="AL175" s="1030">
        <f t="shared" si="441"/>
        <v>0</v>
      </c>
      <c r="AM175" s="638">
        <f t="shared" si="442"/>
        <v>0</v>
      </c>
      <c r="AN175" s="1032">
        <f t="shared" si="443"/>
        <v>0</v>
      </c>
      <c r="AO175" s="1030">
        <f t="shared" si="444"/>
        <v>0</v>
      </c>
      <c r="AP175" s="1030">
        <f t="shared" si="445"/>
        <v>0</v>
      </c>
      <c r="AQ175" s="1030">
        <f t="shared" si="446"/>
        <v>0</v>
      </c>
      <c r="AR175" s="1033">
        <f t="shared" si="447"/>
        <v>0</v>
      </c>
      <c r="AS175" s="1032">
        <f t="shared" si="448"/>
        <v>0</v>
      </c>
      <c r="AT175" s="1030">
        <f t="shared" si="449"/>
        <v>0</v>
      </c>
      <c r="AU175" s="1030">
        <f t="shared" si="449"/>
        <v>0</v>
      </c>
      <c r="AV175" s="1030">
        <f t="shared" si="450"/>
        <v>0</v>
      </c>
      <c r="AW175" s="1033">
        <f t="shared" si="450"/>
        <v>0</v>
      </c>
      <c r="AX175" s="1032">
        <f t="shared" si="451"/>
        <v>0</v>
      </c>
      <c r="AY175" s="1030">
        <f t="shared" si="452"/>
        <v>0</v>
      </c>
      <c r="AZ175" s="1030">
        <f t="shared" si="452"/>
        <v>0</v>
      </c>
      <c r="BA175" s="1030">
        <f t="shared" si="453"/>
        <v>0</v>
      </c>
      <c r="BB175" s="1033">
        <f t="shared" si="453"/>
        <v>0</v>
      </c>
      <c r="BC175" s="1032">
        <f t="shared" si="454"/>
        <v>0</v>
      </c>
      <c r="BD175" s="1030">
        <f t="shared" si="455"/>
        <v>0</v>
      </c>
      <c r="BE175" s="1030">
        <f t="shared" si="455"/>
        <v>0</v>
      </c>
      <c r="BF175" s="1033">
        <f t="shared" si="456"/>
        <v>0</v>
      </c>
      <c r="BG175" s="1032">
        <f t="shared" si="457"/>
        <v>0</v>
      </c>
      <c r="BH175" s="1030">
        <f t="shared" si="458"/>
        <v>0</v>
      </c>
      <c r="BI175" s="1033">
        <f t="shared" si="459"/>
        <v>0</v>
      </c>
      <c r="BJ175" s="1030">
        <f>_xlfn.XLOOKUP(H175, 'Baumaterialien Matériaux'!A:A, 'Baumaterialien Matériaux'!E:E, "-", 0, 1)</f>
        <v>0</v>
      </c>
      <c r="BK175" s="1032">
        <f t="shared" si="356"/>
        <v>0</v>
      </c>
      <c r="BL175" s="1030">
        <f t="shared" si="357"/>
        <v>0</v>
      </c>
      <c r="BM175" s="1033">
        <f t="shared" si="358"/>
        <v>0</v>
      </c>
      <c r="BN175" s="720">
        <f>IFERROR((J175*VLOOKUP(H175, 'Baumaterialien Matériaux'!$A$11:$AH$318, 32,FALSE))*($L$2/L175-1),0)/$G$1</f>
        <v>0</v>
      </c>
      <c r="BO175" s="720">
        <f t="shared" si="460"/>
        <v>0</v>
      </c>
    </row>
    <row r="176" spans="2:67">
      <c r="B176" s="1103"/>
      <c r="C176" s="1099"/>
      <c r="D176" s="478"/>
      <c r="E176" s="478"/>
      <c r="F176" s="483"/>
      <c r="G176" s="478"/>
      <c r="H176" s="478"/>
      <c r="I176" s="641"/>
      <c r="J176" s="649"/>
      <c r="K176" s="647"/>
      <c r="L176" s="647"/>
      <c r="M176" s="648"/>
      <c r="N176" s="720"/>
      <c r="O176" s="720"/>
      <c r="P176" s="720"/>
      <c r="Q176" s="720"/>
      <c r="R176" s="720"/>
      <c r="S176" s="720"/>
      <c r="T176" s="720">
        <f t="shared" si="439"/>
        <v>0</v>
      </c>
      <c r="V176" s="638">
        <f t="shared" si="374"/>
        <v>0</v>
      </c>
      <c r="W176" s="638">
        <f t="shared" si="375"/>
        <v>0</v>
      </c>
      <c r="Y176" s="638">
        <f t="shared" si="269"/>
        <v>0</v>
      </c>
      <c r="Z176" s="638">
        <f t="shared" si="362"/>
        <v>0</v>
      </c>
      <c r="AA176" s="648" t="s">
        <v>3458</v>
      </c>
      <c r="AB176">
        <f>_xlfn.XLOOKUP($H176,'[1]Baumaterialien Matériaux'!$A:$A,'[1]Baumaterialien Matériaux'!AK:AK,0,0)</f>
        <v>0</v>
      </c>
      <c r="AC176" t="str" cm="1">
        <f t="array" ref="AC176">_xlfn.SWITCH(I176,"kg"," ",0," ",_xlfn.XLOOKUP(H176, '[1]Baumaterialien Matériaux'!$A:$A, '[1]Baumaterialien Matériaux'!$AL:$AL, "-", 0, 1))</f>
        <v xml:space="preserve"> </v>
      </c>
      <c r="AD176" s="622" cm="1">
        <f t="array" ref="AD176">IFERROR(_xlfn.SWITCH(I176,"kg",1,"m3",AC176,AC176)*J176/(_xlfn.XLOOKUP(AA176,Métrés!A:A,Métrés!D:D,0)),0)</f>
        <v>0</v>
      </c>
      <c r="AE176" s="1092">
        <f>IFERROR(N176*$G$1/(_xlfn.XLOOKUP($AA176,Métrés!$A:$A,Métrés!$D:$D,0)),0)</f>
        <v>0</v>
      </c>
      <c r="AF176" s="1092">
        <f>IFERROR(O176*$G$1/(_xlfn.XLOOKUP($AA176,Métrés!$A:$A,Métrés!$D:$D,0)),0)</f>
        <v>0</v>
      </c>
      <c r="AG176" s="1092">
        <f>IFERROR(Q176*$G$1/(_xlfn.XLOOKUP($AA176,Métrés!$A:$A,Métrés!$D:$D,0)),0)</f>
        <v>0</v>
      </c>
      <c r="AH176" s="1092">
        <f>IFERROR(R176*$G$1/(_xlfn.XLOOKUP($AA176,Métrés!$A:$A,Métrés!$D:$D,0)),0)</f>
        <v>0</v>
      </c>
      <c r="AI176" s="1092">
        <f>IFERROR(S176*$G$1/(_xlfn.XLOOKUP($AA176,Métrés!$A:$A,Métrés!$D:$D,0)),0)</f>
        <v>0</v>
      </c>
      <c r="AJ176" s="1030"/>
      <c r="AK176" s="1030">
        <f t="shared" si="440"/>
        <v>0</v>
      </c>
      <c r="AL176" s="1030">
        <f t="shared" si="441"/>
        <v>0</v>
      </c>
      <c r="AM176" s="638">
        <f t="shared" si="442"/>
        <v>0</v>
      </c>
      <c r="AN176" s="1032">
        <f t="shared" si="443"/>
        <v>0</v>
      </c>
      <c r="AO176" s="1030">
        <f t="shared" si="444"/>
        <v>0</v>
      </c>
      <c r="AP176" s="1030">
        <f t="shared" si="445"/>
        <v>0</v>
      </c>
      <c r="AQ176" s="1030">
        <f t="shared" si="446"/>
        <v>0</v>
      </c>
      <c r="AR176" s="1033">
        <f t="shared" si="447"/>
        <v>0</v>
      </c>
      <c r="AS176" s="1032">
        <f t="shared" si="448"/>
        <v>0</v>
      </c>
      <c r="AT176" s="1030">
        <f t="shared" si="449"/>
        <v>0</v>
      </c>
      <c r="AU176" s="1030">
        <f t="shared" si="449"/>
        <v>0</v>
      </c>
      <c r="AV176" s="1030">
        <f t="shared" si="450"/>
        <v>0</v>
      </c>
      <c r="AW176" s="1033">
        <f t="shared" si="450"/>
        <v>0</v>
      </c>
      <c r="AX176" s="1032">
        <f t="shared" si="451"/>
        <v>0</v>
      </c>
      <c r="AY176" s="1030">
        <f t="shared" si="452"/>
        <v>0</v>
      </c>
      <c r="AZ176" s="1030">
        <f t="shared" si="452"/>
        <v>0</v>
      </c>
      <c r="BA176" s="1030">
        <f t="shared" si="453"/>
        <v>0</v>
      </c>
      <c r="BB176" s="1033">
        <f t="shared" si="453"/>
        <v>0</v>
      </c>
      <c r="BC176" s="1032">
        <f t="shared" si="454"/>
        <v>0</v>
      </c>
      <c r="BD176" s="1030">
        <f t="shared" si="455"/>
        <v>0</v>
      </c>
      <c r="BE176" s="1030">
        <f t="shared" si="455"/>
        <v>0</v>
      </c>
      <c r="BF176" s="1033">
        <f t="shared" si="456"/>
        <v>0</v>
      </c>
      <c r="BG176" s="1032">
        <f t="shared" si="457"/>
        <v>0</v>
      </c>
      <c r="BH176" s="1030">
        <f t="shared" si="458"/>
        <v>0</v>
      </c>
      <c r="BI176" s="1033">
        <f t="shared" si="459"/>
        <v>0</v>
      </c>
      <c r="BJ176" s="1030">
        <f>_xlfn.XLOOKUP(H176, 'Baumaterialien Matériaux'!A:A, 'Baumaterialien Matériaux'!E:E, "-", 0, 1)</f>
        <v>0</v>
      </c>
      <c r="BK176" s="1032">
        <f t="shared" si="356"/>
        <v>0</v>
      </c>
      <c r="BL176" s="1030">
        <f t="shared" si="357"/>
        <v>0</v>
      </c>
      <c r="BM176" s="1033">
        <f t="shared" si="358"/>
        <v>0</v>
      </c>
      <c r="BO176" s="720">
        <f t="shared" si="460"/>
        <v>0</v>
      </c>
    </row>
    <row r="177" spans="2:67">
      <c r="B177" s="1103"/>
      <c r="C177" s="1099"/>
      <c r="D177" s="478"/>
      <c r="E177" s="478"/>
      <c r="F177" s="478"/>
      <c r="G177" s="478"/>
      <c r="H177" s="478"/>
      <c r="I177" s="641"/>
      <c r="J177" s="649"/>
      <c r="K177" s="647"/>
      <c r="L177" s="647"/>
      <c r="M177" s="648"/>
      <c r="T177" s="720">
        <f t="shared" si="439"/>
        <v>0</v>
      </c>
      <c r="V177" s="638">
        <f t="shared" si="374"/>
        <v>0</v>
      </c>
      <c r="W177" s="638">
        <f t="shared" si="375"/>
        <v>0</v>
      </c>
      <c r="Y177" s="638">
        <f t="shared" si="269"/>
        <v>0</v>
      </c>
      <c r="Z177" s="638">
        <f t="shared" si="362"/>
        <v>0</v>
      </c>
      <c r="AA177" s="648" t="s">
        <v>3458</v>
      </c>
      <c r="AB177">
        <f>_xlfn.XLOOKUP($H177,'[1]Baumaterialien Matériaux'!$A:$A,'[1]Baumaterialien Matériaux'!AK:AK,0,0)</f>
        <v>0</v>
      </c>
      <c r="AC177" t="str" cm="1">
        <f t="array" ref="AC177">_xlfn.SWITCH(I177,"kg"," ",0," ",_xlfn.XLOOKUP(H177, '[1]Baumaterialien Matériaux'!$A:$A, '[1]Baumaterialien Matériaux'!$AL:$AL, "-", 0, 1))</f>
        <v xml:space="preserve"> </v>
      </c>
      <c r="AD177" s="622" cm="1">
        <f t="array" ref="AD177">IFERROR(_xlfn.SWITCH(I177,"kg",1,"m3",AC177,AC177)*J177/(_xlfn.XLOOKUP(AA177,Métrés!A:A,Métrés!D:D,0)),0)</f>
        <v>0</v>
      </c>
      <c r="AE177" s="1092">
        <f>IFERROR(N177*$G$1/(_xlfn.XLOOKUP($AA177,Métrés!$A:$A,Métrés!$D:$D,0)),0)</f>
        <v>0</v>
      </c>
      <c r="AF177" s="1092">
        <f>IFERROR(O177*$G$1/(_xlfn.XLOOKUP($AA177,Métrés!$A:$A,Métrés!$D:$D,0)),0)</f>
        <v>0</v>
      </c>
      <c r="AG177" s="1092">
        <f>IFERROR(Q177*$G$1/(_xlfn.XLOOKUP($AA177,Métrés!$A:$A,Métrés!$D:$D,0)),0)</f>
        <v>0</v>
      </c>
      <c r="AH177" s="1092">
        <f>IFERROR(R177*$G$1/(_xlfn.XLOOKUP($AA177,Métrés!$A:$A,Métrés!$D:$D,0)),0)</f>
        <v>0</v>
      </c>
      <c r="AI177" s="1092">
        <f>IFERROR(S177*$G$1/(_xlfn.XLOOKUP($AA177,Métrés!$A:$A,Métrés!$D:$D,0)),0)</f>
        <v>0</v>
      </c>
      <c r="AJ177" s="1030"/>
      <c r="AK177" s="1030">
        <f t="shared" si="440"/>
        <v>0</v>
      </c>
      <c r="AL177" s="1030">
        <f t="shared" si="441"/>
        <v>0</v>
      </c>
      <c r="AM177" s="638">
        <f t="shared" si="442"/>
        <v>0</v>
      </c>
      <c r="AN177" s="1032">
        <f t="shared" si="443"/>
        <v>0</v>
      </c>
      <c r="AO177" s="1030">
        <f t="shared" si="444"/>
        <v>0</v>
      </c>
      <c r="AP177" s="1030">
        <f t="shared" si="445"/>
        <v>0</v>
      </c>
      <c r="AQ177" s="1030">
        <f t="shared" si="446"/>
        <v>0</v>
      </c>
      <c r="AR177" s="1033">
        <f t="shared" si="447"/>
        <v>0</v>
      </c>
      <c r="AS177" s="1032">
        <f t="shared" si="448"/>
        <v>0</v>
      </c>
      <c r="AT177" s="1030">
        <f t="shared" si="449"/>
        <v>0</v>
      </c>
      <c r="AU177" s="1030">
        <f t="shared" si="449"/>
        <v>0</v>
      </c>
      <c r="AV177" s="1030">
        <f t="shared" si="450"/>
        <v>0</v>
      </c>
      <c r="AW177" s="1033">
        <f t="shared" si="450"/>
        <v>0</v>
      </c>
      <c r="AX177" s="1032">
        <f t="shared" si="451"/>
        <v>0</v>
      </c>
      <c r="AY177" s="1030">
        <f t="shared" si="452"/>
        <v>0</v>
      </c>
      <c r="AZ177" s="1030">
        <f t="shared" si="452"/>
        <v>0</v>
      </c>
      <c r="BA177" s="1030">
        <f t="shared" si="453"/>
        <v>0</v>
      </c>
      <c r="BB177" s="1033">
        <f t="shared" si="453"/>
        <v>0</v>
      </c>
      <c r="BC177" s="1032">
        <f t="shared" si="454"/>
        <v>0</v>
      </c>
      <c r="BD177" s="1030">
        <f t="shared" si="455"/>
        <v>0</v>
      </c>
      <c r="BE177" s="1030">
        <f t="shared" si="455"/>
        <v>0</v>
      </c>
      <c r="BF177" s="1033">
        <f t="shared" si="456"/>
        <v>0</v>
      </c>
      <c r="BG177" s="1032">
        <f t="shared" si="457"/>
        <v>0</v>
      </c>
      <c r="BH177" s="1030">
        <f t="shared" si="458"/>
        <v>0</v>
      </c>
      <c r="BI177" s="1033">
        <f t="shared" si="459"/>
        <v>0</v>
      </c>
      <c r="BJ177" s="1030">
        <f>_xlfn.XLOOKUP(H177, 'Baumaterialien Matériaux'!A:A, 'Baumaterialien Matériaux'!E:E, "-", 0, 1)</f>
        <v>0</v>
      </c>
      <c r="BK177" s="1032">
        <f t="shared" si="356"/>
        <v>0</v>
      </c>
      <c r="BL177" s="1030">
        <f t="shared" si="357"/>
        <v>0</v>
      </c>
      <c r="BM177" s="1033">
        <f t="shared" si="358"/>
        <v>0</v>
      </c>
    </row>
    <row r="178" spans="2:67">
      <c r="B178" s="1103"/>
      <c r="C178" s="1098"/>
      <c r="D178" s="478" t="s">
        <v>28</v>
      </c>
      <c r="E178" s="479" t="str">
        <f>BillQuantities!E29</f>
        <v>Dalle en béton 25cm (avec enduit intérieur)</v>
      </c>
      <c r="F178" s="479"/>
      <c r="G178" s="479"/>
      <c r="H178" s="479"/>
      <c r="I178" s="459" t="s">
        <v>39</v>
      </c>
      <c r="J178" s="662"/>
      <c r="K178" s="663"/>
      <c r="L178" s="663"/>
      <c r="M178" s="664">
        <f>SUM(M179:M185)</f>
        <v>0</v>
      </c>
      <c r="N178" s="664">
        <f t="shared" ref="N178:S178" si="463">SUM(N179:N185)</f>
        <v>0</v>
      </c>
      <c r="O178" s="664">
        <f t="shared" ref="O178" si="464">SUM(O179:O185)</f>
        <v>0</v>
      </c>
      <c r="P178" s="664">
        <f t="shared" si="463"/>
        <v>0</v>
      </c>
      <c r="Q178" s="664">
        <f t="shared" si="463"/>
        <v>0</v>
      </c>
      <c r="R178" s="664">
        <f t="shared" ref="R178" si="465">SUM(R179:R185)</f>
        <v>0</v>
      </c>
      <c r="S178" s="664">
        <f t="shared" si="463"/>
        <v>0</v>
      </c>
      <c r="T178" s="664">
        <f t="shared" ref="T178" si="466">SUM(T179:T185)</f>
        <v>0</v>
      </c>
      <c r="V178" s="638">
        <f t="shared" si="374"/>
        <v>0</v>
      </c>
      <c r="W178" s="638">
        <f t="shared" si="375"/>
        <v>0</v>
      </c>
      <c r="Y178" s="638">
        <f t="shared" si="269"/>
        <v>0</v>
      </c>
      <c r="Z178" s="638">
        <f t="shared" si="362"/>
        <v>0</v>
      </c>
      <c r="AB178">
        <f>_xlfn.XLOOKUP($H178,'[1]Baumaterialien Matériaux'!$A:$A,'[1]Baumaterialien Matériaux'!AK:AK,0,0)</f>
        <v>0</v>
      </c>
      <c r="AC178" cm="1">
        <f t="array" ref="AC178">_xlfn.SWITCH(I178,"kg"," ",0," ",_xlfn.XLOOKUP(H178, '[1]Baumaterialien Matériaux'!$A:$A, '[1]Baumaterialien Matériaux'!$AL:$AL, "-", 0, 1))</f>
        <v>0</v>
      </c>
      <c r="AD178" s="622" cm="1">
        <f t="array" ref="AD178">IFERROR(_xlfn.SWITCH(I178,"kg",1,"m3",AC178,AC178)*J178/(_xlfn.XLOOKUP(AA178,Métrés!A:A,Métrés!D:D,0)),0)</f>
        <v>0</v>
      </c>
      <c r="AE178" s="1092">
        <f>IFERROR(N178*$G$1/(_xlfn.XLOOKUP($AA178,Métrés!$A:$A,Métrés!$D:$D,0)),0)</f>
        <v>0</v>
      </c>
      <c r="AF178" s="1092">
        <f>IFERROR(O178*$G$1/(_xlfn.XLOOKUP($AA178,Métrés!$A:$A,Métrés!$D:$D,0)),0)</f>
        <v>0</v>
      </c>
      <c r="AG178" s="1092">
        <f>IFERROR(Q178*$G$1/(_xlfn.XLOOKUP($AA178,Métrés!$A:$A,Métrés!$D:$D,0)),0)</f>
        <v>0</v>
      </c>
      <c r="AH178" s="1092">
        <f>IFERROR(R178*$G$1/(_xlfn.XLOOKUP($AA178,Métrés!$A:$A,Métrés!$D:$D,0)),0)</f>
        <v>0</v>
      </c>
      <c r="AI178" s="1092">
        <f>IFERROR(S178*$G$1/(_xlfn.XLOOKUP($AA178,Métrés!$A:$A,Métrés!$D:$D,0)),0)</f>
        <v>0</v>
      </c>
      <c r="AJ178" s="1064"/>
      <c r="AK178" s="1064"/>
      <c r="AL178" s="1064"/>
      <c r="AM178" s="1021"/>
      <c r="AN178" s="1073"/>
      <c r="AO178" s="1064"/>
      <c r="AP178" s="1064"/>
      <c r="AQ178" s="1064"/>
      <c r="AR178" s="1074"/>
      <c r="AS178" s="1073"/>
      <c r="AT178" s="1064"/>
      <c r="AU178" s="1064"/>
      <c r="AV178" s="1064"/>
      <c r="AW178" s="1074"/>
      <c r="AX178" s="1073"/>
      <c r="AY178" s="1064"/>
      <c r="AZ178" s="1064"/>
      <c r="BA178" s="1064"/>
      <c r="BB178" s="1074"/>
      <c r="BC178" s="1073"/>
      <c r="BD178" s="1064"/>
      <c r="BE178" s="1064"/>
      <c r="BF178" s="1074"/>
      <c r="BG178" s="1073"/>
      <c r="BH178" s="1064"/>
      <c r="BI178" s="1074"/>
      <c r="BJ178" s="1078"/>
      <c r="BK178" s="1073"/>
      <c r="BL178" s="1064"/>
      <c r="BM178" s="1074"/>
    </row>
    <row r="179" spans="2:67" ht="15.75" hidden="1" customHeight="1">
      <c r="B179" s="1103"/>
      <c r="C179" s="1099"/>
      <c r="D179" s="478"/>
      <c r="E179" s="478"/>
      <c r="F179" s="478"/>
      <c r="G179" s="478"/>
      <c r="H179" s="857"/>
      <c r="I179" s="457"/>
      <c r="J179" s="841"/>
      <c r="K179" s="527"/>
      <c r="L179" s="478"/>
      <c r="M179" s="648"/>
      <c r="N179" s="720"/>
      <c r="O179" s="720"/>
      <c r="P179" s="720"/>
      <c r="Q179" s="720"/>
      <c r="R179" s="720"/>
      <c r="S179" s="720"/>
      <c r="T179" s="720"/>
      <c r="V179" s="638">
        <f t="shared" si="374"/>
        <v>0</v>
      </c>
      <c r="W179" s="638">
        <f t="shared" si="375"/>
        <v>0</v>
      </c>
      <c r="Y179" s="638">
        <f t="shared" si="269"/>
        <v>0</v>
      </c>
      <c r="Z179" s="638">
        <f t="shared" si="362"/>
        <v>0</v>
      </c>
      <c r="AA179" s="664" t="s">
        <v>3477</v>
      </c>
      <c r="AB179">
        <f>_xlfn.XLOOKUP($H179,'[1]Baumaterialien Matériaux'!$A:$A,'[1]Baumaterialien Matériaux'!AK:AK,0,0)</f>
        <v>0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 s="622" cm="1">
        <f t="array" ref="AD179">IFERROR(_xlfn.SWITCH(I179,"kg",1,"m3",AC179,AC179)*J179/(_xlfn.XLOOKUP(AA179,Métrés!A:A,Métrés!D:D,0)),0)</f>
        <v>0</v>
      </c>
      <c r="AE179" s="1092">
        <f>IFERROR(N179*$G$1/(_xlfn.XLOOKUP($AA179,Métrés!$A:$A,Métrés!$D:$D,0)),0)</f>
        <v>0</v>
      </c>
      <c r="AF179" s="1092">
        <f>IFERROR(O179*$G$1/(_xlfn.XLOOKUP($AA179,Métrés!$A:$A,Métrés!$D:$D,0)),0)</f>
        <v>0</v>
      </c>
      <c r="AG179" s="1092">
        <f>IFERROR(Q179*$G$1/(_xlfn.XLOOKUP($AA179,Métrés!$A:$A,Métrés!$D:$D,0)),0)</f>
        <v>0</v>
      </c>
      <c r="AH179" s="1092">
        <f>IFERROR(R179*$G$1/(_xlfn.XLOOKUP($AA179,Métrés!$A:$A,Métrés!$D:$D,0)),0)</f>
        <v>0</v>
      </c>
      <c r="AI179" s="1092">
        <f>IFERROR(S179*$G$1/(_xlfn.XLOOKUP($AA179,Métrés!$A:$A,Métrés!$D:$D,0)),0)</f>
        <v>0</v>
      </c>
      <c r="AJ179" s="1030"/>
      <c r="AK179" s="1030">
        <f t="shared" ref="AK179:AK186" si="467">IF(L179=60,0,T179)</f>
        <v>0</v>
      </c>
      <c r="AL179" s="1030">
        <f t="shared" ref="AL179:AL186" si="468">IF(L179=60,0,S179)</f>
        <v>0</v>
      </c>
      <c r="AM179" s="638">
        <f t="shared" ref="AM179:AM186" si="469">IF(L179=$L$2, "Structure", IF(L179&gt;0,"Revêtement",0))</f>
        <v>0</v>
      </c>
      <c r="AN179" s="1032">
        <f t="shared" ref="AN179:AN186" si="470">IF(AM179="Structure",N179,0)</f>
        <v>0</v>
      </c>
      <c r="AO179" s="1030">
        <f t="shared" ref="AO179:AO186" si="471">IF(AM179="Structure",P179,0)</f>
        <v>0</v>
      </c>
      <c r="AP179" s="1030">
        <f t="shared" ref="AP179:AP186" si="472">IF(AM179="Structure",Q179,0)</f>
        <v>0</v>
      </c>
      <c r="AQ179" s="1030">
        <f t="shared" ref="AQ179:AQ186" si="473">IF(AM179="Structure",S179,0)</f>
        <v>0</v>
      </c>
      <c r="AR179" s="1033">
        <f t="shared" ref="AR179:AR186" si="474">IF(AM179="Structure",T179,0)</f>
        <v>0</v>
      </c>
      <c r="AS179" s="1032">
        <f t="shared" ref="AS179:AS186" si="475">IF($AM179="Insulation",N179,0)</f>
        <v>0</v>
      </c>
      <c r="AT179" s="1030">
        <f t="shared" ref="AT179:AU186" si="476">IF($AM179="Insulation",P179,0)</f>
        <v>0</v>
      </c>
      <c r="AU179" s="1030">
        <f t="shared" si="476"/>
        <v>0</v>
      </c>
      <c r="AV179" s="1030">
        <f t="shared" ref="AV179:AW186" si="477">IF($AM179="Insulation",S179,0)</f>
        <v>0</v>
      </c>
      <c r="AW179" s="1033">
        <f t="shared" si="477"/>
        <v>0</v>
      </c>
      <c r="AX179" s="1032">
        <f t="shared" ref="AX179:AX186" si="478">IF($AM179="Revêtement",N179,0)</f>
        <v>0</v>
      </c>
      <c r="AY179" s="1030">
        <f t="shared" ref="AY179:AZ186" si="479">IF($AM179="Revêtement",P179,0)</f>
        <v>0</v>
      </c>
      <c r="AZ179" s="1030">
        <f t="shared" si="479"/>
        <v>0</v>
      </c>
      <c r="BA179" s="1030">
        <f t="shared" ref="BA179:BB186" si="480">IF($AM179="Revêtement",S179,0)</f>
        <v>0</v>
      </c>
      <c r="BB179" s="1033">
        <f t="shared" si="480"/>
        <v>0</v>
      </c>
      <c r="BC179" s="1032">
        <f t="shared" ref="BC179:BC186" si="481">IF($AM179="Installation",N179,0)</f>
        <v>0</v>
      </c>
      <c r="BD179" s="1030">
        <f t="shared" ref="BD179:BE186" si="482">IF($AM179="Installation",P179,0)</f>
        <v>0</v>
      </c>
      <c r="BE179" s="1030">
        <f t="shared" si="482"/>
        <v>0</v>
      </c>
      <c r="BF179" s="1033">
        <f t="shared" ref="BF179:BF186" si="483">IF($AM179="Installation",S179,0)</f>
        <v>0</v>
      </c>
      <c r="BG179" s="1032">
        <f t="shared" ref="BG179:BG186" si="484">IF($AM179="Structure", IF($I179="kg",$J179,0), 0)</f>
        <v>0</v>
      </c>
      <c r="BH179" s="1030">
        <f t="shared" ref="BH179:BH186" si="485">IF($AM179="Insulation", IF($I179="kg",$J179,0), 0)</f>
        <v>0</v>
      </c>
      <c r="BI179" s="1033">
        <f t="shared" ref="BI179:BI186" si="486">IF($AM179="Revêtement", IF($I179="kg",$J179,0), 0)</f>
        <v>0</v>
      </c>
      <c r="BJ179" s="1030">
        <f>_xlfn.XLOOKUP(H179, 'Baumaterialien Matériaux'!A:A, 'Baumaterialien Matériaux'!E:E, "-", 0, 1)</f>
        <v>0</v>
      </c>
      <c r="BK179" s="1032">
        <f t="shared" si="356"/>
        <v>0</v>
      </c>
      <c r="BL179" s="1030">
        <f t="shared" si="357"/>
        <v>0</v>
      </c>
      <c r="BM179" s="1033">
        <f t="shared" si="358"/>
        <v>0</v>
      </c>
      <c r="BN179" s="720">
        <f>IFERROR((J179*VLOOKUP(H179, 'Baumaterialien Matériaux'!$A$11:$AH$318, 32,FALSE))*($L$2/L179-1),0)/$G$1</f>
        <v>0</v>
      </c>
      <c r="BO179" s="720">
        <f t="shared" ref="BO179:BO184" si="487">IFERROR((N179+Q179)*($L$2/L179-1),0)</f>
        <v>0</v>
      </c>
    </row>
    <row r="180" spans="2:67" ht="15.75" hidden="1" customHeight="1">
      <c r="B180" s="1103"/>
      <c r="C180" s="1099"/>
      <c r="D180" s="478"/>
      <c r="E180" s="478"/>
      <c r="F180" s="478"/>
      <c r="G180" s="478"/>
      <c r="H180" s="1012"/>
      <c r="I180" s="457"/>
      <c r="J180" s="841"/>
      <c r="K180" s="483"/>
      <c r="L180" s="478"/>
      <c r="M180" s="648"/>
      <c r="N180" s="720"/>
      <c r="O180" s="720"/>
      <c r="P180" s="720"/>
      <c r="Q180" s="720"/>
      <c r="R180" s="720"/>
      <c r="S180" s="720"/>
      <c r="T180" s="720"/>
      <c r="V180" s="638">
        <f t="shared" si="374"/>
        <v>0</v>
      </c>
      <c r="W180" s="638">
        <f t="shared" si="375"/>
        <v>0</v>
      </c>
      <c r="Y180" s="638">
        <f t="shared" si="269"/>
        <v>0</v>
      </c>
      <c r="Z180" s="638">
        <f t="shared" si="362"/>
        <v>0</v>
      </c>
      <c r="AA180" s="664" t="s">
        <v>3477</v>
      </c>
      <c r="AB180">
        <f>_xlfn.XLOOKUP($H180,'[1]Baumaterialien Matériaux'!$A:$A,'[1]Baumaterialien Matériaux'!AK:AK,0,0)</f>
        <v>0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 s="622" cm="1">
        <f t="array" ref="AD180">IFERROR(_xlfn.SWITCH(I180,"kg",1,"m3",AC180,AC180)*J180/(_xlfn.XLOOKUP(AA180,Métrés!A:A,Métrés!D:D,0)),0)</f>
        <v>0</v>
      </c>
      <c r="AE180" s="1092">
        <f>IFERROR(N180*$G$1/(_xlfn.XLOOKUP($AA180,Métrés!$A:$A,Métrés!$D:$D,0)),0)</f>
        <v>0</v>
      </c>
      <c r="AF180" s="1092">
        <f>IFERROR(O180*$G$1/(_xlfn.XLOOKUP($AA180,Métrés!$A:$A,Métrés!$D:$D,0)),0)</f>
        <v>0</v>
      </c>
      <c r="AG180" s="1092">
        <f>IFERROR(Q180*$G$1/(_xlfn.XLOOKUP($AA180,Métrés!$A:$A,Métrés!$D:$D,0)),0)</f>
        <v>0</v>
      </c>
      <c r="AH180" s="1092">
        <f>IFERROR(R180*$G$1/(_xlfn.XLOOKUP($AA180,Métrés!$A:$A,Métrés!$D:$D,0)),0)</f>
        <v>0</v>
      </c>
      <c r="AI180" s="1092">
        <f>IFERROR(S180*$G$1/(_xlfn.XLOOKUP($AA180,Métrés!$A:$A,Métrés!$D:$D,0)),0)</f>
        <v>0</v>
      </c>
      <c r="AJ180" s="1030"/>
      <c r="AK180" s="1030">
        <f t="shared" si="467"/>
        <v>0</v>
      </c>
      <c r="AL180" s="1030">
        <f t="shared" si="468"/>
        <v>0</v>
      </c>
      <c r="AM180" s="638">
        <f t="shared" si="469"/>
        <v>0</v>
      </c>
      <c r="AN180" s="1032">
        <f t="shared" si="470"/>
        <v>0</v>
      </c>
      <c r="AO180" s="1030">
        <f t="shared" si="471"/>
        <v>0</v>
      </c>
      <c r="AP180" s="1030">
        <f t="shared" si="472"/>
        <v>0</v>
      </c>
      <c r="AQ180" s="1030">
        <f t="shared" si="473"/>
        <v>0</v>
      </c>
      <c r="AR180" s="1033">
        <f t="shared" si="474"/>
        <v>0</v>
      </c>
      <c r="AS180" s="1032">
        <f t="shared" si="475"/>
        <v>0</v>
      </c>
      <c r="AT180" s="1030">
        <f t="shared" si="476"/>
        <v>0</v>
      </c>
      <c r="AU180" s="1030">
        <f t="shared" si="476"/>
        <v>0</v>
      </c>
      <c r="AV180" s="1030">
        <f t="shared" si="477"/>
        <v>0</v>
      </c>
      <c r="AW180" s="1033">
        <f t="shared" si="477"/>
        <v>0</v>
      </c>
      <c r="AX180" s="1032">
        <f t="shared" si="478"/>
        <v>0</v>
      </c>
      <c r="AY180" s="1030">
        <f t="shared" si="479"/>
        <v>0</v>
      </c>
      <c r="AZ180" s="1030">
        <f t="shared" si="479"/>
        <v>0</v>
      </c>
      <c r="BA180" s="1030">
        <f t="shared" si="480"/>
        <v>0</v>
      </c>
      <c r="BB180" s="1033">
        <f t="shared" si="480"/>
        <v>0</v>
      </c>
      <c r="BC180" s="1032">
        <f t="shared" si="481"/>
        <v>0</v>
      </c>
      <c r="BD180" s="1030">
        <f t="shared" si="482"/>
        <v>0</v>
      </c>
      <c r="BE180" s="1030">
        <f t="shared" si="482"/>
        <v>0</v>
      </c>
      <c r="BF180" s="1033">
        <f t="shared" si="483"/>
        <v>0</v>
      </c>
      <c r="BG180" s="1032">
        <f t="shared" si="484"/>
        <v>0</v>
      </c>
      <c r="BH180" s="1030">
        <f t="shared" si="485"/>
        <v>0</v>
      </c>
      <c r="BI180" s="1033">
        <f t="shared" si="486"/>
        <v>0</v>
      </c>
      <c r="BJ180" s="1030">
        <f>_xlfn.XLOOKUP(H180, 'Baumaterialien Matériaux'!A:A, 'Baumaterialien Matériaux'!E:E, "-", 0, 1)</f>
        <v>0</v>
      </c>
      <c r="BK180" s="1032">
        <f t="shared" si="356"/>
        <v>0</v>
      </c>
      <c r="BL180" s="1030">
        <f t="shared" si="357"/>
        <v>0</v>
      </c>
      <c r="BM180" s="1033">
        <f t="shared" si="358"/>
        <v>0</v>
      </c>
      <c r="BN180" s="720">
        <f>IFERROR((J180*VLOOKUP(H180, 'Baumaterialien Matériaux'!$A$11:$AH$318, 32,FALSE))*($L$2/L180-1),0)/$G$1</f>
        <v>0</v>
      </c>
      <c r="BO180" s="720">
        <f t="shared" si="487"/>
        <v>0</v>
      </c>
    </row>
    <row r="181" spans="2:67" ht="15.75" hidden="1" customHeight="1">
      <c r="B181" s="1103"/>
      <c r="C181" s="1099"/>
      <c r="D181" s="478"/>
      <c r="E181" s="478"/>
      <c r="F181" s="478"/>
      <c r="G181" s="478"/>
      <c r="H181" s="857"/>
      <c r="I181" s="457"/>
      <c r="J181" s="841"/>
      <c r="K181" s="483"/>
      <c r="L181" s="478"/>
      <c r="M181" s="648"/>
      <c r="N181" s="720"/>
      <c r="O181" s="720"/>
      <c r="P181" s="720"/>
      <c r="Q181" s="720"/>
      <c r="R181" s="720"/>
      <c r="S181" s="720"/>
      <c r="T181" s="720"/>
      <c r="V181" s="638">
        <f t="shared" si="374"/>
        <v>0</v>
      </c>
      <c r="W181" s="638">
        <f t="shared" si="375"/>
        <v>0</v>
      </c>
      <c r="Y181" s="638">
        <f t="shared" si="269"/>
        <v>0</v>
      </c>
      <c r="Z181" s="638">
        <f t="shared" si="362"/>
        <v>0</v>
      </c>
      <c r="AA181" s="664" t="s">
        <v>3477</v>
      </c>
      <c r="AB181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 s="622" cm="1">
        <f t="array" ref="AD181">IFERROR(_xlfn.SWITCH(I181,"kg",1,"m3",AC181,AC181)*J181/(_xlfn.XLOOKUP(AA181,Métrés!A:A,Métrés!D:D,0)),0)</f>
        <v>0</v>
      </c>
      <c r="AE181" s="1092">
        <f>IFERROR(N181*$G$1/(_xlfn.XLOOKUP($AA181,Métrés!$A:$A,Métrés!$D:$D,0)),0)</f>
        <v>0</v>
      </c>
      <c r="AF181" s="1092">
        <f>IFERROR(O181*$G$1/(_xlfn.XLOOKUP($AA181,Métrés!$A:$A,Métrés!$D:$D,0)),0)</f>
        <v>0</v>
      </c>
      <c r="AG181" s="1092">
        <f>IFERROR(Q181*$G$1/(_xlfn.XLOOKUP($AA181,Métrés!$A:$A,Métrés!$D:$D,0)),0)</f>
        <v>0</v>
      </c>
      <c r="AH181" s="1092">
        <f>IFERROR(R181*$G$1/(_xlfn.XLOOKUP($AA181,Métrés!$A:$A,Métrés!$D:$D,0)),0)</f>
        <v>0</v>
      </c>
      <c r="AI181" s="1092">
        <f>IFERROR(S181*$G$1/(_xlfn.XLOOKUP($AA181,Métrés!$A:$A,Métrés!$D:$D,0)),0)</f>
        <v>0</v>
      </c>
      <c r="AJ181" s="1030"/>
      <c r="AK181" s="1030">
        <f t="shared" si="467"/>
        <v>0</v>
      </c>
      <c r="AL181" s="1030">
        <f t="shared" si="468"/>
        <v>0</v>
      </c>
      <c r="AM181" s="638">
        <f t="shared" si="469"/>
        <v>0</v>
      </c>
      <c r="AN181" s="1032">
        <f t="shared" si="470"/>
        <v>0</v>
      </c>
      <c r="AO181" s="1030">
        <f t="shared" si="471"/>
        <v>0</v>
      </c>
      <c r="AP181" s="1030">
        <f t="shared" si="472"/>
        <v>0</v>
      </c>
      <c r="AQ181" s="1030">
        <f t="shared" si="473"/>
        <v>0</v>
      </c>
      <c r="AR181" s="1033">
        <f t="shared" si="474"/>
        <v>0</v>
      </c>
      <c r="AS181" s="1032">
        <f t="shared" si="475"/>
        <v>0</v>
      </c>
      <c r="AT181" s="1030">
        <f t="shared" si="476"/>
        <v>0</v>
      </c>
      <c r="AU181" s="1030">
        <f t="shared" si="476"/>
        <v>0</v>
      </c>
      <c r="AV181" s="1030">
        <f t="shared" si="477"/>
        <v>0</v>
      </c>
      <c r="AW181" s="1033">
        <f t="shared" si="477"/>
        <v>0</v>
      </c>
      <c r="AX181" s="1032">
        <f t="shared" si="478"/>
        <v>0</v>
      </c>
      <c r="AY181" s="1030">
        <f t="shared" si="479"/>
        <v>0</v>
      </c>
      <c r="AZ181" s="1030">
        <f t="shared" si="479"/>
        <v>0</v>
      </c>
      <c r="BA181" s="1030">
        <f t="shared" si="480"/>
        <v>0</v>
      </c>
      <c r="BB181" s="1033">
        <f t="shared" si="480"/>
        <v>0</v>
      </c>
      <c r="BC181" s="1032">
        <f t="shared" si="481"/>
        <v>0</v>
      </c>
      <c r="BD181" s="1030">
        <f t="shared" si="482"/>
        <v>0</v>
      </c>
      <c r="BE181" s="1030">
        <f t="shared" si="482"/>
        <v>0</v>
      </c>
      <c r="BF181" s="1033">
        <f t="shared" si="483"/>
        <v>0</v>
      </c>
      <c r="BG181" s="1032">
        <f t="shared" si="484"/>
        <v>0</v>
      </c>
      <c r="BH181" s="1030">
        <f t="shared" si="485"/>
        <v>0</v>
      </c>
      <c r="BI181" s="1033">
        <f t="shared" si="486"/>
        <v>0</v>
      </c>
      <c r="BJ181" s="1030">
        <f>_xlfn.XLOOKUP(H181, 'Baumaterialien Matériaux'!A:A, 'Baumaterialien Matériaux'!E:E, "-", 0, 1)</f>
        <v>0</v>
      </c>
      <c r="BK181" s="1032">
        <f t="shared" si="356"/>
        <v>0</v>
      </c>
      <c r="BL181" s="1030">
        <f t="shared" si="357"/>
        <v>0</v>
      </c>
      <c r="BM181" s="1033">
        <f t="shared" si="358"/>
        <v>0</v>
      </c>
      <c r="BN181" s="720">
        <f>IFERROR((J181*VLOOKUP(H181, 'Baumaterialien Matériaux'!$A$11:$AH$318, 32,FALSE))*($L$2/L181-1),0)/$G$1</f>
        <v>0</v>
      </c>
      <c r="BO181" s="720">
        <f t="shared" si="487"/>
        <v>0</v>
      </c>
    </row>
    <row r="182" spans="2:67" ht="15.75" hidden="1" customHeight="1">
      <c r="B182" s="1103"/>
      <c r="C182" s="1099"/>
      <c r="D182" s="478"/>
      <c r="E182" s="478"/>
      <c r="F182" s="478"/>
      <c r="G182" s="478"/>
      <c r="H182" s="478"/>
      <c r="I182" s="641"/>
      <c r="J182" s="649"/>
      <c r="K182" s="478"/>
      <c r="L182" s="478"/>
      <c r="M182" s="648"/>
      <c r="N182" s="720"/>
      <c r="O182" s="720"/>
      <c r="P182" s="720"/>
      <c r="Q182" s="720"/>
      <c r="R182" s="720"/>
      <c r="S182" s="720"/>
      <c r="T182" s="720"/>
      <c r="V182" s="638">
        <f t="shared" si="374"/>
        <v>0</v>
      </c>
      <c r="W182" s="638">
        <f t="shared" si="375"/>
        <v>0</v>
      </c>
      <c r="Y182" s="638">
        <f t="shared" si="269"/>
        <v>0</v>
      </c>
      <c r="Z182" s="638">
        <f t="shared" si="362"/>
        <v>0</v>
      </c>
      <c r="AA182" s="664" t="s">
        <v>3477</v>
      </c>
      <c r="AB182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 s="622" cm="1">
        <f t="array" ref="AD182">IFERROR(_xlfn.SWITCH(I182,"kg",1,"m3",AC182,AC182)*J182/(_xlfn.XLOOKUP(AA182,Métrés!A:A,Métrés!D:D,0)),0)</f>
        <v>0</v>
      </c>
      <c r="AE182" s="1092">
        <f>IFERROR(N182*$G$1/(_xlfn.XLOOKUP($AA182,Métrés!$A:$A,Métrés!$D:$D,0)),0)</f>
        <v>0</v>
      </c>
      <c r="AF182" s="1092">
        <f>IFERROR(O182*$G$1/(_xlfn.XLOOKUP($AA182,Métrés!$A:$A,Métrés!$D:$D,0)),0)</f>
        <v>0</v>
      </c>
      <c r="AG182" s="1092">
        <f>IFERROR(Q182*$G$1/(_xlfn.XLOOKUP($AA182,Métrés!$A:$A,Métrés!$D:$D,0)),0)</f>
        <v>0</v>
      </c>
      <c r="AH182" s="1092">
        <f>IFERROR(R182*$G$1/(_xlfn.XLOOKUP($AA182,Métrés!$A:$A,Métrés!$D:$D,0)),0)</f>
        <v>0</v>
      </c>
      <c r="AI182" s="1092">
        <f>IFERROR(S182*$G$1/(_xlfn.XLOOKUP($AA182,Métrés!$A:$A,Métrés!$D:$D,0)),0)</f>
        <v>0</v>
      </c>
      <c r="AJ182" s="1030"/>
      <c r="AK182" s="1030">
        <f t="shared" si="467"/>
        <v>0</v>
      </c>
      <c r="AL182" s="1030">
        <f t="shared" si="468"/>
        <v>0</v>
      </c>
      <c r="AM182" s="638">
        <f t="shared" si="469"/>
        <v>0</v>
      </c>
      <c r="AN182" s="1032">
        <f t="shared" si="470"/>
        <v>0</v>
      </c>
      <c r="AO182" s="1030">
        <f t="shared" si="471"/>
        <v>0</v>
      </c>
      <c r="AP182" s="1030">
        <f t="shared" si="472"/>
        <v>0</v>
      </c>
      <c r="AQ182" s="1030">
        <f t="shared" si="473"/>
        <v>0</v>
      </c>
      <c r="AR182" s="1033">
        <f t="shared" si="474"/>
        <v>0</v>
      </c>
      <c r="AS182" s="1032">
        <f t="shared" si="475"/>
        <v>0</v>
      </c>
      <c r="AT182" s="1030">
        <f t="shared" si="476"/>
        <v>0</v>
      </c>
      <c r="AU182" s="1030">
        <f t="shared" si="476"/>
        <v>0</v>
      </c>
      <c r="AV182" s="1030">
        <f t="shared" si="477"/>
        <v>0</v>
      </c>
      <c r="AW182" s="1033">
        <f t="shared" si="477"/>
        <v>0</v>
      </c>
      <c r="AX182" s="1032">
        <f t="shared" si="478"/>
        <v>0</v>
      </c>
      <c r="AY182" s="1030">
        <f t="shared" si="479"/>
        <v>0</v>
      </c>
      <c r="AZ182" s="1030">
        <f t="shared" si="479"/>
        <v>0</v>
      </c>
      <c r="BA182" s="1030">
        <f t="shared" si="480"/>
        <v>0</v>
      </c>
      <c r="BB182" s="1033">
        <f t="shared" si="480"/>
        <v>0</v>
      </c>
      <c r="BC182" s="1032">
        <f t="shared" si="481"/>
        <v>0</v>
      </c>
      <c r="BD182" s="1030">
        <f t="shared" si="482"/>
        <v>0</v>
      </c>
      <c r="BE182" s="1030">
        <f t="shared" si="482"/>
        <v>0</v>
      </c>
      <c r="BF182" s="1033">
        <f t="shared" si="483"/>
        <v>0</v>
      </c>
      <c r="BG182" s="1032">
        <f t="shared" si="484"/>
        <v>0</v>
      </c>
      <c r="BH182" s="1030">
        <f t="shared" si="485"/>
        <v>0</v>
      </c>
      <c r="BI182" s="1033">
        <f t="shared" si="486"/>
        <v>0</v>
      </c>
      <c r="BJ182" s="1030">
        <f>_xlfn.XLOOKUP(H182, 'Baumaterialien Matériaux'!A:A, 'Baumaterialien Matériaux'!E:E, "-", 0, 1)</f>
        <v>0</v>
      </c>
      <c r="BK182" s="1032">
        <f t="shared" si="356"/>
        <v>0</v>
      </c>
      <c r="BL182" s="1030">
        <f t="shared" si="357"/>
        <v>0</v>
      </c>
      <c r="BM182" s="1033">
        <f t="shared" si="358"/>
        <v>0</v>
      </c>
      <c r="BN182" s="720">
        <f>IFERROR((J182*VLOOKUP(H182, 'Baumaterialien Matériaux'!$A$11:$AH$318, 32,FALSE))*($L$2/L182-1),0)/$G$1</f>
        <v>0</v>
      </c>
      <c r="BO182" s="720">
        <f t="shared" si="487"/>
        <v>0</v>
      </c>
    </row>
    <row r="183" spans="2:67" ht="15.75" hidden="1" customHeight="1">
      <c r="B183" s="1103"/>
      <c r="C183" s="1099"/>
      <c r="D183" s="478"/>
      <c r="E183" s="478"/>
      <c r="F183" s="478"/>
      <c r="G183" s="478"/>
      <c r="H183" s="478"/>
      <c r="I183" s="641"/>
      <c r="J183" s="649"/>
      <c r="K183" s="478"/>
      <c r="L183" s="478"/>
      <c r="M183" s="648"/>
      <c r="N183" s="720"/>
      <c r="O183" s="720"/>
      <c r="P183" s="720"/>
      <c r="Q183" s="720"/>
      <c r="R183" s="720"/>
      <c r="S183" s="720"/>
      <c r="T183" s="720"/>
      <c r="V183" s="638">
        <f t="shared" si="374"/>
        <v>0</v>
      </c>
      <c r="W183" s="638">
        <f t="shared" si="375"/>
        <v>0</v>
      </c>
      <c r="Y183" s="638">
        <f t="shared" si="269"/>
        <v>0</v>
      </c>
      <c r="Z183" s="638">
        <f t="shared" si="362"/>
        <v>0</v>
      </c>
      <c r="AA183" s="664" t="s">
        <v>3477</v>
      </c>
      <c r="AB183">
        <f>_xlfn.XLOOKUP($H183,'[1]Baumaterialien Matériaux'!$A:$A,'[1]Baumaterialien Matériaux'!AK:AK,0,0)</f>
        <v>0</v>
      </c>
      <c r="AC183" t="str" cm="1">
        <f t="array" ref="AC183">_xlfn.SWITCH(I183,"kg"," ",0," ",_xlfn.XLOOKUP(H183, '[1]Baumaterialien Matériaux'!$A:$A, '[1]Baumaterialien Matériaux'!$AL:$AL, "-", 0, 1))</f>
        <v xml:space="preserve"> </v>
      </c>
      <c r="AD183" s="622" cm="1">
        <f t="array" ref="AD183">IFERROR(_xlfn.SWITCH(I183,"kg",1,"m3",AC183,AC183)*J183/(_xlfn.XLOOKUP(AA183,Métrés!A:A,Métrés!D:D,0)),0)</f>
        <v>0</v>
      </c>
      <c r="AE183" s="1092">
        <f>IFERROR(N183*$G$1/(_xlfn.XLOOKUP($AA183,Métrés!$A:$A,Métrés!$D:$D,0)),0)</f>
        <v>0</v>
      </c>
      <c r="AF183" s="1092">
        <f>IFERROR(O183*$G$1/(_xlfn.XLOOKUP($AA183,Métrés!$A:$A,Métrés!$D:$D,0)),0)</f>
        <v>0</v>
      </c>
      <c r="AG183" s="1092">
        <f>IFERROR(Q183*$G$1/(_xlfn.XLOOKUP($AA183,Métrés!$A:$A,Métrés!$D:$D,0)),0)</f>
        <v>0</v>
      </c>
      <c r="AH183" s="1092">
        <f>IFERROR(R183*$G$1/(_xlfn.XLOOKUP($AA183,Métrés!$A:$A,Métrés!$D:$D,0)),0)</f>
        <v>0</v>
      </c>
      <c r="AI183" s="1092">
        <f>IFERROR(S183*$G$1/(_xlfn.XLOOKUP($AA183,Métrés!$A:$A,Métrés!$D:$D,0)),0)</f>
        <v>0</v>
      </c>
      <c r="AJ183" s="1030"/>
      <c r="AK183" s="1030">
        <f t="shared" si="467"/>
        <v>0</v>
      </c>
      <c r="AL183" s="1030">
        <f t="shared" si="468"/>
        <v>0</v>
      </c>
      <c r="AM183" s="638">
        <f t="shared" si="469"/>
        <v>0</v>
      </c>
      <c r="AN183" s="1032">
        <f t="shared" si="470"/>
        <v>0</v>
      </c>
      <c r="AO183" s="1030">
        <f t="shared" si="471"/>
        <v>0</v>
      </c>
      <c r="AP183" s="1030">
        <f t="shared" si="472"/>
        <v>0</v>
      </c>
      <c r="AQ183" s="1030">
        <f t="shared" si="473"/>
        <v>0</v>
      </c>
      <c r="AR183" s="1033">
        <f t="shared" si="474"/>
        <v>0</v>
      </c>
      <c r="AS183" s="1032">
        <f t="shared" si="475"/>
        <v>0</v>
      </c>
      <c r="AT183" s="1030">
        <f t="shared" si="476"/>
        <v>0</v>
      </c>
      <c r="AU183" s="1030">
        <f t="shared" si="476"/>
        <v>0</v>
      </c>
      <c r="AV183" s="1030">
        <f t="shared" si="477"/>
        <v>0</v>
      </c>
      <c r="AW183" s="1033">
        <f t="shared" si="477"/>
        <v>0</v>
      </c>
      <c r="AX183" s="1032">
        <f t="shared" si="478"/>
        <v>0</v>
      </c>
      <c r="AY183" s="1030">
        <f t="shared" si="479"/>
        <v>0</v>
      </c>
      <c r="AZ183" s="1030">
        <f t="shared" si="479"/>
        <v>0</v>
      </c>
      <c r="BA183" s="1030">
        <f t="shared" si="480"/>
        <v>0</v>
      </c>
      <c r="BB183" s="1033">
        <f t="shared" si="480"/>
        <v>0</v>
      </c>
      <c r="BC183" s="1032">
        <f t="shared" si="481"/>
        <v>0</v>
      </c>
      <c r="BD183" s="1030">
        <f t="shared" si="482"/>
        <v>0</v>
      </c>
      <c r="BE183" s="1030">
        <f t="shared" si="482"/>
        <v>0</v>
      </c>
      <c r="BF183" s="1033">
        <f t="shared" si="483"/>
        <v>0</v>
      </c>
      <c r="BG183" s="1032">
        <f t="shared" si="484"/>
        <v>0</v>
      </c>
      <c r="BH183" s="1030">
        <f t="shared" si="485"/>
        <v>0</v>
      </c>
      <c r="BI183" s="1033">
        <f t="shared" si="486"/>
        <v>0</v>
      </c>
      <c r="BJ183" s="1030">
        <f>_xlfn.XLOOKUP(H183, 'Baumaterialien Matériaux'!A:A, 'Baumaterialien Matériaux'!E:E, "-", 0, 1)</f>
        <v>0</v>
      </c>
      <c r="BK183" s="1032">
        <f t="shared" si="356"/>
        <v>0</v>
      </c>
      <c r="BL183" s="1030">
        <f t="shared" si="357"/>
        <v>0</v>
      </c>
      <c r="BM183" s="1033">
        <f t="shared" si="358"/>
        <v>0</v>
      </c>
      <c r="BN183" s="720">
        <f>IFERROR((J183*VLOOKUP(H183, 'Baumaterialien Matériaux'!$A$11:$AH$318, 32,FALSE))*($L$2/L183-1),0)/$G$1</f>
        <v>0</v>
      </c>
      <c r="BO183" s="720">
        <f t="shared" si="487"/>
        <v>0</v>
      </c>
    </row>
    <row r="184" spans="2:67" ht="15.75" hidden="1" customHeight="1">
      <c r="B184" s="1103"/>
      <c r="C184" s="1099"/>
      <c r="D184" s="478"/>
      <c r="E184" s="478"/>
      <c r="F184" s="478"/>
      <c r="G184" s="478"/>
      <c r="H184" s="478"/>
      <c r="I184" s="641"/>
      <c r="J184" s="649"/>
      <c r="K184" s="478"/>
      <c r="L184" s="478"/>
      <c r="M184" s="648"/>
      <c r="N184" s="720"/>
      <c r="O184" s="720"/>
      <c r="P184" s="720"/>
      <c r="Q184" s="720"/>
      <c r="R184" s="720"/>
      <c r="S184" s="720"/>
      <c r="T184" s="720"/>
      <c r="V184" s="638">
        <f t="shared" si="374"/>
        <v>0</v>
      </c>
      <c r="W184" s="638">
        <f t="shared" si="375"/>
        <v>0</v>
      </c>
      <c r="Y184" s="638">
        <f t="shared" si="269"/>
        <v>0</v>
      </c>
      <c r="Z184" s="638">
        <f t="shared" si="362"/>
        <v>0</v>
      </c>
      <c r="AA184" s="664" t="s">
        <v>3477</v>
      </c>
      <c r="AB184">
        <f>_xlfn.XLOOKUP($H184,'[1]Baumaterialien Matériaux'!$A:$A,'[1]Baumaterialien Matériaux'!AK:AK,0,0)</f>
        <v>0</v>
      </c>
      <c r="AC184" t="str" cm="1">
        <f t="array" ref="AC184">_xlfn.SWITCH(I184,"kg"," ",0," ",_xlfn.XLOOKUP(H184, '[1]Baumaterialien Matériaux'!$A:$A, '[1]Baumaterialien Matériaux'!$AL:$AL, "-", 0, 1))</f>
        <v xml:space="preserve"> </v>
      </c>
      <c r="AD184" s="622" cm="1">
        <f t="array" ref="AD184">IFERROR(_xlfn.SWITCH(I184,"kg",1,"m3",AC184,AC184)*J184/(_xlfn.XLOOKUP(AA184,Métrés!A:A,Métrés!D:D,0)),0)</f>
        <v>0</v>
      </c>
      <c r="AE184" s="1092">
        <f>IFERROR(N184*$G$1/(_xlfn.XLOOKUP($AA184,Métrés!$A:$A,Métrés!$D:$D,0)),0)</f>
        <v>0</v>
      </c>
      <c r="AF184" s="1092">
        <f>IFERROR(O184*$G$1/(_xlfn.XLOOKUP($AA184,Métrés!$A:$A,Métrés!$D:$D,0)),0)</f>
        <v>0</v>
      </c>
      <c r="AG184" s="1092">
        <f>IFERROR(Q184*$G$1/(_xlfn.XLOOKUP($AA184,Métrés!$A:$A,Métrés!$D:$D,0)),0)</f>
        <v>0</v>
      </c>
      <c r="AH184" s="1092">
        <f>IFERROR(R184*$G$1/(_xlfn.XLOOKUP($AA184,Métrés!$A:$A,Métrés!$D:$D,0)),0)</f>
        <v>0</v>
      </c>
      <c r="AI184" s="1092">
        <f>IFERROR(S184*$G$1/(_xlfn.XLOOKUP($AA184,Métrés!$A:$A,Métrés!$D:$D,0)),0)</f>
        <v>0</v>
      </c>
      <c r="AJ184" s="1030"/>
      <c r="AK184" s="1030">
        <f t="shared" si="467"/>
        <v>0</v>
      </c>
      <c r="AL184" s="1030">
        <f t="shared" si="468"/>
        <v>0</v>
      </c>
      <c r="AM184" s="638">
        <f t="shared" si="469"/>
        <v>0</v>
      </c>
      <c r="AN184" s="1032">
        <f t="shared" si="470"/>
        <v>0</v>
      </c>
      <c r="AO184" s="1030">
        <f t="shared" si="471"/>
        <v>0</v>
      </c>
      <c r="AP184" s="1030">
        <f t="shared" si="472"/>
        <v>0</v>
      </c>
      <c r="AQ184" s="1030">
        <f t="shared" si="473"/>
        <v>0</v>
      </c>
      <c r="AR184" s="1033">
        <f t="shared" si="474"/>
        <v>0</v>
      </c>
      <c r="AS184" s="1032">
        <f t="shared" si="475"/>
        <v>0</v>
      </c>
      <c r="AT184" s="1030">
        <f t="shared" si="476"/>
        <v>0</v>
      </c>
      <c r="AU184" s="1030">
        <f t="shared" si="476"/>
        <v>0</v>
      </c>
      <c r="AV184" s="1030">
        <f t="shared" si="477"/>
        <v>0</v>
      </c>
      <c r="AW184" s="1033">
        <f t="shared" si="477"/>
        <v>0</v>
      </c>
      <c r="AX184" s="1032">
        <f t="shared" si="478"/>
        <v>0</v>
      </c>
      <c r="AY184" s="1030">
        <f t="shared" si="479"/>
        <v>0</v>
      </c>
      <c r="AZ184" s="1030">
        <f t="shared" si="479"/>
        <v>0</v>
      </c>
      <c r="BA184" s="1030">
        <f t="shared" si="480"/>
        <v>0</v>
      </c>
      <c r="BB184" s="1033">
        <f t="shared" si="480"/>
        <v>0</v>
      </c>
      <c r="BC184" s="1032">
        <f t="shared" si="481"/>
        <v>0</v>
      </c>
      <c r="BD184" s="1030">
        <f t="shared" si="482"/>
        <v>0</v>
      </c>
      <c r="BE184" s="1030">
        <f t="shared" si="482"/>
        <v>0</v>
      </c>
      <c r="BF184" s="1033">
        <f t="shared" si="483"/>
        <v>0</v>
      </c>
      <c r="BG184" s="1032">
        <f t="shared" si="484"/>
        <v>0</v>
      </c>
      <c r="BH184" s="1030">
        <f t="shared" si="485"/>
        <v>0</v>
      </c>
      <c r="BI184" s="1033">
        <f t="shared" si="486"/>
        <v>0</v>
      </c>
      <c r="BJ184" s="1030">
        <f>_xlfn.XLOOKUP(H184, 'Baumaterialien Matériaux'!A:A, 'Baumaterialien Matériaux'!E:E, "-", 0, 1)</f>
        <v>0</v>
      </c>
      <c r="BK184" s="1032">
        <f t="shared" si="356"/>
        <v>0</v>
      </c>
      <c r="BL184" s="1030">
        <f t="shared" si="357"/>
        <v>0</v>
      </c>
      <c r="BM184" s="1033">
        <f t="shared" si="358"/>
        <v>0</v>
      </c>
      <c r="BN184" s="720">
        <f>IFERROR((J184*VLOOKUP(H184, 'Baumaterialien Matériaux'!$A$11:$AH$318, 32,FALSE))*($L$2/L184-1),0)/$G$1</f>
        <v>0</v>
      </c>
      <c r="BO184" s="720">
        <f t="shared" si="487"/>
        <v>0</v>
      </c>
    </row>
    <row r="185" spans="2:67" ht="15.75" hidden="1" customHeight="1">
      <c r="B185" s="1103"/>
      <c r="C185" s="1099"/>
      <c r="D185" s="478"/>
      <c r="E185" s="478"/>
      <c r="F185" s="478"/>
      <c r="G185" s="478"/>
      <c r="H185" s="478"/>
      <c r="I185" s="641"/>
      <c r="J185" s="649"/>
      <c r="K185" s="478"/>
      <c r="L185" s="478"/>
      <c r="M185" s="648"/>
      <c r="N185" s="720"/>
      <c r="O185" s="720"/>
      <c r="P185" s="720"/>
      <c r="Q185" s="720"/>
      <c r="R185" s="720"/>
      <c r="S185" s="720"/>
      <c r="T185" s="720"/>
      <c r="V185" s="638">
        <f t="shared" si="374"/>
        <v>0</v>
      </c>
      <c r="W185" s="638">
        <f t="shared" si="375"/>
        <v>0</v>
      </c>
      <c r="Y185" s="638">
        <f t="shared" si="269"/>
        <v>0</v>
      </c>
      <c r="Z185" s="638">
        <f t="shared" si="362"/>
        <v>0</v>
      </c>
      <c r="AA185" s="664" t="s">
        <v>3477</v>
      </c>
      <c r="AB185">
        <f>_xlfn.XLOOKUP($H185,'[1]Baumaterialien Matériaux'!$A:$A,'[1]Baumaterialien Matériaux'!AK:AK,0,0)</f>
        <v>0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 s="622" cm="1">
        <f t="array" ref="AD185">IFERROR(_xlfn.SWITCH(I185,"kg",1,"m3",AC185,AC185)*J185/(_xlfn.XLOOKUP(AA185,Métrés!A:A,Métrés!D:D,0)),0)</f>
        <v>0</v>
      </c>
      <c r="AE185" s="1092">
        <f>IFERROR(N185*$G$1/(_xlfn.XLOOKUP($AA185,Métrés!$A:$A,Métrés!$D:$D,0)),0)</f>
        <v>0</v>
      </c>
      <c r="AF185" s="1092">
        <f>IFERROR(O185*$G$1/(_xlfn.XLOOKUP($AA185,Métrés!$A:$A,Métrés!$D:$D,0)),0)</f>
        <v>0</v>
      </c>
      <c r="AG185" s="1092">
        <f>IFERROR(Q185*$G$1/(_xlfn.XLOOKUP($AA185,Métrés!$A:$A,Métrés!$D:$D,0)),0)</f>
        <v>0</v>
      </c>
      <c r="AH185" s="1092">
        <f>IFERROR(R185*$G$1/(_xlfn.XLOOKUP($AA185,Métrés!$A:$A,Métrés!$D:$D,0)),0)</f>
        <v>0</v>
      </c>
      <c r="AI185" s="1092">
        <f>IFERROR(S185*$G$1/(_xlfn.XLOOKUP($AA185,Métrés!$A:$A,Métrés!$D:$D,0)),0)</f>
        <v>0</v>
      </c>
      <c r="AJ185" s="1030"/>
      <c r="AK185" s="1030">
        <f t="shared" si="467"/>
        <v>0</v>
      </c>
      <c r="AL185" s="1030">
        <f t="shared" si="468"/>
        <v>0</v>
      </c>
      <c r="AM185" s="638">
        <f t="shared" si="469"/>
        <v>0</v>
      </c>
      <c r="AN185" s="1032">
        <f t="shared" si="470"/>
        <v>0</v>
      </c>
      <c r="AO185" s="1030">
        <f t="shared" si="471"/>
        <v>0</v>
      </c>
      <c r="AP185" s="1030">
        <f t="shared" si="472"/>
        <v>0</v>
      </c>
      <c r="AQ185" s="1030">
        <f t="shared" si="473"/>
        <v>0</v>
      </c>
      <c r="AR185" s="1033">
        <f t="shared" si="474"/>
        <v>0</v>
      </c>
      <c r="AS185" s="1032">
        <f t="shared" si="475"/>
        <v>0</v>
      </c>
      <c r="AT185" s="1030">
        <f t="shared" si="476"/>
        <v>0</v>
      </c>
      <c r="AU185" s="1030">
        <f t="shared" si="476"/>
        <v>0</v>
      </c>
      <c r="AV185" s="1030">
        <f t="shared" si="477"/>
        <v>0</v>
      </c>
      <c r="AW185" s="1033">
        <f t="shared" si="477"/>
        <v>0</v>
      </c>
      <c r="AX185" s="1032">
        <f t="shared" si="478"/>
        <v>0</v>
      </c>
      <c r="AY185" s="1030">
        <f t="shared" si="479"/>
        <v>0</v>
      </c>
      <c r="AZ185" s="1030">
        <f t="shared" si="479"/>
        <v>0</v>
      </c>
      <c r="BA185" s="1030">
        <f t="shared" si="480"/>
        <v>0</v>
      </c>
      <c r="BB185" s="1033">
        <f t="shared" si="480"/>
        <v>0</v>
      </c>
      <c r="BC185" s="1032">
        <f t="shared" si="481"/>
        <v>0</v>
      </c>
      <c r="BD185" s="1030">
        <f t="shared" si="482"/>
        <v>0</v>
      </c>
      <c r="BE185" s="1030">
        <f t="shared" si="482"/>
        <v>0</v>
      </c>
      <c r="BF185" s="1033">
        <f t="shared" si="483"/>
        <v>0</v>
      </c>
      <c r="BG185" s="1032">
        <f t="shared" si="484"/>
        <v>0</v>
      </c>
      <c r="BH185" s="1030">
        <f t="shared" si="485"/>
        <v>0</v>
      </c>
      <c r="BI185" s="1033">
        <f t="shared" si="486"/>
        <v>0</v>
      </c>
      <c r="BJ185" s="1030">
        <f>_xlfn.XLOOKUP(H185, 'Baumaterialien Matériaux'!A:A, 'Baumaterialien Matériaux'!E:E, "-", 0, 1)</f>
        <v>0</v>
      </c>
      <c r="BK185" s="1032">
        <f t="shared" si="356"/>
        <v>0</v>
      </c>
      <c r="BL185" s="1030">
        <f t="shared" si="357"/>
        <v>0</v>
      </c>
      <c r="BM185" s="1033">
        <f t="shared" si="358"/>
        <v>0</v>
      </c>
    </row>
    <row r="186" spans="2:67" ht="15.75" hidden="1" customHeight="1">
      <c r="B186" s="1103"/>
      <c r="C186" s="1099"/>
      <c r="D186" s="478"/>
      <c r="E186" s="478"/>
      <c r="F186" s="478"/>
      <c r="G186" s="478"/>
      <c r="H186" s="478"/>
      <c r="I186" s="641"/>
      <c r="J186" s="649"/>
      <c r="K186" s="647"/>
      <c r="L186" s="647"/>
      <c r="M186" s="648"/>
      <c r="V186" s="638">
        <f t="shared" si="374"/>
        <v>0</v>
      </c>
      <c r="W186" s="638">
        <f t="shared" si="375"/>
        <v>0</v>
      </c>
      <c r="Y186" s="638">
        <f t="shared" si="269"/>
        <v>0</v>
      </c>
      <c r="Z186" s="638">
        <f t="shared" si="362"/>
        <v>0</v>
      </c>
      <c r="AA186" s="664" t="s">
        <v>3477</v>
      </c>
      <c r="AB186">
        <f>_xlfn.XLOOKUP($H186,'[1]Baumaterialien Matériaux'!$A:$A,'[1]Baumaterialien Matériaux'!AK:AK,0,0)</f>
        <v>0</v>
      </c>
      <c r="AC186" t="str" cm="1">
        <f t="array" ref="AC186">_xlfn.SWITCH(I186,"kg"," ",0," ",_xlfn.XLOOKUP(H186, '[1]Baumaterialien Matériaux'!$A:$A, '[1]Baumaterialien Matériaux'!$AL:$AL, "-", 0, 1))</f>
        <v xml:space="preserve"> </v>
      </c>
      <c r="AD186" s="622" cm="1">
        <f t="array" ref="AD186">IFERROR(_xlfn.SWITCH(I186,"kg",1,"m3",AC186,AC186)*J186/(_xlfn.XLOOKUP(AA186,Métrés!A:A,Métrés!D:D,0)),0)</f>
        <v>0</v>
      </c>
      <c r="AE186" s="1092">
        <f>IFERROR(N186*$G$1/(_xlfn.XLOOKUP($AA186,Métrés!$A:$A,Métrés!$D:$D,0)),0)</f>
        <v>0</v>
      </c>
      <c r="AF186" s="1092">
        <f>IFERROR(O186*$G$1/(_xlfn.XLOOKUP($AA186,Métrés!$A:$A,Métrés!$D:$D,0)),0)</f>
        <v>0</v>
      </c>
      <c r="AG186" s="1092">
        <f>IFERROR(Q186*$G$1/(_xlfn.XLOOKUP($AA186,Métrés!$A:$A,Métrés!$D:$D,0)),0)</f>
        <v>0</v>
      </c>
      <c r="AH186" s="1092">
        <f>IFERROR(R186*$G$1/(_xlfn.XLOOKUP($AA186,Métrés!$A:$A,Métrés!$D:$D,0)),0)</f>
        <v>0</v>
      </c>
      <c r="AI186" s="1092">
        <f>IFERROR(S186*$G$1/(_xlfn.XLOOKUP($AA186,Métrés!$A:$A,Métrés!$D:$D,0)),0)</f>
        <v>0</v>
      </c>
      <c r="AJ186" s="1030"/>
      <c r="AK186" s="1030">
        <f t="shared" si="467"/>
        <v>0</v>
      </c>
      <c r="AL186" s="1030">
        <f t="shared" si="468"/>
        <v>0</v>
      </c>
      <c r="AM186" s="638">
        <f t="shared" si="469"/>
        <v>0</v>
      </c>
      <c r="AN186" s="1032">
        <f t="shared" si="470"/>
        <v>0</v>
      </c>
      <c r="AO186" s="1030">
        <f t="shared" si="471"/>
        <v>0</v>
      </c>
      <c r="AP186" s="1030">
        <f t="shared" si="472"/>
        <v>0</v>
      </c>
      <c r="AQ186" s="1030">
        <f t="shared" si="473"/>
        <v>0</v>
      </c>
      <c r="AR186" s="1033">
        <f t="shared" si="474"/>
        <v>0</v>
      </c>
      <c r="AS186" s="1032">
        <f t="shared" si="475"/>
        <v>0</v>
      </c>
      <c r="AT186" s="1030">
        <f t="shared" si="476"/>
        <v>0</v>
      </c>
      <c r="AU186" s="1030">
        <f t="shared" si="476"/>
        <v>0</v>
      </c>
      <c r="AV186" s="1030">
        <f t="shared" si="477"/>
        <v>0</v>
      </c>
      <c r="AW186" s="1033">
        <f t="shared" si="477"/>
        <v>0</v>
      </c>
      <c r="AX186" s="1032">
        <f t="shared" si="478"/>
        <v>0</v>
      </c>
      <c r="AY186" s="1030">
        <f t="shared" si="479"/>
        <v>0</v>
      </c>
      <c r="AZ186" s="1030">
        <f t="shared" si="479"/>
        <v>0</v>
      </c>
      <c r="BA186" s="1030">
        <f t="shared" si="480"/>
        <v>0</v>
      </c>
      <c r="BB186" s="1033">
        <f t="shared" si="480"/>
        <v>0</v>
      </c>
      <c r="BC186" s="1032">
        <f t="shared" si="481"/>
        <v>0</v>
      </c>
      <c r="BD186" s="1030">
        <f t="shared" si="482"/>
        <v>0</v>
      </c>
      <c r="BE186" s="1030">
        <f t="shared" si="482"/>
        <v>0</v>
      </c>
      <c r="BF186" s="1033">
        <f t="shared" si="483"/>
        <v>0</v>
      </c>
      <c r="BG186" s="1032">
        <f t="shared" si="484"/>
        <v>0</v>
      </c>
      <c r="BH186" s="1030">
        <f t="shared" si="485"/>
        <v>0</v>
      </c>
      <c r="BI186" s="1033">
        <f t="shared" si="486"/>
        <v>0</v>
      </c>
      <c r="BJ186" s="1030">
        <f>_xlfn.XLOOKUP(H186, 'Baumaterialien Matériaux'!A:A, 'Baumaterialien Matériaux'!E:E, "-", 0, 1)</f>
        <v>0</v>
      </c>
      <c r="BK186" s="1032">
        <f t="shared" si="356"/>
        <v>0</v>
      </c>
      <c r="BL186" s="1030">
        <f t="shared" si="357"/>
        <v>0</v>
      </c>
      <c r="BM186" s="1033">
        <f t="shared" si="358"/>
        <v>0</v>
      </c>
    </row>
    <row r="187" spans="2:67" ht="30" collapsed="1">
      <c r="B187" s="1103"/>
      <c r="C187" s="1097" t="s">
        <v>139</v>
      </c>
      <c r="D187" s="473" t="s">
        <v>140</v>
      </c>
      <c r="E187" s="473"/>
      <c r="F187" s="473"/>
      <c r="G187" s="473"/>
      <c r="H187" s="473"/>
      <c r="I187" s="463"/>
      <c r="J187" s="654"/>
      <c r="K187" s="652"/>
      <c r="L187" s="652"/>
      <c r="M187" s="653">
        <f>M188+M196+M199+M207</f>
        <v>123.75495805126411</v>
      </c>
      <c r="N187" s="653">
        <f>N188+N196+N199+N207</f>
        <v>44.131421960732467</v>
      </c>
      <c r="O187" s="653">
        <f>O188+O196+O199+O207</f>
        <v>20.269382345131582</v>
      </c>
      <c r="P187" s="653">
        <f t="shared" ref="P187:Q187" si="488">P188+P196+P199+P207</f>
        <v>51.742787853066261</v>
      </c>
      <c r="Q187" s="653">
        <f t="shared" si="488"/>
        <v>7.6113658923337963</v>
      </c>
      <c r="R187" s="653">
        <f t="shared" ref="R187" si="489">R188+R196+R199+R207</f>
        <v>2.7480012237176159</v>
      </c>
      <c r="S187" s="653">
        <f>S188+S196+S199+S207</f>
        <v>19.198329256737399</v>
      </c>
      <c r="T187" s="653">
        <f>T188+T196+T199+T207</f>
        <v>0.19198329256737401</v>
      </c>
      <c r="V187" s="638">
        <f t="shared" si="374"/>
        <v>0.19198329256737401</v>
      </c>
      <c r="W187" s="638">
        <f t="shared" si="375"/>
        <v>19.198329256737399</v>
      </c>
      <c r="Y187" s="638">
        <f t="shared" si="269"/>
        <v>0</v>
      </c>
      <c r="Z187" s="638">
        <f t="shared" si="362"/>
        <v>0</v>
      </c>
      <c r="AB187">
        <f>_xlfn.XLOOKUP($H187,'[1]Baumaterialien Matériaux'!$A:$A,'[1]Baumaterialien Matériaux'!AK:AK,0,0)</f>
        <v>0</v>
      </c>
      <c r="AC187" t="str" cm="1">
        <f t="array" ref="AC187">_xlfn.SWITCH(I187,"kg"," ",0," ",_xlfn.XLOOKUP(H187, '[1]Baumaterialien Matériaux'!$A:$A, '[1]Baumaterialien Matériaux'!$AL:$AL, "-", 0, 1))</f>
        <v xml:space="preserve"> </v>
      </c>
      <c r="AD187" s="622" cm="1">
        <f t="array" ref="AD187">IFERROR(_xlfn.SWITCH(I187,"kg",1,"m3",AC187,AC187)*J187/(_xlfn.XLOOKUP(AA187,Métrés!A:A,Métrés!D:D,0)),0)</f>
        <v>0</v>
      </c>
      <c r="AE187" s="1092">
        <f>IFERROR(N187*$G$1/(_xlfn.XLOOKUP($AA187,Métrés!$A:$A,Métrés!$D:$D,0)),0)</f>
        <v>0</v>
      </c>
      <c r="AF187" s="1092">
        <f>IFERROR(O187*$G$1/(_xlfn.XLOOKUP($AA187,Métrés!$A:$A,Métrés!$D:$D,0)),0)</f>
        <v>0</v>
      </c>
      <c r="AG187" s="1092">
        <f>IFERROR(Q187*$G$1/(_xlfn.XLOOKUP($AA187,Métrés!$A:$A,Métrés!$D:$D,0)),0)</f>
        <v>0</v>
      </c>
      <c r="AH187" s="1092">
        <f>IFERROR(R187*$G$1/(_xlfn.XLOOKUP($AA187,Métrés!$A:$A,Métrés!$D:$D,0)),0)</f>
        <v>0</v>
      </c>
      <c r="AI187" s="1092">
        <f>IFERROR(S187*$G$1/(_xlfn.XLOOKUP($AA187,Métrés!$A:$A,Métrés!$D:$D,0)),0)</f>
        <v>0</v>
      </c>
      <c r="AJ187" s="1063"/>
      <c r="AK187" s="1063"/>
      <c r="AL187" s="1063"/>
      <c r="AM187" s="1020"/>
      <c r="AN187" s="1071"/>
      <c r="AO187" s="1063"/>
      <c r="AP187" s="1063"/>
      <c r="AQ187" s="1063"/>
      <c r="AR187" s="1072"/>
      <c r="AS187" s="1071"/>
      <c r="AT187" s="1063"/>
      <c r="AU187" s="1063"/>
      <c r="AV187" s="1063"/>
      <c r="AW187" s="1072"/>
      <c r="AX187" s="1071"/>
      <c r="AY187" s="1063"/>
      <c r="AZ187" s="1063"/>
      <c r="BA187" s="1063"/>
      <c r="BB187" s="1072"/>
      <c r="BC187" s="1071"/>
      <c r="BD187" s="1063"/>
      <c r="BE187" s="1063"/>
      <c r="BF187" s="1072"/>
      <c r="BG187" s="1071"/>
      <c r="BH187" s="1063"/>
      <c r="BI187" s="1072"/>
      <c r="BJ187" s="1077"/>
      <c r="BK187" s="1071"/>
      <c r="BL187" s="1063"/>
      <c r="BM187" s="1072"/>
    </row>
    <row r="188" spans="2:67">
      <c r="B188" s="1103"/>
      <c r="C188" s="1099"/>
      <c r="D188" s="478" t="s">
        <v>2982</v>
      </c>
      <c r="E188" s="479" t="str">
        <f>BillQuantities!E31</f>
        <v>Supports et revêtement de sol</v>
      </c>
      <c r="F188" s="479" t="s">
        <v>3017</v>
      </c>
      <c r="G188" s="479"/>
      <c r="H188" s="479"/>
      <c r="I188" s="459" t="s">
        <v>39</v>
      </c>
      <c r="J188" s="662">
        <v>264.32</v>
      </c>
      <c r="K188" s="663"/>
      <c r="L188" s="663"/>
      <c r="M188" s="664">
        <f>SUM(M189:M195)</f>
        <v>53.888107233915832</v>
      </c>
      <c r="N188" s="664">
        <f t="shared" ref="N188:S188" si="490">SUM(N189:N195)</f>
        <v>17.489118000925494</v>
      </c>
      <c r="O188" s="664">
        <f t="shared" ref="O188" si="491">SUM(O189:O195)</f>
        <v>7.572610334332305</v>
      </c>
      <c r="P188" s="664">
        <f t="shared" si="490"/>
        <v>23.157748449791761</v>
      </c>
      <c r="Q188" s="664">
        <f t="shared" si="490"/>
        <v>5.6686304488662653</v>
      </c>
      <c r="R188" s="664">
        <f t="shared" ref="R188" si="492">SUM(R189:R195)</f>
        <v>2.4201574856319681</v>
      </c>
      <c r="S188" s="664">
        <f t="shared" si="490"/>
        <v>3.68397346907296</v>
      </c>
      <c r="T188" s="664">
        <f t="shared" ref="T188" si="493">SUM(T189:T195)</f>
        <v>3.6839734690729597E-2</v>
      </c>
      <c r="V188" s="638">
        <f t="shared" si="374"/>
        <v>3.6839734690729597E-2</v>
      </c>
      <c r="W188" s="638">
        <f t="shared" si="375"/>
        <v>3.68397346907296</v>
      </c>
      <c r="Y188" s="638">
        <f t="shared" si="269"/>
        <v>0</v>
      </c>
      <c r="Z188" s="638">
        <f t="shared" si="362"/>
        <v>0</v>
      </c>
      <c r="AA188" s="648"/>
      <c r="AB188">
        <f>_xlfn.XLOOKUP($H188,'[1]Baumaterialien Matériaux'!$A:$A,'[1]Baumaterialien Matériaux'!AK:AK,0,0)</f>
        <v>0</v>
      </c>
      <c r="AC188" cm="1">
        <f t="array" ref="AC188">_xlfn.SWITCH(I188,"kg"," ",0," ",_xlfn.XLOOKUP(H188, '[1]Baumaterialien Matériaux'!$A:$A, '[1]Baumaterialien Matériaux'!$AL:$AL, "-", 0, 1))</f>
        <v>0</v>
      </c>
      <c r="AD188" s="622" cm="1">
        <f t="array" ref="AD188">IFERROR(_xlfn.SWITCH(I188,"kg",1,"m3",AC188,AC188)*J188/(_xlfn.XLOOKUP(AA188,Métrés!A:A,Métrés!D:D,0)),0)</f>
        <v>0</v>
      </c>
      <c r="AE188" s="1092">
        <f>IFERROR(N188*$G$1/(_xlfn.XLOOKUP($AA188,Métrés!$A:$A,Métrés!$D:$D,0)),0)</f>
        <v>0</v>
      </c>
      <c r="AF188" s="1092">
        <f>IFERROR(O188*$G$1/(_xlfn.XLOOKUP($AA188,Métrés!$A:$A,Métrés!$D:$D,0)),0)</f>
        <v>0</v>
      </c>
      <c r="AG188" s="1092">
        <f>IFERROR(Q188*$G$1/(_xlfn.XLOOKUP($AA188,Métrés!$A:$A,Métrés!$D:$D,0)),0)</f>
        <v>0</v>
      </c>
      <c r="AH188" s="1092">
        <f>IFERROR(R188*$G$1/(_xlfn.XLOOKUP($AA188,Métrés!$A:$A,Métrés!$D:$D,0)),0)</f>
        <v>0</v>
      </c>
      <c r="AI188" s="1092">
        <f>IFERROR(S188*$G$1/(_xlfn.XLOOKUP($AA188,Métrés!$A:$A,Métrés!$D:$D,0)),0)</f>
        <v>0</v>
      </c>
      <c r="AJ188" s="1064"/>
      <c r="AK188" s="1064"/>
      <c r="AL188" s="1064"/>
      <c r="AM188" s="1021"/>
      <c r="AN188" s="1073"/>
      <c r="AO188" s="1064"/>
      <c r="AP188" s="1064"/>
      <c r="AQ188" s="1064"/>
      <c r="AR188" s="1074"/>
      <c r="AS188" s="1073"/>
      <c r="AT188" s="1064"/>
      <c r="AU188" s="1064"/>
      <c r="AV188" s="1064"/>
      <c r="AW188" s="1074"/>
      <c r="AX188" s="1073"/>
      <c r="AY188" s="1064"/>
      <c r="AZ188" s="1064"/>
      <c r="BA188" s="1064"/>
      <c r="BB188" s="1074"/>
      <c r="BC188" s="1073"/>
      <c r="BD188" s="1064"/>
      <c r="BE188" s="1064"/>
      <c r="BF188" s="1074"/>
      <c r="BG188" s="1073"/>
      <c r="BH188" s="1064"/>
      <c r="BI188" s="1074"/>
      <c r="BJ188" s="1078"/>
      <c r="BK188" s="1073"/>
      <c r="BL188" s="1064"/>
      <c r="BM188" s="1074"/>
    </row>
    <row r="189" spans="2:67">
      <c r="B189" s="1103"/>
      <c r="C189" s="1099"/>
      <c r="D189" s="478"/>
      <c r="E189" s="750">
        <v>0.7</v>
      </c>
      <c r="F189" s="478" t="s">
        <v>3018</v>
      </c>
      <c r="G189" s="478" t="str">
        <f>_xlfn.XLOOKUP(H189, 'Baumaterialien Matériaux'!A:A, 'Baumaterialien Matériaux'!AD:AD, "-", 0, 1)</f>
        <v>Chape de ciment, 85 mm</v>
      </c>
      <c r="H189" s="891" t="s">
        <v>780</v>
      </c>
      <c r="I189" s="641" t="str">
        <f>_xlfn.XLOOKUP(H189, 'Baumaterialien Matériaux'!A:A, 'Baumaterialien Matériaux'!F:F, "-", 0, 1)</f>
        <v>kg</v>
      </c>
      <c r="J189" s="649">
        <f>$J$188*K189</f>
        <v>39119.360000000001</v>
      </c>
      <c r="K189" s="893">
        <f>0.08*1850</f>
        <v>148</v>
      </c>
      <c r="L189" s="641">
        <f>'Eléments de constr. inté. et ex'!N104</f>
        <v>30</v>
      </c>
      <c r="M189" s="648">
        <f t="shared" ref="M189:M198" si="494">SUM(N189:Q189)</f>
        <v>11.473495110288447</v>
      </c>
      <c r="N189" s="720">
        <f>IFERROR(($J189*VLOOKUP($H189, 'Baumaterialien Matériaux'!$A$11:$AD$318, 26,FALSE)),0)/$G$1</f>
        <v>4.6549116149930585</v>
      </c>
      <c r="O189" s="720">
        <f>IFERROR(($J189*VLOOKUP($H189, 'Baumaterialien Matériaux'!$A$11:$AH$318, 33,FALSE)),0)/$G$1</f>
        <v>1.0602854234150856</v>
      </c>
      <c r="P189" s="720">
        <f>IFERROR((N189+Q189)*($L$2/L189-1),0)</f>
        <v>5.2066048434366801</v>
      </c>
      <c r="Q189" s="720">
        <f>IFERROR(($J189*VLOOKUP($H189, 'Baumaterialien Matériaux'!$A$11:$AH$318, 27,FALSE)),0)/$G$1</f>
        <v>0.55169322844362179</v>
      </c>
      <c r="R189" s="720">
        <f>IFERROR(($J189*VLOOKUP($H189, 'Baumaterialien Matériaux'!$A$11:$AH$318, 34,FALSE)),0)/$G$1</f>
        <v>0.14094037945395649</v>
      </c>
      <c r="S189" s="720">
        <f>IFERROR((J189*VLOOKUP(H189, 'Baumaterialien Matériaux'!$A$11:$AD$318, 29,FALSE)),0)/$G$1</f>
        <v>0</v>
      </c>
      <c r="T189" s="720">
        <f t="shared" ref="T189:T195" si="495">S189*AJ189</f>
        <v>0</v>
      </c>
      <c r="V189" s="638">
        <f t="shared" si="374"/>
        <v>0</v>
      </c>
      <c r="W189" s="638">
        <f t="shared" si="375"/>
        <v>0</v>
      </c>
      <c r="Y189" s="638" t="str">
        <f t="shared" si="269"/>
        <v>Revêtement</v>
      </c>
      <c r="Z189" s="638">
        <f t="shared" si="362"/>
        <v>30</v>
      </c>
      <c r="AA189" s="648" t="s">
        <v>3448</v>
      </c>
      <c r="AB189" t="str">
        <f>_xlfn.XLOOKUP($H189,'[1]Baumaterialien Matériaux'!$A:$A,'[1]Baumaterialien Matériaux'!AK:AK,0,0)</f>
        <v>concrete</v>
      </c>
      <c r="AC189" t="str" cm="1">
        <f t="array" ref="AC189">_xlfn.SWITCH(I189,"kg"," ",0," ",_xlfn.XLOOKUP(H189, '[1]Baumaterialien Matériaux'!$A:$A, '[1]Baumaterialien Matériaux'!$AL:$AL, "-", 0, 1))</f>
        <v xml:space="preserve"> </v>
      </c>
      <c r="AD189" s="622" cm="1">
        <f t="array" ref="AD189">IFERROR(_xlfn.SWITCH(I189,"kg",1,"m3",AC189,AC189)*J189/(_xlfn.XLOOKUP(AA189,Métrés!A:A,Métrés!D:D,0)),0)</f>
        <v>148</v>
      </c>
      <c r="AE189" s="1092">
        <f>IFERROR(N189*$G$1/(_xlfn.XLOOKUP($AA189,Métrés!$A:$A,Métrés!$D:$D,0)),0)</f>
        <v>15.984</v>
      </c>
      <c r="AF189" s="1092">
        <f>IFERROR(O189*$G$1/(_xlfn.XLOOKUP($AA189,Métrés!$A:$A,Métrés!$D:$D,0)),0)</f>
        <v>3.6408</v>
      </c>
      <c r="AG189" s="1092">
        <f>IFERROR(Q189*$G$1/(_xlfn.XLOOKUP($AA189,Métrés!$A:$A,Métrés!$D:$D,0)),0)</f>
        <v>1.8944000000000001</v>
      </c>
      <c r="AH189" s="1092">
        <f>IFERROR(R189*$G$1/(_xlfn.XLOOKUP($AA189,Métrés!$A:$A,Métrés!$D:$D,0)),0)</f>
        <v>0.48395999999999995</v>
      </c>
      <c r="AI189" s="1092">
        <f>IFERROR(S189*$G$1/(_xlfn.XLOOKUP($AA189,Métrés!$A:$A,Métrés!$D:$D,0)),0)</f>
        <v>0</v>
      </c>
      <c r="AJ189" s="1030"/>
      <c r="AK189" s="1030">
        <f t="shared" ref="AK189:AK195" si="496">IF(L189=60,0,T189)</f>
        <v>0</v>
      </c>
      <c r="AL189" s="1030">
        <f t="shared" ref="AL189:AL195" si="497">IF(L189=60,0,S189)</f>
        <v>0</v>
      </c>
      <c r="AM189" s="638" t="str">
        <f>IF(L189=$L$2, "Structure", IF(L189&gt;0,"Revêtement",0))</f>
        <v>Revêtement</v>
      </c>
      <c r="AN189" s="1032">
        <f t="shared" ref="AN189:AN195" si="498">IF(AM189="Structure",N189,0)</f>
        <v>0</v>
      </c>
      <c r="AO189" s="1030">
        <f t="shared" ref="AO189:AO195" si="499">IF(AM189="Structure",P189,0)</f>
        <v>0</v>
      </c>
      <c r="AP189" s="1030">
        <f t="shared" ref="AP189:AP195" si="500">IF(AM189="Structure",Q189,0)</f>
        <v>0</v>
      </c>
      <c r="AQ189" s="1030">
        <f t="shared" ref="AQ189:AQ195" si="501">IF(AM189="Structure",S189,0)</f>
        <v>0</v>
      </c>
      <c r="AR189" s="1033">
        <f t="shared" ref="AR189:AR195" si="502">IF(AM189="Structure",T189,0)</f>
        <v>0</v>
      </c>
      <c r="AS189" s="1032">
        <f t="shared" ref="AS189:AS195" si="503">IF($AM189="Insulation",N189,0)</f>
        <v>0</v>
      </c>
      <c r="AT189" s="1030">
        <f t="shared" ref="AT189:AU195" si="504">IF($AM189="Insulation",P189,0)</f>
        <v>0</v>
      </c>
      <c r="AU189" s="1030">
        <f t="shared" si="504"/>
        <v>0</v>
      </c>
      <c r="AV189" s="1030">
        <f t="shared" ref="AV189:AW195" si="505">IF($AM189="Insulation",S189,0)</f>
        <v>0</v>
      </c>
      <c r="AW189" s="1033">
        <f t="shared" si="505"/>
        <v>0</v>
      </c>
      <c r="AX189" s="1032">
        <f t="shared" ref="AX189:AX195" si="506">IF($AM189="Revêtement",N189,0)</f>
        <v>4.6549116149930585</v>
      </c>
      <c r="AY189" s="1030">
        <f t="shared" ref="AY189:AZ195" si="507">IF($AM189="Revêtement",P189,0)</f>
        <v>5.2066048434366801</v>
      </c>
      <c r="AZ189" s="1030">
        <f t="shared" si="507"/>
        <v>0.55169322844362179</v>
      </c>
      <c r="BA189" s="1030">
        <f t="shared" ref="BA189:BB195" si="508">IF($AM189="Revêtement",S189,0)</f>
        <v>0</v>
      </c>
      <c r="BB189" s="1033">
        <f t="shared" si="508"/>
        <v>0</v>
      </c>
      <c r="BC189" s="1032">
        <f t="shared" ref="BC189:BC195" si="509">IF($AM189="Installation",N189,0)</f>
        <v>0</v>
      </c>
      <c r="BD189" s="1030">
        <f t="shared" ref="BD189:BE195" si="510">IF($AM189="Installation",P189,0)</f>
        <v>0</v>
      </c>
      <c r="BE189" s="1030">
        <f t="shared" si="510"/>
        <v>0</v>
      </c>
      <c r="BF189" s="1033">
        <f t="shared" ref="BF189:BF195" si="511">IF($AM189="Installation",S189,0)</f>
        <v>0</v>
      </c>
      <c r="BG189" s="1032">
        <f t="shared" ref="BG189:BG195" si="512">IF($AM189="Structure", IF($I189="kg",$J189,0), 0)</f>
        <v>0</v>
      </c>
      <c r="BH189" s="1030">
        <f t="shared" ref="BH189:BH195" si="513">IF($AM189="Insulation", IF($I189="kg",$J189,0), 0)</f>
        <v>0</v>
      </c>
      <c r="BI189" s="1033">
        <f t="shared" ref="BI189:BI195" si="514">IF($AM189="Revêtement", IF($I189="kg",$J189,0), 0)</f>
        <v>39119.360000000001</v>
      </c>
      <c r="BJ189" s="1030">
        <f>_xlfn.XLOOKUP(H189, 'Baumaterialien Matériaux'!A:A, 'Baumaterialien Matériaux'!E:E, "-", 0, 1)</f>
        <v>1850</v>
      </c>
      <c r="BK189" s="1032">
        <f t="shared" si="356"/>
        <v>0</v>
      </c>
      <c r="BL189" s="1030">
        <f t="shared" si="357"/>
        <v>0</v>
      </c>
      <c r="BM189" s="1033">
        <f t="shared" si="358"/>
        <v>21.145600000000002</v>
      </c>
      <c r="BN189" s="720">
        <f>IFERROR((J189*VLOOKUP(H189, 'Baumaterialien Matériaux'!$A$11:$AH$318, 32,FALSE))*($L$2/L189-1),0)/$G$1</f>
        <v>1.198208730525991</v>
      </c>
      <c r="BO189" s="720">
        <f t="shared" ref="BO189:BO195" si="515">IFERROR((N189+Q189)*($L$2/L189-1),0)</f>
        <v>5.2066048434366801</v>
      </c>
    </row>
    <row r="190" spans="2:67">
      <c r="B190" s="1103"/>
      <c r="C190" s="1099"/>
      <c r="D190" s="478"/>
      <c r="E190" s="750">
        <v>0.7</v>
      </c>
      <c r="F190" s="478" t="s">
        <v>3282</v>
      </c>
      <c r="G190" s="478" t="str">
        <f>_xlfn.XLOOKUP(H190, 'Baumaterialien Matériaux'!A:A, 'Baumaterialien Matériaux'!AD:AD, "-", 0, 1)</f>
        <v>Barrière de vapeur PE</v>
      </c>
      <c r="H190" s="892" t="s">
        <v>1585</v>
      </c>
      <c r="I190" s="641" t="str">
        <f>_xlfn.XLOOKUP(H190, 'Baumaterialien Matériaux'!A:A, 'Baumaterialien Matériaux'!F:F, "-", 0, 1)</f>
        <v>kg</v>
      </c>
      <c r="J190" s="649">
        <f t="shared" ref="J190:J192" si="516">$J$188*K190</f>
        <v>317.18399999999997</v>
      </c>
      <c r="K190" s="879">
        <v>1.2</v>
      </c>
      <c r="L190" s="641">
        <f>'Eléments de constr. inté. et ex'!N105</f>
        <v>30</v>
      </c>
      <c r="M190" s="648">
        <f t="shared" si="494"/>
        <v>4.6339435446552519</v>
      </c>
      <c r="N190" s="720">
        <f>IFERROR(($J190*VLOOKUP($H190, 'Baumaterialien Matériaux'!$A$11:$AD$318, 26,FALSE)),0)/$G$1</f>
        <v>0.96103655714946767</v>
      </c>
      <c r="O190" s="720">
        <f>IFERROR(($J190*VLOOKUP($H190, 'Baumaterialien Matériaux'!$A$11:$AH$318, 33,FALSE)),0)/$G$1</f>
        <v>0.84571217029153156</v>
      </c>
      <c r="P190" s="720">
        <f t="shared" ref="P190:P193" si="517">IFERROR((N190+Q190)*($L$2/L190-1),0)</f>
        <v>1.8941156871818601</v>
      </c>
      <c r="Q190" s="720">
        <f>IFERROR(($J190*VLOOKUP($H190, 'Baumaterialien Matériaux'!$A$11:$AH$318, 27,FALSE)),0)/$G$1</f>
        <v>0.9330791300323924</v>
      </c>
      <c r="R190" s="720">
        <f>IFERROR(($J190*VLOOKUP($H190, 'Baumaterialien Matériaux'!$A$11:$AH$318, 34,FALSE)),0)/$G$1</f>
        <v>0.89813234613604798</v>
      </c>
      <c r="S190" s="720">
        <f>IFERROR((J190*VLOOKUP(H190, 'Baumaterialien Matériaux'!$A$11:$AD$318, 29,FALSE)),0)/$G$1</f>
        <v>0</v>
      </c>
      <c r="T190" s="720">
        <f t="shared" si="495"/>
        <v>0</v>
      </c>
      <c r="V190" s="638">
        <f t="shared" si="374"/>
        <v>0</v>
      </c>
      <c r="W190" s="638">
        <f t="shared" si="375"/>
        <v>0</v>
      </c>
      <c r="Y190" s="638" t="str">
        <f t="shared" ref="Y190:Y216" si="518">IF(L190=$L$2, "Structure", IF(L190&gt;0,"Revêtement",0))</f>
        <v>Revêtement</v>
      </c>
      <c r="Z190" s="638">
        <f t="shared" si="362"/>
        <v>30</v>
      </c>
      <c r="AA190" s="648" t="s">
        <v>3448</v>
      </c>
      <c r="AB190" t="str">
        <f>_xlfn.XLOOKUP($H190,'[1]Baumaterialien Matériaux'!$A:$A,'[1]Baumaterialien Matériaux'!AK:AK,0,0)</f>
        <v>oil_product</v>
      </c>
      <c r="AC190" t="str" cm="1">
        <f t="array" ref="AC190">_xlfn.SWITCH(I190,"kg"," ",0," ",_xlfn.XLOOKUP(H190, '[1]Baumaterialien Matériaux'!$A:$A, '[1]Baumaterialien Matériaux'!$AL:$AL, "-", 0, 1))</f>
        <v xml:space="preserve"> </v>
      </c>
      <c r="AD190" s="622" cm="1">
        <f t="array" ref="AD190">IFERROR(_xlfn.SWITCH(I190,"kg",1,"m3",AC190,AC190)*J190/(_xlfn.XLOOKUP(AA190,Métrés!A:A,Métrés!D:D,0)),0)</f>
        <v>1.2</v>
      </c>
      <c r="AE190" s="1092">
        <f>IFERROR(N190*$G$1/(_xlfn.XLOOKUP($AA190,Métrés!$A:$A,Métrés!$D:$D,0)),0)</f>
        <v>3.2999999999999994</v>
      </c>
      <c r="AF190" s="1092">
        <f>IFERROR(O190*$G$1/(_xlfn.XLOOKUP($AA190,Métrés!$A:$A,Métrés!$D:$D,0)),0)</f>
        <v>2.9039999999999995</v>
      </c>
      <c r="AG190" s="1092">
        <f>IFERROR(Q190*$G$1/(_xlfn.XLOOKUP($AA190,Métrés!$A:$A,Métrés!$D:$D,0)),0)</f>
        <v>3.2039999999999997</v>
      </c>
      <c r="AH190" s="1092">
        <f>IFERROR(R190*$G$1/(_xlfn.XLOOKUP($AA190,Métrés!$A:$A,Métrés!$D:$D,0)),0)</f>
        <v>3.0839999999999996</v>
      </c>
      <c r="AI190" s="1092">
        <f>IFERROR(S190*$G$1/(_xlfn.XLOOKUP($AA190,Métrés!$A:$A,Métrés!$D:$D,0)),0)</f>
        <v>0</v>
      </c>
      <c r="AJ190" s="1030"/>
      <c r="AK190" s="1030">
        <f t="shared" si="496"/>
        <v>0</v>
      </c>
      <c r="AL190" s="1030">
        <f t="shared" si="497"/>
        <v>0</v>
      </c>
      <c r="AM190" s="638" t="str">
        <f>IF(L190=$L$2, "Structure", IF(L190&gt;0,"Revêtement",0))</f>
        <v>Revêtement</v>
      </c>
      <c r="AN190" s="1032">
        <f t="shared" si="498"/>
        <v>0</v>
      </c>
      <c r="AO190" s="1030">
        <f t="shared" si="499"/>
        <v>0</v>
      </c>
      <c r="AP190" s="1030">
        <f t="shared" si="500"/>
        <v>0</v>
      </c>
      <c r="AQ190" s="1030">
        <f t="shared" si="501"/>
        <v>0</v>
      </c>
      <c r="AR190" s="1033">
        <f t="shared" si="502"/>
        <v>0</v>
      </c>
      <c r="AS190" s="1032">
        <f t="shared" si="503"/>
        <v>0</v>
      </c>
      <c r="AT190" s="1030">
        <f t="shared" si="504"/>
        <v>0</v>
      </c>
      <c r="AU190" s="1030">
        <f t="shared" si="504"/>
        <v>0</v>
      </c>
      <c r="AV190" s="1030">
        <f t="shared" si="505"/>
        <v>0</v>
      </c>
      <c r="AW190" s="1033">
        <f t="shared" si="505"/>
        <v>0</v>
      </c>
      <c r="AX190" s="1032">
        <f t="shared" si="506"/>
        <v>0.96103655714946767</v>
      </c>
      <c r="AY190" s="1030">
        <f t="shared" si="507"/>
        <v>1.8941156871818601</v>
      </c>
      <c r="AZ190" s="1030">
        <f t="shared" si="507"/>
        <v>0.9330791300323924</v>
      </c>
      <c r="BA190" s="1030">
        <f t="shared" si="508"/>
        <v>0</v>
      </c>
      <c r="BB190" s="1033">
        <f t="shared" si="508"/>
        <v>0</v>
      </c>
      <c r="BC190" s="1032">
        <f t="shared" si="509"/>
        <v>0</v>
      </c>
      <c r="BD190" s="1030">
        <f t="shared" si="510"/>
        <v>0</v>
      </c>
      <c r="BE190" s="1030">
        <f t="shared" si="510"/>
        <v>0</v>
      </c>
      <c r="BF190" s="1033">
        <f t="shared" si="511"/>
        <v>0</v>
      </c>
      <c r="BG190" s="1032">
        <f t="shared" si="512"/>
        <v>0</v>
      </c>
      <c r="BH190" s="1030">
        <f t="shared" si="513"/>
        <v>0</v>
      </c>
      <c r="BI190" s="1033">
        <f t="shared" si="514"/>
        <v>317.18399999999997</v>
      </c>
      <c r="BJ190" s="1030">
        <f>_xlfn.XLOOKUP(H190, 'Baumaterialien Matériaux'!A:A, 'Baumaterialien Matériaux'!E:E, "-", 0, 1)</f>
        <v>920</v>
      </c>
      <c r="BK190" s="1032">
        <f t="shared" si="356"/>
        <v>0</v>
      </c>
      <c r="BL190" s="1030">
        <f t="shared" si="357"/>
        <v>0</v>
      </c>
      <c r="BM190" s="1033">
        <f t="shared" si="358"/>
        <v>0.34476521739130433</v>
      </c>
      <c r="BN190" s="720">
        <f>IFERROR((J190*VLOOKUP(H190, 'Baumaterialien Matériaux'!$A$11:$AH$318, 32,FALSE))*($L$2/L190-1),0)/$G$1</f>
        <v>1.7403498380379452</v>
      </c>
      <c r="BO190" s="720">
        <f t="shared" si="515"/>
        <v>1.8941156871818601</v>
      </c>
    </row>
    <row r="191" spans="2:67">
      <c r="B191" s="1103"/>
      <c r="C191" s="1099"/>
      <c r="D191" s="478"/>
      <c r="E191" s="750">
        <v>0.3</v>
      </c>
      <c r="F191" s="478" t="s">
        <v>3283</v>
      </c>
      <c r="G191" s="478" t="str">
        <f>_xlfn.XLOOKUP(H191, 'Baumaterialien Matériaux'!A:A, 'Baumaterialien Matériaux'!AD:AD, "-", 0, 1)</f>
        <v>GUTEX Pyroresist</v>
      </c>
      <c r="H191" s="892" t="s">
        <v>2997</v>
      </c>
      <c r="I191" s="641" t="str">
        <f>_xlfn.XLOOKUP(H191, 'Baumaterialien Matériaux'!A:A, 'Baumaterialien Matériaux'!F:F, "-", 0, 1)</f>
        <v>kg</v>
      </c>
      <c r="J191" s="649">
        <f t="shared" si="516"/>
        <v>1004.4160000000001</v>
      </c>
      <c r="K191" s="893">
        <f>0.02*190</f>
        <v>3.8000000000000003</v>
      </c>
      <c r="L191" s="641">
        <f>'Eléments de constr. inté. et ex'!N111</f>
        <v>30</v>
      </c>
      <c r="M191" s="648">
        <f t="shared" si="494"/>
        <v>4.550650402435684</v>
      </c>
      <c r="N191" s="720">
        <f>IFERROR(($J191*VLOOKUP($H191, 'Baumaterialien Matériaux'!$A$11:$AD$318, 26,FALSE)),0)/$G$1</f>
        <v>1.7298658028690421</v>
      </c>
      <c r="O191" s="720">
        <f>IFERROR(($J191*VLOOKUP($H191, 'Baumaterialien Matériaux'!$A$11:$AH$318, 33,FALSE)),0)/$G$1</f>
        <v>1.077755508096643</v>
      </c>
      <c r="P191" s="720">
        <f t="shared" si="517"/>
        <v>1.7364474471695204</v>
      </c>
      <c r="Q191" s="720">
        <f>IFERROR(($J191*VLOOKUP($H191, 'Baumaterialien Matériaux'!$A$11:$AH$318, 27,FALSE)),0)/$G$1</f>
        <v>6.5816443004781729E-3</v>
      </c>
      <c r="R191" s="720">
        <f>IFERROR(($J191*VLOOKUP($H191, 'Baumaterialien Matériaux'!$A$11:$AH$318, 34,FALSE)),0)/$G$1</f>
        <v>3.9091839797656533E-3</v>
      </c>
      <c r="S191" s="720">
        <f>IFERROR((J191*VLOOKUP(H191, 'Baumaterialien Matériaux'!$A$11:$AD$318, 29,FALSE)),0)/$G$1</f>
        <v>1.4735893876291841</v>
      </c>
      <c r="T191" s="720">
        <f t="shared" si="495"/>
        <v>1.4735893876291841E-2</v>
      </c>
      <c r="U191" s="638">
        <v>0.01</v>
      </c>
      <c r="V191" s="638">
        <f t="shared" si="374"/>
        <v>1.4735893876291841E-2</v>
      </c>
      <c r="W191" s="638">
        <f t="shared" si="375"/>
        <v>1.4735893876291841</v>
      </c>
      <c r="Y191" s="638" t="str">
        <f t="shared" si="518"/>
        <v>Revêtement</v>
      </c>
      <c r="Z191" s="638">
        <f t="shared" si="362"/>
        <v>30</v>
      </c>
      <c r="AA191" s="648" t="s">
        <v>3448</v>
      </c>
      <c r="AB191" t="str">
        <f>_xlfn.XLOOKUP($H191,'[1]Baumaterialien Matériaux'!$A:$A,'[1]Baumaterialien Matériaux'!AK:AK,0,0)</f>
        <v>vegetal_fiber</v>
      </c>
      <c r="AC191" t="str" cm="1">
        <f t="array" ref="AC191">_xlfn.SWITCH(I191,"kg"," ",0," ",_xlfn.XLOOKUP(H191, '[1]Baumaterialien Matériaux'!$A:$A, '[1]Baumaterialien Matériaux'!$AL:$AL, "-", 0, 1))</f>
        <v xml:space="preserve"> </v>
      </c>
      <c r="AD191" s="622" cm="1">
        <f t="array" ref="AD191">IFERROR(_xlfn.SWITCH(I191,"kg",1,"m3",AC191,AC191)*J191/(_xlfn.XLOOKUP(AA191,Métrés!A:A,Métrés!D:D,0)),0)</f>
        <v>3.8000000000000003</v>
      </c>
      <c r="AE191" s="1092">
        <f>IFERROR(N191*$G$1/(_xlfn.XLOOKUP($AA191,Métrés!$A:$A,Métrés!$D:$D,0)),0)</f>
        <v>5.94</v>
      </c>
      <c r="AF191" s="1092">
        <f>IFERROR(O191*$G$1/(_xlfn.XLOOKUP($AA191,Métrés!$A:$A,Métrés!$D:$D,0)),0)</f>
        <v>3.700788643533123</v>
      </c>
      <c r="AG191" s="1092">
        <f>IFERROR(Q191*$G$1/(_xlfn.XLOOKUP($AA191,Métrés!$A:$A,Métrés!$D:$D,0)),0)</f>
        <v>2.2599999999999999E-2</v>
      </c>
      <c r="AH191" s="1092">
        <f>IFERROR(R191*$G$1/(_xlfn.XLOOKUP($AA191,Métrés!$A:$A,Métrés!$D:$D,0)),0)</f>
        <v>1.3423326133909286E-2</v>
      </c>
      <c r="AI191" s="1092">
        <f>IFERROR(S191*$G$1/(_xlfn.XLOOKUP($AA191,Métrés!$A:$A,Métrés!$D:$D,0)),0)</f>
        <v>5.0600000000000005</v>
      </c>
      <c r="AJ191" s="1030">
        <v>0.01</v>
      </c>
      <c r="AK191" s="1030">
        <f t="shared" si="496"/>
        <v>1.4735893876291841E-2</v>
      </c>
      <c r="AL191" s="1030">
        <f t="shared" si="497"/>
        <v>1.4735893876291841</v>
      </c>
      <c r="AM191" s="638" t="s">
        <v>3388</v>
      </c>
      <c r="AN191" s="1032">
        <f t="shared" si="498"/>
        <v>0</v>
      </c>
      <c r="AO191" s="1030">
        <f t="shared" si="499"/>
        <v>0</v>
      </c>
      <c r="AP191" s="1030">
        <f t="shared" si="500"/>
        <v>0</v>
      </c>
      <c r="AQ191" s="1030">
        <f t="shared" si="501"/>
        <v>0</v>
      </c>
      <c r="AR191" s="1033">
        <f t="shared" si="502"/>
        <v>0</v>
      </c>
      <c r="AS191" s="1032">
        <f t="shared" si="503"/>
        <v>1.7298658028690421</v>
      </c>
      <c r="AT191" s="1030">
        <f t="shared" si="504"/>
        <v>1.7364474471695204</v>
      </c>
      <c r="AU191" s="1030">
        <f t="shared" si="504"/>
        <v>6.5816443004781729E-3</v>
      </c>
      <c r="AV191" s="1030">
        <f t="shared" si="505"/>
        <v>1.4735893876291841</v>
      </c>
      <c r="AW191" s="1033">
        <f t="shared" si="505"/>
        <v>1.4735893876291841E-2</v>
      </c>
      <c r="AX191" s="1032">
        <f t="shared" si="506"/>
        <v>0</v>
      </c>
      <c r="AY191" s="1030">
        <f t="shared" si="507"/>
        <v>0</v>
      </c>
      <c r="AZ191" s="1030">
        <f t="shared" si="507"/>
        <v>0</v>
      </c>
      <c r="BA191" s="1030">
        <f t="shared" si="508"/>
        <v>0</v>
      </c>
      <c r="BB191" s="1033">
        <f t="shared" si="508"/>
        <v>0</v>
      </c>
      <c r="BC191" s="1032">
        <f t="shared" si="509"/>
        <v>0</v>
      </c>
      <c r="BD191" s="1030">
        <f t="shared" si="510"/>
        <v>0</v>
      </c>
      <c r="BE191" s="1030">
        <f t="shared" si="510"/>
        <v>0</v>
      </c>
      <c r="BF191" s="1033">
        <f t="shared" si="511"/>
        <v>0</v>
      </c>
      <c r="BG191" s="1032">
        <f t="shared" si="512"/>
        <v>0</v>
      </c>
      <c r="BH191" s="1030">
        <f t="shared" si="513"/>
        <v>1004.4160000000001</v>
      </c>
      <c r="BI191" s="1033">
        <f t="shared" si="514"/>
        <v>0</v>
      </c>
      <c r="BJ191" s="1030">
        <f>_xlfn.XLOOKUP(H191, 'Baumaterialien Matériaux'!A:A, 'Baumaterialien Matériaux'!E:E, "-", 0, 1)</f>
        <v>190</v>
      </c>
      <c r="BK191" s="1032">
        <f t="shared" si="356"/>
        <v>0</v>
      </c>
      <c r="BL191" s="1030">
        <f t="shared" si="357"/>
        <v>5.2864000000000004</v>
      </c>
      <c r="BM191" s="1033">
        <f t="shared" si="358"/>
        <v>0</v>
      </c>
      <c r="BN191" s="720">
        <f>IFERROR((J191*VLOOKUP(H191, 'Baumaterialien Matériaux'!$A$11:$AH$318, 32,FALSE))*($L$2/L191-1),0)/$G$1</f>
        <v>1.0816646920764088</v>
      </c>
      <c r="BO191" s="720">
        <f t="shared" si="515"/>
        <v>1.7364474471695204</v>
      </c>
    </row>
    <row r="192" spans="2:67">
      <c r="B192" s="1103"/>
      <c r="C192" s="1099"/>
      <c r="D192" s="478"/>
      <c r="E192" s="750">
        <v>0.3</v>
      </c>
      <c r="F192" s="478" t="s">
        <v>3284</v>
      </c>
      <c r="G192" s="478" t="str">
        <f>_xlfn.XLOOKUP(H192, 'Baumaterialien Matériaux'!A:A, 'Baumaterialien Matériaux'!AD:AD, "-", 0, 1)</f>
        <v>GUTEX Pyroresist</v>
      </c>
      <c r="H192" s="885" t="s">
        <v>2997</v>
      </c>
      <c r="I192" s="641" t="str">
        <f>_xlfn.XLOOKUP(H192, 'Baumaterialien Matériaux'!A:A, 'Baumaterialien Matériaux'!F:F, "-", 0, 1)</f>
        <v>kg</v>
      </c>
      <c r="J192" s="649">
        <f t="shared" si="516"/>
        <v>1506.624</v>
      </c>
      <c r="K192" s="893">
        <f>0.03*190</f>
        <v>5.7</v>
      </c>
      <c r="L192" s="641">
        <f>'Eléments de constr. inté. et ex'!N112</f>
        <v>30</v>
      </c>
      <c r="M192" s="648">
        <f t="shared" si="494"/>
        <v>6.8259756036535242</v>
      </c>
      <c r="N192" s="720">
        <f>IFERROR(($J192*VLOOKUP($H192, 'Baumaterialien Matériaux'!$A$11:$AD$318, 26,FALSE)),0)/$G$1</f>
        <v>2.594798704303563</v>
      </c>
      <c r="O192" s="720">
        <f>IFERROR(($J192*VLOOKUP($H192, 'Baumaterialien Matériaux'!$A$11:$AH$318, 33,FALSE)),0)/$G$1</f>
        <v>1.6166332621449646</v>
      </c>
      <c r="P192" s="720">
        <f t="shared" si="517"/>
        <v>2.6046711707542802</v>
      </c>
      <c r="Q192" s="720">
        <f>IFERROR(($J192*VLOOKUP($H192, 'Baumaterialien Matériaux'!$A$11:$AH$318, 27,FALSE)),0)/$G$1</f>
        <v>9.8724664507172603E-3</v>
      </c>
      <c r="R192" s="720">
        <f>IFERROR(($J192*VLOOKUP($H192, 'Baumaterialien Matériaux'!$A$11:$AH$318, 34,FALSE)),0)/$G$1</f>
        <v>5.8637759696484795E-3</v>
      </c>
      <c r="S192" s="720">
        <f>IFERROR((J192*VLOOKUP(H192, 'Baumaterialien Matériaux'!$A$11:$AD$318, 29,FALSE)),0)/$G$1</f>
        <v>2.2103840814437761</v>
      </c>
      <c r="T192" s="720">
        <f t="shared" si="495"/>
        <v>2.210384081443776E-2</v>
      </c>
      <c r="U192" s="638">
        <v>0.01</v>
      </c>
      <c r="V192" s="638">
        <f t="shared" si="374"/>
        <v>2.210384081443776E-2</v>
      </c>
      <c r="W192" s="638">
        <f t="shared" si="375"/>
        <v>2.2103840814437761</v>
      </c>
      <c r="Y192" s="638" t="str">
        <f t="shared" si="518"/>
        <v>Revêtement</v>
      </c>
      <c r="Z192" s="638">
        <f t="shared" si="362"/>
        <v>30</v>
      </c>
      <c r="AA192" s="648" t="s">
        <v>3448</v>
      </c>
      <c r="AB192" t="str">
        <f>_xlfn.XLOOKUP($H192,'[1]Baumaterialien Matériaux'!$A:$A,'[1]Baumaterialien Matériaux'!AK:AK,0,0)</f>
        <v>vegetal_fiber</v>
      </c>
      <c r="AC192" t="str" cm="1">
        <f t="array" ref="AC192">_xlfn.SWITCH(I192,"kg"," ",0," ",_xlfn.XLOOKUP(H192, '[1]Baumaterialien Matériaux'!$A:$A, '[1]Baumaterialien Matériaux'!$AL:$AL, "-", 0, 1))</f>
        <v xml:space="preserve"> </v>
      </c>
      <c r="AD192" s="622" cm="1">
        <f t="array" ref="AD192">IFERROR(_xlfn.SWITCH(I192,"kg",1,"m3",AC192,AC192)*J192/(_xlfn.XLOOKUP(AA192,Métrés!A:A,Métrés!D:D,0)),0)</f>
        <v>5.7</v>
      </c>
      <c r="AE192" s="1092">
        <f>IFERROR(N192*$G$1/(_xlfn.XLOOKUP($AA192,Métrés!$A:$A,Métrés!$D:$D,0)),0)</f>
        <v>8.91</v>
      </c>
      <c r="AF192" s="1092">
        <f>IFERROR(O192*$G$1/(_xlfn.XLOOKUP($AA192,Métrés!$A:$A,Métrés!$D:$D,0)),0)</f>
        <v>5.5511829652996854</v>
      </c>
      <c r="AG192" s="1092">
        <f>IFERROR(Q192*$G$1/(_xlfn.XLOOKUP($AA192,Métrés!$A:$A,Métrés!$D:$D,0)),0)</f>
        <v>3.39E-2</v>
      </c>
      <c r="AH192" s="1092">
        <f>IFERROR(R192*$G$1/(_xlfn.XLOOKUP($AA192,Métrés!$A:$A,Métrés!$D:$D,0)),0)</f>
        <v>2.0134989200863925E-2</v>
      </c>
      <c r="AI192" s="1092">
        <f>IFERROR(S192*$G$1/(_xlfn.XLOOKUP($AA192,Métrés!$A:$A,Métrés!$D:$D,0)),0)</f>
        <v>7.5900000000000007</v>
      </c>
      <c r="AJ192" s="1030">
        <v>0.01</v>
      </c>
      <c r="AK192" s="1030">
        <f t="shared" si="496"/>
        <v>2.210384081443776E-2</v>
      </c>
      <c r="AL192" s="1030">
        <f t="shared" si="497"/>
        <v>2.2103840814437761</v>
      </c>
      <c r="AM192" s="638" t="s">
        <v>3388</v>
      </c>
      <c r="AN192" s="1032">
        <f t="shared" si="498"/>
        <v>0</v>
      </c>
      <c r="AO192" s="1030">
        <f t="shared" si="499"/>
        <v>0</v>
      </c>
      <c r="AP192" s="1030">
        <f t="shared" si="500"/>
        <v>0</v>
      </c>
      <c r="AQ192" s="1030">
        <f t="shared" si="501"/>
        <v>0</v>
      </c>
      <c r="AR192" s="1033">
        <f t="shared" si="502"/>
        <v>0</v>
      </c>
      <c r="AS192" s="1032">
        <f t="shared" si="503"/>
        <v>2.594798704303563</v>
      </c>
      <c r="AT192" s="1030">
        <f t="shared" si="504"/>
        <v>2.6046711707542802</v>
      </c>
      <c r="AU192" s="1030">
        <f t="shared" si="504"/>
        <v>9.8724664507172603E-3</v>
      </c>
      <c r="AV192" s="1030">
        <f t="shared" si="505"/>
        <v>2.2103840814437761</v>
      </c>
      <c r="AW192" s="1033">
        <f t="shared" si="505"/>
        <v>2.210384081443776E-2</v>
      </c>
      <c r="AX192" s="1032">
        <f t="shared" si="506"/>
        <v>0</v>
      </c>
      <c r="AY192" s="1030">
        <f t="shared" si="507"/>
        <v>0</v>
      </c>
      <c r="AZ192" s="1030">
        <f t="shared" si="507"/>
        <v>0</v>
      </c>
      <c r="BA192" s="1030">
        <f t="shared" si="508"/>
        <v>0</v>
      </c>
      <c r="BB192" s="1033">
        <f t="shared" si="508"/>
        <v>0</v>
      </c>
      <c r="BC192" s="1032">
        <f t="shared" si="509"/>
        <v>0</v>
      </c>
      <c r="BD192" s="1030">
        <f t="shared" si="510"/>
        <v>0</v>
      </c>
      <c r="BE192" s="1030">
        <f t="shared" si="510"/>
        <v>0</v>
      </c>
      <c r="BF192" s="1033">
        <f t="shared" si="511"/>
        <v>0</v>
      </c>
      <c r="BG192" s="1032">
        <f t="shared" si="512"/>
        <v>0</v>
      </c>
      <c r="BH192" s="1030">
        <f t="shared" si="513"/>
        <v>1506.624</v>
      </c>
      <c r="BI192" s="1033">
        <f t="shared" si="514"/>
        <v>0</v>
      </c>
      <c r="BJ192" s="1030">
        <f>_xlfn.XLOOKUP(H192, 'Baumaterialien Matériaux'!A:A, 'Baumaterialien Matériaux'!E:E, "-", 0, 1)</f>
        <v>190</v>
      </c>
      <c r="BK192" s="1032">
        <f t="shared" si="356"/>
        <v>0</v>
      </c>
      <c r="BL192" s="1030">
        <f t="shared" si="357"/>
        <v>7.9295999999999998</v>
      </c>
      <c r="BM192" s="1033">
        <f t="shared" si="358"/>
        <v>0</v>
      </c>
      <c r="BN192" s="720">
        <f>IFERROR((J192*VLOOKUP(H192, 'Baumaterialien Matériaux'!$A$11:$AH$318, 32,FALSE))*($L$2/L192-1),0)/$G$1</f>
        <v>1.6224970381146131</v>
      </c>
      <c r="BO192" s="720">
        <f t="shared" si="515"/>
        <v>2.6046711707542802</v>
      </c>
    </row>
    <row r="193" spans="2:67">
      <c r="B193" s="1103"/>
      <c r="C193" s="1099"/>
      <c r="D193" s="478"/>
      <c r="E193" s="478"/>
      <c r="F193" s="478" t="s">
        <v>3021</v>
      </c>
      <c r="G193" s="478" t="str">
        <f>_xlfn.XLOOKUP(H193, 'Baumaterialien Matériaux'!A:A, 'Baumaterialien Matériaux'!AD:AD, "-", 0, 1)</f>
        <v>Polyuréthane (PUR/PIR)</v>
      </c>
      <c r="H193" s="892" t="s">
        <v>702</v>
      </c>
      <c r="I193" s="641" t="str">
        <f>_xlfn.XLOOKUP(H193, 'Baumaterialien Matériaux'!A:A, 'Baumaterialien Matériaux'!F:F, "-", 0, 1)</f>
        <v>kg</v>
      </c>
      <c r="J193" s="649">
        <f t="shared" ref="J193" si="519">$J$188*K193</f>
        <v>1427.3279999999997</v>
      </c>
      <c r="K193" s="888">
        <f>0.18*30</f>
        <v>5.3999999999999995</v>
      </c>
      <c r="L193" s="641">
        <f>'Eléments de constr. inté. et ex'!N113</f>
        <v>30</v>
      </c>
      <c r="M193" s="648">
        <f t="shared" si="494"/>
        <v>26.404042572882922</v>
      </c>
      <c r="N193" s="720">
        <f>IFERROR(($J193*VLOOKUP($H193, 'Baumaterialien Matériaux'!$A$11:$AD$318, 26,FALSE)),0)/$G$1</f>
        <v>7.5485053216103646</v>
      </c>
      <c r="O193" s="720">
        <f>IFERROR(($J193*VLOOKUP($H193, 'Baumaterialien Matériaux'!$A$11:$AH$318, 33,FALSE)),0)/$G$1</f>
        <v>2.9722239703840807</v>
      </c>
      <c r="P193" s="720">
        <f t="shared" si="517"/>
        <v>11.71590930124942</v>
      </c>
      <c r="Q193" s="720">
        <f>IFERROR(($J193*VLOOKUP($H193, 'Baumaterialien Matériaux'!$A$11:$AH$318, 27,FALSE)),0)/$G$1</f>
        <v>4.1674039796390554</v>
      </c>
      <c r="R193" s="720">
        <f>IFERROR(($J193*VLOOKUP($H193, 'Baumaterialien Matériaux'!$A$11:$AH$318, 34,FALSE)),0)/$G$1</f>
        <v>1.3713118000925495</v>
      </c>
      <c r="S193" s="720">
        <f>IFERROR((J193*VLOOKUP(H193, 'Baumaterialien Matériaux'!$A$11:$AD$318, 29,FALSE)),0)/$G$1</f>
        <v>0</v>
      </c>
      <c r="T193" s="720">
        <f t="shared" si="495"/>
        <v>0</v>
      </c>
      <c r="V193" s="638">
        <f t="shared" si="374"/>
        <v>0</v>
      </c>
      <c r="W193" s="638">
        <f t="shared" si="375"/>
        <v>0</v>
      </c>
      <c r="Y193" s="638" t="str">
        <f t="shared" si="518"/>
        <v>Revêtement</v>
      </c>
      <c r="Z193" s="638">
        <f t="shared" si="362"/>
        <v>30</v>
      </c>
      <c r="AA193" s="648" t="s">
        <v>3448</v>
      </c>
      <c r="AB193" t="str">
        <f>_xlfn.XLOOKUP($H193,'[1]Baumaterialien Matériaux'!$A:$A,'[1]Baumaterialien Matériaux'!AK:AK,0,0)</f>
        <v>oil_product</v>
      </c>
      <c r="AC193" t="str" cm="1">
        <f t="array" ref="AC193">_xlfn.SWITCH(I193,"kg"," ",0," ",_xlfn.XLOOKUP(H193, '[1]Baumaterialien Matériaux'!$A:$A, '[1]Baumaterialien Matériaux'!$AL:$AL, "-", 0, 1))</f>
        <v xml:space="preserve"> </v>
      </c>
      <c r="AD193" s="622" cm="1">
        <f t="array" ref="AD193">IFERROR(_xlfn.SWITCH(I193,"kg",1,"m3",AC193,AC193)*J193/(_xlfn.XLOOKUP(AA193,Métrés!A:A,Métrés!D:D,0)),0)</f>
        <v>5.3999999999999995</v>
      </c>
      <c r="AE193" s="1092">
        <f>IFERROR(N193*$G$1/(_xlfn.XLOOKUP($AA193,Métrés!$A:$A,Métrés!$D:$D,0)),0)</f>
        <v>25.919999999999998</v>
      </c>
      <c r="AF193" s="1092">
        <f>IFERROR(O193*$G$1/(_xlfn.XLOOKUP($AA193,Métrés!$A:$A,Métrés!$D:$D,0)),0)</f>
        <v>10.205999999999998</v>
      </c>
      <c r="AG193" s="1092">
        <f>IFERROR(Q193*$G$1/(_xlfn.XLOOKUP($AA193,Métrés!$A:$A,Métrés!$D:$D,0)),0)</f>
        <v>14.309999999999999</v>
      </c>
      <c r="AH193" s="1092">
        <f>IFERROR(R193*$G$1/(_xlfn.XLOOKUP($AA193,Métrés!$A:$A,Métrés!$D:$D,0)),0)</f>
        <v>4.7087999999999992</v>
      </c>
      <c r="AI193" s="1092">
        <f>IFERROR(S193*$G$1/(_xlfn.XLOOKUP($AA193,Métrés!$A:$A,Métrés!$D:$D,0)),0)</f>
        <v>0</v>
      </c>
      <c r="AJ193" s="1030"/>
      <c r="AK193" s="1030">
        <f t="shared" si="496"/>
        <v>0</v>
      </c>
      <c r="AL193" s="1030">
        <f t="shared" si="497"/>
        <v>0</v>
      </c>
      <c r="AM193" s="638" t="s">
        <v>3388</v>
      </c>
      <c r="AN193" s="1032">
        <f t="shared" si="498"/>
        <v>0</v>
      </c>
      <c r="AO193" s="1030">
        <f t="shared" si="499"/>
        <v>0</v>
      </c>
      <c r="AP193" s="1030">
        <f t="shared" si="500"/>
        <v>0</v>
      </c>
      <c r="AQ193" s="1030">
        <f t="shared" si="501"/>
        <v>0</v>
      </c>
      <c r="AR193" s="1033">
        <f t="shared" si="502"/>
        <v>0</v>
      </c>
      <c r="AS193" s="1032">
        <f t="shared" si="503"/>
        <v>7.5485053216103646</v>
      </c>
      <c r="AT193" s="1030">
        <f t="shared" si="504"/>
        <v>11.71590930124942</v>
      </c>
      <c r="AU193" s="1030">
        <f t="shared" si="504"/>
        <v>4.1674039796390554</v>
      </c>
      <c r="AV193" s="1030">
        <f t="shared" si="505"/>
        <v>0</v>
      </c>
      <c r="AW193" s="1033">
        <f t="shared" si="505"/>
        <v>0</v>
      </c>
      <c r="AX193" s="1032">
        <f t="shared" si="506"/>
        <v>0</v>
      </c>
      <c r="AY193" s="1030">
        <f t="shared" si="507"/>
        <v>0</v>
      </c>
      <c r="AZ193" s="1030">
        <f t="shared" si="507"/>
        <v>0</v>
      </c>
      <c r="BA193" s="1030">
        <f t="shared" si="508"/>
        <v>0</v>
      </c>
      <c r="BB193" s="1033">
        <f t="shared" si="508"/>
        <v>0</v>
      </c>
      <c r="BC193" s="1032">
        <f t="shared" si="509"/>
        <v>0</v>
      </c>
      <c r="BD193" s="1030">
        <f t="shared" si="510"/>
        <v>0</v>
      </c>
      <c r="BE193" s="1030">
        <f t="shared" si="510"/>
        <v>0</v>
      </c>
      <c r="BF193" s="1033">
        <f t="shared" si="511"/>
        <v>0</v>
      </c>
      <c r="BG193" s="1032">
        <f t="shared" si="512"/>
        <v>0</v>
      </c>
      <c r="BH193" s="1030">
        <f t="shared" si="513"/>
        <v>1427.3279999999997</v>
      </c>
      <c r="BI193" s="1033">
        <f t="shared" si="514"/>
        <v>0</v>
      </c>
      <c r="BJ193" s="1030">
        <f>_xlfn.XLOOKUP(H193, 'Baumaterialien Matériaux'!A:A, 'Baumaterialien Matériaux'!E:E, "-", 0, 1)</f>
        <v>30</v>
      </c>
      <c r="BK193" s="1032">
        <f t="shared" si="356"/>
        <v>0</v>
      </c>
      <c r="BL193" s="1030">
        <f t="shared" si="357"/>
        <v>47.57759999999999</v>
      </c>
      <c r="BM193" s="1033">
        <f t="shared" si="358"/>
        <v>0</v>
      </c>
      <c r="BN193" s="720">
        <f>IFERROR((J193*VLOOKUP(H193, 'Baumaterialien Matériaux'!$A$11:$AH$318, 32,FALSE))*($L$2/L193-1),0)/$G$1</f>
        <v>4.3403905599259591</v>
      </c>
      <c r="BO193" s="720">
        <f t="shared" si="515"/>
        <v>11.71590930124942</v>
      </c>
    </row>
    <row r="194" spans="2:67">
      <c r="B194" s="1103"/>
      <c r="C194" s="1099"/>
      <c r="D194" s="478"/>
      <c r="E194" s="478"/>
      <c r="F194" s="478"/>
      <c r="G194" s="478"/>
      <c r="H194" s="875"/>
      <c r="I194" s="641"/>
      <c r="J194" s="649"/>
      <c r="K194" s="647"/>
      <c r="L194" s="641"/>
      <c r="M194" s="648"/>
      <c r="N194" s="720"/>
      <c r="O194" s="720"/>
      <c r="P194" s="720"/>
      <c r="Q194" s="720"/>
      <c r="R194" s="720"/>
      <c r="S194" s="720"/>
      <c r="T194" s="720">
        <f t="shared" si="495"/>
        <v>0</v>
      </c>
      <c r="V194" s="638">
        <f t="shared" si="374"/>
        <v>0</v>
      </c>
      <c r="W194" s="638">
        <f t="shared" si="375"/>
        <v>0</v>
      </c>
      <c r="Y194" s="638">
        <f t="shared" si="518"/>
        <v>0</v>
      </c>
      <c r="Z194" s="638">
        <f t="shared" si="362"/>
        <v>0</v>
      </c>
      <c r="AA194" s="648" t="s">
        <v>3448</v>
      </c>
      <c r="AB194">
        <f>_xlfn.XLOOKUP($H194,'[1]Baumaterialien Matériaux'!$A:$A,'[1]Baumaterialien Matériaux'!AK:AK,0,0)</f>
        <v>0</v>
      </c>
      <c r="AC194" t="str" cm="1">
        <f t="array" ref="AC194">_xlfn.SWITCH(I194,"kg"," ",0," ",_xlfn.XLOOKUP(H194, '[1]Baumaterialien Matériaux'!$A:$A, '[1]Baumaterialien Matériaux'!$AL:$AL, "-", 0, 1))</f>
        <v xml:space="preserve"> </v>
      </c>
      <c r="AD194" s="622" cm="1">
        <f t="array" ref="AD194">IFERROR(_xlfn.SWITCH(I194,"kg",1,"m3",AC194,AC194)*J194/(_xlfn.XLOOKUP(AA194,Métrés!A:A,Métrés!D:D,0)),0)</f>
        <v>0</v>
      </c>
      <c r="AE194" s="1092">
        <f>IFERROR(N194*$G$1/(_xlfn.XLOOKUP($AA194,Métrés!$A:$A,Métrés!$D:$D,0)),0)</f>
        <v>0</v>
      </c>
      <c r="AF194" s="1092">
        <f>IFERROR(O194*$G$1/(_xlfn.XLOOKUP($AA194,Métrés!$A:$A,Métrés!$D:$D,0)),0)</f>
        <v>0</v>
      </c>
      <c r="AG194" s="1092">
        <f>IFERROR(Q194*$G$1/(_xlfn.XLOOKUP($AA194,Métrés!$A:$A,Métrés!$D:$D,0)),0)</f>
        <v>0</v>
      </c>
      <c r="AH194" s="1092">
        <f>IFERROR(R194*$G$1/(_xlfn.XLOOKUP($AA194,Métrés!$A:$A,Métrés!$D:$D,0)),0)</f>
        <v>0</v>
      </c>
      <c r="AI194" s="1092">
        <f>IFERROR(S194*$G$1/(_xlfn.XLOOKUP($AA194,Métrés!$A:$A,Métrés!$D:$D,0)),0)</f>
        <v>0</v>
      </c>
      <c r="AJ194" s="1030"/>
      <c r="AK194" s="1030">
        <f t="shared" si="496"/>
        <v>0</v>
      </c>
      <c r="AL194" s="1030">
        <f t="shared" si="497"/>
        <v>0</v>
      </c>
      <c r="AM194" s="638">
        <f>IF(L194=$L$2, "Structure", IF(L194&gt;0,"Revêtement",0))</f>
        <v>0</v>
      </c>
      <c r="AN194" s="1032">
        <f t="shared" si="498"/>
        <v>0</v>
      </c>
      <c r="AO194" s="1030">
        <f t="shared" si="499"/>
        <v>0</v>
      </c>
      <c r="AP194" s="1030">
        <f t="shared" si="500"/>
        <v>0</v>
      </c>
      <c r="AQ194" s="1030">
        <f t="shared" si="501"/>
        <v>0</v>
      </c>
      <c r="AR194" s="1033">
        <f t="shared" si="502"/>
        <v>0</v>
      </c>
      <c r="AS194" s="1032">
        <f t="shared" si="503"/>
        <v>0</v>
      </c>
      <c r="AT194" s="1030">
        <f t="shared" si="504"/>
        <v>0</v>
      </c>
      <c r="AU194" s="1030">
        <f t="shared" si="504"/>
        <v>0</v>
      </c>
      <c r="AV194" s="1030">
        <f t="shared" si="505"/>
        <v>0</v>
      </c>
      <c r="AW194" s="1033">
        <f t="shared" si="505"/>
        <v>0</v>
      </c>
      <c r="AX194" s="1032">
        <f t="shared" si="506"/>
        <v>0</v>
      </c>
      <c r="AY194" s="1030">
        <f t="shared" si="507"/>
        <v>0</v>
      </c>
      <c r="AZ194" s="1030">
        <f t="shared" si="507"/>
        <v>0</v>
      </c>
      <c r="BA194" s="1030">
        <f t="shared" si="508"/>
        <v>0</v>
      </c>
      <c r="BB194" s="1033">
        <f t="shared" si="508"/>
        <v>0</v>
      </c>
      <c r="BC194" s="1032">
        <f t="shared" si="509"/>
        <v>0</v>
      </c>
      <c r="BD194" s="1030">
        <f t="shared" si="510"/>
        <v>0</v>
      </c>
      <c r="BE194" s="1030">
        <f t="shared" si="510"/>
        <v>0</v>
      </c>
      <c r="BF194" s="1033">
        <f t="shared" si="511"/>
        <v>0</v>
      </c>
      <c r="BG194" s="1032">
        <f t="shared" si="512"/>
        <v>0</v>
      </c>
      <c r="BH194" s="1030">
        <f t="shared" si="513"/>
        <v>0</v>
      </c>
      <c r="BI194" s="1033">
        <f t="shared" si="514"/>
        <v>0</v>
      </c>
      <c r="BJ194" s="1030">
        <f>_xlfn.XLOOKUP(H194, 'Baumaterialien Matériaux'!A:A, 'Baumaterialien Matériaux'!E:E, "-", 0, 1)</f>
        <v>0</v>
      </c>
      <c r="BK194" s="1032">
        <f t="shared" si="356"/>
        <v>0</v>
      </c>
      <c r="BL194" s="1030">
        <f t="shared" si="357"/>
        <v>0</v>
      </c>
      <c r="BM194" s="1033">
        <f t="shared" si="358"/>
        <v>0</v>
      </c>
      <c r="BN194" s="720">
        <f>IFERROR((J194*VLOOKUP(H194, 'Baumaterialien Matériaux'!$A$11:$AH$318, 32,FALSE))*($L$2/L194-1),0)/$G$1</f>
        <v>0</v>
      </c>
      <c r="BO194" s="720">
        <f t="shared" si="515"/>
        <v>0</v>
      </c>
    </row>
    <row r="195" spans="2:67">
      <c r="B195" s="1103"/>
      <c r="C195" s="1099"/>
      <c r="D195" s="478"/>
      <c r="E195" s="478"/>
      <c r="F195" s="478"/>
      <c r="G195" s="478"/>
      <c r="H195" s="478"/>
      <c r="I195" s="641"/>
      <c r="J195" s="649"/>
      <c r="K195" s="641"/>
      <c r="L195" s="641"/>
      <c r="M195" s="648"/>
      <c r="N195" s="720"/>
      <c r="O195" s="720"/>
      <c r="P195" s="720"/>
      <c r="Q195" s="720"/>
      <c r="R195" s="720"/>
      <c r="S195" s="720"/>
      <c r="T195" s="720">
        <f t="shared" si="495"/>
        <v>0</v>
      </c>
      <c r="V195" s="638">
        <f t="shared" si="374"/>
        <v>0</v>
      </c>
      <c r="W195" s="638">
        <f t="shared" si="375"/>
        <v>0</v>
      </c>
      <c r="Y195" s="638">
        <f t="shared" si="518"/>
        <v>0</v>
      </c>
      <c r="Z195" s="638">
        <f t="shared" si="362"/>
        <v>0</v>
      </c>
      <c r="AA195" s="648" t="s">
        <v>3448</v>
      </c>
      <c r="AB195">
        <f>_xlfn.XLOOKUP($H195,'[1]Baumaterialien Matériaux'!$A:$A,'[1]Baumaterialien Matériaux'!AK:AK,0,0)</f>
        <v>0</v>
      </c>
      <c r="AC195" t="str" cm="1">
        <f t="array" ref="AC195">_xlfn.SWITCH(I195,"kg"," ",0," ",_xlfn.XLOOKUP(H195, '[1]Baumaterialien Matériaux'!$A:$A, '[1]Baumaterialien Matériaux'!$AL:$AL, "-", 0, 1))</f>
        <v xml:space="preserve"> </v>
      </c>
      <c r="AD195" s="622" cm="1">
        <f t="array" ref="AD195">IFERROR(_xlfn.SWITCH(I195,"kg",1,"m3",AC195,AC195)*J195/(_xlfn.XLOOKUP(AA195,Métrés!A:A,Métrés!D:D,0)),0)</f>
        <v>0</v>
      </c>
      <c r="AE195" s="1092">
        <f>IFERROR(N195*$G$1/(_xlfn.XLOOKUP($AA195,Métrés!$A:$A,Métrés!$D:$D,0)),0)</f>
        <v>0</v>
      </c>
      <c r="AF195" s="1092">
        <f>IFERROR(O195*$G$1/(_xlfn.XLOOKUP($AA195,Métrés!$A:$A,Métrés!$D:$D,0)),0)</f>
        <v>0</v>
      </c>
      <c r="AG195" s="1092">
        <f>IFERROR(Q195*$G$1/(_xlfn.XLOOKUP($AA195,Métrés!$A:$A,Métrés!$D:$D,0)),0)</f>
        <v>0</v>
      </c>
      <c r="AH195" s="1092">
        <f>IFERROR(R195*$G$1/(_xlfn.XLOOKUP($AA195,Métrés!$A:$A,Métrés!$D:$D,0)),0)</f>
        <v>0</v>
      </c>
      <c r="AI195" s="1092">
        <f>IFERROR(S195*$G$1/(_xlfn.XLOOKUP($AA195,Métrés!$A:$A,Métrés!$D:$D,0)),0)</f>
        <v>0</v>
      </c>
      <c r="AJ195" s="1030"/>
      <c r="AK195" s="1030">
        <f t="shared" si="496"/>
        <v>0</v>
      </c>
      <c r="AL195" s="1030">
        <f t="shared" si="497"/>
        <v>0</v>
      </c>
      <c r="AM195" s="638">
        <f>IF(L195=$L$2, "Structure", IF(L195&gt;0,"Revêtement",0))</f>
        <v>0</v>
      </c>
      <c r="AN195" s="1032">
        <f t="shared" si="498"/>
        <v>0</v>
      </c>
      <c r="AO195" s="1030">
        <f t="shared" si="499"/>
        <v>0</v>
      </c>
      <c r="AP195" s="1030">
        <f t="shared" si="500"/>
        <v>0</v>
      </c>
      <c r="AQ195" s="1030">
        <f t="shared" si="501"/>
        <v>0</v>
      </c>
      <c r="AR195" s="1033">
        <f t="shared" si="502"/>
        <v>0</v>
      </c>
      <c r="AS195" s="1032">
        <f t="shared" si="503"/>
        <v>0</v>
      </c>
      <c r="AT195" s="1030">
        <f t="shared" si="504"/>
        <v>0</v>
      </c>
      <c r="AU195" s="1030">
        <f t="shared" si="504"/>
        <v>0</v>
      </c>
      <c r="AV195" s="1030">
        <f t="shared" si="505"/>
        <v>0</v>
      </c>
      <c r="AW195" s="1033">
        <f t="shared" si="505"/>
        <v>0</v>
      </c>
      <c r="AX195" s="1032">
        <f t="shared" si="506"/>
        <v>0</v>
      </c>
      <c r="AY195" s="1030">
        <f t="shared" si="507"/>
        <v>0</v>
      </c>
      <c r="AZ195" s="1030">
        <f t="shared" si="507"/>
        <v>0</v>
      </c>
      <c r="BA195" s="1030">
        <f t="shared" si="508"/>
        <v>0</v>
      </c>
      <c r="BB195" s="1033">
        <f t="shared" si="508"/>
        <v>0</v>
      </c>
      <c r="BC195" s="1032">
        <f t="shared" si="509"/>
        <v>0</v>
      </c>
      <c r="BD195" s="1030">
        <f t="shared" si="510"/>
        <v>0</v>
      </c>
      <c r="BE195" s="1030">
        <f t="shared" si="510"/>
        <v>0</v>
      </c>
      <c r="BF195" s="1033">
        <f t="shared" si="511"/>
        <v>0</v>
      </c>
      <c r="BG195" s="1032">
        <f t="shared" si="512"/>
        <v>0</v>
      </c>
      <c r="BH195" s="1030">
        <f t="shared" si="513"/>
        <v>0</v>
      </c>
      <c r="BI195" s="1033">
        <f t="shared" si="514"/>
        <v>0</v>
      </c>
      <c r="BJ195" s="1030">
        <f>_xlfn.XLOOKUP(H195, 'Baumaterialien Matériaux'!A:A, 'Baumaterialien Matériaux'!E:E, "-", 0, 1)</f>
        <v>0</v>
      </c>
      <c r="BK195" s="1032">
        <f t="shared" si="356"/>
        <v>0</v>
      </c>
      <c r="BL195" s="1030">
        <f t="shared" si="357"/>
        <v>0</v>
      </c>
      <c r="BM195" s="1033">
        <f t="shared" si="358"/>
        <v>0</v>
      </c>
      <c r="BN195" s="720">
        <f>IFERROR((J195*VLOOKUP(H195, 'Baumaterialien Matériaux'!$A$11:$AH$318, 32,FALSE))*($L$2/L195-1),0)/$G$1</f>
        <v>0</v>
      </c>
      <c r="BO195" s="720">
        <f t="shared" si="515"/>
        <v>0</v>
      </c>
    </row>
    <row r="196" spans="2:67">
      <c r="B196" s="1103"/>
      <c r="C196" s="1099"/>
      <c r="D196" s="478" t="s">
        <v>2992</v>
      </c>
      <c r="E196" s="812" t="str">
        <f>BillQuantities!E32</f>
        <v>Isolation contre non chauffé</v>
      </c>
      <c r="F196" s="479" t="s">
        <v>3065</v>
      </c>
      <c r="G196" s="479"/>
      <c r="H196" s="479"/>
      <c r="I196" s="459" t="s">
        <v>39</v>
      </c>
      <c r="J196" s="662">
        <v>80.91</v>
      </c>
      <c r="K196" s="663"/>
      <c r="L196" s="663"/>
      <c r="M196" s="664">
        <f>SUM(M197:M198)</f>
        <v>0.28040099424869436</v>
      </c>
      <c r="N196" s="664">
        <f t="shared" ref="N196:T196" si="520">SUM(N197:N198)</f>
        <v>0.11125325576783235</v>
      </c>
      <c r="O196" s="664">
        <f t="shared" ref="O196" si="521">SUM(O197:O198)</f>
        <v>4.5143148013485818E-2</v>
      </c>
      <c r="P196" s="664">
        <f t="shared" si="520"/>
        <v>0.11762892311760428</v>
      </c>
      <c r="Q196" s="664">
        <f t="shared" si="520"/>
        <v>6.3756673497719308E-3</v>
      </c>
      <c r="R196" s="664">
        <f t="shared" ref="R196" si="522">SUM(R197:R198)</f>
        <v>3.7227050968466975E-4</v>
      </c>
      <c r="S196" s="664">
        <f t="shared" si="520"/>
        <v>0</v>
      </c>
      <c r="T196" s="664">
        <f t="shared" si="520"/>
        <v>0</v>
      </c>
      <c r="V196" s="638">
        <f t="shared" si="374"/>
        <v>0</v>
      </c>
      <c r="W196" s="638">
        <f t="shared" si="375"/>
        <v>0</v>
      </c>
      <c r="Y196" s="638">
        <f t="shared" si="518"/>
        <v>0</v>
      </c>
      <c r="Z196" s="638">
        <f t="shared" si="362"/>
        <v>0</v>
      </c>
      <c r="AB196">
        <f>_xlfn.XLOOKUP($H196,'[1]Baumaterialien Matériaux'!$A:$A,'[1]Baumaterialien Matériaux'!AK:AK,0,0)</f>
        <v>0</v>
      </c>
      <c r="AC196" cm="1">
        <f t="array" ref="AC196">_xlfn.SWITCH(I196,"kg"," ",0," ",_xlfn.XLOOKUP(H196, '[1]Baumaterialien Matériaux'!$A:$A, '[1]Baumaterialien Matériaux'!$AL:$AL, "-", 0, 1))</f>
        <v>0</v>
      </c>
      <c r="AD196" s="622" cm="1">
        <f t="array" ref="AD196">IFERROR(_xlfn.SWITCH(I196,"kg",1,"m3",AC196,AC196)*J196/(_xlfn.XLOOKUP(AA196,Métrés!A:A,Métrés!D:D,0)),0)</f>
        <v>0</v>
      </c>
      <c r="AE196" s="1092">
        <f>IFERROR(N196*$G$1/(_xlfn.XLOOKUP($AA196,Métrés!$A:$A,Métrés!$D:$D,0)),0)</f>
        <v>0</v>
      </c>
      <c r="AF196" s="1092">
        <f>IFERROR(O196*$G$1/(_xlfn.XLOOKUP($AA196,Métrés!$A:$A,Métrés!$D:$D,0)),0)</f>
        <v>0</v>
      </c>
      <c r="AG196" s="1092">
        <f>IFERROR(Q196*$G$1/(_xlfn.XLOOKUP($AA196,Métrés!$A:$A,Métrés!$D:$D,0)),0)</f>
        <v>0</v>
      </c>
      <c r="AH196" s="1092">
        <f>IFERROR(R196*$G$1/(_xlfn.XLOOKUP($AA196,Métrés!$A:$A,Métrés!$D:$D,0)),0)</f>
        <v>0</v>
      </c>
      <c r="AI196" s="1092">
        <f>IFERROR(S196*$G$1/(_xlfn.XLOOKUP($AA196,Métrés!$A:$A,Métrés!$D:$D,0)),0)</f>
        <v>0</v>
      </c>
      <c r="AJ196" s="1064"/>
      <c r="AK196" s="1064"/>
      <c r="AL196" s="1064"/>
      <c r="AM196" s="1021"/>
      <c r="AN196" s="1073"/>
      <c r="AO196" s="1064"/>
      <c r="AP196" s="1064"/>
      <c r="AQ196" s="1064"/>
      <c r="AR196" s="1074"/>
      <c r="AS196" s="1073"/>
      <c r="AT196" s="1064"/>
      <c r="AU196" s="1064"/>
      <c r="AV196" s="1064"/>
      <c r="AW196" s="1074"/>
      <c r="AX196" s="1073"/>
      <c r="AY196" s="1064"/>
      <c r="AZ196" s="1064"/>
      <c r="BA196" s="1064"/>
      <c r="BB196" s="1074"/>
      <c r="BC196" s="1073"/>
      <c r="BD196" s="1064"/>
      <c r="BE196" s="1064"/>
      <c r="BF196" s="1074"/>
      <c r="BG196" s="1073"/>
      <c r="BH196" s="1064"/>
      <c r="BI196" s="1074"/>
      <c r="BJ196" s="1078"/>
      <c r="BK196" s="1073"/>
      <c r="BL196" s="1064"/>
      <c r="BM196" s="1074"/>
    </row>
    <row r="197" spans="2:67">
      <c r="B197" s="1103"/>
      <c r="C197" s="1099"/>
      <c r="D197" s="478"/>
      <c r="E197" s="478"/>
      <c r="F197" s="478" t="s">
        <v>3066</v>
      </c>
      <c r="G197" s="478" t="str">
        <f>_xlfn.XLOOKUP(H197, 'Baumaterialien Matériaux'!A:A, 'Baumaterialien Matériaux'!AD:AD, "-", 0, 1)</f>
        <v>Laine de verre</v>
      </c>
      <c r="H197" s="892" t="s">
        <v>130</v>
      </c>
      <c r="I197" s="641" t="str">
        <f>_xlfn.XLOOKUP(H197, 'Baumaterialien Matériaux'!A:A, 'Baumaterialien Matériaux'!F:F, "-", 0, 1)</f>
        <v>kg</v>
      </c>
      <c r="J197" s="649">
        <f>J196*K197</f>
        <v>97.091999999999999</v>
      </c>
      <c r="K197" s="886">
        <f>0.06*20</f>
        <v>1.2</v>
      </c>
      <c r="L197" s="641">
        <f>'Eléments de constr. inté. et ex'!N73</f>
        <v>30</v>
      </c>
      <c r="M197" s="648">
        <f t="shared" si="494"/>
        <v>0.28040099424869436</v>
      </c>
      <c r="N197" s="720">
        <f>IFERROR(($J197*VLOOKUP($H197, 'Baumaterialien Matériaux'!$A$11:$AD$318, 26,FALSE)),0)/$G$1</f>
        <v>0.11125325576783235</v>
      </c>
      <c r="O197" s="720">
        <f>IFERROR(($J197*VLOOKUP($H197, 'Baumaterialien Matériaux'!$A$11:$AH$318, 33,FALSE)),0)/$G$1</f>
        <v>4.5143148013485818E-2</v>
      </c>
      <c r="P197" s="720">
        <f t="shared" ref="P197:P198" si="523">IFERROR((N197+Q197)*($L$2/L197-1),0)</f>
        <v>0.11762892311760428</v>
      </c>
      <c r="Q197" s="720">
        <f>IFERROR(($J197*VLOOKUP($H197, 'Baumaterialien Matériaux'!$A$11:$AH$318, 27,FALSE)),0)/$G$1</f>
        <v>6.3756673497719308E-3</v>
      </c>
      <c r="R197" s="720">
        <f>IFERROR(($J197*VLOOKUP($H197, 'Baumaterialien Matériaux'!$A$11:$AH$318, 34,FALSE)),0)/$G$1</f>
        <v>3.7227050968466975E-4</v>
      </c>
      <c r="S197" s="720">
        <f>IFERROR((J197*VLOOKUP(H197, 'Baumaterialien Matériaux'!$A$11:$AD$318, 29,FALSE)),0)/$G$1</f>
        <v>0</v>
      </c>
      <c r="T197" s="720">
        <f>S197*AJ197</f>
        <v>0</v>
      </c>
      <c r="V197" s="638">
        <f t="shared" si="374"/>
        <v>0</v>
      </c>
      <c r="W197" s="638">
        <f t="shared" si="375"/>
        <v>0</v>
      </c>
      <c r="Y197" s="638" t="str">
        <f t="shared" si="518"/>
        <v>Revêtement</v>
      </c>
      <c r="Z197" s="638">
        <f t="shared" si="362"/>
        <v>30</v>
      </c>
      <c r="AA197" s="530" t="s">
        <v>3448</v>
      </c>
      <c r="AB197" t="str">
        <f>_xlfn.XLOOKUP($H197,'[1]Baumaterialien Matériaux'!$A:$A,'[1]Baumaterialien Matériaux'!AK:AK,0,0)</f>
        <v>mineral_fiber</v>
      </c>
      <c r="AC197" t="str" cm="1">
        <f t="array" ref="AC197">_xlfn.SWITCH(I197,"kg"," ",0," ",_xlfn.XLOOKUP(H197, '[1]Baumaterialien Matériaux'!$A:$A, '[1]Baumaterialien Matériaux'!$AL:$AL, "-", 0, 1))</f>
        <v xml:space="preserve"> </v>
      </c>
      <c r="AD197" s="622" cm="1">
        <f t="array" ref="AD197">IFERROR(_xlfn.SWITCH(I197,"kg",1,"m3",AC197,AC197)*J197/(_xlfn.XLOOKUP(AA197,Métrés!A:A,Métrés!D:D,0)),0)</f>
        <v>0.3673274818401937</v>
      </c>
      <c r="AE197" s="1092">
        <f>IFERROR(N197*$G$1/(_xlfn.XLOOKUP($AA197,Métrés!$A:$A,Métrés!$D:$D,0)),0)</f>
        <v>0.38202058111380144</v>
      </c>
      <c r="AF197" s="1092">
        <f>IFERROR(O197*$G$1/(_xlfn.XLOOKUP($AA197,Métrés!$A:$A,Métrés!$D:$D,0)),0)</f>
        <v>0.15501219733656174</v>
      </c>
      <c r="AG197" s="1092">
        <f>IFERROR(Q197*$G$1/(_xlfn.XLOOKUP($AA197,Métrés!$A:$A,Métrés!$D:$D,0)),0)</f>
        <v>2.1892717917675546E-2</v>
      </c>
      <c r="AH197" s="1092">
        <f>IFERROR(R197*$G$1/(_xlfn.XLOOKUP($AA197,Métrés!$A:$A,Métrés!$D:$D,0)),0)</f>
        <v>1.2782996368038741E-3</v>
      </c>
      <c r="AI197" s="1092">
        <f>IFERROR(S197*$G$1/(_xlfn.XLOOKUP($AA197,Métrés!$A:$A,Métrés!$D:$D,0)),0)</f>
        <v>0</v>
      </c>
      <c r="AJ197" s="1030"/>
      <c r="AK197" s="1030">
        <f>IF(L197=60,0,T197)</f>
        <v>0</v>
      </c>
      <c r="AL197" s="1030">
        <f>IF(L197=60,0,S197)</f>
        <v>0</v>
      </c>
      <c r="AM197" s="638" t="s">
        <v>3388</v>
      </c>
      <c r="AN197" s="1032">
        <f>IF(AM197="Structure",N197,0)</f>
        <v>0</v>
      </c>
      <c r="AO197" s="1030">
        <f>IF(AM197="Structure",P197,0)</f>
        <v>0</v>
      </c>
      <c r="AP197" s="1030">
        <f>IF(AM197="Structure",Q197,0)</f>
        <v>0</v>
      </c>
      <c r="AQ197" s="1030">
        <f>IF(AM197="Structure",S197,0)</f>
        <v>0</v>
      </c>
      <c r="AR197" s="1033">
        <f>IF(AM197="Structure",T197,0)</f>
        <v>0</v>
      </c>
      <c r="AS197" s="1032">
        <f>IF($AM197="Insulation",N197,0)</f>
        <v>0.11125325576783235</v>
      </c>
      <c r="AT197" s="1030">
        <f>IF($AM197="Insulation",P197,0)</f>
        <v>0.11762892311760428</v>
      </c>
      <c r="AU197" s="1030">
        <f>IF($AM197="Insulation",Q197,0)</f>
        <v>6.3756673497719308E-3</v>
      </c>
      <c r="AV197" s="1030">
        <f>IF($AM197="Insulation",S197,0)</f>
        <v>0</v>
      </c>
      <c r="AW197" s="1033">
        <f>IF($AM197="Insulation",T197,0)</f>
        <v>0</v>
      </c>
      <c r="AX197" s="1032">
        <f>IF($AM197="Revêtement",N197,0)</f>
        <v>0</v>
      </c>
      <c r="AY197" s="1030">
        <f>IF($AM197="Revêtement",P197,0)</f>
        <v>0</v>
      </c>
      <c r="AZ197" s="1030">
        <f>IF($AM197="Revêtement",Q197,0)</f>
        <v>0</v>
      </c>
      <c r="BA197" s="1030">
        <f>IF($AM197="Revêtement",S197,0)</f>
        <v>0</v>
      </c>
      <c r="BB197" s="1033">
        <f>IF($AM197="Revêtement",T197,0)</f>
        <v>0</v>
      </c>
      <c r="BC197" s="1032">
        <f>IF($AM197="Installation",N197,0)</f>
        <v>0</v>
      </c>
      <c r="BD197" s="1030">
        <f>IF($AM197="Installation",P197,0)</f>
        <v>0</v>
      </c>
      <c r="BE197" s="1030">
        <f>IF($AM197="Installation",Q197,0)</f>
        <v>0</v>
      </c>
      <c r="BF197" s="1033">
        <f>IF($AM197="Installation",S197,0)</f>
        <v>0</v>
      </c>
      <c r="BG197" s="1032">
        <f>IF($AM197="Structure", IF($I197="kg",$J197,0), 0)</f>
        <v>0</v>
      </c>
      <c r="BH197" s="1030">
        <f>IF($AM197="Insulation", IF($I197="kg",$J197,0), 0)</f>
        <v>97.091999999999999</v>
      </c>
      <c r="BI197" s="1033">
        <f>IF($AM197="Revêtement", IF($I197="kg",$J197,0), 0)</f>
        <v>0</v>
      </c>
      <c r="BJ197" s="1030">
        <v>20</v>
      </c>
      <c r="BK197" s="1032">
        <f t="shared" ref="BK197:BK259" si="524">IFERROR(BG197/$BJ197,0)</f>
        <v>0</v>
      </c>
      <c r="BL197" s="1030">
        <f t="shared" ref="BL197:BL259" si="525">IFERROR(BH197/$BJ197,0)</f>
        <v>4.8545999999999996</v>
      </c>
      <c r="BM197" s="1033">
        <f t="shared" ref="BM197:BM259" si="526">IFERROR(BI197/$BJ197,0)</f>
        <v>0</v>
      </c>
      <c r="BN197" s="720">
        <f>IFERROR((J197*VLOOKUP(H197, 'Baumaterialien Matériaux'!$A$11:$AH$318, 32,FALSE))*($L$2/L197-1),0)/$G$1</f>
        <v>4.5464070866662258E-2</v>
      </c>
      <c r="BO197" s="720">
        <f>IFERROR((N197+Q197)*($L$2/L197-1),0)</f>
        <v>0.11762892311760428</v>
      </c>
    </row>
    <row r="198" spans="2:67">
      <c r="B198" s="1103"/>
      <c r="C198" s="1099"/>
      <c r="D198" s="478"/>
      <c r="E198" s="478"/>
      <c r="F198" s="478"/>
      <c r="G198" s="478" t="str">
        <f>_xlfn.XLOOKUP(H198, 'Baumaterialien Matériaux'!A:A, 'Baumaterialien Matériaux'!AD:AD, "-", 0, 1)</f>
        <v>Données écobilans dans la construction</v>
      </c>
      <c r="H198" s="875"/>
      <c r="I198" s="641" t="str">
        <f>_xlfn.XLOOKUP(H198, 'Baumaterialien Matériaux'!A:A, 'Baumaterialien Matériaux'!F:F, "-", 0, 1)</f>
        <v>-</v>
      </c>
      <c r="J198" s="649"/>
      <c r="K198" s="647"/>
      <c r="L198" s="641">
        <f>'Eléments de constr. inté. et ex'!N74</f>
        <v>30</v>
      </c>
      <c r="M198" s="648">
        <f t="shared" si="494"/>
        <v>0</v>
      </c>
      <c r="N198" s="720">
        <f>IFERROR(($J198*VLOOKUP($H198, 'Baumaterialien Matériaux'!$A$11:$AD$318, 26,FALSE)),0)/$G$1</f>
        <v>0</v>
      </c>
      <c r="O198" s="720">
        <f>IFERROR(($J198*VLOOKUP($H198, 'Baumaterialien Matériaux'!$A$11:$AH$318, 33,FALSE)),0)/$G$1</f>
        <v>0</v>
      </c>
      <c r="P198" s="720">
        <f t="shared" si="523"/>
        <v>0</v>
      </c>
      <c r="Q198" s="720">
        <f>IFERROR(($J198*VLOOKUP($H198, 'Baumaterialien Matériaux'!$A$11:$AH$318, 27,FALSE)),0)/$G$1</f>
        <v>0</v>
      </c>
      <c r="R198" s="720">
        <f>IFERROR(($J198*VLOOKUP($H198, 'Baumaterialien Matériaux'!$A$11:$AH$318, 34,FALSE)),0)/$G$1</f>
        <v>0</v>
      </c>
      <c r="S198" s="720">
        <f>IFERROR((J198*VLOOKUP(H198, 'Baumaterialien Matériaux'!$A$11:$AD$318, 29,FALSE)),0)/$G$1</f>
        <v>0</v>
      </c>
      <c r="T198" s="720">
        <f>S198*AJ198</f>
        <v>0</v>
      </c>
      <c r="V198" s="638">
        <f t="shared" si="374"/>
        <v>0</v>
      </c>
      <c r="W198" s="638">
        <f t="shared" si="375"/>
        <v>0</v>
      </c>
      <c r="Y198" s="638" t="str">
        <f t="shared" si="518"/>
        <v>Revêtement</v>
      </c>
      <c r="Z198" s="638">
        <f t="shared" si="362"/>
        <v>30</v>
      </c>
      <c r="AA198" s="527" t="s">
        <v>3448</v>
      </c>
      <c r="AB198">
        <f>_xlfn.XLOOKUP($H198,'[1]Baumaterialien Matériaux'!$A:$A,'[1]Baumaterialien Matériaux'!AK:AK,0,0)</f>
        <v>0</v>
      </c>
      <c r="AC198" cm="1">
        <f t="array" ref="AC198">_xlfn.SWITCH(I198,"kg"," ",0," ",_xlfn.XLOOKUP(H198, '[1]Baumaterialien Matériaux'!$A:$A, '[1]Baumaterialien Matériaux'!$AL:$AL, "-", 0, 1))</f>
        <v>0</v>
      </c>
      <c r="AD198" s="622" cm="1">
        <f t="array" ref="AD198">IFERROR(_xlfn.SWITCH(I198,"kg",1,"m3",AC198,AC198)*J198/(_xlfn.XLOOKUP(AA198,Métrés!A:A,Métrés!D:D,0)),0)</f>
        <v>0</v>
      </c>
      <c r="AE198" s="1092">
        <f>IFERROR(N198*$G$1/(_xlfn.XLOOKUP($AA198,Métrés!$A:$A,Métrés!$D:$D,0)),0)</f>
        <v>0</v>
      </c>
      <c r="AF198" s="1092">
        <f>IFERROR(O198*$G$1/(_xlfn.XLOOKUP($AA198,Métrés!$A:$A,Métrés!$D:$D,0)),0)</f>
        <v>0</v>
      </c>
      <c r="AG198" s="1092">
        <f>IFERROR(Q198*$G$1/(_xlfn.XLOOKUP($AA198,Métrés!$A:$A,Métrés!$D:$D,0)),0)</f>
        <v>0</v>
      </c>
      <c r="AH198" s="1092">
        <f>IFERROR(R198*$G$1/(_xlfn.XLOOKUP($AA198,Métrés!$A:$A,Métrés!$D:$D,0)),0)</f>
        <v>0</v>
      </c>
      <c r="AI198" s="1092">
        <f>IFERROR(S198*$G$1/(_xlfn.XLOOKUP($AA198,Métrés!$A:$A,Métrés!$D:$D,0)),0)</f>
        <v>0</v>
      </c>
      <c r="AJ198" s="1030"/>
      <c r="AK198" s="1030">
        <f>IF(L198=60,0,T198)</f>
        <v>0</v>
      </c>
      <c r="AL198" s="1030">
        <f>IF(L198=60,0,S198)</f>
        <v>0</v>
      </c>
      <c r="AM198" s="638" t="str">
        <f>IF(L198=$L$2, "Structure", IF(L198&gt;0,"Revêtement",0))</f>
        <v>Revêtement</v>
      </c>
      <c r="AN198" s="1032">
        <f>IF(AM198="Structure",N198,0)</f>
        <v>0</v>
      </c>
      <c r="AO198" s="1030">
        <f>IF(AM198="Structure",P198,0)</f>
        <v>0</v>
      </c>
      <c r="AP198" s="1030">
        <f>IF(AM198="Structure",Q198,0)</f>
        <v>0</v>
      </c>
      <c r="AQ198" s="1030">
        <f>IF(AM198="Structure",S198,0)</f>
        <v>0</v>
      </c>
      <c r="AR198" s="1033">
        <f>IF(AM198="Structure",T198,0)</f>
        <v>0</v>
      </c>
      <c r="AS198" s="1032">
        <f>IF($AM198="Insulation",N198,0)</f>
        <v>0</v>
      </c>
      <c r="AT198" s="1030">
        <f>IF($AM198="Insulation",P198,0)</f>
        <v>0</v>
      </c>
      <c r="AU198" s="1030">
        <f>IF($AM198="Insulation",Q198,0)</f>
        <v>0</v>
      </c>
      <c r="AV198" s="1030">
        <f>IF($AM198="Insulation",S198,0)</f>
        <v>0</v>
      </c>
      <c r="AW198" s="1033">
        <f>IF($AM198="Insulation",T198,0)</f>
        <v>0</v>
      </c>
      <c r="AX198" s="1032">
        <f>IF($AM198="Revêtement",N198,0)</f>
        <v>0</v>
      </c>
      <c r="AY198" s="1030">
        <f>IF($AM198="Revêtement",P198,0)</f>
        <v>0</v>
      </c>
      <c r="AZ198" s="1030">
        <f>IF($AM198="Revêtement",Q198,0)</f>
        <v>0</v>
      </c>
      <c r="BA198" s="1030">
        <f>IF($AM198="Revêtement",S198,0)</f>
        <v>0</v>
      </c>
      <c r="BB198" s="1033">
        <f>IF($AM198="Revêtement",T198,0)</f>
        <v>0</v>
      </c>
      <c r="BC198" s="1032">
        <f>IF($AM198="Installation",N198,0)</f>
        <v>0</v>
      </c>
      <c r="BD198" s="1030">
        <f>IF($AM198="Installation",P198,0)</f>
        <v>0</v>
      </c>
      <c r="BE198" s="1030">
        <f>IF($AM198="Installation",Q198,0)</f>
        <v>0</v>
      </c>
      <c r="BF198" s="1033">
        <f>IF($AM198="Installation",S198,0)</f>
        <v>0</v>
      </c>
      <c r="BG198" s="1032">
        <f>IF($AM198="Structure", IF($I198="kg",$J198,0), 0)</f>
        <v>0</v>
      </c>
      <c r="BH198" s="1030">
        <f>IF($AM198="Insulation", IF($I198="kg",$J198,0), 0)</f>
        <v>0</v>
      </c>
      <c r="BI198" s="1033">
        <f>IF($AM198="Revêtement", IF($I198="kg",$J198,0), 0)</f>
        <v>0</v>
      </c>
      <c r="BJ198" s="1030">
        <f>_xlfn.XLOOKUP(H198, 'Baumaterialien Matériaux'!A:A, 'Baumaterialien Matériaux'!E:E, "-", 0, 1)</f>
        <v>0</v>
      </c>
      <c r="BK198" s="1032">
        <f t="shared" si="524"/>
        <v>0</v>
      </c>
      <c r="BL198" s="1030">
        <f t="shared" si="525"/>
        <v>0</v>
      </c>
      <c r="BM198" s="1033">
        <f t="shared" si="526"/>
        <v>0</v>
      </c>
      <c r="BN198" s="720">
        <f>IFERROR((J198*VLOOKUP(H198, 'Baumaterialien Matériaux'!$A$11:$AH$318, 32,FALSE))*($L$2/L198-1),0)/$G$1</f>
        <v>0</v>
      </c>
      <c r="BO198" s="720">
        <f>IFERROR((N198+Q198)*($L$2/L198-1),0)</f>
        <v>0</v>
      </c>
    </row>
    <row r="199" spans="2:67">
      <c r="B199" s="1103"/>
      <c r="C199" s="1099"/>
      <c r="D199" s="478" t="s">
        <v>2983</v>
      </c>
      <c r="E199" s="479" t="str">
        <f>BillQuantities!E33</f>
        <v>Supports et revêtement de sol</v>
      </c>
      <c r="F199" s="479"/>
      <c r="G199" s="479"/>
      <c r="H199" s="479"/>
      <c r="I199" s="459" t="s">
        <v>39</v>
      </c>
      <c r="J199" s="662">
        <v>486.76</v>
      </c>
      <c r="K199" s="663"/>
      <c r="L199" s="663"/>
      <c r="M199" s="664">
        <f>SUM(M200:M206)</f>
        <v>50.460046702851024</v>
      </c>
      <c r="N199" s="664">
        <f t="shared" ref="N199:T199" si="527">SUM(N200:N206)</f>
        <v>19.722033714550143</v>
      </c>
      <c r="O199" s="664">
        <f t="shared" ref="O199" si="528">SUM(O200:O206)</f>
        <v>8.899188414139882</v>
      </c>
      <c r="P199" s="664">
        <f t="shared" si="527"/>
        <v>20.780429144355569</v>
      </c>
      <c r="Q199" s="664">
        <f t="shared" si="527"/>
        <v>1.0583954298054254</v>
      </c>
      <c r="R199" s="664">
        <f t="shared" ref="R199" si="529">SUM(R200:R206)</f>
        <v>0.2847459877496043</v>
      </c>
      <c r="S199" s="664">
        <f t="shared" si="527"/>
        <v>9.4979392256671282</v>
      </c>
      <c r="T199" s="664">
        <f t="shared" si="527"/>
        <v>9.4979392256671291E-2</v>
      </c>
      <c r="V199" s="638">
        <f t="shared" si="374"/>
        <v>9.4979392256671291E-2</v>
      </c>
      <c r="W199" s="638">
        <f t="shared" si="375"/>
        <v>9.4979392256671282</v>
      </c>
      <c r="Y199" s="638">
        <f t="shared" si="518"/>
        <v>0</v>
      </c>
      <c r="Z199" s="674">
        <f t="shared" si="362"/>
        <v>0</v>
      </c>
      <c r="AA199" s="527"/>
      <c r="AB199">
        <f>_xlfn.XLOOKUP($H199,'[1]Baumaterialien Matériaux'!$A:$A,'[1]Baumaterialien Matériaux'!AK:AK,0,0)</f>
        <v>0</v>
      </c>
      <c r="AC199" cm="1">
        <f t="array" ref="AC199">_xlfn.SWITCH(I199,"kg"," ",0," ",_xlfn.XLOOKUP(H199, '[1]Baumaterialien Matériaux'!$A:$A, '[1]Baumaterialien Matériaux'!$AL:$AL, "-", 0, 1))</f>
        <v>0</v>
      </c>
      <c r="AD199" s="622" cm="1">
        <f t="array" ref="AD199">IFERROR(_xlfn.SWITCH(I199,"kg",1,"m3",AC199,AC199)*J199/(_xlfn.XLOOKUP(AA199,Métrés!A:A,Métrés!D:D,0)),0)</f>
        <v>0</v>
      </c>
      <c r="AE199" s="1092">
        <f>IFERROR(N199*$G$1/(_xlfn.XLOOKUP($AA199,Métrés!$A:$A,Métrés!$D:$D,0)),0)</f>
        <v>0</v>
      </c>
      <c r="AF199" s="1092">
        <f>IFERROR(O199*$G$1/(_xlfn.XLOOKUP($AA199,Métrés!$A:$A,Métrés!$D:$D,0)),0)</f>
        <v>0</v>
      </c>
      <c r="AG199" s="1092">
        <f>IFERROR(Q199*$G$1/(_xlfn.XLOOKUP($AA199,Métrés!$A:$A,Métrés!$D:$D,0)),0)</f>
        <v>0</v>
      </c>
      <c r="AH199" s="1092">
        <f>IFERROR(R199*$G$1/(_xlfn.XLOOKUP($AA199,Métrés!$A:$A,Métrés!$D:$D,0)),0)</f>
        <v>0</v>
      </c>
      <c r="AI199" s="1092">
        <f>IFERROR(S199*$G$1/(_xlfn.XLOOKUP($AA199,Métrés!$A:$A,Métrés!$D:$D,0)),0)</f>
        <v>0</v>
      </c>
      <c r="AJ199" s="1064"/>
      <c r="AK199" s="1064"/>
      <c r="AL199" s="1064"/>
      <c r="AM199" s="1021"/>
      <c r="AN199" s="1073"/>
      <c r="AO199" s="1064"/>
      <c r="AP199" s="1064"/>
      <c r="AQ199" s="1064"/>
      <c r="AR199" s="1074"/>
      <c r="AS199" s="1073"/>
      <c r="AT199" s="1064"/>
      <c r="AU199" s="1064"/>
      <c r="AV199" s="1064"/>
      <c r="AW199" s="1074"/>
      <c r="AX199" s="1073"/>
      <c r="AY199" s="1064"/>
      <c r="AZ199" s="1064"/>
      <c r="BA199" s="1064"/>
      <c r="BB199" s="1074"/>
      <c r="BC199" s="1073"/>
      <c r="BD199" s="1064"/>
      <c r="BE199" s="1064"/>
      <c r="BF199" s="1074"/>
      <c r="BG199" s="1073"/>
      <c r="BH199" s="1064"/>
      <c r="BI199" s="1074"/>
      <c r="BJ199" s="1078"/>
      <c r="BK199" s="1073"/>
      <c r="BL199" s="1064"/>
      <c r="BM199" s="1074"/>
    </row>
    <row r="200" spans="2:67">
      <c r="B200" s="1103"/>
      <c r="C200" s="1099"/>
      <c r="D200" s="478"/>
      <c r="E200" s="478"/>
      <c r="F200" s="478" t="s">
        <v>3022</v>
      </c>
      <c r="G200" s="478" t="str">
        <f>_xlfn.XLOOKUP(H200, 'Baumaterialien Matériaux'!A:A, 'Baumaterialien Matériaux'!AD:AD, "-", 0, 1)</f>
        <v>Chape de ciment, 85 mm</v>
      </c>
      <c r="H200" s="891" t="s">
        <v>780</v>
      </c>
      <c r="I200" s="641" t="str">
        <f>_xlfn.XLOOKUP(H200, 'Baumaterialien Matériaux'!A:A, 'Baumaterialien Matériaux'!F:F, "-", 0, 1)</f>
        <v>kg</v>
      </c>
      <c r="J200" s="649">
        <f>$J$199*K200</f>
        <v>72040.479999999996</v>
      </c>
      <c r="K200" s="893">
        <f>0.08*1850</f>
        <v>148</v>
      </c>
      <c r="L200" s="478">
        <f t="shared" ref="L200:L202" si="530">L189</f>
        <v>30</v>
      </c>
      <c r="M200" s="648">
        <f t="shared" ref="M200:M211" si="531">SUM(N200:Q200)</f>
        <v>21.129080205372297</v>
      </c>
      <c r="N200" s="720">
        <f>IFERROR(($J200*VLOOKUP($H200, 'Baumaterialien Matériaux'!$A$11:$AD$318, 26,FALSE)),0)/$G$1</f>
        <v>8.5722789713756864</v>
      </c>
      <c r="O200" s="720">
        <f>IFERROR(($J200*VLOOKUP($H200, 'Baumaterialien Matériaux'!$A$11:$AH$318, 33,FALSE)),0)/$G$1</f>
        <v>1.9525746545911284</v>
      </c>
      <c r="P200" s="720">
        <f>IFERROR((N200+Q200)*($L$2/L200-1),0)</f>
        <v>9.5882527753905826</v>
      </c>
      <c r="Q200" s="720">
        <f>IFERROR(($J200*VLOOKUP($H200, 'Baumaterialien Matériaux'!$A$11:$AH$318, 27,FALSE)),0)/$G$1</f>
        <v>1.0159738040148962</v>
      </c>
      <c r="R200" s="720">
        <f>IFERROR(($J200*VLOOKUP($H200, 'Baumaterialien Matériaux'!$A$11:$AH$318, 34,FALSE)),0)/$G$1</f>
        <v>0.25954955774443045</v>
      </c>
      <c r="S200" s="720">
        <f>IFERROR((J200*VLOOKUP(H200, 'Baumaterialien Matériaux'!$A$11:$AD$318, 29,FALSE)),0)/$G$1</f>
        <v>0</v>
      </c>
      <c r="T200" s="720">
        <f t="shared" ref="T200:T206" si="532">S200*AJ200</f>
        <v>0</v>
      </c>
      <c r="V200" s="638">
        <f t="shared" si="374"/>
        <v>0</v>
      </c>
      <c r="W200" s="638">
        <f t="shared" si="375"/>
        <v>0</v>
      </c>
      <c r="Y200" s="638" t="str">
        <f t="shared" si="518"/>
        <v>Revêtement</v>
      </c>
      <c r="Z200" s="638">
        <f t="shared" si="362"/>
        <v>30</v>
      </c>
      <c r="AA200" s="648" t="s">
        <v>3458</v>
      </c>
      <c r="AB200" t="str">
        <f>_xlfn.XLOOKUP($H200,'[1]Baumaterialien Matériaux'!$A:$A,'[1]Baumaterialien Matériaux'!AK:AK,0,0)</f>
        <v>concrete</v>
      </c>
      <c r="AC200" t="str" cm="1">
        <f t="array" ref="AC200">_xlfn.SWITCH(I200,"kg"," ",0," ",_xlfn.XLOOKUP(H200, '[1]Baumaterialien Matériaux'!$A:$A, '[1]Baumaterialien Matériaux'!$AL:$AL, "-", 0, 1))</f>
        <v xml:space="preserve"> </v>
      </c>
      <c r="AD200" s="622" cm="1">
        <f t="array" ref="AD200">IFERROR(_xlfn.SWITCH(I200,"kg",1,"m3",AC200,AC200)*J200/(_xlfn.XLOOKUP(AA200,Métrés!A:A,Métrés!D:D,0)),0)</f>
        <v>148</v>
      </c>
      <c r="AE200" s="1092">
        <f>IFERROR(N200*$G$1/(_xlfn.XLOOKUP($AA200,Métrés!$A:$A,Métrés!$D:$D,0)),0)</f>
        <v>15.984000000000002</v>
      </c>
      <c r="AF200" s="1092">
        <f>IFERROR(O200*$G$1/(_xlfn.XLOOKUP($AA200,Métrés!$A:$A,Métrés!$D:$D,0)),0)</f>
        <v>3.6408</v>
      </c>
      <c r="AG200" s="1092">
        <f>IFERROR(Q200*$G$1/(_xlfn.XLOOKUP($AA200,Métrés!$A:$A,Métrés!$D:$D,0)),0)</f>
        <v>1.8944000000000003</v>
      </c>
      <c r="AH200" s="1092">
        <f>IFERROR(R200*$G$1/(_xlfn.XLOOKUP($AA200,Métrés!$A:$A,Métrés!$D:$D,0)),0)</f>
        <v>0.48395999999999995</v>
      </c>
      <c r="AI200" s="1092">
        <f>IFERROR(S200*$G$1/(_xlfn.XLOOKUP($AA200,Métrés!$A:$A,Métrés!$D:$D,0)),0)</f>
        <v>0</v>
      </c>
      <c r="AJ200" s="1030"/>
      <c r="AK200" s="1030">
        <f t="shared" ref="AK200:AK206" si="533">IF(L200=60,0,T200)</f>
        <v>0</v>
      </c>
      <c r="AL200" s="1030">
        <f t="shared" ref="AL200:AL206" si="534">IF(L200=60,0,S200)</f>
        <v>0</v>
      </c>
      <c r="AM200" s="638" t="str">
        <f>IF(L200=$L$2, "Structure", IF(L200&gt;0,"Revêtement",0))</f>
        <v>Revêtement</v>
      </c>
      <c r="AN200" s="1032">
        <f t="shared" ref="AN200:AN206" si="535">IF(AM200="Structure",N200,0)</f>
        <v>0</v>
      </c>
      <c r="AO200" s="1030">
        <f t="shared" ref="AO200:AO206" si="536">IF(AM200="Structure",P200,0)</f>
        <v>0</v>
      </c>
      <c r="AP200" s="1030">
        <f t="shared" ref="AP200:AP206" si="537">IF(AM200="Structure",Q200,0)</f>
        <v>0</v>
      </c>
      <c r="AQ200" s="1030">
        <f t="shared" ref="AQ200:AQ206" si="538">IF(AM200="Structure",S200,0)</f>
        <v>0</v>
      </c>
      <c r="AR200" s="1033">
        <f t="shared" ref="AR200:AR206" si="539">IF(AM200="Structure",T200,0)</f>
        <v>0</v>
      </c>
      <c r="AS200" s="1032">
        <f t="shared" ref="AS200:AS206" si="540">IF($AM200="Insulation",N200,0)</f>
        <v>0</v>
      </c>
      <c r="AT200" s="1030">
        <f t="shared" ref="AT200:AU206" si="541">IF($AM200="Insulation",P200,0)</f>
        <v>0</v>
      </c>
      <c r="AU200" s="1030">
        <f t="shared" si="541"/>
        <v>0</v>
      </c>
      <c r="AV200" s="1030">
        <f t="shared" ref="AV200:AW206" si="542">IF($AM200="Insulation",S200,0)</f>
        <v>0</v>
      </c>
      <c r="AW200" s="1033">
        <f t="shared" si="542"/>
        <v>0</v>
      </c>
      <c r="AX200" s="1032">
        <f t="shared" ref="AX200:AX206" si="543">IF($AM200="Revêtement",N200,0)</f>
        <v>8.5722789713756864</v>
      </c>
      <c r="AY200" s="1030">
        <f t="shared" ref="AY200:AZ206" si="544">IF($AM200="Revêtement",P200,0)</f>
        <v>9.5882527753905826</v>
      </c>
      <c r="AZ200" s="1030">
        <f t="shared" si="544"/>
        <v>1.0159738040148962</v>
      </c>
      <c r="BA200" s="1030">
        <f t="shared" ref="BA200:BB206" si="545">IF($AM200="Revêtement",S200,0)</f>
        <v>0</v>
      </c>
      <c r="BB200" s="1033">
        <f t="shared" si="545"/>
        <v>0</v>
      </c>
      <c r="BC200" s="1032">
        <f t="shared" ref="BC200:BC206" si="546">IF($AM200="Installation",N200,0)</f>
        <v>0</v>
      </c>
      <c r="BD200" s="1030">
        <f t="shared" ref="BD200:BE206" si="547">IF($AM200="Installation",P200,0)</f>
        <v>0</v>
      </c>
      <c r="BE200" s="1030">
        <f t="shared" si="547"/>
        <v>0</v>
      </c>
      <c r="BF200" s="1033">
        <f t="shared" ref="BF200:BF206" si="548">IF($AM200="Installation",S200,0)</f>
        <v>0</v>
      </c>
      <c r="BG200" s="1032">
        <f t="shared" ref="BG200:BG206" si="549">IF($AM200="Structure", IF($I200="kg",$J200,0), 0)</f>
        <v>0</v>
      </c>
      <c r="BH200" s="1030">
        <f t="shared" ref="BH200:BH206" si="550">IF($AM200="Insulation", IF($I200="kg",$J200,0), 0)</f>
        <v>0</v>
      </c>
      <c r="BI200" s="1033">
        <f t="shared" ref="BI200:BI206" si="551">IF($AM200="Revêtement", IF($I200="kg",$J200,0), 0)</f>
        <v>72040.479999999996</v>
      </c>
      <c r="BJ200" s="1030">
        <f>_xlfn.XLOOKUP(H200, 'Baumaterialien Matériaux'!A:A, 'Baumaterialien Matériaux'!E:E, "-", 0, 1)</f>
        <v>1850</v>
      </c>
      <c r="BK200" s="1032">
        <f t="shared" si="524"/>
        <v>0</v>
      </c>
      <c r="BL200" s="1030">
        <f t="shared" si="525"/>
        <v>0</v>
      </c>
      <c r="BM200" s="1033">
        <f t="shared" si="526"/>
        <v>38.940799999999996</v>
      </c>
      <c r="BO200" s="720">
        <f t="shared" ref="BO200:BO206" si="552">IFERROR((N200+Q200)*($L$2/L200-1),0)</f>
        <v>9.5882527753905826</v>
      </c>
    </row>
    <row r="201" spans="2:67">
      <c r="B201" s="1103"/>
      <c r="C201" s="1099"/>
      <c r="D201" s="478"/>
      <c r="E201" s="478"/>
      <c r="F201" s="478" t="s">
        <v>3287</v>
      </c>
      <c r="G201" s="478" t="str">
        <f>_xlfn.XLOOKUP(H201, 'Baumaterialien Matériaux'!A:A, 'Baumaterialien Matériaux'!AD:AD, "-", 0, 1)</f>
        <v>GUTEX Pyroresist</v>
      </c>
      <c r="H201" s="892" t="s">
        <v>2997</v>
      </c>
      <c r="I201" s="641" t="str">
        <f>_xlfn.XLOOKUP(H201, 'Baumaterialien Matériaux'!A:A, 'Baumaterialien Matériaux'!F:F, "-", 0, 1)</f>
        <v>kg</v>
      </c>
      <c r="J201" s="649">
        <f t="shared" ref="J201:J202" si="553">$J$199*K201</f>
        <v>3699.3760000000002</v>
      </c>
      <c r="K201" s="893">
        <f>0.04*190</f>
        <v>7.6000000000000005</v>
      </c>
      <c r="L201" s="478">
        <f t="shared" si="530"/>
        <v>30</v>
      </c>
      <c r="M201" s="648">
        <f t="shared" si="531"/>
        <v>16.760552284273558</v>
      </c>
      <c r="N201" s="720">
        <f>IFERROR(($J201*VLOOKUP($H201, 'Baumaterialien Matériaux'!$A$11:$AD$318, 26,FALSE)),0)/$G$1</f>
        <v>6.3712884246711186</v>
      </c>
      <c r="O201" s="720">
        <f>IFERROR(($J201*VLOOKUP($H201, 'Baumaterialien Matériaux'!$A$11:$AH$318, 33,FALSE)),0)/$G$1</f>
        <v>3.9694935768850028</v>
      </c>
      <c r="P201" s="720">
        <f t="shared" ref="P201:P202" si="554">IFERROR((N201+Q201)*($L$2/L201-1),0)</f>
        <v>6.3955293536942781</v>
      </c>
      <c r="Q201" s="720">
        <f>IFERROR(($J201*VLOOKUP($H201, 'Baumaterialien Matériaux'!$A$11:$AH$318, 27,FALSE)),0)/$G$1</f>
        <v>2.4240929023159472E-2</v>
      </c>
      <c r="R201" s="720">
        <f>IFERROR(($J201*VLOOKUP($H201, 'Baumaterialien Matériaux'!$A$11:$AH$318, 34,FALSE)),0)/$G$1</f>
        <v>1.4397960002956487E-2</v>
      </c>
      <c r="S201" s="720">
        <f>IFERROR((J201*VLOOKUP(H201, 'Baumaterialien Matériaux'!$A$11:$AD$318, 29,FALSE)),0)/$G$1</f>
        <v>5.4273938432383595</v>
      </c>
      <c r="T201" s="720">
        <f t="shared" si="532"/>
        <v>5.4273938432383595E-2</v>
      </c>
      <c r="U201" s="638">
        <v>0.01</v>
      </c>
      <c r="V201" s="638">
        <f t="shared" si="374"/>
        <v>5.4273938432383595E-2</v>
      </c>
      <c r="W201" s="638">
        <f t="shared" si="375"/>
        <v>5.4273938432383595</v>
      </c>
      <c r="Y201" s="638" t="str">
        <f t="shared" si="518"/>
        <v>Revêtement</v>
      </c>
      <c r="Z201" s="638">
        <f t="shared" ref="Z201:Z261" si="555">L201</f>
        <v>30</v>
      </c>
      <c r="AA201" s="648" t="s">
        <v>3458</v>
      </c>
      <c r="AB201" t="str">
        <f>_xlfn.XLOOKUP($H201,'[1]Baumaterialien Matériaux'!$A:$A,'[1]Baumaterialien Matériaux'!AK:AK,0,0)</f>
        <v>vegetal_fiber</v>
      </c>
      <c r="AC201" t="str" cm="1">
        <f t="array" ref="AC201">_xlfn.SWITCH(I201,"kg"," ",0," ",_xlfn.XLOOKUP(H201, '[1]Baumaterialien Matériaux'!$A:$A, '[1]Baumaterialien Matériaux'!$AL:$AL, "-", 0, 1))</f>
        <v xml:space="preserve"> </v>
      </c>
      <c r="AD201" s="622" cm="1">
        <f t="array" ref="AD201">IFERROR(_xlfn.SWITCH(I201,"kg",1,"m3",AC201,AC201)*J201/(_xlfn.XLOOKUP(AA201,Métrés!A:A,Métrés!D:D,0)),0)</f>
        <v>7.6000000000000005</v>
      </c>
      <c r="AE201" s="1092">
        <f>IFERROR(N201*$G$1/(_xlfn.XLOOKUP($AA201,Métrés!$A:$A,Métrés!$D:$D,0)),0)</f>
        <v>11.88</v>
      </c>
      <c r="AF201" s="1092">
        <f>IFERROR(O201*$G$1/(_xlfn.XLOOKUP($AA201,Métrés!$A:$A,Métrés!$D:$D,0)),0)</f>
        <v>7.4015772870662468</v>
      </c>
      <c r="AG201" s="1092">
        <f>IFERROR(Q201*$G$1/(_xlfn.XLOOKUP($AA201,Métrés!$A:$A,Métrés!$D:$D,0)),0)</f>
        <v>4.5200000000000004E-2</v>
      </c>
      <c r="AH201" s="1092">
        <f>IFERROR(R201*$G$1/(_xlfn.XLOOKUP($AA201,Métrés!$A:$A,Métrés!$D:$D,0)),0)</f>
        <v>2.6846652267818572E-2</v>
      </c>
      <c r="AI201" s="1092">
        <f>IFERROR(S201*$G$1/(_xlfn.XLOOKUP($AA201,Métrés!$A:$A,Métrés!$D:$D,0)),0)</f>
        <v>10.119999999999999</v>
      </c>
      <c r="AJ201" s="1030">
        <v>0.01</v>
      </c>
      <c r="AK201" s="1030">
        <f t="shared" si="533"/>
        <v>5.4273938432383595E-2</v>
      </c>
      <c r="AL201" s="1030">
        <f t="shared" si="534"/>
        <v>5.4273938432383595</v>
      </c>
      <c r="AM201" s="638" t="s">
        <v>3388</v>
      </c>
      <c r="AN201" s="1032">
        <f t="shared" si="535"/>
        <v>0</v>
      </c>
      <c r="AO201" s="1030">
        <f t="shared" si="536"/>
        <v>0</v>
      </c>
      <c r="AP201" s="1030">
        <f t="shared" si="537"/>
        <v>0</v>
      </c>
      <c r="AQ201" s="1030">
        <f t="shared" si="538"/>
        <v>0</v>
      </c>
      <c r="AR201" s="1033">
        <f t="shared" si="539"/>
        <v>0</v>
      </c>
      <c r="AS201" s="1032">
        <f t="shared" si="540"/>
        <v>6.3712884246711186</v>
      </c>
      <c r="AT201" s="1030">
        <f t="shared" si="541"/>
        <v>6.3955293536942781</v>
      </c>
      <c r="AU201" s="1030">
        <f t="shared" si="541"/>
        <v>2.4240929023159472E-2</v>
      </c>
      <c r="AV201" s="1030">
        <f t="shared" si="542"/>
        <v>5.4273938432383595</v>
      </c>
      <c r="AW201" s="1033">
        <f t="shared" si="542"/>
        <v>5.4273938432383595E-2</v>
      </c>
      <c r="AX201" s="1032">
        <f t="shared" si="543"/>
        <v>0</v>
      </c>
      <c r="AY201" s="1030">
        <f t="shared" si="544"/>
        <v>0</v>
      </c>
      <c r="AZ201" s="1030">
        <f t="shared" si="544"/>
        <v>0</v>
      </c>
      <c r="BA201" s="1030">
        <f t="shared" si="545"/>
        <v>0</v>
      </c>
      <c r="BB201" s="1033">
        <f t="shared" si="545"/>
        <v>0</v>
      </c>
      <c r="BC201" s="1032">
        <f t="shared" si="546"/>
        <v>0</v>
      </c>
      <c r="BD201" s="1030">
        <f t="shared" si="547"/>
        <v>0</v>
      </c>
      <c r="BE201" s="1030">
        <f t="shared" si="547"/>
        <v>0</v>
      </c>
      <c r="BF201" s="1033">
        <f t="shared" si="548"/>
        <v>0</v>
      </c>
      <c r="BG201" s="1032">
        <f t="shared" si="549"/>
        <v>0</v>
      </c>
      <c r="BH201" s="1030">
        <f t="shared" si="550"/>
        <v>3699.3760000000002</v>
      </c>
      <c r="BI201" s="1033">
        <f t="shared" si="551"/>
        <v>0</v>
      </c>
      <c r="BJ201" s="1030">
        <f>_xlfn.XLOOKUP(H201, 'Baumaterialien Matériaux'!A:A, 'Baumaterialien Matériaux'!E:E, "-", 0, 1)</f>
        <v>190</v>
      </c>
      <c r="BK201" s="1032">
        <f t="shared" si="524"/>
        <v>0</v>
      </c>
      <c r="BL201" s="1030">
        <f t="shared" si="525"/>
        <v>19.470400000000001</v>
      </c>
      <c r="BM201" s="1033">
        <f t="shared" si="526"/>
        <v>0</v>
      </c>
      <c r="BN201" s="720">
        <f>IFERROR((J201*VLOOKUP(H201, 'Baumaterialien Matériaux'!$A$11:$AH$318, 32,FALSE))*($L$2/L201-1),0)/$G$1</f>
        <v>3.9838915368879593</v>
      </c>
      <c r="BO201" s="720">
        <f t="shared" si="552"/>
        <v>6.3955293536942781</v>
      </c>
    </row>
    <row r="202" spans="2:67">
      <c r="B202" s="1103"/>
      <c r="C202" s="1099"/>
      <c r="D202" s="478"/>
      <c r="E202" s="478"/>
      <c r="F202" s="478" t="s">
        <v>3284</v>
      </c>
      <c r="G202" s="478" t="str">
        <f>_xlfn.XLOOKUP(H202, 'Baumaterialien Matériaux'!A:A, 'Baumaterialien Matériaux'!AD:AD, "-", 0, 1)</f>
        <v>GUTEX Pyroresist</v>
      </c>
      <c r="H202" s="885" t="s">
        <v>2997</v>
      </c>
      <c r="I202" s="641" t="str">
        <f>_xlfn.XLOOKUP(H202, 'Baumaterialien Matériaux'!A:A, 'Baumaterialien Matériaux'!F:F, "-", 0, 1)</f>
        <v>kg</v>
      </c>
      <c r="J202" s="649">
        <f t="shared" si="553"/>
        <v>2774.5320000000002</v>
      </c>
      <c r="K202" s="893">
        <f>0.03*190</f>
        <v>5.7</v>
      </c>
      <c r="L202" s="478">
        <f t="shared" si="530"/>
        <v>30</v>
      </c>
      <c r="M202" s="648">
        <f t="shared" si="531"/>
        <v>12.570414213205169</v>
      </c>
      <c r="N202" s="720">
        <f>IFERROR(($J202*VLOOKUP($H202, 'Baumaterialien Matériaux'!$A$11:$AD$318, 26,FALSE)),0)/$G$1</f>
        <v>4.7784663185033383</v>
      </c>
      <c r="O202" s="720">
        <f>IFERROR(($J202*VLOOKUP($H202, 'Baumaterialien Matériaux'!$A$11:$AH$318, 33,FALSE)),0)/$G$1</f>
        <v>2.9771201826637519</v>
      </c>
      <c r="P202" s="720">
        <f t="shared" si="554"/>
        <v>4.7966470152707075</v>
      </c>
      <c r="Q202" s="720">
        <f>IFERROR(($J202*VLOOKUP($H202, 'Baumaterialien Matériaux'!$A$11:$AH$318, 27,FALSE)),0)/$G$1</f>
        <v>1.8180696767369602E-2</v>
      </c>
      <c r="R202" s="720">
        <f>IFERROR(($J202*VLOOKUP($H202, 'Baumaterialien Matériaux'!$A$11:$AH$318, 34,FALSE)),0)/$G$1</f>
        <v>1.0798470002217366E-2</v>
      </c>
      <c r="S202" s="720">
        <f>IFERROR((J202*VLOOKUP(H202, 'Baumaterialien Matériaux'!$A$11:$AD$318, 29,FALSE)),0)/$G$1</f>
        <v>4.0705453824287696</v>
      </c>
      <c r="T202" s="720">
        <f t="shared" si="532"/>
        <v>4.0705453824287696E-2</v>
      </c>
      <c r="U202" s="638">
        <v>0.01</v>
      </c>
      <c r="V202" s="638">
        <f t="shared" si="374"/>
        <v>4.0705453824287696E-2</v>
      </c>
      <c r="W202" s="638">
        <f t="shared" si="375"/>
        <v>4.0705453824287696</v>
      </c>
      <c r="Y202" s="638" t="str">
        <f t="shared" si="518"/>
        <v>Revêtement</v>
      </c>
      <c r="Z202" s="638">
        <f t="shared" si="555"/>
        <v>30</v>
      </c>
      <c r="AA202" s="648" t="s">
        <v>3458</v>
      </c>
      <c r="AB202" t="str">
        <f>_xlfn.XLOOKUP($H202,'[1]Baumaterialien Matériaux'!$A:$A,'[1]Baumaterialien Matériaux'!AK:AK,0,0)</f>
        <v>vegetal_fiber</v>
      </c>
      <c r="AC202" t="str" cm="1">
        <f t="array" ref="AC202">_xlfn.SWITCH(I202,"kg"," ",0," ",_xlfn.XLOOKUP(H202, '[1]Baumaterialien Matériaux'!$A:$A, '[1]Baumaterialien Matériaux'!$AL:$AL, "-", 0, 1))</f>
        <v xml:space="preserve"> </v>
      </c>
      <c r="AD202" s="622" cm="1">
        <f t="array" ref="AD202">IFERROR(_xlfn.SWITCH(I202,"kg",1,"m3",AC202,AC202)*J202/(_xlfn.XLOOKUP(AA202,Métrés!A:A,Métrés!D:D,0)),0)</f>
        <v>5.7</v>
      </c>
      <c r="AE202" s="1092">
        <f>IFERROR(N202*$G$1/(_xlfn.XLOOKUP($AA202,Métrés!$A:$A,Métrés!$D:$D,0)),0)</f>
        <v>8.91</v>
      </c>
      <c r="AF202" s="1092">
        <f>IFERROR(O202*$G$1/(_xlfn.XLOOKUP($AA202,Métrés!$A:$A,Métrés!$D:$D,0)),0)</f>
        <v>5.5511829652996845</v>
      </c>
      <c r="AG202" s="1092">
        <f>IFERROR(Q202*$G$1/(_xlfn.XLOOKUP($AA202,Métrés!$A:$A,Métrés!$D:$D,0)),0)</f>
        <v>3.39E-2</v>
      </c>
      <c r="AH202" s="1092">
        <f>IFERROR(R202*$G$1/(_xlfn.XLOOKUP($AA202,Métrés!$A:$A,Métrés!$D:$D,0)),0)</f>
        <v>2.0134989200863929E-2</v>
      </c>
      <c r="AI202" s="1092">
        <f>IFERROR(S202*$G$1/(_xlfn.XLOOKUP($AA202,Métrés!$A:$A,Métrés!$D:$D,0)),0)</f>
        <v>7.59</v>
      </c>
      <c r="AJ202" s="1030">
        <v>0.01</v>
      </c>
      <c r="AK202" s="1030">
        <f t="shared" si="533"/>
        <v>4.0705453824287696E-2</v>
      </c>
      <c r="AL202" s="1030">
        <f t="shared" si="534"/>
        <v>4.0705453824287696</v>
      </c>
      <c r="AM202" s="638" t="s">
        <v>3388</v>
      </c>
      <c r="AN202" s="1032">
        <f t="shared" si="535"/>
        <v>0</v>
      </c>
      <c r="AO202" s="1030">
        <f t="shared" si="536"/>
        <v>0</v>
      </c>
      <c r="AP202" s="1030">
        <f t="shared" si="537"/>
        <v>0</v>
      </c>
      <c r="AQ202" s="1030">
        <f t="shared" si="538"/>
        <v>0</v>
      </c>
      <c r="AR202" s="1033">
        <f t="shared" si="539"/>
        <v>0</v>
      </c>
      <c r="AS202" s="1032">
        <f t="shared" si="540"/>
        <v>4.7784663185033383</v>
      </c>
      <c r="AT202" s="1030">
        <f t="shared" si="541"/>
        <v>4.7966470152707075</v>
      </c>
      <c r="AU202" s="1030">
        <f t="shared" si="541"/>
        <v>1.8180696767369602E-2</v>
      </c>
      <c r="AV202" s="1030">
        <f t="shared" si="542"/>
        <v>4.0705453824287696</v>
      </c>
      <c r="AW202" s="1033">
        <f t="shared" si="542"/>
        <v>4.0705453824287696E-2</v>
      </c>
      <c r="AX202" s="1032">
        <f t="shared" si="543"/>
        <v>0</v>
      </c>
      <c r="AY202" s="1030">
        <f t="shared" si="544"/>
        <v>0</v>
      </c>
      <c r="AZ202" s="1030">
        <f t="shared" si="544"/>
        <v>0</v>
      </c>
      <c r="BA202" s="1030">
        <f t="shared" si="545"/>
        <v>0</v>
      </c>
      <c r="BB202" s="1033">
        <f t="shared" si="545"/>
        <v>0</v>
      </c>
      <c r="BC202" s="1032">
        <f t="shared" si="546"/>
        <v>0</v>
      </c>
      <c r="BD202" s="1030">
        <f t="shared" si="547"/>
        <v>0</v>
      </c>
      <c r="BE202" s="1030">
        <f t="shared" si="547"/>
        <v>0</v>
      </c>
      <c r="BF202" s="1033">
        <f t="shared" si="548"/>
        <v>0</v>
      </c>
      <c r="BG202" s="1032">
        <f t="shared" si="549"/>
        <v>0</v>
      </c>
      <c r="BH202" s="1030">
        <f t="shared" si="550"/>
        <v>2774.5320000000002</v>
      </c>
      <c r="BI202" s="1033">
        <f t="shared" si="551"/>
        <v>0</v>
      </c>
      <c r="BJ202" s="1030">
        <f>_xlfn.XLOOKUP(H202, 'Baumaterialien Matériaux'!A:A, 'Baumaterialien Matériaux'!E:E, "-", 0, 1)</f>
        <v>190</v>
      </c>
      <c r="BK202" s="1032">
        <f t="shared" si="524"/>
        <v>0</v>
      </c>
      <c r="BL202" s="1030">
        <f t="shared" si="525"/>
        <v>14.6028</v>
      </c>
      <c r="BM202" s="1033">
        <f t="shared" si="526"/>
        <v>0</v>
      </c>
      <c r="BN202" s="720">
        <f>IFERROR((J202*VLOOKUP(H202, 'Baumaterialien Matériaux'!$A$11:$AH$318, 32,FALSE))*($L$2/L202-1),0)/$G$1</f>
        <v>2.9879186526659693</v>
      </c>
      <c r="BO202" s="720">
        <f t="shared" si="552"/>
        <v>4.7966470152707075</v>
      </c>
    </row>
    <row r="203" spans="2:67">
      <c r="B203" s="1103"/>
      <c r="C203" s="1099"/>
      <c r="D203" s="478"/>
      <c r="E203" s="478"/>
      <c r="F203" s="478"/>
      <c r="G203" s="478"/>
      <c r="H203" s="478"/>
      <c r="I203" s="641"/>
      <c r="J203" s="649"/>
      <c r="K203" s="478"/>
      <c r="L203" s="478"/>
      <c r="M203" s="648"/>
      <c r="N203" s="720"/>
      <c r="O203" s="720"/>
      <c r="P203" s="720"/>
      <c r="Q203" s="720"/>
      <c r="R203" s="720"/>
      <c r="S203" s="720"/>
      <c r="T203" s="720">
        <f t="shared" si="532"/>
        <v>0</v>
      </c>
      <c r="V203" s="638">
        <f t="shared" si="374"/>
        <v>0</v>
      </c>
      <c r="W203" s="638">
        <f t="shared" si="375"/>
        <v>0</v>
      </c>
      <c r="Y203" s="638">
        <f t="shared" si="518"/>
        <v>0</v>
      </c>
      <c r="Z203" s="638">
        <f t="shared" si="555"/>
        <v>0</v>
      </c>
      <c r="AA203" s="648" t="s">
        <v>3458</v>
      </c>
      <c r="AB203">
        <f>_xlfn.XLOOKUP($H203,'[1]Baumaterialien Matériaux'!$A:$A,'[1]Baumaterialien Matériaux'!AK:AK,0,0)</f>
        <v>0</v>
      </c>
      <c r="AC203" t="str" cm="1">
        <f t="array" ref="AC203">_xlfn.SWITCH(I203,"kg"," ",0," ",_xlfn.XLOOKUP(H203, '[1]Baumaterialien Matériaux'!$A:$A, '[1]Baumaterialien Matériaux'!$AL:$AL, "-", 0, 1))</f>
        <v xml:space="preserve"> </v>
      </c>
      <c r="AD203" s="622" cm="1">
        <f t="array" ref="AD203">IFERROR(_xlfn.SWITCH(I203,"kg",1,"m3",AC203,AC203)*J203/(_xlfn.XLOOKUP(AA203,Métrés!A:A,Métrés!D:D,0)),0)</f>
        <v>0</v>
      </c>
      <c r="AE203" s="1092">
        <f>IFERROR(N203*$G$1/(_xlfn.XLOOKUP($AA203,Métrés!$A:$A,Métrés!$D:$D,0)),0)</f>
        <v>0</v>
      </c>
      <c r="AF203" s="1092">
        <f>IFERROR(O203*$G$1/(_xlfn.XLOOKUP($AA203,Métrés!$A:$A,Métrés!$D:$D,0)),0)</f>
        <v>0</v>
      </c>
      <c r="AG203" s="1092">
        <f>IFERROR(Q203*$G$1/(_xlfn.XLOOKUP($AA203,Métrés!$A:$A,Métrés!$D:$D,0)),0)</f>
        <v>0</v>
      </c>
      <c r="AH203" s="1092">
        <f>IFERROR(R203*$G$1/(_xlfn.XLOOKUP($AA203,Métrés!$A:$A,Métrés!$D:$D,0)),0)</f>
        <v>0</v>
      </c>
      <c r="AI203" s="1092">
        <f>IFERROR(S203*$G$1/(_xlfn.XLOOKUP($AA203,Métrés!$A:$A,Métrés!$D:$D,0)),0)</f>
        <v>0</v>
      </c>
      <c r="AJ203" s="1030"/>
      <c r="AK203" s="1030">
        <f t="shared" si="533"/>
        <v>0</v>
      </c>
      <c r="AL203" s="1030">
        <f t="shared" si="534"/>
        <v>0</v>
      </c>
      <c r="AM203" s="638">
        <f>IF(L203=$L$2, "Structure", IF(L203&gt;0,"Revêtement",0))</f>
        <v>0</v>
      </c>
      <c r="AN203" s="1032">
        <f t="shared" si="535"/>
        <v>0</v>
      </c>
      <c r="AO203" s="1030">
        <f t="shared" si="536"/>
        <v>0</v>
      </c>
      <c r="AP203" s="1030">
        <f t="shared" si="537"/>
        <v>0</v>
      </c>
      <c r="AQ203" s="1030">
        <f t="shared" si="538"/>
        <v>0</v>
      </c>
      <c r="AR203" s="1033">
        <f t="shared" si="539"/>
        <v>0</v>
      </c>
      <c r="AS203" s="1032">
        <f t="shared" si="540"/>
        <v>0</v>
      </c>
      <c r="AT203" s="1030">
        <f t="shared" si="541"/>
        <v>0</v>
      </c>
      <c r="AU203" s="1030">
        <f t="shared" si="541"/>
        <v>0</v>
      </c>
      <c r="AV203" s="1030">
        <f t="shared" si="542"/>
        <v>0</v>
      </c>
      <c r="AW203" s="1033">
        <f t="shared" si="542"/>
        <v>0</v>
      </c>
      <c r="AX203" s="1032">
        <f t="shared" si="543"/>
        <v>0</v>
      </c>
      <c r="AY203" s="1030">
        <f t="shared" si="544"/>
        <v>0</v>
      </c>
      <c r="AZ203" s="1030">
        <f t="shared" si="544"/>
        <v>0</v>
      </c>
      <c r="BA203" s="1030">
        <f t="shared" si="545"/>
        <v>0</v>
      </c>
      <c r="BB203" s="1033">
        <f t="shared" si="545"/>
        <v>0</v>
      </c>
      <c r="BC203" s="1032">
        <f t="shared" si="546"/>
        <v>0</v>
      </c>
      <c r="BD203" s="1030">
        <f t="shared" si="547"/>
        <v>0</v>
      </c>
      <c r="BE203" s="1030">
        <f t="shared" si="547"/>
        <v>0</v>
      </c>
      <c r="BF203" s="1033">
        <f t="shared" si="548"/>
        <v>0</v>
      </c>
      <c r="BG203" s="1032">
        <f t="shared" si="549"/>
        <v>0</v>
      </c>
      <c r="BH203" s="1030">
        <f t="shared" si="550"/>
        <v>0</v>
      </c>
      <c r="BI203" s="1033">
        <f t="shared" si="551"/>
        <v>0</v>
      </c>
      <c r="BJ203" s="1030">
        <f>_xlfn.XLOOKUP(H203, 'Baumaterialien Matériaux'!A:A, 'Baumaterialien Matériaux'!E:E, "-", 0, 1)</f>
        <v>0</v>
      </c>
      <c r="BK203" s="1032">
        <f t="shared" si="524"/>
        <v>0</v>
      </c>
      <c r="BL203" s="1030">
        <f t="shared" si="525"/>
        <v>0</v>
      </c>
      <c r="BM203" s="1033">
        <f t="shared" si="526"/>
        <v>0</v>
      </c>
      <c r="BN203" s="720">
        <f>IFERROR((J203*VLOOKUP(H203, 'Baumaterialien Matériaux'!$A$11:$AH$318, 32,FALSE))*($L$2/L203-1),0)/$G$1</f>
        <v>0</v>
      </c>
      <c r="BO203" s="720">
        <f t="shared" si="552"/>
        <v>0</v>
      </c>
    </row>
    <row r="204" spans="2:67">
      <c r="B204" s="1103"/>
      <c r="C204" s="1099"/>
      <c r="D204" s="478"/>
      <c r="E204" s="478"/>
      <c r="F204" s="478"/>
      <c r="G204" s="478"/>
      <c r="H204" s="478"/>
      <c r="I204" s="641"/>
      <c r="J204" s="649"/>
      <c r="K204" s="478"/>
      <c r="L204" s="478"/>
      <c r="M204" s="648"/>
      <c r="N204" s="720"/>
      <c r="O204" s="720"/>
      <c r="P204" s="720"/>
      <c r="Q204" s="720"/>
      <c r="R204" s="720"/>
      <c r="S204" s="720"/>
      <c r="T204" s="720">
        <f t="shared" si="532"/>
        <v>0</v>
      </c>
      <c r="V204" s="638">
        <f t="shared" si="374"/>
        <v>0</v>
      </c>
      <c r="W204" s="638">
        <f t="shared" si="375"/>
        <v>0</v>
      </c>
      <c r="Y204" s="638">
        <f t="shared" si="518"/>
        <v>0</v>
      </c>
      <c r="Z204" s="638">
        <f t="shared" si="555"/>
        <v>0</v>
      </c>
      <c r="AA204" s="648" t="s">
        <v>3458</v>
      </c>
      <c r="AB204">
        <f>_xlfn.XLOOKUP($H204,'[1]Baumaterialien Matériaux'!$A:$A,'[1]Baumaterialien Matériaux'!AK:AK,0,0)</f>
        <v>0</v>
      </c>
      <c r="AC204" t="str" cm="1">
        <f t="array" ref="AC204">_xlfn.SWITCH(I204,"kg"," ",0," ",_xlfn.XLOOKUP(H204, '[1]Baumaterialien Matériaux'!$A:$A, '[1]Baumaterialien Matériaux'!$AL:$AL, "-", 0, 1))</f>
        <v xml:space="preserve"> </v>
      </c>
      <c r="AD204" s="622" cm="1">
        <f t="array" ref="AD204">IFERROR(_xlfn.SWITCH(I204,"kg",1,"m3",AC204,AC204)*J204/(_xlfn.XLOOKUP(AA204,Métrés!A:A,Métrés!D:D,0)),0)</f>
        <v>0</v>
      </c>
      <c r="AE204" s="1092">
        <f>IFERROR(N204*$G$1/(_xlfn.XLOOKUP($AA204,Métrés!$A:$A,Métrés!$D:$D,0)),0)</f>
        <v>0</v>
      </c>
      <c r="AF204" s="1092">
        <f>IFERROR(O204*$G$1/(_xlfn.XLOOKUP($AA204,Métrés!$A:$A,Métrés!$D:$D,0)),0)</f>
        <v>0</v>
      </c>
      <c r="AG204" s="1092">
        <f>IFERROR(Q204*$G$1/(_xlfn.XLOOKUP($AA204,Métrés!$A:$A,Métrés!$D:$D,0)),0)</f>
        <v>0</v>
      </c>
      <c r="AH204" s="1092">
        <f>IFERROR(R204*$G$1/(_xlfn.XLOOKUP($AA204,Métrés!$A:$A,Métrés!$D:$D,0)),0)</f>
        <v>0</v>
      </c>
      <c r="AI204" s="1092">
        <f>IFERROR(S204*$G$1/(_xlfn.XLOOKUP($AA204,Métrés!$A:$A,Métrés!$D:$D,0)),0)</f>
        <v>0</v>
      </c>
      <c r="AJ204" s="1030"/>
      <c r="AK204" s="1030">
        <f t="shared" si="533"/>
        <v>0</v>
      </c>
      <c r="AL204" s="1030">
        <f t="shared" si="534"/>
        <v>0</v>
      </c>
      <c r="AM204" s="638">
        <f>IF(L204=$L$2, "Structure", IF(L204&gt;0,"Revêtement",0))</f>
        <v>0</v>
      </c>
      <c r="AN204" s="1032">
        <f t="shared" si="535"/>
        <v>0</v>
      </c>
      <c r="AO204" s="1030">
        <f t="shared" si="536"/>
        <v>0</v>
      </c>
      <c r="AP204" s="1030">
        <f t="shared" si="537"/>
        <v>0</v>
      </c>
      <c r="AQ204" s="1030">
        <f t="shared" si="538"/>
        <v>0</v>
      </c>
      <c r="AR204" s="1033">
        <f t="shared" si="539"/>
        <v>0</v>
      </c>
      <c r="AS204" s="1032">
        <f t="shared" si="540"/>
        <v>0</v>
      </c>
      <c r="AT204" s="1030">
        <f t="shared" si="541"/>
        <v>0</v>
      </c>
      <c r="AU204" s="1030">
        <f t="shared" si="541"/>
        <v>0</v>
      </c>
      <c r="AV204" s="1030">
        <f t="shared" si="542"/>
        <v>0</v>
      </c>
      <c r="AW204" s="1033">
        <f t="shared" si="542"/>
        <v>0</v>
      </c>
      <c r="AX204" s="1032">
        <f t="shared" si="543"/>
        <v>0</v>
      </c>
      <c r="AY204" s="1030">
        <f t="shared" si="544"/>
        <v>0</v>
      </c>
      <c r="AZ204" s="1030">
        <f t="shared" si="544"/>
        <v>0</v>
      </c>
      <c r="BA204" s="1030">
        <f t="shared" si="545"/>
        <v>0</v>
      </c>
      <c r="BB204" s="1033">
        <f t="shared" si="545"/>
        <v>0</v>
      </c>
      <c r="BC204" s="1032">
        <f t="shared" si="546"/>
        <v>0</v>
      </c>
      <c r="BD204" s="1030">
        <f t="shared" si="547"/>
        <v>0</v>
      </c>
      <c r="BE204" s="1030">
        <f t="shared" si="547"/>
        <v>0</v>
      </c>
      <c r="BF204" s="1033">
        <f t="shared" si="548"/>
        <v>0</v>
      </c>
      <c r="BG204" s="1032">
        <f t="shared" si="549"/>
        <v>0</v>
      </c>
      <c r="BH204" s="1030">
        <f t="shared" si="550"/>
        <v>0</v>
      </c>
      <c r="BI204" s="1033">
        <f t="shared" si="551"/>
        <v>0</v>
      </c>
      <c r="BJ204" s="1030">
        <f>_xlfn.XLOOKUP(H204, 'Baumaterialien Matériaux'!A:A, 'Baumaterialien Matériaux'!E:E, "-", 0, 1)</f>
        <v>0</v>
      </c>
      <c r="BK204" s="1032">
        <f t="shared" si="524"/>
        <v>0</v>
      </c>
      <c r="BL204" s="1030">
        <f t="shared" si="525"/>
        <v>0</v>
      </c>
      <c r="BM204" s="1033">
        <f t="shared" si="526"/>
        <v>0</v>
      </c>
      <c r="BN204" s="720">
        <f>IFERROR((J204*VLOOKUP(H204, 'Baumaterialien Matériaux'!$A$11:$AH$318, 32,FALSE))*($L$2/L204-1),0)/$G$1</f>
        <v>0</v>
      </c>
      <c r="BO204" s="720">
        <f t="shared" si="552"/>
        <v>0</v>
      </c>
    </row>
    <row r="205" spans="2:67">
      <c r="B205" s="1103"/>
      <c r="C205" s="1099"/>
      <c r="D205" s="478"/>
      <c r="E205" s="478"/>
      <c r="F205" s="478"/>
      <c r="G205" s="478"/>
      <c r="H205" s="478"/>
      <c r="I205" s="641"/>
      <c r="J205" s="649"/>
      <c r="K205" s="478"/>
      <c r="L205" s="478"/>
      <c r="M205" s="648"/>
      <c r="N205" s="720"/>
      <c r="O205" s="720"/>
      <c r="P205" s="720"/>
      <c r="Q205" s="720"/>
      <c r="R205" s="720"/>
      <c r="S205" s="720"/>
      <c r="T205" s="720">
        <f t="shared" si="532"/>
        <v>0</v>
      </c>
      <c r="V205" s="638">
        <f t="shared" si="374"/>
        <v>0</v>
      </c>
      <c r="W205" s="638">
        <f t="shared" si="375"/>
        <v>0</v>
      </c>
      <c r="Y205" s="638">
        <f t="shared" si="518"/>
        <v>0</v>
      </c>
      <c r="Z205" s="638">
        <f t="shared" si="555"/>
        <v>0</v>
      </c>
      <c r="AA205" s="648" t="s">
        <v>3458</v>
      </c>
      <c r="AB205">
        <f>_xlfn.XLOOKUP($H205,'[1]Baumaterialien Matériaux'!$A:$A,'[1]Baumaterialien Matériaux'!AK:AK,0,0)</f>
        <v>0</v>
      </c>
      <c r="AC205" t="str" cm="1">
        <f t="array" ref="AC205">_xlfn.SWITCH(I205,"kg"," ",0," ",_xlfn.XLOOKUP(H205, '[1]Baumaterialien Matériaux'!$A:$A, '[1]Baumaterialien Matériaux'!$AL:$AL, "-", 0, 1))</f>
        <v xml:space="preserve"> </v>
      </c>
      <c r="AD205" s="622" cm="1">
        <f t="array" ref="AD205">IFERROR(_xlfn.SWITCH(I205,"kg",1,"m3",AC205,AC205)*J205/(_xlfn.XLOOKUP(AA205,Métrés!A:A,Métrés!D:D,0)),0)</f>
        <v>0</v>
      </c>
      <c r="AE205" s="1092">
        <f>IFERROR(N205*$G$1/(_xlfn.XLOOKUP($AA205,Métrés!$A:$A,Métrés!$D:$D,0)),0)</f>
        <v>0</v>
      </c>
      <c r="AF205" s="1092">
        <f>IFERROR(O205*$G$1/(_xlfn.XLOOKUP($AA205,Métrés!$A:$A,Métrés!$D:$D,0)),0)</f>
        <v>0</v>
      </c>
      <c r="AG205" s="1092">
        <f>IFERROR(Q205*$G$1/(_xlfn.XLOOKUP($AA205,Métrés!$A:$A,Métrés!$D:$D,0)),0)</f>
        <v>0</v>
      </c>
      <c r="AH205" s="1092">
        <f>IFERROR(R205*$G$1/(_xlfn.XLOOKUP($AA205,Métrés!$A:$A,Métrés!$D:$D,0)),0)</f>
        <v>0</v>
      </c>
      <c r="AI205" s="1092">
        <f>IFERROR(S205*$G$1/(_xlfn.XLOOKUP($AA205,Métrés!$A:$A,Métrés!$D:$D,0)),0)</f>
        <v>0</v>
      </c>
      <c r="AJ205" s="1030"/>
      <c r="AK205" s="1030">
        <f t="shared" si="533"/>
        <v>0</v>
      </c>
      <c r="AL205" s="1030">
        <f t="shared" si="534"/>
        <v>0</v>
      </c>
      <c r="AM205" s="638">
        <f>IF(L205=$L$2, "Structure", IF(L205&gt;0,"Revêtement",0))</f>
        <v>0</v>
      </c>
      <c r="AN205" s="1032">
        <f t="shared" si="535"/>
        <v>0</v>
      </c>
      <c r="AO205" s="1030">
        <f t="shared" si="536"/>
        <v>0</v>
      </c>
      <c r="AP205" s="1030">
        <f t="shared" si="537"/>
        <v>0</v>
      </c>
      <c r="AQ205" s="1030">
        <f t="shared" si="538"/>
        <v>0</v>
      </c>
      <c r="AR205" s="1033">
        <f t="shared" si="539"/>
        <v>0</v>
      </c>
      <c r="AS205" s="1032">
        <f t="shared" si="540"/>
        <v>0</v>
      </c>
      <c r="AT205" s="1030">
        <f t="shared" si="541"/>
        <v>0</v>
      </c>
      <c r="AU205" s="1030">
        <f t="shared" si="541"/>
        <v>0</v>
      </c>
      <c r="AV205" s="1030">
        <f t="shared" si="542"/>
        <v>0</v>
      </c>
      <c r="AW205" s="1033">
        <f t="shared" si="542"/>
        <v>0</v>
      </c>
      <c r="AX205" s="1032">
        <f t="shared" si="543"/>
        <v>0</v>
      </c>
      <c r="AY205" s="1030">
        <f t="shared" si="544"/>
        <v>0</v>
      </c>
      <c r="AZ205" s="1030">
        <f t="shared" si="544"/>
        <v>0</v>
      </c>
      <c r="BA205" s="1030">
        <f t="shared" si="545"/>
        <v>0</v>
      </c>
      <c r="BB205" s="1033">
        <f t="shared" si="545"/>
        <v>0</v>
      </c>
      <c r="BC205" s="1032">
        <f t="shared" si="546"/>
        <v>0</v>
      </c>
      <c r="BD205" s="1030">
        <f t="shared" si="547"/>
        <v>0</v>
      </c>
      <c r="BE205" s="1030">
        <f t="shared" si="547"/>
        <v>0</v>
      </c>
      <c r="BF205" s="1033">
        <f t="shared" si="548"/>
        <v>0</v>
      </c>
      <c r="BG205" s="1032">
        <f t="shared" si="549"/>
        <v>0</v>
      </c>
      <c r="BH205" s="1030">
        <f t="shared" si="550"/>
        <v>0</v>
      </c>
      <c r="BI205" s="1033">
        <f t="shared" si="551"/>
        <v>0</v>
      </c>
      <c r="BJ205" s="1030">
        <f>_xlfn.XLOOKUP(H205, 'Baumaterialien Matériaux'!A:A, 'Baumaterialien Matériaux'!E:E, "-", 0, 1)</f>
        <v>0</v>
      </c>
      <c r="BK205" s="1032">
        <f t="shared" si="524"/>
        <v>0</v>
      </c>
      <c r="BL205" s="1030">
        <f t="shared" si="525"/>
        <v>0</v>
      </c>
      <c r="BM205" s="1033">
        <f t="shared" si="526"/>
        <v>0</v>
      </c>
      <c r="BN205" s="720">
        <f>IFERROR((J205*VLOOKUP(H205, 'Baumaterialien Matériaux'!$A$11:$AH$318, 32,FALSE))*($L$2/L205-1),0)/$G$1</f>
        <v>0</v>
      </c>
      <c r="BO205" s="720">
        <f t="shared" si="552"/>
        <v>0</v>
      </c>
    </row>
    <row r="206" spans="2:67">
      <c r="B206" s="1103"/>
      <c r="C206" s="1099"/>
      <c r="D206" s="478"/>
      <c r="E206" s="478"/>
      <c r="F206" s="478"/>
      <c r="G206" s="478"/>
      <c r="H206" s="478"/>
      <c r="I206" s="641"/>
      <c r="J206" s="649"/>
      <c r="K206" s="478"/>
      <c r="L206" s="478"/>
      <c r="M206" s="648"/>
      <c r="N206" s="720"/>
      <c r="O206" s="720"/>
      <c r="P206" s="720"/>
      <c r="Q206" s="720"/>
      <c r="R206" s="720"/>
      <c r="S206" s="720"/>
      <c r="T206" s="720">
        <f t="shared" si="532"/>
        <v>0</v>
      </c>
      <c r="V206" s="638">
        <f t="shared" ref="V206:V246" si="556">IF(L206=60,0,T206)</f>
        <v>0</v>
      </c>
      <c r="W206" s="638">
        <f t="shared" ref="W206:W246" si="557">IF(L206=60,0,S206)</f>
        <v>0</v>
      </c>
      <c r="Y206" s="638">
        <f t="shared" si="518"/>
        <v>0</v>
      </c>
      <c r="Z206" s="638">
        <f t="shared" si="555"/>
        <v>0</v>
      </c>
      <c r="AA206" s="648" t="s">
        <v>3458</v>
      </c>
      <c r="AB206">
        <f>_xlfn.XLOOKUP($H206,'[1]Baumaterialien Matériaux'!$A:$A,'[1]Baumaterialien Matériaux'!AK:AK,0,0)</f>
        <v>0</v>
      </c>
      <c r="AC206" t="str" cm="1">
        <f t="array" ref="AC206">_xlfn.SWITCH(I206,"kg"," ",0," ",_xlfn.XLOOKUP(H206, '[1]Baumaterialien Matériaux'!$A:$A, '[1]Baumaterialien Matériaux'!$AL:$AL, "-", 0, 1))</f>
        <v xml:space="preserve"> </v>
      </c>
      <c r="AD206" s="622" cm="1">
        <f t="array" ref="AD206">IFERROR(_xlfn.SWITCH(I206,"kg",1,"m3",AC206,AC206)*J206/(_xlfn.XLOOKUP(AA206,Métrés!A:A,Métrés!D:D,0)),0)</f>
        <v>0</v>
      </c>
      <c r="AE206" s="1092">
        <f>IFERROR(N206*$G$1/(_xlfn.XLOOKUP($AA206,Métrés!$A:$A,Métrés!$D:$D,0)),0)</f>
        <v>0</v>
      </c>
      <c r="AF206" s="1092">
        <f>IFERROR(O206*$G$1/(_xlfn.XLOOKUP($AA206,Métrés!$A:$A,Métrés!$D:$D,0)),0)</f>
        <v>0</v>
      </c>
      <c r="AG206" s="1092">
        <f>IFERROR(Q206*$G$1/(_xlfn.XLOOKUP($AA206,Métrés!$A:$A,Métrés!$D:$D,0)),0)</f>
        <v>0</v>
      </c>
      <c r="AH206" s="1092">
        <f>IFERROR(R206*$G$1/(_xlfn.XLOOKUP($AA206,Métrés!$A:$A,Métrés!$D:$D,0)),0)</f>
        <v>0</v>
      </c>
      <c r="AI206" s="1092">
        <f>IFERROR(S206*$G$1/(_xlfn.XLOOKUP($AA206,Métrés!$A:$A,Métrés!$D:$D,0)),0)</f>
        <v>0</v>
      </c>
      <c r="AJ206" s="1030"/>
      <c r="AK206" s="1030">
        <f t="shared" si="533"/>
        <v>0</v>
      </c>
      <c r="AL206" s="1030">
        <f t="shared" si="534"/>
        <v>0</v>
      </c>
      <c r="AM206" s="638">
        <f>IF(L206=$L$2, "Structure", IF(L206&gt;0,"Revêtement",0))</f>
        <v>0</v>
      </c>
      <c r="AN206" s="1032">
        <f t="shared" si="535"/>
        <v>0</v>
      </c>
      <c r="AO206" s="1030">
        <f t="shared" si="536"/>
        <v>0</v>
      </c>
      <c r="AP206" s="1030">
        <f t="shared" si="537"/>
        <v>0</v>
      </c>
      <c r="AQ206" s="1030">
        <f t="shared" si="538"/>
        <v>0</v>
      </c>
      <c r="AR206" s="1033">
        <f t="shared" si="539"/>
        <v>0</v>
      </c>
      <c r="AS206" s="1032">
        <f t="shared" si="540"/>
        <v>0</v>
      </c>
      <c r="AT206" s="1030">
        <f t="shared" si="541"/>
        <v>0</v>
      </c>
      <c r="AU206" s="1030">
        <f t="shared" si="541"/>
        <v>0</v>
      </c>
      <c r="AV206" s="1030">
        <f t="shared" si="542"/>
        <v>0</v>
      </c>
      <c r="AW206" s="1033">
        <f t="shared" si="542"/>
        <v>0</v>
      </c>
      <c r="AX206" s="1032">
        <f t="shared" si="543"/>
        <v>0</v>
      </c>
      <c r="AY206" s="1030">
        <f t="shared" si="544"/>
        <v>0</v>
      </c>
      <c r="AZ206" s="1030">
        <f t="shared" si="544"/>
        <v>0</v>
      </c>
      <c r="BA206" s="1030">
        <f t="shared" si="545"/>
        <v>0</v>
      </c>
      <c r="BB206" s="1033">
        <f t="shared" si="545"/>
        <v>0</v>
      </c>
      <c r="BC206" s="1032">
        <f t="shared" si="546"/>
        <v>0</v>
      </c>
      <c r="BD206" s="1030">
        <f t="shared" si="547"/>
        <v>0</v>
      </c>
      <c r="BE206" s="1030">
        <f t="shared" si="547"/>
        <v>0</v>
      </c>
      <c r="BF206" s="1033">
        <f t="shared" si="548"/>
        <v>0</v>
      </c>
      <c r="BG206" s="1032">
        <f t="shared" si="549"/>
        <v>0</v>
      </c>
      <c r="BH206" s="1030">
        <f t="shared" si="550"/>
        <v>0</v>
      </c>
      <c r="BI206" s="1033">
        <f t="shared" si="551"/>
        <v>0</v>
      </c>
      <c r="BJ206" s="1030">
        <f>_xlfn.XLOOKUP(H206, 'Baumaterialien Matériaux'!A:A, 'Baumaterialien Matériaux'!E:E, "-", 0, 1)</f>
        <v>0</v>
      </c>
      <c r="BK206" s="1032">
        <f t="shared" si="524"/>
        <v>0</v>
      </c>
      <c r="BL206" s="1030">
        <f t="shared" si="525"/>
        <v>0</v>
      </c>
      <c r="BM206" s="1033">
        <f t="shared" si="526"/>
        <v>0</v>
      </c>
      <c r="BN206" s="720">
        <f>IFERROR((J206*VLOOKUP(H206, 'Baumaterialien Matériaux'!$A$11:$AH$318, 32,FALSE))*($L$2/L206-1),0)/$G$1</f>
        <v>0</v>
      </c>
      <c r="BO206" s="720">
        <f t="shared" si="552"/>
        <v>0</v>
      </c>
    </row>
    <row r="207" spans="2:67">
      <c r="B207" s="1103"/>
      <c r="C207" s="1099"/>
      <c r="D207" s="478" t="s">
        <v>2990</v>
      </c>
      <c r="E207" s="479" t="str">
        <f>BillQuantities!E34</f>
        <v>Supports et revêtement de sol</v>
      </c>
      <c r="F207" s="479"/>
      <c r="G207" s="479"/>
      <c r="H207" s="479"/>
      <c r="I207" s="459" t="s">
        <v>39</v>
      </c>
      <c r="J207" s="662"/>
      <c r="K207" s="663"/>
      <c r="L207" s="663"/>
      <c r="M207" s="664">
        <f>SUM(M208:M214)</f>
        <v>19.126403120248565</v>
      </c>
      <c r="N207" s="664">
        <f t="shared" ref="N207:T207" si="558">SUM(N208:N214)</f>
        <v>6.8090169894889927</v>
      </c>
      <c r="O207" s="664">
        <f t="shared" ref="O207" si="559">SUM(O208:O214)</f>
        <v>3.7524404486459084</v>
      </c>
      <c r="P207" s="664">
        <f t="shared" si="558"/>
        <v>7.6869813358013257</v>
      </c>
      <c r="Q207" s="664">
        <f t="shared" si="558"/>
        <v>0.87796434631233333</v>
      </c>
      <c r="R207" s="664">
        <f t="shared" ref="R207" si="560">SUM(R208:R214)</f>
        <v>4.272547982635904E-2</v>
      </c>
      <c r="S207" s="664">
        <f t="shared" si="558"/>
        <v>6.0164165619973113</v>
      </c>
      <c r="T207" s="664">
        <f t="shared" si="558"/>
        <v>6.0164165619973113E-2</v>
      </c>
      <c r="V207" s="638">
        <f t="shared" si="556"/>
        <v>6.0164165619973113E-2</v>
      </c>
      <c r="W207" s="638">
        <f t="shared" si="557"/>
        <v>6.0164165619973113</v>
      </c>
      <c r="Y207" s="638">
        <f t="shared" si="518"/>
        <v>0</v>
      </c>
      <c r="Z207" s="638">
        <f t="shared" si="555"/>
        <v>0</v>
      </c>
      <c r="AB207">
        <f>_xlfn.XLOOKUP($H207,'[1]Baumaterialien Matériaux'!$A:$A,'[1]Baumaterialien Matériaux'!AK:AK,0,0)</f>
        <v>0</v>
      </c>
      <c r="AC207" cm="1">
        <f t="array" ref="AC207">_xlfn.SWITCH(I207,"kg"," ",0," ",_xlfn.XLOOKUP(H207, '[1]Baumaterialien Matériaux'!$A:$A, '[1]Baumaterialien Matériaux'!$AL:$AL, "-", 0, 1))</f>
        <v>0</v>
      </c>
      <c r="AD207" s="622" cm="1">
        <f t="array" ref="AD207">IFERROR(_xlfn.SWITCH(I207,"kg",1,"m3",AC207,AC207)*J207/(_xlfn.XLOOKUP(AA207,Métrés!A:A,Métrés!D:D,0)),0)</f>
        <v>0</v>
      </c>
      <c r="AE207" s="1092">
        <f>IFERROR(N207*$G$1/(_xlfn.XLOOKUP($AA207,Métrés!$A:$A,Métrés!$D:$D,0)),0)</f>
        <v>0</v>
      </c>
      <c r="AF207" s="1092">
        <f>IFERROR(O207*$G$1/(_xlfn.XLOOKUP($AA207,Métrés!$A:$A,Métrés!$D:$D,0)),0)</f>
        <v>0</v>
      </c>
      <c r="AG207" s="1092">
        <f>IFERROR(Q207*$G$1/(_xlfn.XLOOKUP($AA207,Métrés!$A:$A,Métrés!$D:$D,0)),0)</f>
        <v>0</v>
      </c>
      <c r="AH207" s="1092">
        <f>IFERROR(R207*$G$1/(_xlfn.XLOOKUP($AA207,Métrés!$A:$A,Métrés!$D:$D,0)),0)</f>
        <v>0</v>
      </c>
      <c r="AI207" s="1092">
        <f>IFERROR(S207*$G$1/(_xlfn.XLOOKUP($AA207,Métrés!$A:$A,Métrés!$D:$D,0)),0)</f>
        <v>0</v>
      </c>
      <c r="AJ207" s="1064"/>
      <c r="AK207" s="1064"/>
      <c r="AL207" s="1064"/>
      <c r="AM207" s="1021"/>
      <c r="AN207" s="1073"/>
      <c r="AO207" s="1064"/>
      <c r="AP207" s="1064"/>
      <c r="AQ207" s="1064"/>
      <c r="AR207" s="1074"/>
      <c r="AS207" s="1073"/>
      <c r="AT207" s="1064"/>
      <c r="AU207" s="1064"/>
      <c r="AV207" s="1064"/>
      <c r="AW207" s="1074"/>
      <c r="AX207" s="1073"/>
      <c r="AY207" s="1064"/>
      <c r="AZ207" s="1064"/>
      <c r="BA207" s="1064"/>
      <c r="BB207" s="1074"/>
      <c r="BC207" s="1073"/>
      <c r="BD207" s="1064"/>
      <c r="BE207" s="1064"/>
      <c r="BF207" s="1074"/>
      <c r="BG207" s="1073"/>
      <c r="BH207" s="1064"/>
      <c r="BI207" s="1074"/>
      <c r="BJ207" s="1078"/>
      <c r="BK207" s="1073"/>
      <c r="BL207" s="1064"/>
      <c r="BM207" s="1074"/>
    </row>
    <row r="208" spans="2:67">
      <c r="B208" s="1103"/>
      <c r="C208" s="1099"/>
      <c r="D208" s="478"/>
      <c r="E208" s="478"/>
      <c r="F208" s="478" t="s">
        <v>3054</v>
      </c>
      <c r="G208" s="478" t="str">
        <f>_xlfn.XLOOKUP(H208, 'Baumaterialien Matériaux'!A:A, 'Baumaterialien Matériaux'!AD:AD, "-", 0, 1)</f>
        <v>Parquet, 2 plis, vitrifié d'usine, 11 mm</v>
      </c>
      <c r="H208" s="892" t="s">
        <v>776</v>
      </c>
      <c r="I208" s="641" t="str">
        <f>_xlfn.XLOOKUP(H208, 'Baumaterialien Matériaux'!A:A, 'Baumaterialien Matériaux'!F:F, "-", 0, 1)</f>
        <v>m2</v>
      </c>
      <c r="J208" s="890">
        <v>551</v>
      </c>
      <c r="K208" s="478">
        <f>_xlfn.XLOOKUP(H208, 'Baumaterialien Matériaux'!A:A, 'Baumaterialien Matériaux'!E:E, "-", 0, 1)/(Métrés!D$15)*J208</f>
        <v>4.4750226340736008</v>
      </c>
      <c r="L208" s="478">
        <f t="shared" ref="L208:L210" si="561">L200</f>
        <v>30</v>
      </c>
      <c r="M208" s="648">
        <f t="shared" si="531"/>
        <v>11.556417884136533</v>
      </c>
      <c r="N208" s="720">
        <f>IFERROR(($J208*VLOOKUP($H208, 'Baumaterialien Matériaux'!$A$11:$AD$318, 26,FALSE)),0)/$G$1</f>
        <v>4.5470461206231683</v>
      </c>
      <c r="O208" s="720">
        <f>IFERROR(($J208*VLOOKUP($H208, 'Baumaterialien Matériaux'!$A$11:$AH$318, 33,FALSE)),0)/$G$1</f>
        <v>2.0519380357418302</v>
      </c>
      <c r="P208" s="720">
        <f>IFERROR((N208+Q208)*($L$2/L208-1),0)</f>
        <v>4.752239924197351</v>
      </c>
      <c r="Q208" s="720">
        <f>IFERROR(($J208*VLOOKUP($H208, 'Baumaterialien Matériaux'!$A$11:$AH$318, 27,FALSE)),0)/$G$1</f>
        <v>0.20519380357418301</v>
      </c>
      <c r="R208" s="720">
        <f>IFERROR(($J208*VLOOKUP($H208, 'Baumaterialien Matériaux'!$A$11:$AH$318, 34,FALSE)),0)/$G$1</f>
        <v>2.6650911174279986E-2</v>
      </c>
      <c r="S208" s="720">
        <f>IFERROR((J208*VLOOKUP(H208, 'Baumaterialien Matériaux'!$A$11:$AD$318, 29,FALSE)),0)/$G$1</f>
        <v>5.9878546822091474</v>
      </c>
      <c r="T208" s="720">
        <f t="shared" ref="T208:T214" si="562">S208*AJ208</f>
        <v>5.9878546822091476E-2</v>
      </c>
      <c r="U208" s="638">
        <v>0.01</v>
      </c>
      <c r="V208" s="638">
        <f t="shared" si="556"/>
        <v>5.9878546822091476E-2</v>
      </c>
      <c r="W208" s="638">
        <f t="shared" si="557"/>
        <v>5.9878546822091474</v>
      </c>
      <c r="Y208" s="638" t="str">
        <f t="shared" si="518"/>
        <v>Revêtement</v>
      </c>
      <c r="Z208" s="638">
        <f t="shared" si="555"/>
        <v>30</v>
      </c>
      <c r="AA208" s="615" t="s">
        <v>3460</v>
      </c>
      <c r="AB208" t="str">
        <f>_xlfn.XLOOKUP($H208,'[1]Baumaterialien Matériaux'!$A:$A,'[1]Baumaterialien Matériaux'!AK:AK,0,0)</f>
        <v>timber</v>
      </c>
      <c r="AC208" cm="1">
        <f t="array" ref="AC208">_xlfn.SWITCH(I208,"kg"," ",0," ",_xlfn.XLOOKUP(H208, '[1]Baumaterialien Matériaux'!$A:$A, '[1]Baumaterialien Matériaux'!$AL:$AL, "-", 0, 1))</f>
        <v>6.1</v>
      </c>
      <c r="AD208" s="622" cm="1">
        <f t="array" ref="AD208">IFERROR(_xlfn.SWITCH(I208,"kg",1,"m3",AC208,AC208)*J208/(_xlfn.XLOOKUP(AA208,Métrés!A:A,Métrés!D:D,0)),0)</f>
        <v>4.4750226340736008</v>
      </c>
      <c r="AE208" s="1092">
        <f>IFERROR(N208*$G$1/(_xlfn.XLOOKUP($AA208,Métrés!$A:$A,Métrés!$D:$D,0)),0)</f>
        <v>5.4947409064280768</v>
      </c>
      <c r="AF208" s="1092">
        <f>IFERROR(O208*$G$1/(_xlfn.XLOOKUP($AA208,Métrés!$A:$A,Métrés!$D:$D,0)),0)</f>
        <v>2.4796027054375034</v>
      </c>
      <c r="AG208" s="1092">
        <f>IFERROR(Q208*$G$1/(_xlfn.XLOOKUP($AA208,Métrés!$A:$A,Métrés!$D:$D,0)),0)</f>
        <v>0.24796027054375036</v>
      </c>
      <c r="AH208" s="1092">
        <f>IFERROR(R208*$G$1/(_xlfn.XLOOKUP($AA208,Métrés!$A:$A,Métrés!$D:$D,0)),0)</f>
        <v>3.2205490759972311E-2</v>
      </c>
      <c r="AI208" s="1092">
        <f>IFERROR(S208*$G$1/(_xlfn.XLOOKUP($AA208,Métrés!$A:$A,Métrés!$D:$D,0)),0)</f>
        <v>7.2358426088654566</v>
      </c>
      <c r="AJ208" s="1030">
        <v>0.01</v>
      </c>
      <c r="AK208" s="1030">
        <f t="shared" ref="AK208:AK214" si="563">IF(L208=60,0,T208)</f>
        <v>5.9878546822091476E-2</v>
      </c>
      <c r="AL208" s="1030">
        <f t="shared" ref="AL208:AL214" si="564">IF(L208=60,0,S208)</f>
        <v>5.9878546822091474</v>
      </c>
      <c r="AM208" s="638" t="str">
        <f t="shared" ref="AM208:AM214" si="565">IF(L208=$L$2, "Structure", IF(L208&gt;0,"Revêtement",0))</f>
        <v>Revêtement</v>
      </c>
      <c r="AN208" s="1032">
        <f t="shared" ref="AN208:AN214" si="566">IF(AM208="Structure",N208,0)</f>
        <v>0</v>
      </c>
      <c r="AO208" s="1030">
        <f t="shared" ref="AO208:AO214" si="567">IF(AM208="Structure",P208,0)</f>
        <v>0</v>
      </c>
      <c r="AP208" s="1030">
        <f t="shared" ref="AP208:AP214" si="568">IF(AM208="Structure",Q208,0)</f>
        <v>0</v>
      </c>
      <c r="AQ208" s="1030">
        <f t="shared" ref="AQ208:AQ214" si="569">IF(AM208="Structure",S208,0)</f>
        <v>0</v>
      </c>
      <c r="AR208" s="1033">
        <f t="shared" ref="AR208:AR214" si="570">IF(AM208="Structure",T208,0)</f>
        <v>0</v>
      </c>
      <c r="AS208" s="1032">
        <f t="shared" ref="AS208:AS214" si="571">IF($AM208="Insulation",N208,0)</f>
        <v>0</v>
      </c>
      <c r="AT208" s="1030">
        <f t="shared" ref="AT208:AU214" si="572">IF($AM208="Insulation",P208,0)</f>
        <v>0</v>
      </c>
      <c r="AU208" s="1030">
        <f t="shared" si="572"/>
        <v>0</v>
      </c>
      <c r="AV208" s="1030">
        <f t="shared" ref="AV208:AW214" si="573">IF($AM208="Insulation",S208,0)</f>
        <v>0</v>
      </c>
      <c r="AW208" s="1033">
        <f t="shared" si="573"/>
        <v>0</v>
      </c>
      <c r="AX208" s="1032">
        <f t="shared" ref="AX208:AX214" si="574">IF($AM208="Revêtement",N208,0)</f>
        <v>4.5470461206231683</v>
      </c>
      <c r="AY208" s="1030">
        <f t="shared" ref="AY208:AZ214" si="575">IF($AM208="Revêtement",P208,0)</f>
        <v>4.752239924197351</v>
      </c>
      <c r="AZ208" s="1030">
        <f t="shared" si="575"/>
        <v>0.20519380357418301</v>
      </c>
      <c r="BA208" s="1030">
        <f t="shared" ref="BA208:BB214" si="576">IF($AM208="Revêtement",S208,0)</f>
        <v>5.9878546822091474</v>
      </c>
      <c r="BB208" s="1033">
        <f t="shared" si="576"/>
        <v>5.9878546822091476E-2</v>
      </c>
      <c r="BC208" s="1032">
        <f t="shared" ref="BC208:BC214" si="577">IF($AM208="Installation",N208,0)</f>
        <v>0</v>
      </c>
      <c r="BD208" s="1030">
        <f t="shared" ref="BD208:BE214" si="578">IF($AM208="Installation",P208,0)</f>
        <v>0</v>
      </c>
      <c r="BE208" s="1030">
        <f t="shared" si="578"/>
        <v>0</v>
      </c>
      <c r="BF208" s="1033">
        <f t="shared" ref="BF208:BF214" si="579">IF($AM208="Installation",S208,0)</f>
        <v>0</v>
      </c>
      <c r="BG208" s="1032">
        <f t="shared" ref="BG208:BG214" si="580">IF($AM208="Structure", IF($I208="kg",$J208,0), 0)</f>
        <v>0</v>
      </c>
      <c r="BH208" s="1030">
        <f t="shared" ref="BH208:BH214" si="581">IF($AM208="Insulation", IF($I208="kg",$J208,0), 0)</f>
        <v>0</v>
      </c>
      <c r="BI208" s="1033">
        <f t="shared" ref="BI208:BI214" si="582">IF($AM208="Revêtement", IF($I208="kg",$J208,0), 0)</f>
        <v>0</v>
      </c>
      <c r="BJ208" s="1030">
        <f>_xlfn.XLOOKUP(H208, 'Baumaterialien Matériaux'!A:A, 'Baumaterialien Matériaux'!E:E, "-", 0, 1)</f>
        <v>6.1</v>
      </c>
      <c r="BK208" s="1032">
        <f t="shared" si="524"/>
        <v>0</v>
      </c>
      <c r="BL208" s="1030">
        <f t="shared" si="525"/>
        <v>0</v>
      </c>
      <c r="BM208" s="1033">
        <f t="shared" si="526"/>
        <v>0</v>
      </c>
      <c r="BN208" s="720">
        <f>IFERROR((J208*VLOOKUP(H208, 'Baumaterialien Matériaux'!$A$11:$AH$318, 32,FALSE))*($L$2/L208-1),0)/$G$1</f>
        <v>2.0762213261056388</v>
      </c>
      <c r="BO208" s="720">
        <f t="shared" ref="BO208:BO214" si="583">IFERROR((N208+Q208)*($L$2/L208-1),0)</f>
        <v>4.752239924197351</v>
      </c>
    </row>
    <row r="209" spans="2:67">
      <c r="B209" s="1103"/>
      <c r="C209" s="1099"/>
      <c r="D209" s="478"/>
      <c r="E209" s="478"/>
      <c r="F209" s="478" t="s">
        <v>2991</v>
      </c>
      <c r="G209" s="478" t="str">
        <f>_xlfn.XLOOKUP(H209, 'Baumaterialien Matériaux'!A:A, 'Baumaterialien Matériaux'!AD:AD, "-", 0, 1)</f>
        <v>Dalle en céramique/grès, 9 mm</v>
      </c>
      <c r="H209" s="892" t="s">
        <v>786</v>
      </c>
      <c r="I209" s="641" t="str">
        <f>_xlfn.XLOOKUP(H209, 'Baumaterialien Matériaux'!A:A, 'Baumaterialien Matériaux'!F:F, "-", 0, 1)</f>
        <v>m2</v>
      </c>
      <c r="J209" s="890">
        <v>98</v>
      </c>
      <c r="K209" s="478">
        <f>_xlfn.XLOOKUP(H209, 'Baumaterialien Matériaux'!A:A, 'Baumaterialien Matériaux'!E:E, "-", 0, 1)/(Métrés!D$15)*J209</f>
        <v>2.3486179900942643</v>
      </c>
      <c r="L209" s="478">
        <f t="shared" si="561"/>
        <v>30</v>
      </c>
      <c r="M209" s="648">
        <f t="shared" si="531"/>
        <v>5.0856085145765855</v>
      </c>
      <c r="N209" s="720">
        <f>IFERROR(($J209*VLOOKUP($H209, 'Baumaterialien Matériaux'!$A$11:$AD$318, 26,FALSE)),0)/$G$1</f>
        <v>1.5224433132808883</v>
      </c>
      <c r="O209" s="720">
        <f>IFERROR(($J209*VLOOKUP($H209, 'Baumaterialien Matériaux'!$A$11:$AH$318, 33,FALSE)),0)/$G$1</f>
        <v>1.1445318525374055</v>
      </c>
      <c r="P209" s="720">
        <f t="shared" ref="P209:P211" si="584">IFERROR((N209+Q209)*($L$2/L209-1),0)</f>
        <v>1.9705383310195896</v>
      </c>
      <c r="Q209" s="720">
        <f>IFERROR(($J209*VLOOKUP($H209, 'Baumaterialien Matériaux'!$A$11:$AH$318, 27,FALSE)),0)/$G$1</f>
        <v>0.44809501773870125</v>
      </c>
      <c r="R209" s="720">
        <f>IFERROR(($J209*VLOOKUP($H209, 'Baumaterialien Matériaux'!$A$11:$AH$318, 34,FALSE)),0)/$G$1</f>
        <v>4.9560388708931053E-3</v>
      </c>
      <c r="S209" s="720">
        <f>IFERROR((J209*VLOOKUP(H209, 'Baumaterialien Matériaux'!$A$11:$AD$318, 29,FALSE)),0)/$G$1</f>
        <v>0</v>
      </c>
      <c r="T209" s="720">
        <f t="shared" si="562"/>
        <v>0</v>
      </c>
      <c r="V209" s="638">
        <f t="shared" si="556"/>
        <v>0</v>
      </c>
      <c r="W209" s="638">
        <f t="shared" si="557"/>
        <v>0</v>
      </c>
      <c r="Y209" s="638" t="str">
        <f t="shared" si="518"/>
        <v>Revêtement</v>
      </c>
      <c r="Z209" s="638">
        <f t="shared" si="555"/>
        <v>30</v>
      </c>
      <c r="AA209" s="615" t="s">
        <v>3460</v>
      </c>
      <c r="AB209" t="str">
        <f>_xlfn.XLOOKUP($H209,'[1]Baumaterialien Matériaux'!$A:$A,'[1]Baumaterialien Matériaux'!AK:AK,0,0)</f>
        <v>stone</v>
      </c>
      <c r="AC209" cm="1">
        <f t="array" ref="AC209">_xlfn.SWITCH(I209,"kg"," ",0," ",_xlfn.XLOOKUP(H209, '[1]Baumaterialien Matériaux'!$A:$A, '[1]Baumaterialien Matériaux'!$AL:$AL, "-", 0, 1))</f>
        <v>18</v>
      </c>
      <c r="AD209" s="622" cm="1">
        <f t="array" ref="AD209">IFERROR(_xlfn.SWITCH(I209,"kg",1,"m3",AC209,AC209)*J209/(_xlfn.XLOOKUP(AA209,Métrés!A:A,Métrés!D:D,0)),0)</f>
        <v>2.3486179900942643</v>
      </c>
      <c r="AE209" s="1092">
        <f>IFERROR(N209*$G$1/(_xlfn.XLOOKUP($AA209,Métrés!$A:$A,Métrés!$D:$D,0)),0)</f>
        <v>1.8397507589071738</v>
      </c>
      <c r="AF209" s="1092">
        <f>IFERROR(O209*$G$1/(_xlfn.XLOOKUP($AA209,Métrés!$A:$A,Métrés!$D:$D,0)),0)</f>
        <v>1.3830750386110668</v>
      </c>
      <c r="AG209" s="1092">
        <f>IFERROR(Q209*$G$1/(_xlfn.XLOOKUP($AA209,Métrés!$A:$A,Métrés!$D:$D,0)),0)</f>
        <v>0.5414869254939555</v>
      </c>
      <c r="AH209" s="1092">
        <f>IFERROR(R209*$G$1/(_xlfn.XLOOKUP($AA209,Métrés!$A:$A,Métrés!$D:$D,0)),0)</f>
        <v>5.9889758747403753E-3</v>
      </c>
      <c r="AI209" s="1092">
        <f>IFERROR(S209*$G$1/(_xlfn.XLOOKUP($AA209,Métrés!$A:$A,Métrés!$D:$D,0)),0)</f>
        <v>0</v>
      </c>
      <c r="AJ209" s="1030"/>
      <c r="AK209" s="1030">
        <f t="shared" si="563"/>
        <v>0</v>
      </c>
      <c r="AL209" s="1030">
        <f t="shared" si="564"/>
        <v>0</v>
      </c>
      <c r="AM209" s="638" t="str">
        <f t="shared" si="565"/>
        <v>Revêtement</v>
      </c>
      <c r="AN209" s="1032">
        <f t="shared" si="566"/>
        <v>0</v>
      </c>
      <c r="AO209" s="1030">
        <f t="shared" si="567"/>
        <v>0</v>
      </c>
      <c r="AP209" s="1030">
        <f t="shared" si="568"/>
        <v>0</v>
      </c>
      <c r="AQ209" s="1030">
        <f t="shared" si="569"/>
        <v>0</v>
      </c>
      <c r="AR209" s="1033">
        <f t="shared" si="570"/>
        <v>0</v>
      </c>
      <c r="AS209" s="1032">
        <f t="shared" si="571"/>
        <v>0</v>
      </c>
      <c r="AT209" s="1030">
        <f t="shared" si="572"/>
        <v>0</v>
      </c>
      <c r="AU209" s="1030">
        <f t="shared" si="572"/>
        <v>0</v>
      </c>
      <c r="AV209" s="1030">
        <f t="shared" si="573"/>
        <v>0</v>
      </c>
      <c r="AW209" s="1033">
        <f t="shared" si="573"/>
        <v>0</v>
      </c>
      <c r="AX209" s="1032">
        <f t="shared" si="574"/>
        <v>1.5224433132808883</v>
      </c>
      <c r="AY209" s="1030">
        <f t="shared" si="575"/>
        <v>1.9705383310195896</v>
      </c>
      <c r="AZ209" s="1030">
        <f t="shared" si="575"/>
        <v>0.44809501773870125</v>
      </c>
      <c r="BA209" s="1030">
        <f t="shared" si="576"/>
        <v>0</v>
      </c>
      <c r="BB209" s="1033">
        <f t="shared" si="576"/>
        <v>0</v>
      </c>
      <c r="BC209" s="1032">
        <f t="shared" si="577"/>
        <v>0</v>
      </c>
      <c r="BD209" s="1030">
        <f t="shared" si="578"/>
        <v>0</v>
      </c>
      <c r="BE209" s="1030">
        <f t="shared" si="578"/>
        <v>0</v>
      </c>
      <c r="BF209" s="1033">
        <f t="shared" si="579"/>
        <v>0</v>
      </c>
      <c r="BG209" s="1032">
        <f t="shared" si="580"/>
        <v>0</v>
      </c>
      <c r="BH209" s="1030">
        <f t="shared" si="581"/>
        <v>0</v>
      </c>
      <c r="BI209" s="1033">
        <f t="shared" si="582"/>
        <v>0</v>
      </c>
      <c r="BJ209" s="1030">
        <f>_xlfn.XLOOKUP(H209, 'Baumaterialien Matériaux'!A:A, 'Baumaterialien Matériaux'!E:E, "-", 0, 1)</f>
        <v>18</v>
      </c>
      <c r="BK209" s="1032">
        <f t="shared" si="524"/>
        <v>0</v>
      </c>
      <c r="BL209" s="1030">
        <f t="shared" si="525"/>
        <v>0</v>
      </c>
      <c r="BM209" s="1033">
        <f t="shared" si="526"/>
        <v>0</v>
      </c>
      <c r="BN209" s="720">
        <f>IFERROR((J209*VLOOKUP(H209, 'Baumaterialien Matériaux'!$A$11:$AH$318, 32,FALSE))*($L$2/L209-1),0)/$G$1</f>
        <v>1.155329322844362</v>
      </c>
      <c r="BO209" s="720">
        <f t="shared" si="583"/>
        <v>1.9705383310195896</v>
      </c>
    </row>
    <row r="210" spans="2:67">
      <c r="B210" s="1103"/>
      <c r="C210" s="1099"/>
      <c r="D210" s="478"/>
      <c r="E210" s="478"/>
      <c r="F210" s="478" t="s">
        <v>3055</v>
      </c>
      <c r="G210" s="478" t="str">
        <f>_xlfn.XLOOKUP(H210, 'Baumaterialien Matériaux'!A:A, 'Baumaterialien Matériaux'!AD:AD, "-", 0, 1)</f>
        <v>Moquette en fibres naturelles</v>
      </c>
      <c r="H210" s="892" t="s">
        <v>1898</v>
      </c>
      <c r="I210" s="641" t="str">
        <f>_xlfn.XLOOKUP(H210, 'Baumaterialien Matériaux'!A:A, 'Baumaterialien Matériaux'!F:F, "-", 0, 1)</f>
        <v>m2</v>
      </c>
      <c r="J210" s="890">
        <v>7</v>
      </c>
      <c r="K210" s="478">
        <f>_xlfn.XLOOKUP(H210, 'Baumaterialien Matériaux'!A:A, 'Baumaterialien Matériaux'!E:E, "-", 0, 1)/(Métrés!D$15)*J210</f>
        <v>2.5163764179581407E-2</v>
      </c>
      <c r="L210" s="478">
        <f t="shared" si="561"/>
        <v>30</v>
      </c>
      <c r="M210" s="648">
        <f t="shared" si="531"/>
        <v>9.7254357550516743E-2</v>
      </c>
      <c r="N210" s="720">
        <f>IFERROR(($J210*VLOOKUP($H210, 'Baumaterialien Matériaux'!$A$11:$AD$318, 26,FALSE)),0)/$G$1</f>
        <v>2.4911306493907142E-2</v>
      </c>
      <c r="O210" s="720">
        <f>IFERROR(($J210*VLOOKUP($H210, 'Baumaterialien Matériaux'!$A$11:$AH$318, 33,FALSE)),0)/$G$1</f>
        <v>1.8741323461360482E-2</v>
      </c>
      <c r="P210" s="720">
        <f t="shared" si="584"/>
        <v>3.9256517044578131E-2</v>
      </c>
      <c r="Q210" s="720">
        <f>IFERROR(($J210*VLOOKUP($H210, 'Baumaterialien Matériaux'!$A$11:$AH$318, 27,FALSE)),0)/$G$1</f>
        <v>1.4345210550670987E-2</v>
      </c>
      <c r="R210" s="720">
        <f>IFERROR(($J210*VLOOKUP($H210, 'Baumaterialien Matériaux'!$A$11:$AH$318, 34,FALSE)),0)/$G$1</f>
        <v>8.7922258213789899E-3</v>
      </c>
      <c r="S210" s="720">
        <f>IFERROR((J210*VLOOKUP(H210, 'Baumaterialien Matériaux'!$A$11:$AD$318, 29,FALSE)),0)/$G$1</f>
        <v>2.8561879788163914E-2</v>
      </c>
      <c r="T210" s="720">
        <f t="shared" si="562"/>
        <v>2.8561879788163914E-4</v>
      </c>
      <c r="V210" s="638">
        <f t="shared" si="556"/>
        <v>2.8561879788163914E-4</v>
      </c>
      <c r="W210" s="638">
        <f t="shared" si="557"/>
        <v>2.8561879788163914E-2</v>
      </c>
      <c r="Y210" s="638" t="str">
        <f t="shared" si="518"/>
        <v>Revêtement</v>
      </c>
      <c r="Z210" s="638">
        <f t="shared" si="555"/>
        <v>30</v>
      </c>
      <c r="AA210" s="615" t="s">
        <v>3460</v>
      </c>
      <c r="AB210" t="str">
        <f>_xlfn.XLOOKUP($H210,'[1]Baumaterialien Matériaux'!$A:$A,'[1]Baumaterialien Matériaux'!AK:AK,0,0)</f>
        <v>vegetal_fiber</v>
      </c>
      <c r="AC210" cm="1">
        <f t="array" ref="AC210">_xlfn.SWITCH(I210,"kg"," ",0," ",_xlfn.XLOOKUP(H210, '[1]Baumaterialien Matériaux'!$A:$A, '[1]Baumaterialien Matériaux'!$AL:$AL, "-", 0, 1))</f>
        <v>2.7</v>
      </c>
      <c r="AD210" s="622" cm="1">
        <f t="array" ref="AD210">IFERROR(_xlfn.SWITCH(I210,"kg",1,"m3",AC210,AC210)*J210/(_xlfn.XLOOKUP(AA210,Métrés!A:A,Métrés!D:D,0)),0)</f>
        <v>2.5163764179581407E-2</v>
      </c>
      <c r="AE210" s="1092">
        <f>IFERROR(N210*$G$1/(_xlfn.XLOOKUP($AA210,Métrés!$A:$A,Métrés!$D:$D,0)),0)</f>
        <v>3.0103317888906644E-2</v>
      </c>
      <c r="AF210" s="1092">
        <f>IFERROR(O210*$G$1/(_xlfn.XLOOKUP($AA210,Métrés!$A:$A,Métrés!$D:$D,0)),0)</f>
        <v>2.2647387761623266E-2</v>
      </c>
      <c r="AG210" s="1092">
        <f>IFERROR(Q210*$G$1/(_xlfn.XLOOKUP($AA210,Métrés!$A:$A,Métrés!$D:$D,0)),0)</f>
        <v>1.7335037545933858E-2</v>
      </c>
      <c r="AH210" s="1092">
        <f>IFERROR(R210*$G$1/(_xlfn.XLOOKUP($AA210,Métrés!$A:$A,Métrés!$D:$D,0)),0)</f>
        <v>1.0624700431378814E-2</v>
      </c>
      <c r="AI210" s="1092">
        <f>IFERROR(S210*$G$1/(_xlfn.XLOOKUP($AA210,Métrés!$A:$A,Métrés!$D:$D,0)),0)</f>
        <v>3.4514743214215972E-2</v>
      </c>
      <c r="AJ210" s="1030">
        <v>0.01</v>
      </c>
      <c r="AK210" s="1030">
        <f t="shared" si="563"/>
        <v>2.8561879788163914E-4</v>
      </c>
      <c r="AL210" s="1030">
        <f t="shared" si="564"/>
        <v>2.8561879788163914E-2</v>
      </c>
      <c r="AM210" s="638" t="str">
        <f t="shared" si="565"/>
        <v>Revêtement</v>
      </c>
      <c r="AN210" s="1032">
        <f t="shared" si="566"/>
        <v>0</v>
      </c>
      <c r="AO210" s="1030">
        <f t="shared" si="567"/>
        <v>0</v>
      </c>
      <c r="AP210" s="1030">
        <f t="shared" si="568"/>
        <v>0</v>
      </c>
      <c r="AQ210" s="1030">
        <f t="shared" si="569"/>
        <v>0</v>
      </c>
      <c r="AR210" s="1033">
        <f t="shared" si="570"/>
        <v>0</v>
      </c>
      <c r="AS210" s="1032">
        <f t="shared" si="571"/>
        <v>0</v>
      </c>
      <c r="AT210" s="1030">
        <f t="shared" si="572"/>
        <v>0</v>
      </c>
      <c r="AU210" s="1030">
        <f t="shared" si="572"/>
        <v>0</v>
      </c>
      <c r="AV210" s="1030">
        <f t="shared" si="573"/>
        <v>0</v>
      </c>
      <c r="AW210" s="1033">
        <f t="shared" si="573"/>
        <v>0</v>
      </c>
      <c r="AX210" s="1032">
        <f t="shared" si="574"/>
        <v>2.4911306493907142E-2</v>
      </c>
      <c r="AY210" s="1030">
        <f t="shared" si="575"/>
        <v>3.9256517044578131E-2</v>
      </c>
      <c r="AZ210" s="1030">
        <f t="shared" si="575"/>
        <v>1.4345210550670987E-2</v>
      </c>
      <c r="BA210" s="1030">
        <f t="shared" si="576"/>
        <v>2.8561879788163914E-2</v>
      </c>
      <c r="BB210" s="1033">
        <f t="shared" si="576"/>
        <v>2.8561879788163914E-4</v>
      </c>
      <c r="BC210" s="1032">
        <f t="shared" si="577"/>
        <v>0</v>
      </c>
      <c r="BD210" s="1030">
        <f t="shared" si="578"/>
        <v>0</v>
      </c>
      <c r="BE210" s="1030">
        <f t="shared" si="578"/>
        <v>0</v>
      </c>
      <c r="BF210" s="1033">
        <f t="shared" si="579"/>
        <v>0</v>
      </c>
      <c r="BG210" s="1032">
        <f t="shared" si="580"/>
        <v>0</v>
      </c>
      <c r="BH210" s="1030">
        <f t="shared" si="581"/>
        <v>0</v>
      </c>
      <c r="BI210" s="1033">
        <f t="shared" si="582"/>
        <v>0</v>
      </c>
      <c r="BJ210" s="1030">
        <f>_xlfn.XLOOKUP(H210, 'Baumaterialien Matériaux'!A:A, 'Baumaterialien Matériaux'!E:E, "-", 0, 1)</f>
        <v>2.7</v>
      </c>
      <c r="BK210" s="1032">
        <f t="shared" si="524"/>
        <v>0</v>
      </c>
      <c r="BL210" s="1030">
        <f t="shared" si="525"/>
        <v>0</v>
      </c>
      <c r="BM210" s="1033">
        <f t="shared" si="526"/>
        <v>0</v>
      </c>
      <c r="BN210" s="720">
        <f>IFERROR((J210*VLOOKUP(H210, 'Baumaterialien Matériaux'!$A$11:$AH$318, 32,FALSE))*($L$2/L210-1),0)/$G$1</f>
        <v>2.745642449483264E-2</v>
      </c>
      <c r="BO210" s="720">
        <f t="shared" si="583"/>
        <v>3.9256517044578131E-2</v>
      </c>
    </row>
    <row r="211" spans="2:67">
      <c r="B211" s="1103"/>
      <c r="C211" s="1099"/>
      <c r="D211" s="478"/>
      <c r="E211" s="478"/>
      <c r="F211" s="478" t="s">
        <v>3405</v>
      </c>
      <c r="G211" s="478" t="str">
        <f>_xlfn.XLOOKUP(H211, 'Baumaterialien Matériaux'!A:A, 'Baumaterialien Matériaux'!AD:AD, "-", 0, 1)</f>
        <v>Dalle en céramique/grès, 9 mm</v>
      </c>
      <c r="H211" s="892" t="s">
        <v>786</v>
      </c>
      <c r="I211" s="641" t="str">
        <f>_xlfn.XLOOKUP(H211, 'Baumaterialien Matériaux'!A:A, 'Baumaterialien Matériaux'!F:F, "-", 0, 1)</f>
        <v>m2</v>
      </c>
      <c r="J211" s="649">
        <v>46</v>
      </c>
      <c r="K211" s="478">
        <f>_xlfn.XLOOKUP(H211, 'Baumaterialien Matériaux'!A:A, 'Baumaterialien Matériaux'!E:E, "-", 0, 1)/(Métrés!D$15)*J211</f>
        <v>1.1024125259626139</v>
      </c>
      <c r="L211" s="478">
        <v>30</v>
      </c>
      <c r="M211" s="648">
        <f t="shared" si="531"/>
        <v>2.3871223639849277</v>
      </c>
      <c r="N211" s="720">
        <f>IFERROR(($J211*VLOOKUP($H211, 'Baumaterialien Matériaux'!$A$11:$AD$318, 26,FALSE)),0)/$G$1</f>
        <v>0.71461624909102928</v>
      </c>
      <c r="O211" s="720">
        <f>IFERROR(($J211*VLOOKUP($H211, 'Baumaterialien Matériaux'!$A$11:$AH$318, 33,FALSE)),0)/$G$1</f>
        <v>0.53722923690531277</v>
      </c>
      <c r="P211" s="720">
        <f t="shared" si="584"/>
        <v>0.92494656353980742</v>
      </c>
      <c r="Q211" s="720">
        <f>IFERROR(($J211*VLOOKUP($H211, 'Baumaterialien Matériaux'!$A$11:$AH$318, 27,FALSE)),0)/$G$1</f>
        <v>0.21033031444877812</v>
      </c>
      <c r="R211" s="720">
        <f>IFERROR(($J211*VLOOKUP($H211, 'Baumaterialien Matériaux'!$A$11:$AH$318, 34,FALSE)),0)/$G$1</f>
        <v>2.3263039598069679E-3</v>
      </c>
      <c r="S211" s="720">
        <f>IFERROR((J211*VLOOKUP(H211, 'Baumaterialien Matériaux'!$A$11:$AD$318, 29,FALSE)),0)/$G$1</f>
        <v>0</v>
      </c>
      <c r="T211" s="720">
        <f t="shared" si="562"/>
        <v>0</v>
      </c>
      <c r="V211" s="638">
        <f t="shared" si="556"/>
        <v>0</v>
      </c>
      <c r="W211" s="638">
        <f t="shared" si="557"/>
        <v>0</v>
      </c>
      <c r="Y211" s="638" t="str">
        <f t="shared" si="518"/>
        <v>Revêtement</v>
      </c>
      <c r="Z211" s="638">
        <f t="shared" si="555"/>
        <v>30</v>
      </c>
      <c r="AA211" s="615" t="s">
        <v>3460</v>
      </c>
      <c r="AB211" t="str">
        <f>_xlfn.XLOOKUP($H211,'[1]Baumaterialien Matériaux'!$A:$A,'[1]Baumaterialien Matériaux'!AK:AK,0,0)</f>
        <v>stone</v>
      </c>
      <c r="AC211" cm="1">
        <f t="array" ref="AC211">_xlfn.SWITCH(I211,"kg"," ",0," ",_xlfn.XLOOKUP(H211, '[1]Baumaterialien Matériaux'!$A:$A, '[1]Baumaterialien Matériaux'!$AL:$AL, "-", 0, 1))</f>
        <v>18</v>
      </c>
      <c r="AD211" s="622" cm="1">
        <f t="array" ref="AD211">IFERROR(_xlfn.SWITCH(I211,"kg",1,"m3",AC211,AC211)*J211/(_xlfn.XLOOKUP(AA211,Métrés!A:A,Métrés!D:D,0)),0)</f>
        <v>1.1024125259626139</v>
      </c>
      <c r="AE211" s="1092">
        <f>IFERROR(N211*$G$1/(_xlfn.XLOOKUP($AA211,Métrés!$A:$A,Métrés!$D:$D,0)),0)</f>
        <v>0.86355647867071428</v>
      </c>
      <c r="AF211" s="1092">
        <f>IFERROR(O211*$G$1/(_xlfn.XLOOKUP($AA211,Métrés!$A:$A,Métrés!$D:$D,0)),0)</f>
        <v>0.64919848751131704</v>
      </c>
      <c r="AG211" s="1092">
        <f>IFERROR(Q211*$G$1/(_xlfn.XLOOKUP($AA211,Métrés!$A:$A,Métrés!$D:$D,0)),0)</f>
        <v>0.25416733237471378</v>
      </c>
      <c r="AH211" s="1092">
        <f>IFERROR(R211*$G$1/(_xlfn.XLOOKUP($AA211,Métrés!$A:$A,Métrés!$D:$D,0)),0)</f>
        <v>2.8111519412046659E-3</v>
      </c>
      <c r="AI211" s="1092">
        <f>IFERROR(S211*$G$1/(_xlfn.XLOOKUP($AA211,Métrés!$A:$A,Métrés!$D:$D,0)),0)</f>
        <v>0</v>
      </c>
      <c r="AJ211" s="1030"/>
      <c r="AK211" s="1030">
        <f t="shared" si="563"/>
        <v>0</v>
      </c>
      <c r="AL211" s="1030">
        <f t="shared" si="564"/>
        <v>0</v>
      </c>
      <c r="AM211" s="638" t="str">
        <f t="shared" si="565"/>
        <v>Revêtement</v>
      </c>
      <c r="AN211" s="1032">
        <f t="shared" si="566"/>
        <v>0</v>
      </c>
      <c r="AO211" s="1030">
        <f t="shared" si="567"/>
        <v>0</v>
      </c>
      <c r="AP211" s="1030">
        <f t="shared" si="568"/>
        <v>0</v>
      </c>
      <c r="AQ211" s="1030">
        <f t="shared" si="569"/>
        <v>0</v>
      </c>
      <c r="AR211" s="1033">
        <f t="shared" si="570"/>
        <v>0</v>
      </c>
      <c r="AS211" s="1032">
        <f t="shared" si="571"/>
        <v>0</v>
      </c>
      <c r="AT211" s="1030">
        <f t="shared" si="572"/>
        <v>0</v>
      </c>
      <c r="AU211" s="1030">
        <f t="shared" si="572"/>
        <v>0</v>
      </c>
      <c r="AV211" s="1030">
        <f t="shared" si="573"/>
        <v>0</v>
      </c>
      <c r="AW211" s="1033">
        <f t="shared" si="573"/>
        <v>0</v>
      </c>
      <c r="AX211" s="1032">
        <f t="shared" si="574"/>
        <v>0.71461624909102928</v>
      </c>
      <c r="AY211" s="1030">
        <f t="shared" si="575"/>
        <v>0.92494656353980742</v>
      </c>
      <c r="AZ211" s="1030">
        <f t="shared" si="575"/>
        <v>0.21033031444877812</v>
      </c>
      <c r="BA211" s="1030">
        <f t="shared" si="576"/>
        <v>0</v>
      </c>
      <c r="BB211" s="1033">
        <f t="shared" si="576"/>
        <v>0</v>
      </c>
      <c r="BC211" s="1032">
        <f t="shared" si="577"/>
        <v>0</v>
      </c>
      <c r="BD211" s="1030">
        <f t="shared" si="578"/>
        <v>0</v>
      </c>
      <c r="BE211" s="1030">
        <f t="shared" si="578"/>
        <v>0</v>
      </c>
      <c r="BF211" s="1033">
        <f t="shared" si="579"/>
        <v>0</v>
      </c>
      <c r="BG211" s="1032">
        <f t="shared" si="580"/>
        <v>0</v>
      </c>
      <c r="BH211" s="1030">
        <f t="shared" si="581"/>
        <v>0</v>
      </c>
      <c r="BI211" s="1033">
        <f t="shared" si="582"/>
        <v>0</v>
      </c>
      <c r="BJ211" s="1030">
        <f>_xlfn.XLOOKUP(H211, 'Baumaterialien Matériaux'!A:A, 'Baumaterialien Matériaux'!E:E, "-", 0, 1)</f>
        <v>18</v>
      </c>
      <c r="BK211" s="1032">
        <f t="shared" si="524"/>
        <v>0</v>
      </c>
      <c r="BL211" s="1030">
        <f t="shared" si="525"/>
        <v>0</v>
      </c>
      <c r="BM211" s="1033">
        <f t="shared" si="526"/>
        <v>0</v>
      </c>
      <c r="BN211" s="720">
        <f>IFERROR((J211*VLOOKUP(H211, 'Baumaterialien Matériaux'!$A$11:$AH$318, 32,FALSE))*($L$2/L211-1),0)/$G$1</f>
        <v>0.54229743725347612</v>
      </c>
      <c r="BO211" s="720">
        <f t="shared" si="583"/>
        <v>0.92494656353980742</v>
      </c>
    </row>
    <row r="212" spans="2:67">
      <c r="B212" s="1103"/>
      <c r="C212" s="1099"/>
      <c r="D212" s="478"/>
      <c r="E212" s="478"/>
      <c r="F212" s="478"/>
      <c r="G212" s="478"/>
      <c r="H212" s="478"/>
      <c r="I212" s="641"/>
      <c r="J212" s="649"/>
      <c r="K212" s="478"/>
      <c r="L212" s="478"/>
      <c r="M212" s="648"/>
      <c r="N212" s="720"/>
      <c r="O212" s="720"/>
      <c r="P212" s="720"/>
      <c r="Q212" s="720"/>
      <c r="R212" s="720"/>
      <c r="S212" s="720"/>
      <c r="T212" s="720">
        <f t="shared" si="562"/>
        <v>0</v>
      </c>
      <c r="V212" s="638">
        <f t="shared" si="556"/>
        <v>0</v>
      </c>
      <c r="W212" s="638">
        <f t="shared" si="557"/>
        <v>0</v>
      </c>
      <c r="Y212" s="638">
        <f t="shared" si="518"/>
        <v>0</v>
      </c>
      <c r="Z212" s="638">
        <f t="shared" si="555"/>
        <v>0</v>
      </c>
      <c r="AA212" s="615" t="s">
        <v>3460</v>
      </c>
      <c r="AB212">
        <f>_xlfn.XLOOKUP($H212,'[1]Baumaterialien Matériaux'!$A:$A,'[1]Baumaterialien Matériaux'!AK:AK,0,0)</f>
        <v>0</v>
      </c>
      <c r="AC212" t="str" cm="1">
        <f t="array" ref="AC212">_xlfn.SWITCH(I212,"kg"," ",0," ",_xlfn.XLOOKUP(H212, '[1]Baumaterialien Matériaux'!$A:$A, '[1]Baumaterialien Matériaux'!$AL:$AL, "-", 0, 1))</f>
        <v xml:space="preserve"> </v>
      </c>
      <c r="AD212" s="622" cm="1">
        <f t="array" ref="AD212">IFERROR(_xlfn.SWITCH(I212,"kg",1,"m3",AC212,AC212)*J212/(_xlfn.XLOOKUP(AA212,Métrés!A:A,Métrés!D:D,0)),0)</f>
        <v>0</v>
      </c>
      <c r="AE212" s="1092">
        <f>IFERROR(N212*$G$1/(_xlfn.XLOOKUP($AA212,Métrés!$A:$A,Métrés!$D:$D,0)),0)</f>
        <v>0</v>
      </c>
      <c r="AF212" s="1092">
        <f>IFERROR(O212*$G$1/(_xlfn.XLOOKUP($AA212,Métrés!$A:$A,Métrés!$D:$D,0)),0)</f>
        <v>0</v>
      </c>
      <c r="AG212" s="1092">
        <f>IFERROR(Q212*$G$1/(_xlfn.XLOOKUP($AA212,Métrés!$A:$A,Métrés!$D:$D,0)),0)</f>
        <v>0</v>
      </c>
      <c r="AH212" s="1092">
        <f>IFERROR(R212*$G$1/(_xlfn.XLOOKUP($AA212,Métrés!$A:$A,Métrés!$D:$D,0)),0)</f>
        <v>0</v>
      </c>
      <c r="AI212" s="1092">
        <f>IFERROR(S212*$G$1/(_xlfn.XLOOKUP($AA212,Métrés!$A:$A,Métrés!$D:$D,0)),0)</f>
        <v>0</v>
      </c>
      <c r="AJ212" s="1030"/>
      <c r="AK212" s="1030">
        <f t="shared" si="563"/>
        <v>0</v>
      </c>
      <c r="AL212" s="1030">
        <f t="shared" si="564"/>
        <v>0</v>
      </c>
      <c r="AM212" s="638">
        <f t="shared" si="565"/>
        <v>0</v>
      </c>
      <c r="AN212" s="1032">
        <f t="shared" si="566"/>
        <v>0</v>
      </c>
      <c r="AO212" s="1030">
        <f t="shared" si="567"/>
        <v>0</v>
      </c>
      <c r="AP212" s="1030">
        <f t="shared" si="568"/>
        <v>0</v>
      </c>
      <c r="AQ212" s="1030">
        <f t="shared" si="569"/>
        <v>0</v>
      </c>
      <c r="AR212" s="1033">
        <f t="shared" si="570"/>
        <v>0</v>
      </c>
      <c r="AS212" s="1032">
        <f t="shared" si="571"/>
        <v>0</v>
      </c>
      <c r="AT212" s="1030">
        <f t="shared" si="572"/>
        <v>0</v>
      </c>
      <c r="AU212" s="1030">
        <f t="shared" si="572"/>
        <v>0</v>
      </c>
      <c r="AV212" s="1030">
        <f t="shared" si="573"/>
        <v>0</v>
      </c>
      <c r="AW212" s="1033">
        <f t="shared" si="573"/>
        <v>0</v>
      </c>
      <c r="AX212" s="1032">
        <f t="shared" si="574"/>
        <v>0</v>
      </c>
      <c r="AY212" s="1030">
        <f t="shared" si="575"/>
        <v>0</v>
      </c>
      <c r="AZ212" s="1030">
        <f t="shared" si="575"/>
        <v>0</v>
      </c>
      <c r="BA212" s="1030">
        <f t="shared" si="576"/>
        <v>0</v>
      </c>
      <c r="BB212" s="1033">
        <f t="shared" si="576"/>
        <v>0</v>
      </c>
      <c r="BC212" s="1032">
        <f t="shared" si="577"/>
        <v>0</v>
      </c>
      <c r="BD212" s="1030">
        <f t="shared" si="578"/>
        <v>0</v>
      </c>
      <c r="BE212" s="1030">
        <f t="shared" si="578"/>
        <v>0</v>
      </c>
      <c r="BF212" s="1033">
        <f t="shared" si="579"/>
        <v>0</v>
      </c>
      <c r="BG212" s="1032">
        <f t="shared" si="580"/>
        <v>0</v>
      </c>
      <c r="BH212" s="1030">
        <f t="shared" si="581"/>
        <v>0</v>
      </c>
      <c r="BI212" s="1033">
        <f t="shared" si="582"/>
        <v>0</v>
      </c>
      <c r="BJ212" s="1030">
        <f>_xlfn.XLOOKUP(H212, 'Baumaterialien Matériaux'!A:A, 'Baumaterialien Matériaux'!E:E, "-", 0, 1)</f>
        <v>0</v>
      </c>
      <c r="BK212" s="1032">
        <f t="shared" si="524"/>
        <v>0</v>
      </c>
      <c r="BL212" s="1030">
        <f t="shared" si="525"/>
        <v>0</v>
      </c>
      <c r="BM212" s="1033">
        <f t="shared" si="526"/>
        <v>0</v>
      </c>
      <c r="BN212" s="720">
        <f>IFERROR((J212*VLOOKUP(H212, 'Baumaterialien Matériaux'!$A$11:$AH$318, 32,FALSE))*($L$2/L212-1),0)/$G$1</f>
        <v>0</v>
      </c>
      <c r="BO212" s="720">
        <f t="shared" si="583"/>
        <v>0</v>
      </c>
    </row>
    <row r="213" spans="2:67">
      <c r="B213" s="1103"/>
      <c r="C213" s="1099"/>
      <c r="D213" s="478"/>
      <c r="E213" s="478"/>
      <c r="F213" s="478"/>
      <c r="G213" s="478"/>
      <c r="H213" s="478"/>
      <c r="I213" s="641"/>
      <c r="J213" s="649"/>
      <c r="K213" s="478"/>
      <c r="L213" s="478"/>
      <c r="M213" s="648"/>
      <c r="N213" s="720"/>
      <c r="O213" s="720"/>
      <c r="P213" s="720"/>
      <c r="Q213" s="720"/>
      <c r="R213" s="720"/>
      <c r="S213" s="720"/>
      <c r="T213" s="720">
        <f t="shared" si="562"/>
        <v>0</v>
      </c>
      <c r="V213" s="638">
        <f t="shared" si="556"/>
        <v>0</v>
      </c>
      <c r="W213" s="638">
        <f t="shared" si="557"/>
        <v>0</v>
      </c>
      <c r="Y213" s="638">
        <f t="shared" si="518"/>
        <v>0</v>
      </c>
      <c r="Z213" s="638">
        <f t="shared" si="555"/>
        <v>0</v>
      </c>
      <c r="AA213" s="615" t="s">
        <v>3460</v>
      </c>
      <c r="AB213">
        <f>_xlfn.XLOOKUP($H213,'[1]Baumaterialien Matériaux'!$A:$A,'[1]Baumaterialien Matériaux'!AK:AK,0,0)</f>
        <v>0</v>
      </c>
      <c r="AC213" t="str" cm="1">
        <f t="array" ref="AC213">_xlfn.SWITCH(I213,"kg"," ",0," ",_xlfn.XLOOKUP(H213, '[1]Baumaterialien Matériaux'!$A:$A, '[1]Baumaterialien Matériaux'!$AL:$AL, "-", 0, 1))</f>
        <v xml:space="preserve"> </v>
      </c>
      <c r="AD213" s="622" cm="1">
        <f t="array" ref="AD213">IFERROR(_xlfn.SWITCH(I213,"kg",1,"m3",AC213,AC213)*J213/(_xlfn.XLOOKUP(AA213,Métrés!A:A,Métrés!D:D,0)),0)</f>
        <v>0</v>
      </c>
      <c r="AE213" s="1092">
        <f>IFERROR(N213*$G$1/(_xlfn.XLOOKUP($AA213,Métrés!$A:$A,Métrés!$D:$D,0)),0)</f>
        <v>0</v>
      </c>
      <c r="AF213" s="1092">
        <f>IFERROR(O213*$G$1/(_xlfn.XLOOKUP($AA213,Métrés!$A:$A,Métrés!$D:$D,0)),0)</f>
        <v>0</v>
      </c>
      <c r="AG213" s="1092">
        <f>IFERROR(Q213*$G$1/(_xlfn.XLOOKUP($AA213,Métrés!$A:$A,Métrés!$D:$D,0)),0)</f>
        <v>0</v>
      </c>
      <c r="AH213" s="1092">
        <f>IFERROR(R213*$G$1/(_xlfn.XLOOKUP($AA213,Métrés!$A:$A,Métrés!$D:$D,0)),0)</f>
        <v>0</v>
      </c>
      <c r="AI213" s="1092">
        <f>IFERROR(S213*$G$1/(_xlfn.XLOOKUP($AA213,Métrés!$A:$A,Métrés!$D:$D,0)),0)</f>
        <v>0</v>
      </c>
      <c r="AJ213" s="1030"/>
      <c r="AK213" s="1030">
        <f t="shared" si="563"/>
        <v>0</v>
      </c>
      <c r="AL213" s="1030">
        <f t="shared" si="564"/>
        <v>0</v>
      </c>
      <c r="AM213" s="638">
        <f t="shared" si="565"/>
        <v>0</v>
      </c>
      <c r="AN213" s="1032">
        <f t="shared" si="566"/>
        <v>0</v>
      </c>
      <c r="AO213" s="1030">
        <f t="shared" si="567"/>
        <v>0</v>
      </c>
      <c r="AP213" s="1030">
        <f t="shared" si="568"/>
        <v>0</v>
      </c>
      <c r="AQ213" s="1030">
        <f t="shared" si="569"/>
        <v>0</v>
      </c>
      <c r="AR213" s="1033">
        <f t="shared" si="570"/>
        <v>0</v>
      </c>
      <c r="AS213" s="1032">
        <f t="shared" si="571"/>
        <v>0</v>
      </c>
      <c r="AT213" s="1030">
        <f t="shared" si="572"/>
        <v>0</v>
      </c>
      <c r="AU213" s="1030">
        <f t="shared" si="572"/>
        <v>0</v>
      </c>
      <c r="AV213" s="1030">
        <f t="shared" si="573"/>
        <v>0</v>
      </c>
      <c r="AW213" s="1033">
        <f t="shared" si="573"/>
        <v>0</v>
      </c>
      <c r="AX213" s="1032">
        <f t="shared" si="574"/>
        <v>0</v>
      </c>
      <c r="AY213" s="1030">
        <f t="shared" si="575"/>
        <v>0</v>
      </c>
      <c r="AZ213" s="1030">
        <f t="shared" si="575"/>
        <v>0</v>
      </c>
      <c r="BA213" s="1030">
        <f t="shared" si="576"/>
        <v>0</v>
      </c>
      <c r="BB213" s="1033">
        <f t="shared" si="576"/>
        <v>0</v>
      </c>
      <c r="BC213" s="1032">
        <f t="shared" si="577"/>
        <v>0</v>
      </c>
      <c r="BD213" s="1030">
        <f t="shared" si="578"/>
        <v>0</v>
      </c>
      <c r="BE213" s="1030">
        <f t="shared" si="578"/>
        <v>0</v>
      </c>
      <c r="BF213" s="1033">
        <f t="shared" si="579"/>
        <v>0</v>
      </c>
      <c r="BG213" s="1032">
        <f t="shared" si="580"/>
        <v>0</v>
      </c>
      <c r="BH213" s="1030">
        <f t="shared" si="581"/>
        <v>0</v>
      </c>
      <c r="BI213" s="1033">
        <f t="shared" si="582"/>
        <v>0</v>
      </c>
      <c r="BJ213" s="1030">
        <f>_xlfn.XLOOKUP(H213, 'Baumaterialien Matériaux'!A:A, 'Baumaterialien Matériaux'!E:E, "-", 0, 1)</f>
        <v>0</v>
      </c>
      <c r="BK213" s="1032">
        <f t="shared" si="524"/>
        <v>0</v>
      </c>
      <c r="BL213" s="1030">
        <f t="shared" si="525"/>
        <v>0</v>
      </c>
      <c r="BM213" s="1033">
        <f t="shared" si="526"/>
        <v>0</v>
      </c>
      <c r="BN213" s="720">
        <f>IFERROR((J213*VLOOKUP(H213, 'Baumaterialien Matériaux'!$A$11:$AH$318, 32,FALSE))*($L$2/L213-1),0)/$G$1</f>
        <v>0</v>
      </c>
      <c r="BO213" s="720">
        <f t="shared" si="583"/>
        <v>0</v>
      </c>
    </row>
    <row r="214" spans="2:67">
      <c r="B214" s="1103"/>
      <c r="C214" s="1099"/>
      <c r="D214" s="478"/>
      <c r="E214" s="478"/>
      <c r="F214" s="478"/>
      <c r="G214" s="478"/>
      <c r="H214" s="478"/>
      <c r="I214" s="641"/>
      <c r="J214" s="649"/>
      <c r="K214" s="478"/>
      <c r="L214" s="478"/>
      <c r="M214" s="648"/>
      <c r="N214" s="720"/>
      <c r="O214" s="720"/>
      <c r="P214" s="720"/>
      <c r="Q214" s="720"/>
      <c r="R214" s="720"/>
      <c r="S214" s="720"/>
      <c r="T214" s="720">
        <f t="shared" si="562"/>
        <v>0</v>
      </c>
      <c r="V214" s="638">
        <f t="shared" si="556"/>
        <v>0</v>
      </c>
      <c r="W214" s="638">
        <f t="shared" si="557"/>
        <v>0</v>
      </c>
      <c r="Y214" s="638">
        <f t="shared" si="518"/>
        <v>0</v>
      </c>
      <c r="Z214" s="638">
        <f t="shared" si="555"/>
        <v>0</v>
      </c>
      <c r="AA214" s="615" t="s">
        <v>3460</v>
      </c>
      <c r="AB214">
        <f>_xlfn.XLOOKUP($H214,'[1]Baumaterialien Matériaux'!$A:$A,'[1]Baumaterialien Matériaux'!AK:AK,0,0)</f>
        <v>0</v>
      </c>
      <c r="AC214" t="str" cm="1">
        <f t="array" ref="AC214">_xlfn.SWITCH(I214,"kg"," ",0," ",_xlfn.XLOOKUP(H214, '[1]Baumaterialien Matériaux'!$A:$A, '[1]Baumaterialien Matériaux'!$AL:$AL, "-", 0, 1))</f>
        <v xml:space="preserve"> </v>
      </c>
      <c r="AD214" s="622" cm="1">
        <f t="array" ref="AD214">IFERROR(_xlfn.SWITCH(I214,"kg",1,"m3",AC214,AC214)*J214/(_xlfn.XLOOKUP(AA214,Métrés!A:A,Métrés!D:D,0)),0)</f>
        <v>0</v>
      </c>
      <c r="AE214" s="1092">
        <f>IFERROR(N214*$G$1/(_xlfn.XLOOKUP($AA214,Métrés!$A:$A,Métrés!$D:$D,0)),0)</f>
        <v>0</v>
      </c>
      <c r="AF214" s="1092">
        <f>IFERROR(O214*$G$1/(_xlfn.XLOOKUP($AA214,Métrés!$A:$A,Métrés!$D:$D,0)),0)</f>
        <v>0</v>
      </c>
      <c r="AG214" s="1092">
        <f>IFERROR(Q214*$G$1/(_xlfn.XLOOKUP($AA214,Métrés!$A:$A,Métrés!$D:$D,0)),0)</f>
        <v>0</v>
      </c>
      <c r="AH214" s="1092">
        <f>IFERROR(R214*$G$1/(_xlfn.XLOOKUP($AA214,Métrés!$A:$A,Métrés!$D:$D,0)),0)</f>
        <v>0</v>
      </c>
      <c r="AI214" s="1092">
        <f>IFERROR(S214*$G$1/(_xlfn.XLOOKUP($AA214,Métrés!$A:$A,Métrés!$D:$D,0)),0)</f>
        <v>0</v>
      </c>
      <c r="AJ214" s="1030"/>
      <c r="AK214" s="1030">
        <f t="shared" si="563"/>
        <v>0</v>
      </c>
      <c r="AL214" s="1030">
        <f t="shared" si="564"/>
        <v>0</v>
      </c>
      <c r="AM214" s="638">
        <f t="shared" si="565"/>
        <v>0</v>
      </c>
      <c r="AN214" s="1032">
        <f t="shared" si="566"/>
        <v>0</v>
      </c>
      <c r="AO214" s="1030">
        <f t="shared" si="567"/>
        <v>0</v>
      </c>
      <c r="AP214" s="1030">
        <f t="shared" si="568"/>
        <v>0</v>
      </c>
      <c r="AQ214" s="1030">
        <f t="shared" si="569"/>
        <v>0</v>
      </c>
      <c r="AR214" s="1033">
        <f t="shared" si="570"/>
        <v>0</v>
      </c>
      <c r="AS214" s="1032">
        <f t="shared" si="571"/>
        <v>0</v>
      </c>
      <c r="AT214" s="1030">
        <f t="shared" si="572"/>
        <v>0</v>
      </c>
      <c r="AU214" s="1030">
        <f t="shared" si="572"/>
        <v>0</v>
      </c>
      <c r="AV214" s="1030">
        <f t="shared" si="573"/>
        <v>0</v>
      </c>
      <c r="AW214" s="1033">
        <f t="shared" si="573"/>
        <v>0</v>
      </c>
      <c r="AX214" s="1032">
        <f t="shared" si="574"/>
        <v>0</v>
      </c>
      <c r="AY214" s="1030">
        <f t="shared" si="575"/>
        <v>0</v>
      </c>
      <c r="AZ214" s="1030">
        <f t="shared" si="575"/>
        <v>0</v>
      </c>
      <c r="BA214" s="1030">
        <f t="shared" si="576"/>
        <v>0</v>
      </c>
      <c r="BB214" s="1033">
        <f t="shared" si="576"/>
        <v>0</v>
      </c>
      <c r="BC214" s="1032">
        <f t="shared" si="577"/>
        <v>0</v>
      </c>
      <c r="BD214" s="1030">
        <f t="shared" si="578"/>
        <v>0</v>
      </c>
      <c r="BE214" s="1030">
        <f t="shared" si="578"/>
        <v>0</v>
      </c>
      <c r="BF214" s="1033">
        <f t="shared" si="579"/>
        <v>0</v>
      </c>
      <c r="BG214" s="1032">
        <f t="shared" si="580"/>
        <v>0</v>
      </c>
      <c r="BH214" s="1030">
        <f t="shared" si="581"/>
        <v>0</v>
      </c>
      <c r="BI214" s="1033">
        <f t="shared" si="582"/>
        <v>0</v>
      </c>
      <c r="BJ214" s="1030">
        <f>_xlfn.XLOOKUP(H214, 'Baumaterialien Matériaux'!A:A, 'Baumaterialien Matériaux'!E:E, "-", 0, 1)</f>
        <v>0</v>
      </c>
      <c r="BK214" s="1032">
        <f t="shared" si="524"/>
        <v>0</v>
      </c>
      <c r="BL214" s="1030">
        <f t="shared" si="525"/>
        <v>0</v>
      </c>
      <c r="BM214" s="1033">
        <f t="shared" si="526"/>
        <v>0</v>
      </c>
      <c r="BN214" s="720">
        <f>IFERROR((J214*VLOOKUP(H214, 'Baumaterialien Matériaux'!$A$11:$AH$318, 32,FALSE))*($L$2/L214-1),0)/$G$1</f>
        <v>0</v>
      </c>
      <c r="BO214" s="720">
        <f t="shared" si="583"/>
        <v>0</v>
      </c>
    </row>
    <row r="215" spans="2:67">
      <c r="B215" s="1103"/>
      <c r="C215" s="1097" t="s">
        <v>142</v>
      </c>
      <c r="D215" s="473" t="s">
        <v>143</v>
      </c>
      <c r="E215" s="473"/>
      <c r="F215" s="473"/>
      <c r="G215" s="473"/>
      <c r="H215" s="473"/>
      <c r="I215" s="463"/>
      <c r="J215" s="654"/>
      <c r="K215" s="652"/>
      <c r="L215" s="652"/>
      <c r="M215" s="653">
        <f t="shared" ref="M215:T215" si="585">M216+M222+M228</f>
        <v>16.8072880260316</v>
      </c>
      <c r="N215" s="653">
        <f t="shared" si="585"/>
        <v>7.40883194255305</v>
      </c>
      <c r="O215" s="653">
        <f t="shared" ref="O215" si="586">O216+O222+O228</f>
        <v>3.8578506600780065</v>
      </c>
      <c r="P215" s="653">
        <f t="shared" si="585"/>
        <v>3.1499401252237718</v>
      </c>
      <c r="Q215" s="653">
        <f t="shared" si="585"/>
        <v>2.3906652981767698</v>
      </c>
      <c r="R215" s="653">
        <f t="shared" ref="R215" si="587">R216+R222+R228</f>
        <v>2.257244362733303</v>
      </c>
      <c r="S215" s="653">
        <f t="shared" si="585"/>
        <v>18.834825513651086</v>
      </c>
      <c r="T215" s="653">
        <f t="shared" si="585"/>
        <v>-4.5508327337575194</v>
      </c>
      <c r="V215" s="638">
        <f t="shared" si="556"/>
        <v>-4.5508327337575194</v>
      </c>
      <c r="W215" s="638">
        <f t="shared" si="557"/>
        <v>18.834825513651086</v>
      </c>
      <c r="Y215" s="638">
        <f t="shared" si="518"/>
        <v>0</v>
      </c>
      <c r="Z215" s="638">
        <f t="shared" si="555"/>
        <v>0</v>
      </c>
      <c r="AA215" s="615"/>
      <c r="AB215">
        <f>_xlfn.XLOOKUP($H215,'[1]Baumaterialien Matériaux'!$A:$A,'[1]Baumaterialien Matériaux'!AK:AK,0,0)</f>
        <v>0</v>
      </c>
      <c r="AC215" t="str" cm="1">
        <f t="array" ref="AC215">_xlfn.SWITCH(I215,"kg"," ",0," ",_xlfn.XLOOKUP(H215, '[1]Baumaterialien Matériaux'!$A:$A, '[1]Baumaterialien Matériaux'!$AL:$AL, "-", 0, 1))</f>
        <v xml:space="preserve"> </v>
      </c>
      <c r="AD215" s="622" cm="1">
        <f t="array" ref="AD215">IFERROR(_xlfn.SWITCH(I215,"kg",1,"m3",AC215,AC215)*J215/(_xlfn.XLOOKUP(AA215,Métrés!A:A,Métrés!D:D,0)),0)</f>
        <v>0</v>
      </c>
      <c r="AE215" s="1092">
        <f>IFERROR(N215*$G$1/(_xlfn.XLOOKUP($AA215,Métrés!$A:$A,Métrés!$D:$D,0)),0)</f>
        <v>0</v>
      </c>
      <c r="AF215" s="1092">
        <f>IFERROR(O215*$G$1/(_xlfn.XLOOKUP($AA215,Métrés!$A:$A,Métrés!$D:$D,0)),0)</f>
        <v>0</v>
      </c>
      <c r="AG215" s="1092">
        <f>IFERROR(Q215*$G$1/(_xlfn.XLOOKUP($AA215,Métrés!$A:$A,Métrés!$D:$D,0)),0)</f>
        <v>0</v>
      </c>
      <c r="AH215" s="1092">
        <f>IFERROR(R215*$G$1/(_xlfn.XLOOKUP($AA215,Métrés!$A:$A,Métrés!$D:$D,0)),0)</f>
        <v>0</v>
      </c>
      <c r="AI215" s="1092">
        <f>IFERROR(S215*$G$1/(_xlfn.XLOOKUP($AA215,Métrés!$A:$A,Métrés!$D:$D,0)),0)</f>
        <v>0</v>
      </c>
      <c r="AJ215" s="1063"/>
      <c r="AK215" s="1063"/>
      <c r="AL215" s="1063"/>
      <c r="AM215" s="1020"/>
      <c r="AN215" s="1071"/>
      <c r="AO215" s="1063"/>
      <c r="AP215" s="1063"/>
      <c r="AQ215" s="1063"/>
      <c r="AR215" s="1072"/>
      <c r="AS215" s="1071"/>
      <c r="AT215" s="1063"/>
      <c r="AU215" s="1063"/>
      <c r="AV215" s="1063"/>
      <c r="AW215" s="1072"/>
      <c r="AX215" s="1071"/>
      <c r="AY215" s="1063"/>
      <c r="AZ215" s="1063"/>
      <c r="BA215" s="1063"/>
      <c r="BB215" s="1072"/>
      <c r="BC215" s="1071"/>
      <c r="BD215" s="1063"/>
      <c r="BE215" s="1063"/>
      <c r="BF215" s="1072"/>
      <c r="BG215" s="1071"/>
      <c r="BH215" s="1063"/>
      <c r="BI215" s="1072"/>
      <c r="BJ215" s="1077"/>
      <c r="BK215" s="1071"/>
      <c r="BL215" s="1063"/>
      <c r="BM215" s="1072"/>
    </row>
    <row r="216" spans="2:67">
      <c r="B216" s="1103"/>
      <c r="C216" s="1098"/>
      <c r="D216" s="478"/>
      <c r="E216" s="479" t="str">
        <f>BillQuantities!E36</f>
        <v>Balcons y c. dispositifs antichute</v>
      </c>
      <c r="F216" s="479" t="s">
        <v>3036</v>
      </c>
      <c r="G216" s="479"/>
      <c r="H216" s="479"/>
      <c r="I216" s="459" t="s">
        <v>39</v>
      </c>
      <c r="J216" s="662">
        <v>39.83</v>
      </c>
      <c r="K216" s="663"/>
      <c r="L216" s="663"/>
      <c r="M216" s="664">
        <f>SUM(M217:M221)</f>
        <v>3.4850239790220572</v>
      </c>
      <c r="N216" s="664">
        <f t="shared" ref="N216:S216" si="588">SUM(N217:N221)</f>
        <v>1.353055318525374</v>
      </c>
      <c r="O216" s="664">
        <f t="shared" ref="O216" si="589">SUM(O217:O221)</f>
        <v>0.79319898966527846</v>
      </c>
      <c r="P216" s="664">
        <f t="shared" si="588"/>
        <v>0.50842866419867339</v>
      </c>
      <c r="Q216" s="664">
        <f t="shared" si="588"/>
        <v>0.83034100663273169</v>
      </c>
      <c r="R216" s="664">
        <f t="shared" ref="R216" si="590">SUM(R217:R221)</f>
        <v>0.77538261051982116</v>
      </c>
      <c r="S216" s="664">
        <f t="shared" si="588"/>
        <v>5.6708683294770941</v>
      </c>
      <c r="T216" s="664">
        <f t="shared" ref="T216" si="591">SUM(T217:T221)</f>
        <v>-1.4744257656640445</v>
      </c>
      <c r="V216" s="638">
        <f t="shared" si="556"/>
        <v>-1.4744257656640445</v>
      </c>
      <c r="W216" s="638">
        <f t="shared" si="557"/>
        <v>5.6708683294770941</v>
      </c>
      <c r="Y216" s="638">
        <f t="shared" si="518"/>
        <v>0</v>
      </c>
      <c r="Z216" s="638">
        <f t="shared" si="555"/>
        <v>0</v>
      </c>
      <c r="AA216" s="527" t="s">
        <v>3450</v>
      </c>
      <c r="AB216">
        <f>_xlfn.XLOOKUP($H216,'[1]Baumaterialien Matériaux'!$A:$A,'[1]Baumaterialien Matériaux'!AK:AK,0,0)</f>
        <v>0</v>
      </c>
      <c r="AC216" cm="1">
        <f t="array" ref="AC216">_xlfn.SWITCH(I216,"kg"," ",0," ",_xlfn.XLOOKUP(H216, '[1]Baumaterialien Matériaux'!$A:$A, '[1]Baumaterialien Matériaux'!$AL:$AL, "-", 0, 1))</f>
        <v>0</v>
      </c>
      <c r="AD216" s="622" cm="1">
        <f t="array" ref="AD216">IFERROR(_xlfn.SWITCH(I216,"kg",1,"m3",AC216,AC216)*J216/(_xlfn.XLOOKUP(AA216,Métrés!A:A,Métrés!D:D,0)),0)</f>
        <v>0</v>
      </c>
      <c r="AE216" s="1092">
        <f>IFERROR(N216*$G$1/(_xlfn.XLOOKUP($AA216,Métrés!$A:$A,Métrés!$D:$D,0)),0)</f>
        <v>10.277513333333333</v>
      </c>
      <c r="AF216" s="1092">
        <f>IFERROR(O216*$G$1/(_xlfn.XLOOKUP($AA216,Métrés!$A:$A,Métrés!$D:$D,0)),0)</f>
        <v>6.0249666666666668</v>
      </c>
      <c r="AG216" s="1092">
        <f>IFERROR(Q216*$G$1/(_xlfn.XLOOKUP($AA216,Métrés!$A:$A,Métrés!$D:$D,0)),0)</f>
        <v>6.3070893333333338</v>
      </c>
      <c r="AH216" s="1092">
        <f>IFERROR(R216*$G$1/(_xlfn.XLOOKUP($AA216,Métrés!$A:$A,Métrés!$D:$D,0)),0)</f>
        <v>5.8896373333333338</v>
      </c>
      <c r="AI216" s="1092">
        <f>IFERROR(S216*$G$1/(_xlfn.XLOOKUP($AA216,Métrés!$A:$A,Métrés!$D:$D,0)),0)</f>
        <v>43.074680000000001</v>
      </c>
      <c r="AJ216" s="1064"/>
      <c r="AK216" s="1064"/>
      <c r="AL216" s="1064"/>
      <c r="AM216" s="1021"/>
      <c r="AN216" s="1073"/>
      <c r="AO216" s="1064"/>
      <c r="AP216" s="1064"/>
      <c r="AQ216" s="1064"/>
      <c r="AR216" s="1074"/>
      <c r="AS216" s="1073"/>
      <c r="AT216" s="1064"/>
      <c r="AU216" s="1064"/>
      <c r="AV216" s="1064"/>
      <c r="AW216" s="1074"/>
      <c r="AX216" s="1073"/>
      <c r="AY216" s="1064"/>
      <c r="AZ216" s="1064"/>
      <c r="BA216" s="1064"/>
      <c r="BB216" s="1074"/>
      <c r="BC216" s="1073"/>
      <c r="BD216" s="1064"/>
      <c r="BE216" s="1064"/>
      <c r="BF216" s="1074"/>
      <c r="BG216" s="1073"/>
      <c r="BH216" s="1064"/>
      <c r="BI216" s="1074"/>
      <c r="BJ216" s="1078"/>
      <c r="BK216" s="1073"/>
      <c r="BL216" s="1064"/>
      <c r="BM216" s="1074"/>
    </row>
    <row r="217" spans="2:67">
      <c r="B217" s="1103"/>
      <c r="C217" s="1099"/>
      <c r="D217" s="478"/>
      <c r="E217" s="479"/>
      <c r="F217" s="3" t="s">
        <v>3288</v>
      </c>
      <c r="G217" s="478" t="str">
        <f>_xlfn.XLOOKUP(H217, 'Baumaterialien Matériaux'!A:A, 'Baumaterialien Matériaux'!AD:AD, "-", 0, 1)</f>
        <v>Gravier rond</v>
      </c>
      <c r="H217" s="892" t="s">
        <v>530</v>
      </c>
      <c r="I217" s="641" t="str">
        <f>_xlfn.XLOOKUP(H217, 'Baumaterialien Matériaux'!A:A, 'Baumaterialien Matériaux'!F:F, "-", 0, 1)</f>
        <v>kg</v>
      </c>
      <c r="J217" s="649">
        <f>$J$216*K217</f>
        <v>4779.5999999999995</v>
      </c>
      <c r="K217" s="893">
        <f>0.06*2000</f>
        <v>120</v>
      </c>
      <c r="L217" s="647">
        <v>40</v>
      </c>
      <c r="M217" s="648">
        <f t="shared" ref="M217" si="592">SUM(N217:Q217)</f>
        <v>0.13086210087922256</v>
      </c>
      <c r="N217" s="720">
        <f>IFERROR(($J217*VLOOKUP($H217, 'Baumaterialien Matériaux'!$A$11:$AD$318, 26,FALSE)),0)/$G$1</f>
        <v>1.6219527996298007E-2</v>
      </c>
      <c r="O217" s="720">
        <f>IFERROR(($J217*VLOOKUP($H217, 'Baumaterialien Matériaux'!$A$11:$AH$318, 33,FALSE)),0)/$G$1</f>
        <v>5.4240629338269319E-3</v>
      </c>
      <c r="P217" s="720">
        <f>IFERROR((N217+Q217)*($L$2/L217-1),0)</f>
        <v>4.1812679315131884E-2</v>
      </c>
      <c r="Q217" s="720">
        <f>IFERROR(($J217*VLOOKUP($H217, 'Baumaterialien Matériaux'!$A$11:$AH$318, 27,FALSE)),0)/$G$1</f>
        <v>6.7405830633965755E-2</v>
      </c>
      <c r="R217" s="720">
        <f>IFERROR(($J217*VLOOKUP($H217, 'Baumaterialien Matériaux'!$A$11:$AH$318, 34,FALSE)),0)/$G$1</f>
        <v>1.2427950023137435E-2</v>
      </c>
      <c r="S217" s="720">
        <f>IFERROR((J217*VLOOKUP(H217, 'Baumaterialien Matériaux'!$A$11:$AD$318, 29,FALSE)),0)/$G$1</f>
        <v>0</v>
      </c>
      <c r="T217" s="720">
        <f>S217*AJ217</f>
        <v>0</v>
      </c>
      <c r="V217" s="638">
        <f t="shared" si="556"/>
        <v>0</v>
      </c>
      <c r="W217" s="638">
        <f t="shared" si="557"/>
        <v>0</v>
      </c>
      <c r="Z217" s="638">
        <f t="shared" si="555"/>
        <v>40</v>
      </c>
      <c r="AA217" s="527" t="s">
        <v>3450</v>
      </c>
      <c r="AB217" t="str">
        <f>_xlfn.XLOOKUP($H217,'[1]Baumaterialien Matériaux'!$A:$A,'[1]Baumaterialien Matériaux'!AK:AK,0,0)</f>
        <v>stone</v>
      </c>
      <c r="AC217" t="str" cm="1">
        <f t="array" ref="AC217">_xlfn.SWITCH(I217,"kg"," ",0," ",_xlfn.XLOOKUP(H217, '[1]Baumaterialien Matériaux'!$A:$A, '[1]Baumaterialien Matériaux'!$AL:$AL, "-", 0, 1))</f>
        <v xml:space="preserve"> </v>
      </c>
      <c r="AD217" s="622" cm="1">
        <f t="array" ref="AD217">IFERROR(_xlfn.SWITCH(I217,"kg",1,"m3",AC217,AC217)*J217/(_xlfn.XLOOKUP(AA217,Métrés!A:A,Métrés!D:D,0)),0)</f>
        <v>40</v>
      </c>
      <c r="AE217" s="1092">
        <f>IFERROR(N217*$G$1/(_xlfn.XLOOKUP($AA217,Métrés!$A:$A,Métrés!$D:$D,0)),0)</f>
        <v>0.12319999999999998</v>
      </c>
      <c r="AF217" s="1092">
        <f>IFERROR(O217*$G$1/(_xlfn.XLOOKUP($AA217,Métrés!$A:$A,Métrés!$D:$D,0)),0)</f>
        <v>4.1200000000000001E-2</v>
      </c>
      <c r="AG217" s="1092">
        <f>IFERROR(Q217*$G$1/(_xlfn.XLOOKUP($AA217,Métrés!$A:$A,Métrés!$D:$D,0)),0)</f>
        <v>0.51200000000000001</v>
      </c>
      <c r="AH217" s="1092">
        <f>IFERROR(R217*$G$1/(_xlfn.XLOOKUP($AA217,Métrés!$A:$A,Métrés!$D:$D,0)),0)</f>
        <v>9.4399999999999998E-2</v>
      </c>
      <c r="AI217" s="1092">
        <f>IFERROR(S217*$G$1/(_xlfn.XLOOKUP($AA217,Métrés!$A:$A,Métrés!$D:$D,0)),0)</f>
        <v>0</v>
      </c>
      <c r="AJ217" s="1030"/>
      <c r="AK217" s="1030">
        <f>IF(L217=60,0,T217)</f>
        <v>0</v>
      </c>
      <c r="AL217" s="1030">
        <f>IF(L217=60,0,S217)</f>
        <v>0</v>
      </c>
      <c r="AM217" s="638" t="str">
        <f>IF(L217=$L$2, "Structure", IF(L217&gt;0,"Revêtement",0))</f>
        <v>Revêtement</v>
      </c>
      <c r="AN217" s="1032">
        <f>IF(AM217="Structure",N217,0)</f>
        <v>0</v>
      </c>
      <c r="AO217" s="1030">
        <f>IF(AM217="Structure",P217,0)</f>
        <v>0</v>
      </c>
      <c r="AP217" s="1030">
        <f>IF(AM217="Structure",Q217,0)</f>
        <v>0</v>
      </c>
      <c r="AQ217" s="1030">
        <f>IF(AM217="Structure",S217,0)</f>
        <v>0</v>
      </c>
      <c r="AR217" s="1033">
        <f>IF(AM217="Structure",T217,0)</f>
        <v>0</v>
      </c>
      <c r="AS217" s="1032">
        <f>IF($AM217="Insulation",N217,0)</f>
        <v>0</v>
      </c>
      <c r="AT217" s="1030">
        <f t="shared" ref="AT217:AU221" si="593">IF($AM217="Insulation",P217,0)</f>
        <v>0</v>
      </c>
      <c r="AU217" s="1030">
        <f t="shared" si="593"/>
        <v>0</v>
      </c>
      <c r="AV217" s="1030">
        <f t="shared" ref="AV217:AW221" si="594">IF($AM217="Insulation",S217,0)</f>
        <v>0</v>
      </c>
      <c r="AW217" s="1033">
        <f t="shared" si="594"/>
        <v>0</v>
      </c>
      <c r="AX217" s="1032">
        <f>IF($AM217="Revêtement",N217,0)</f>
        <v>1.6219527996298007E-2</v>
      </c>
      <c r="AY217" s="1030">
        <f t="shared" ref="AY217:AZ221" si="595">IF($AM217="Revêtement",P217,0)</f>
        <v>4.1812679315131884E-2</v>
      </c>
      <c r="AZ217" s="1030">
        <f t="shared" si="595"/>
        <v>6.7405830633965755E-2</v>
      </c>
      <c r="BA217" s="1030">
        <f t="shared" ref="BA217:BB221" si="596">IF($AM217="Revêtement",S217,0)</f>
        <v>0</v>
      </c>
      <c r="BB217" s="1033">
        <f t="shared" si="596"/>
        <v>0</v>
      </c>
      <c r="BC217" s="1032">
        <f>IF($AM217="Installation",N217,0)</f>
        <v>0</v>
      </c>
      <c r="BD217" s="1030">
        <f t="shared" ref="BD217:BE221" si="597">IF($AM217="Installation",P217,0)</f>
        <v>0</v>
      </c>
      <c r="BE217" s="1030">
        <f t="shared" si="597"/>
        <v>0</v>
      </c>
      <c r="BF217" s="1033">
        <f>IF($AM217="Installation",S217,0)</f>
        <v>0</v>
      </c>
      <c r="BG217" s="1032">
        <f>IF($AM217="Structure", IF($I217="kg",$J217,0), 0)</f>
        <v>0</v>
      </c>
      <c r="BH217" s="1030">
        <f>IF($AM217="Insulation", IF($I217="kg",$J217,0), 0)</f>
        <v>0</v>
      </c>
      <c r="BI217" s="1033">
        <f>IF($AM217="Revêtement", IF($I217="kg",$J217,0), 0)</f>
        <v>4779.5999999999995</v>
      </c>
      <c r="BJ217" s="1030">
        <f>_xlfn.XLOOKUP(H217, 'Baumaterialien Matériaux'!A:A, 'Baumaterialien Matériaux'!E:E, "-", 0, 1)</f>
        <v>2000</v>
      </c>
      <c r="BK217" s="1032">
        <f t="shared" si="524"/>
        <v>0</v>
      </c>
      <c r="BL217" s="1030">
        <f t="shared" si="525"/>
        <v>0</v>
      </c>
      <c r="BM217" s="1033">
        <f t="shared" si="526"/>
        <v>2.3897999999999997</v>
      </c>
    </row>
    <row r="218" spans="2:67">
      <c r="B218" s="1103"/>
      <c r="C218" s="1099"/>
      <c r="D218" s="478"/>
      <c r="E218" s="478"/>
      <c r="F218" s="3" t="s">
        <v>2994</v>
      </c>
      <c r="G218" s="478" t="str">
        <f>_xlfn.XLOOKUP(H218, 'Baumaterialien Matériaux'!A:A, 'Baumaterialien Matériaux'!AD:AD, "-", 0, 1)</f>
        <v>Lé d'étanchéité bitumineux</v>
      </c>
      <c r="H218" s="892" t="s">
        <v>696</v>
      </c>
      <c r="I218" s="641" t="str">
        <f>_xlfn.XLOOKUP(H218, 'Baumaterialien Matériaux'!A:A, 'Baumaterialien Matériaux'!F:F, "-", 0, 1)</f>
        <v>kg</v>
      </c>
      <c r="J218" s="649">
        <f>$J$216*K218</f>
        <v>227.82759999999999</v>
      </c>
      <c r="K218" s="893">
        <f>0.0052*1100</f>
        <v>5.72</v>
      </c>
      <c r="L218" s="647">
        <v>40</v>
      </c>
      <c r="M218" s="648">
        <f t="shared" ref="M218:M221" si="598">SUM(N218:Q218)</f>
        <v>1.3979109146999846</v>
      </c>
      <c r="N218" s="720">
        <f>IFERROR(($J218*VLOOKUP($H218, 'Baumaterialien Matériaux'!$A$11:$AD$318, 26,FALSE)),0)/$G$1</f>
        <v>0.25352666975165816</v>
      </c>
      <c r="O218" s="720">
        <f>IFERROR(($J218*VLOOKUP($H218, 'Baumaterialien Matériaux'!$A$11:$AH$318, 33,FALSE)),0)/$G$1</f>
        <v>0.14031822612987815</v>
      </c>
      <c r="P218" s="720">
        <f>IFERROR((N218+Q218)*($L$2/L218-1),0)</f>
        <v>0.41919756285670212</v>
      </c>
      <c r="Q218" s="720">
        <f>IFERROR(($J218*VLOOKUP($H218, 'Baumaterialien Matériaux'!$A$11:$AH$318, 27,FALSE)),0)/$G$1</f>
        <v>0.58486845596174608</v>
      </c>
      <c r="R218" s="720">
        <f>IFERROR(($J218*VLOOKUP($H218, 'Baumaterialien Matériaux'!$A$11:$AH$318, 34,FALSE)),0)/$G$1</f>
        <v>0.58988878605583839</v>
      </c>
      <c r="S218" s="720">
        <f>IFERROR((J218*VLOOKUP(H218, 'Baumaterialien Matériaux'!$A$11:$AD$318, 29,FALSE)),0)/$G$1</f>
        <v>0</v>
      </c>
      <c r="T218" s="720">
        <f>S218*AJ218</f>
        <v>0</v>
      </c>
      <c r="V218" s="638">
        <f t="shared" si="556"/>
        <v>0</v>
      </c>
      <c r="W218" s="638">
        <f t="shared" si="557"/>
        <v>0</v>
      </c>
      <c r="Y218" s="638" t="s">
        <v>3407</v>
      </c>
      <c r="Z218" s="638">
        <f t="shared" si="555"/>
        <v>40</v>
      </c>
      <c r="AA218" s="527" t="s">
        <v>3450</v>
      </c>
      <c r="AB218" t="str">
        <f>_xlfn.XLOOKUP($H218,'[1]Baumaterialien Matériaux'!$A:$A,'[1]Baumaterialien Matériaux'!AK:AK,0,0)</f>
        <v>oil_product</v>
      </c>
      <c r="AC218" t="str" cm="1">
        <f t="array" ref="AC218">_xlfn.SWITCH(I218,"kg"," ",0," ",_xlfn.XLOOKUP(H218, '[1]Baumaterialien Matériaux'!$A:$A, '[1]Baumaterialien Matériaux'!$AL:$AL, "-", 0, 1))</f>
        <v xml:space="preserve"> </v>
      </c>
      <c r="AD218" s="622" cm="1">
        <f t="array" ref="AD218">IFERROR(_xlfn.SWITCH(I218,"kg",1,"m3",AC218,AC218)*J218/(_xlfn.XLOOKUP(AA218,Métrés!A:A,Métrés!D:D,0)),0)</f>
        <v>1.9066666666666667</v>
      </c>
      <c r="AE218" s="1092">
        <f>IFERROR(N218*$G$1/(_xlfn.XLOOKUP($AA218,Métrés!$A:$A,Métrés!$D:$D,0)),0)</f>
        <v>1.9257333333333333</v>
      </c>
      <c r="AF218" s="1092">
        <f>IFERROR(O218*$G$1/(_xlfn.XLOOKUP($AA218,Métrés!$A:$A,Métrés!$D:$D,0)),0)</f>
        <v>1.0658266666666669</v>
      </c>
      <c r="AG218" s="1092">
        <f>IFERROR(Q218*$G$1/(_xlfn.XLOOKUP($AA218,Métrés!$A:$A,Métrés!$D:$D,0)),0)</f>
        <v>4.4425333333333334</v>
      </c>
      <c r="AH218" s="1092">
        <f>IFERROR(R218*$G$1/(_xlfn.XLOOKUP($AA218,Métrés!$A:$A,Métrés!$D:$D,0)),0)</f>
        <v>4.480666666666667</v>
      </c>
      <c r="AI218" s="1092">
        <f>IFERROR(S218*$G$1/(_xlfn.XLOOKUP($AA218,Métrés!$A:$A,Métrés!$D:$D,0)),0)</f>
        <v>0</v>
      </c>
      <c r="AJ218" s="1030"/>
      <c r="AK218" s="1030">
        <f>IF(L218=60,0,T218)</f>
        <v>0</v>
      </c>
      <c r="AL218" s="1030">
        <f>IF(L218=60,0,S218)</f>
        <v>0</v>
      </c>
      <c r="AM218" s="638" t="str">
        <f>IF(L218=$L$2, "Structure", IF(L218&gt;0,"Revêtement",0))</f>
        <v>Revêtement</v>
      </c>
      <c r="AN218" s="1032">
        <f>IF(AM218="Structure",N218,0)</f>
        <v>0</v>
      </c>
      <c r="AO218" s="1030">
        <f>IF(AM218="Structure",P218,0)</f>
        <v>0</v>
      </c>
      <c r="AP218" s="1030">
        <f>IF(AM218="Structure",Q218,0)</f>
        <v>0</v>
      </c>
      <c r="AQ218" s="1030">
        <f>IF(AM218="Structure",S218,0)</f>
        <v>0</v>
      </c>
      <c r="AR218" s="1033">
        <f>IF(AM218="Structure",T218,0)</f>
        <v>0</v>
      </c>
      <c r="AS218" s="1032">
        <f>IF($AM218="Insulation",N218,0)</f>
        <v>0</v>
      </c>
      <c r="AT218" s="1030">
        <f t="shared" si="593"/>
        <v>0</v>
      </c>
      <c r="AU218" s="1030">
        <f t="shared" si="593"/>
        <v>0</v>
      </c>
      <c r="AV218" s="1030">
        <f t="shared" si="594"/>
        <v>0</v>
      </c>
      <c r="AW218" s="1033">
        <f t="shared" si="594"/>
        <v>0</v>
      </c>
      <c r="AX218" s="1032">
        <f>IF($AM218="Revêtement",N218,0)</f>
        <v>0.25352666975165816</v>
      </c>
      <c r="AY218" s="1030">
        <f t="shared" si="595"/>
        <v>0.41919756285670212</v>
      </c>
      <c r="AZ218" s="1030">
        <f t="shared" si="595"/>
        <v>0.58486845596174608</v>
      </c>
      <c r="BA218" s="1030">
        <f t="shared" si="596"/>
        <v>0</v>
      </c>
      <c r="BB218" s="1033">
        <f t="shared" si="596"/>
        <v>0</v>
      </c>
      <c r="BC218" s="1032">
        <f>IF($AM218="Installation",N218,0)</f>
        <v>0</v>
      </c>
      <c r="BD218" s="1030">
        <f t="shared" si="597"/>
        <v>0</v>
      </c>
      <c r="BE218" s="1030">
        <f t="shared" si="597"/>
        <v>0</v>
      </c>
      <c r="BF218" s="1033">
        <f>IF($AM218="Installation",S218,0)</f>
        <v>0</v>
      </c>
      <c r="BG218" s="1032">
        <f>IF($AM218="Structure", IF($I218="kg",$J218,0), 0)</f>
        <v>0</v>
      </c>
      <c r="BH218" s="1030">
        <f>IF($AM218="Insulation", IF($I218="kg",$J218,0), 0)</f>
        <v>0</v>
      </c>
      <c r="BI218" s="1033">
        <f>IF($AM218="Revêtement", IF($I218="kg",$J218,0), 0)</f>
        <v>227.82759999999999</v>
      </c>
      <c r="BJ218" s="1030">
        <f>_xlfn.XLOOKUP(H218, 'Baumaterialien Matériaux'!A:A, 'Baumaterialien Matériaux'!E:E, "-", 0, 1)</f>
        <v>1100</v>
      </c>
      <c r="BK218" s="1032">
        <f t="shared" si="524"/>
        <v>0</v>
      </c>
      <c r="BL218" s="1030">
        <f t="shared" si="525"/>
        <v>0</v>
      </c>
      <c r="BM218" s="1033">
        <f t="shared" si="526"/>
        <v>0.20711599999999999</v>
      </c>
      <c r="BN218" s="720">
        <f>IFERROR((J218*VLOOKUP(H218, 'Baumaterialien Matériaux'!$A$11:$AH$318, 32,FALSE))*($L$2/L218-1),0)/$G$1</f>
        <v>0.36522901434521055</v>
      </c>
      <c r="BO218" s="720">
        <f>IFERROR((N218+Q218)*($L$2/L218-1),0)</f>
        <v>0.41919756285670212</v>
      </c>
    </row>
    <row r="219" spans="2:67">
      <c r="B219" s="1103"/>
      <c r="C219" s="1099"/>
      <c r="D219" s="478"/>
      <c r="E219" s="478"/>
      <c r="F219" s="3" t="s">
        <v>3289</v>
      </c>
      <c r="G219" s="478" t="str">
        <f>_xlfn.XLOOKUP(H219, 'Baumaterialien Matériaux'!A:A, 'Baumaterialien Matériaux'!AD:AD, "-", 0, 1)</f>
        <v>Laine de verre</v>
      </c>
      <c r="H219" s="892" t="s">
        <v>130</v>
      </c>
      <c r="I219" s="641" t="str">
        <f>_xlfn.XLOOKUP(H219, 'Baumaterialien Matériaux'!A:A, 'Baumaterialien Matériaux'!F:F, "-", 0, 1)</f>
        <v>kg</v>
      </c>
      <c r="J219" s="649">
        <f t="shared" ref="J219:J220" si="599">$J$216*K219</f>
        <v>71.693999999999988</v>
      </c>
      <c r="K219" s="893">
        <f>0.06*30</f>
        <v>1.7999999999999998</v>
      </c>
      <c r="L219" s="647">
        <v>40</v>
      </c>
      <c r="M219" s="648">
        <f t="shared" ref="M219" si="600">SUM(N219:Q219)</f>
        <v>0.16362238778343358</v>
      </c>
      <c r="N219" s="720">
        <f>IFERROR(($J219*VLOOKUP($H219, 'Baumaterialien Matériaux'!$A$11:$AD$318, 26,FALSE)),0)/$G$1</f>
        <v>8.215085608514576E-2</v>
      </c>
      <c r="O219" s="720">
        <f>IFERROR(($J219*VLOOKUP($H219, 'Baumaterialien Matériaux'!$A$11:$AH$318, 33,FALSE)),0)/$G$1</f>
        <v>3.3334289680703372E-2</v>
      </c>
      <c r="P219" s="720">
        <f>IFERROR((N219+Q219)*($L$2/L219-1),0)</f>
        <v>4.3429366034243404E-2</v>
      </c>
      <c r="Q219" s="720">
        <f>IFERROR(($J219*VLOOKUP($H219, 'Baumaterialien Matériaux'!$A$11:$AH$318, 27,FALSE)),0)/$G$1</f>
        <v>4.7078759833410451E-3</v>
      </c>
      <c r="R219" s="720">
        <f>IFERROR(($J219*VLOOKUP($H219, 'Baumaterialien Matériaux'!$A$11:$AH$318, 34,FALSE)),0)/$G$1</f>
        <v>2.7488940305414155E-4</v>
      </c>
      <c r="S219" s="720">
        <f>IFERROR((J219*VLOOKUP(H219, 'Baumaterialien Matériaux'!$A$11:$AD$318, 29,FALSE)),0)/$G$1</f>
        <v>0</v>
      </c>
      <c r="T219" s="720">
        <f>S219*AJ219</f>
        <v>0</v>
      </c>
      <c r="V219" s="638">
        <f t="shared" si="556"/>
        <v>0</v>
      </c>
      <c r="W219" s="638">
        <f t="shared" si="557"/>
        <v>0</v>
      </c>
      <c r="Z219" s="638">
        <f t="shared" si="555"/>
        <v>40</v>
      </c>
      <c r="AA219" s="527" t="s">
        <v>3450</v>
      </c>
      <c r="AB219" t="str">
        <f>_xlfn.XLOOKUP($H219,'[1]Baumaterialien Matériaux'!$A:$A,'[1]Baumaterialien Matériaux'!AK:AK,0,0)</f>
        <v>mineral_fiber</v>
      </c>
      <c r="AC219" t="str" cm="1">
        <f t="array" ref="AC219">_xlfn.SWITCH(I219,"kg"," ",0," ",_xlfn.XLOOKUP(H219, '[1]Baumaterialien Matériaux'!$A:$A, '[1]Baumaterialien Matériaux'!$AL:$AL, "-", 0, 1))</f>
        <v xml:space="preserve"> </v>
      </c>
      <c r="AD219" s="622" cm="1">
        <f t="array" ref="AD219">IFERROR(_xlfn.SWITCH(I219,"kg",1,"m3",AC219,AC219)*J219/(_xlfn.XLOOKUP(AA219,Métrés!A:A,Métrés!D:D,0)),0)</f>
        <v>0.6</v>
      </c>
      <c r="AE219" s="1092">
        <f>IFERROR(N219*$G$1/(_xlfn.XLOOKUP($AA219,Métrés!$A:$A,Métrés!$D:$D,0)),0)</f>
        <v>0.624</v>
      </c>
      <c r="AF219" s="1092">
        <f>IFERROR(O219*$G$1/(_xlfn.XLOOKUP($AA219,Métrés!$A:$A,Métrés!$D:$D,0)),0)</f>
        <v>0.25319999999999998</v>
      </c>
      <c r="AG219" s="1092">
        <f>IFERROR(Q219*$G$1/(_xlfn.XLOOKUP($AA219,Métrés!$A:$A,Métrés!$D:$D,0)),0)</f>
        <v>3.5759999999999993E-2</v>
      </c>
      <c r="AH219" s="1092">
        <f>IFERROR(R219*$G$1/(_xlfn.XLOOKUP($AA219,Métrés!$A:$A,Métrés!$D:$D,0)),0)</f>
        <v>2.0879999999999996E-3</v>
      </c>
      <c r="AI219" s="1092">
        <f>IFERROR(S219*$G$1/(_xlfn.XLOOKUP($AA219,Métrés!$A:$A,Métrés!$D:$D,0)),0)</f>
        <v>0</v>
      </c>
      <c r="AJ219" s="1030"/>
      <c r="AK219" s="1030">
        <f>IF(L219=60,0,T219)</f>
        <v>0</v>
      </c>
      <c r="AL219" s="1030">
        <f>IF(L219=60,0,S219)</f>
        <v>0</v>
      </c>
      <c r="AM219" s="638" t="s">
        <v>3388</v>
      </c>
      <c r="AN219" s="1032">
        <f>IF(AM219="Structure",N219,0)</f>
        <v>0</v>
      </c>
      <c r="AO219" s="1030">
        <f>IF(AM219="Structure",P219,0)</f>
        <v>0</v>
      </c>
      <c r="AP219" s="1030">
        <f>IF(AM219="Structure",Q219,0)</f>
        <v>0</v>
      </c>
      <c r="AQ219" s="1030">
        <f>IF(AM219="Structure",S219,0)</f>
        <v>0</v>
      </c>
      <c r="AR219" s="1033">
        <f>IF(AM219="Structure",T219,0)</f>
        <v>0</v>
      </c>
      <c r="AS219" s="1032">
        <f>IF($AM219="Insulation",N219,0)</f>
        <v>8.215085608514576E-2</v>
      </c>
      <c r="AT219" s="1030">
        <f t="shared" si="593"/>
        <v>4.3429366034243404E-2</v>
      </c>
      <c r="AU219" s="1030">
        <f t="shared" si="593"/>
        <v>4.7078759833410451E-3</v>
      </c>
      <c r="AV219" s="1030">
        <f t="shared" si="594"/>
        <v>0</v>
      </c>
      <c r="AW219" s="1033">
        <f t="shared" si="594"/>
        <v>0</v>
      </c>
      <c r="AX219" s="1032">
        <f>IF($AM219="Revêtement",N219,0)</f>
        <v>0</v>
      </c>
      <c r="AY219" s="1030">
        <f t="shared" si="595"/>
        <v>0</v>
      </c>
      <c r="AZ219" s="1030">
        <f t="shared" si="595"/>
        <v>0</v>
      </c>
      <c r="BA219" s="1030">
        <f t="shared" si="596"/>
        <v>0</v>
      </c>
      <c r="BB219" s="1033">
        <f t="shared" si="596"/>
        <v>0</v>
      </c>
      <c r="BC219" s="1032">
        <f>IF($AM219="Installation",N219,0)</f>
        <v>0</v>
      </c>
      <c r="BD219" s="1030">
        <f t="shared" si="597"/>
        <v>0</v>
      </c>
      <c r="BE219" s="1030">
        <f t="shared" si="597"/>
        <v>0</v>
      </c>
      <c r="BF219" s="1033">
        <f>IF($AM219="Installation",S219,0)</f>
        <v>0</v>
      </c>
      <c r="BG219" s="1032">
        <f>IF($AM219="Structure", IF($I219="kg",$J219,0), 0)</f>
        <v>0</v>
      </c>
      <c r="BH219" s="1030">
        <f>IF($AM219="Insulation", IF($I219="kg",$J219,0), 0)</f>
        <v>71.693999999999988</v>
      </c>
      <c r="BI219" s="1033">
        <f>IF($AM219="Revêtement", IF($I219="kg",$J219,0), 0)</f>
        <v>0</v>
      </c>
      <c r="BJ219" s="1030">
        <v>30</v>
      </c>
      <c r="BK219" s="1032">
        <f t="shared" si="524"/>
        <v>0</v>
      </c>
      <c r="BL219" s="1030">
        <f t="shared" si="525"/>
        <v>2.3897999999999997</v>
      </c>
      <c r="BM219" s="1033">
        <f t="shared" si="526"/>
        <v>0</v>
      </c>
      <c r="BN219" s="720"/>
      <c r="BO219" s="720"/>
    </row>
    <row r="220" spans="2:67">
      <c r="B220" s="1103"/>
      <c r="C220" s="1099"/>
      <c r="D220" s="478"/>
      <c r="E220" s="478"/>
      <c r="F220" s="638" t="s">
        <v>3016</v>
      </c>
      <c r="G220" s="478" t="str">
        <f>_xlfn.XLOOKUP(H220, 'Baumaterialien Matériaux'!A:A, 'Baumaterialien Matériaux'!AD:AD, "-", 0, 1)</f>
        <v>Émulsion de bitume, 1 couche</v>
      </c>
      <c r="H220" s="892" t="s">
        <v>512</v>
      </c>
      <c r="I220" s="641" t="str">
        <f>_xlfn.XLOOKUP(H220, 'Baumaterialien Matériaux'!A:A, 'Baumaterialien Matériaux'!F:F, "-", 0, 1)</f>
        <v>m2</v>
      </c>
      <c r="J220" s="649">
        <f t="shared" si="599"/>
        <v>39.83</v>
      </c>
      <c r="K220" s="894">
        <v>1</v>
      </c>
      <c r="L220" s="647">
        <v>40</v>
      </c>
      <c r="M220" s="648">
        <f t="shared" si="598"/>
        <v>1.5771911152244335E-2</v>
      </c>
      <c r="N220" s="720">
        <f>IFERROR(($J220*VLOOKUP($H220, 'Baumaterialien Matériaux'!$A$11:$AD$318, 26,FALSE)),0)/$G$1</f>
        <v>5.9243405830633972E-3</v>
      </c>
      <c r="O220" s="720">
        <f>IFERROR(($J220*VLOOKUP($H220, 'Baumaterialien Matériaux'!$A$11:$AH$318, 33,FALSE)),0)/$G$1</f>
        <v>3.8047431744562699E-3</v>
      </c>
      <c r="P220" s="720">
        <f t="shared" ref="P220:P221" si="601">IFERROR((N220+Q220)*($L$2/L220-1),0)</f>
        <v>3.989055992596021E-3</v>
      </c>
      <c r="Q220" s="720">
        <f>IFERROR(($J220*VLOOKUP($H220, 'Baumaterialien Matériaux'!$A$11:$AH$318, 27,FALSE)),0)/$G$1</f>
        <v>2.053771402128644E-3</v>
      </c>
      <c r="R220" s="720">
        <f>IFERROR(($J220*VLOOKUP($H220, 'Baumaterialien Matériaux'!$A$11:$AH$318, 34,FALSE)),0)/$G$1</f>
        <v>2.5759910535246025E-2</v>
      </c>
      <c r="S220" s="720">
        <f>IFERROR((J220*VLOOKUP(H220, 'Baumaterialien Matériaux'!$A$11:$AD$318, 29,FALSE)),0)/$G$1</f>
        <v>0</v>
      </c>
      <c r="T220" s="720">
        <f>S220*AJ220</f>
        <v>0</v>
      </c>
      <c r="V220" s="638">
        <f t="shared" si="556"/>
        <v>0</v>
      </c>
      <c r="W220" s="638">
        <f t="shared" si="557"/>
        <v>0</v>
      </c>
      <c r="Y220" s="638" t="s">
        <v>3407</v>
      </c>
      <c r="Z220" s="638">
        <f t="shared" si="555"/>
        <v>40</v>
      </c>
      <c r="AA220" s="527" t="s">
        <v>3450</v>
      </c>
      <c r="AB220" t="str">
        <f>_xlfn.XLOOKUP($H220,'[1]Baumaterialien Matériaux'!$A:$A,'[1]Baumaterialien Matériaux'!AK:AK,0,0)</f>
        <v>autre</v>
      </c>
      <c r="AC220" cm="1">
        <f t="array" ref="AC220">_xlfn.SWITCH(I220,"kg"," ",0," ",_xlfn.XLOOKUP(H220, '[1]Baumaterialien Matériaux'!$A:$A, '[1]Baumaterialien Matériaux'!$AL:$AL, "-", 0, 1))</f>
        <v>0.25</v>
      </c>
      <c r="AD220" s="622" cm="1">
        <f t="array" ref="AD220">IFERROR(_xlfn.SWITCH(I220,"kg",1,"m3",AC220,AC220)*J220/(_xlfn.XLOOKUP(AA220,Métrés!A:A,Métrés!D:D,0)),0)</f>
        <v>8.3333333333333329E-2</v>
      </c>
      <c r="AE220" s="1092">
        <f>IFERROR(N220*$G$1/(_xlfn.XLOOKUP($AA220,Métrés!$A:$A,Métrés!$D:$D,0)),0)</f>
        <v>4.5000000000000005E-2</v>
      </c>
      <c r="AF220" s="1092">
        <f>IFERROR(O220*$G$1/(_xlfn.XLOOKUP($AA220,Métrés!$A:$A,Métrés!$D:$D,0)),0)</f>
        <v>2.8900000000000002E-2</v>
      </c>
      <c r="AG220" s="1092">
        <f>IFERROR(Q220*$G$1/(_xlfn.XLOOKUP($AA220,Métrés!$A:$A,Métrés!$D:$D,0)),0)</f>
        <v>1.5599999999999999E-2</v>
      </c>
      <c r="AH220" s="1092">
        <f>IFERROR(R220*$G$1/(_xlfn.XLOOKUP($AA220,Métrés!$A:$A,Métrés!$D:$D,0)),0)</f>
        <v>0.19566666666666666</v>
      </c>
      <c r="AI220" s="1092">
        <f>IFERROR(S220*$G$1/(_xlfn.XLOOKUP($AA220,Métrés!$A:$A,Métrés!$D:$D,0)),0)</f>
        <v>0</v>
      </c>
      <c r="AJ220" s="1030"/>
      <c r="AK220" s="1030">
        <f>IF(L220=60,0,T220)</f>
        <v>0</v>
      </c>
      <c r="AL220" s="1030">
        <f>IF(L220=60,0,S220)</f>
        <v>0</v>
      </c>
      <c r="AM220" s="638" t="str">
        <f>IF(L220=$L$2, "Structure", IF(L220&gt;0,"Revêtement",0))</f>
        <v>Revêtement</v>
      </c>
      <c r="AN220" s="1032">
        <f>IF(AM220="Structure",N220,0)</f>
        <v>0</v>
      </c>
      <c r="AO220" s="1030">
        <f>IF(AM220="Structure",P220,0)</f>
        <v>0</v>
      </c>
      <c r="AP220" s="1030">
        <f>IF(AM220="Structure",Q220,0)</f>
        <v>0</v>
      </c>
      <c r="AQ220" s="1030">
        <f>IF(AM220="Structure",S220,0)</f>
        <v>0</v>
      </c>
      <c r="AR220" s="1033">
        <f>IF(AM220="Structure",T220,0)</f>
        <v>0</v>
      </c>
      <c r="AS220" s="1032">
        <f>IF($AM220="Insulation",N220,0)</f>
        <v>0</v>
      </c>
      <c r="AT220" s="1030">
        <f t="shared" si="593"/>
        <v>0</v>
      </c>
      <c r="AU220" s="1030">
        <f t="shared" si="593"/>
        <v>0</v>
      </c>
      <c r="AV220" s="1030">
        <f t="shared" si="594"/>
        <v>0</v>
      </c>
      <c r="AW220" s="1033">
        <f t="shared" si="594"/>
        <v>0</v>
      </c>
      <c r="AX220" s="1032">
        <f>IF($AM220="Revêtement",N220,0)</f>
        <v>5.9243405830633972E-3</v>
      </c>
      <c r="AY220" s="1030">
        <f t="shared" si="595"/>
        <v>3.989055992596021E-3</v>
      </c>
      <c r="AZ220" s="1030">
        <f t="shared" si="595"/>
        <v>2.053771402128644E-3</v>
      </c>
      <c r="BA220" s="1030">
        <f t="shared" si="596"/>
        <v>0</v>
      </c>
      <c r="BB220" s="1033">
        <f t="shared" si="596"/>
        <v>0</v>
      </c>
      <c r="BC220" s="1032">
        <f>IF($AM220="Installation",N220,0)</f>
        <v>0</v>
      </c>
      <c r="BD220" s="1030">
        <f t="shared" si="597"/>
        <v>0</v>
      </c>
      <c r="BE220" s="1030">
        <f t="shared" si="597"/>
        <v>0</v>
      </c>
      <c r="BF220" s="1033">
        <f>IF($AM220="Installation",S220,0)</f>
        <v>0</v>
      </c>
      <c r="BG220" s="1032">
        <f>IF($AM220="Structure", IF($I220="kg",$J220,0), 0)</f>
        <v>0</v>
      </c>
      <c r="BH220" s="1030">
        <f>IF($AM220="Insulation", IF($I220="kg",$J220,0), 0)</f>
        <v>0</v>
      </c>
      <c r="BI220" s="1033">
        <f>IF($AM220="Revêtement", IF($I220="kg",$J220,0), 0)</f>
        <v>0</v>
      </c>
      <c r="BJ220" s="1030">
        <f>_xlfn.XLOOKUP(H220, 'Baumaterialien Matériaux'!A:A, 'Baumaterialien Matériaux'!E:E, "-", 0, 1)</f>
        <v>0.25</v>
      </c>
      <c r="BK220" s="1032">
        <f t="shared" si="524"/>
        <v>0</v>
      </c>
      <c r="BL220" s="1030">
        <f t="shared" si="525"/>
        <v>0</v>
      </c>
      <c r="BM220" s="1033">
        <f t="shared" si="526"/>
        <v>0</v>
      </c>
      <c r="BN220" s="720">
        <f>IFERROR((J220*VLOOKUP(H220, 'Baumaterialien Matériaux'!$A$11:$AH$318, 32,FALSE))*($L$2/L220-1),0)/$G$1</f>
        <v>1.4788909455498997E-2</v>
      </c>
      <c r="BO220" s="720">
        <f>IFERROR((N220+Q220)*($L$2/L220-1),0)</f>
        <v>3.989055992596021E-3</v>
      </c>
    </row>
    <row r="221" spans="2:67">
      <c r="B221" s="1103"/>
      <c r="C221" s="1099"/>
      <c r="D221" s="478"/>
      <c r="E221" s="478"/>
      <c r="F221" s="3" t="s">
        <v>3271</v>
      </c>
      <c r="G221" s="478" t="str">
        <f>_xlfn.XLOOKUP(H221, 'Baumaterialien Matériaux'!A:A, 'Baumaterialien Matériaux'!AD:AD, "-", 0, 1)</f>
        <v>Bois lamellé-collé</v>
      </c>
      <c r="H221" s="895" t="s">
        <v>1445</v>
      </c>
      <c r="I221" s="641" t="str">
        <f>_xlfn.XLOOKUP(H221, 'Baumaterialien Matériaux'!A:A, 'Baumaterialien Matériaux'!F:F, "-", 0, 1)</f>
        <v>kg</v>
      </c>
      <c r="J221" s="649">
        <f t="shared" ref="J221" si="602">$J$216*K221</f>
        <v>3147.3665999999998</v>
      </c>
      <c r="K221" s="894">
        <f>0.18*439</f>
        <v>79.02</v>
      </c>
      <c r="L221" s="647">
        <v>60</v>
      </c>
      <c r="M221" s="648">
        <f t="shared" si="598"/>
        <v>1.7768566645071724</v>
      </c>
      <c r="N221" s="720">
        <f>IFERROR(($J221*VLOOKUP($H221, 'Baumaterialien Matériaux'!$A$11:$AD$318, 26,FALSE)),0)/$G$1</f>
        <v>0.99523392410920852</v>
      </c>
      <c r="O221" s="720">
        <f>IFERROR(($J221*VLOOKUP($H221, 'Baumaterialien Matériaux'!$A$11:$AH$318, 33,FALSE)),0)/$G$1</f>
        <v>0.61031766774641372</v>
      </c>
      <c r="P221" s="720">
        <f t="shared" si="601"/>
        <v>0</v>
      </c>
      <c r="Q221" s="720">
        <f>IFERROR(($J221*VLOOKUP($H221, 'Baumaterialien Matériaux'!$A$11:$AH$318, 27,FALSE)),0)/$G$1</f>
        <v>0.17130507265155021</v>
      </c>
      <c r="R221" s="720">
        <f>IFERROR(($J221*VLOOKUP($H221, 'Baumaterialien Matériaux'!$A$11:$AH$318, 34,FALSE)),0)/$G$1</f>
        <v>0.14703107450254513</v>
      </c>
      <c r="S221" s="720">
        <f>IFERROR((J221*VLOOKUP(H221, 'Baumaterialien Matériaux'!$A$11:$AD$318, 29,FALSE)),0)/$G$1</f>
        <v>5.6708683294770941</v>
      </c>
      <c r="T221" s="720">
        <f>S221*AJ221</f>
        <v>-1.4744257656640445</v>
      </c>
      <c r="U221" s="638">
        <v>-7.0000000000000007E-2</v>
      </c>
      <c r="V221" s="638">
        <f t="shared" si="556"/>
        <v>0</v>
      </c>
      <c r="W221" s="638">
        <f t="shared" si="557"/>
        <v>0</v>
      </c>
      <c r="Y221" s="638" t="s">
        <v>3407</v>
      </c>
      <c r="Z221" s="638">
        <f t="shared" si="555"/>
        <v>60</v>
      </c>
      <c r="AA221" s="527" t="s">
        <v>3450</v>
      </c>
      <c r="AB221" t="str">
        <f>_xlfn.XLOOKUP($H221,'[1]Baumaterialien Matériaux'!$A:$A,'[1]Baumaterialien Matériaux'!AK:AK,0,0)</f>
        <v>timber</v>
      </c>
      <c r="AC221" t="str" cm="1">
        <f t="array" ref="AC221">_xlfn.SWITCH(I221,"kg"," ",0," ",_xlfn.XLOOKUP(H221, '[1]Baumaterialien Matériaux'!$A:$A, '[1]Baumaterialien Matériaux'!$AL:$AL, "-", 0, 1))</f>
        <v xml:space="preserve"> </v>
      </c>
      <c r="AD221" s="622" cm="1">
        <f t="array" ref="AD221">IFERROR(_xlfn.SWITCH(I221,"kg",1,"m3",AC221,AC221)*J221/(_xlfn.XLOOKUP(AA221,Métrés!A:A,Métrés!D:D,0)),0)</f>
        <v>26.34</v>
      </c>
      <c r="AE221" s="1092">
        <f>IFERROR(N221*$G$1/(_xlfn.XLOOKUP($AA221,Métrés!$A:$A,Métrés!$D:$D,0)),0)</f>
        <v>7.5595799999999986</v>
      </c>
      <c r="AF221" s="1092">
        <f>IFERROR(O221*$G$1/(_xlfn.XLOOKUP($AA221,Métrés!$A:$A,Métrés!$D:$D,0)),0)</f>
        <v>4.63584</v>
      </c>
      <c r="AG221" s="1092">
        <f>IFERROR(Q221*$G$1/(_xlfn.XLOOKUP($AA221,Métrés!$A:$A,Métrés!$D:$D,0)),0)</f>
        <v>1.301196</v>
      </c>
      <c r="AH221" s="1092">
        <f>IFERROR(R221*$G$1/(_xlfn.XLOOKUP($AA221,Métrés!$A:$A,Métrés!$D:$D,0)),0)</f>
        <v>1.116816</v>
      </c>
      <c r="AI221" s="1092">
        <f>IFERROR(S221*$G$1/(_xlfn.XLOOKUP($AA221,Métrés!$A:$A,Métrés!$D:$D,0)),0)</f>
        <v>43.074680000000001</v>
      </c>
      <c r="AJ221" s="1030">
        <v>-0.26</v>
      </c>
      <c r="AK221" s="1030">
        <f>IF(L221=60,0,T221)</f>
        <v>0</v>
      </c>
      <c r="AL221" s="1030">
        <f>IF(L221=60,0,S221)</f>
        <v>0</v>
      </c>
      <c r="AM221" s="638" t="str">
        <f>IF(L221=$L$2, "Structure", IF(L221&gt;0,"Revêtement",0))</f>
        <v>Structure</v>
      </c>
      <c r="AN221" s="1032">
        <f>IF(AM221="Structure",N221,0)</f>
        <v>0.99523392410920852</v>
      </c>
      <c r="AO221" s="1030">
        <f>IF(AM221="Structure",P221,0)</f>
        <v>0</v>
      </c>
      <c r="AP221" s="1030">
        <f>IF(AM221="Structure",Q221,0)</f>
        <v>0.17130507265155021</v>
      </c>
      <c r="AQ221" s="1030">
        <f>IF(AM221="Structure",S221,0)</f>
        <v>5.6708683294770941</v>
      </c>
      <c r="AR221" s="1033">
        <f>IF(AM221="Structure",T221,0)</f>
        <v>-1.4744257656640445</v>
      </c>
      <c r="AS221" s="1032">
        <f>IF($AM221="Insulation",N221,0)</f>
        <v>0</v>
      </c>
      <c r="AT221" s="1030">
        <f t="shared" si="593"/>
        <v>0</v>
      </c>
      <c r="AU221" s="1030">
        <f t="shared" si="593"/>
        <v>0</v>
      </c>
      <c r="AV221" s="1030">
        <f t="shared" si="594"/>
        <v>0</v>
      </c>
      <c r="AW221" s="1033">
        <f t="shared" si="594"/>
        <v>0</v>
      </c>
      <c r="AX221" s="1032">
        <f>IF($AM221="Revêtement",N221,0)</f>
        <v>0</v>
      </c>
      <c r="AY221" s="1030">
        <f t="shared" si="595"/>
        <v>0</v>
      </c>
      <c r="AZ221" s="1030">
        <f t="shared" si="595"/>
        <v>0</v>
      </c>
      <c r="BA221" s="1030">
        <f t="shared" si="596"/>
        <v>0</v>
      </c>
      <c r="BB221" s="1033">
        <f t="shared" si="596"/>
        <v>0</v>
      </c>
      <c r="BC221" s="1032">
        <f>IF($AM221="Installation",N221,0)</f>
        <v>0</v>
      </c>
      <c r="BD221" s="1030">
        <f t="shared" si="597"/>
        <v>0</v>
      </c>
      <c r="BE221" s="1030">
        <f t="shared" si="597"/>
        <v>0</v>
      </c>
      <c r="BF221" s="1033">
        <f>IF($AM221="Installation",S221,0)</f>
        <v>0</v>
      </c>
      <c r="BG221" s="1032">
        <f>IF($AM221="Structure", IF($I221="kg",$J221,0), 0)</f>
        <v>3147.3665999999998</v>
      </c>
      <c r="BH221" s="1030">
        <f>IF($AM221="Insulation", IF($I221="kg",$J221,0), 0)</f>
        <v>0</v>
      </c>
      <c r="BI221" s="1033">
        <f>IF($AM221="Revêtement", IF($I221="kg",$J221,0), 0)</f>
        <v>0</v>
      </c>
      <c r="BJ221" s="1030">
        <f>_xlfn.XLOOKUP(H221, 'Baumaterialien Matériaux'!A:A, 'Baumaterialien Matériaux'!E:E, "-", 0, 1)</f>
        <v>439</v>
      </c>
      <c r="BK221" s="1032">
        <f t="shared" si="524"/>
        <v>7.1693999999999996</v>
      </c>
      <c r="BL221" s="1030">
        <f t="shared" si="525"/>
        <v>0</v>
      </c>
      <c r="BM221" s="1033">
        <f t="shared" si="526"/>
        <v>0</v>
      </c>
      <c r="BN221" s="720">
        <f>IFERROR((J221*VLOOKUP(H221, 'Baumaterialien Matériaux'!$A$11:$AH$318, 32,FALSE))*($L$2/L221-1),0)/$G$1</f>
        <v>0</v>
      </c>
      <c r="BO221" s="720">
        <f>IFERROR((N221+Q221)*($L$2/L221-1),0)</f>
        <v>0</v>
      </c>
    </row>
    <row r="222" spans="2:67">
      <c r="B222" s="1103"/>
      <c r="C222" s="1099"/>
      <c r="D222" s="478"/>
      <c r="E222" s="478"/>
      <c r="F222" s="479" t="s">
        <v>3039</v>
      </c>
      <c r="G222" s="479"/>
      <c r="H222" s="479"/>
      <c r="I222" s="459" t="s">
        <v>39</v>
      </c>
      <c r="J222" s="662">
        <v>79.66</v>
      </c>
      <c r="K222" s="663"/>
      <c r="L222" s="663"/>
      <c r="M222" s="664">
        <f>SUM(M223:M227)</f>
        <v>13.322264047009542</v>
      </c>
      <c r="N222" s="664">
        <f t="shared" ref="N222:T222" si="603">SUM(N223:N227)</f>
        <v>6.0557766240276765</v>
      </c>
      <c r="O222" s="664">
        <f t="shared" ref="O222" si="604">SUM(O223:O227)</f>
        <v>3.064651670412728</v>
      </c>
      <c r="P222" s="664">
        <f t="shared" si="603"/>
        <v>2.6415114610250985</v>
      </c>
      <c r="Q222" s="664">
        <f t="shared" si="603"/>
        <v>1.5603242915440381</v>
      </c>
      <c r="R222" s="664">
        <f t="shared" ref="R222" si="605">SUM(R223:R227)</f>
        <v>1.4818617522134816</v>
      </c>
      <c r="S222" s="664">
        <f t="shared" si="603"/>
        <v>13.163957184173993</v>
      </c>
      <c r="T222" s="664">
        <f t="shared" si="603"/>
        <v>-3.0764069680934751</v>
      </c>
      <c r="V222" s="638">
        <f t="shared" si="556"/>
        <v>-3.0764069680934751</v>
      </c>
      <c r="W222" s="638">
        <f t="shared" si="557"/>
        <v>13.163957184173993</v>
      </c>
      <c r="Z222" s="638">
        <f t="shared" si="555"/>
        <v>0</v>
      </c>
      <c r="AA222" s="527" t="s">
        <v>3450</v>
      </c>
      <c r="AB222">
        <f>_xlfn.XLOOKUP($H222,'[1]Baumaterialien Matériaux'!$A:$A,'[1]Baumaterialien Matériaux'!AK:AK,0,0)</f>
        <v>0</v>
      </c>
      <c r="AC222" cm="1">
        <f t="array" ref="AC222">_xlfn.SWITCH(I222,"kg"," ",0," ",_xlfn.XLOOKUP(H222, '[1]Baumaterialien Matériaux'!$A:$A, '[1]Baumaterialien Matériaux'!$AL:$AL, "-", 0, 1))</f>
        <v>0</v>
      </c>
      <c r="AD222" s="622" cm="1">
        <f t="array" ref="AD222">IFERROR(_xlfn.SWITCH(I222,"kg",1,"m3",AC222,AC222)*J222/(_xlfn.XLOOKUP(AA222,Métrés!A:A,Métrés!D:D,0)),0)</f>
        <v>0</v>
      </c>
      <c r="AE222" s="1092">
        <f>IFERROR(N222*$G$1/(_xlfn.XLOOKUP($AA222,Métrés!$A:$A,Métrés!$D:$D,0)),0)</f>
        <v>45.998359523809519</v>
      </c>
      <c r="AF222" s="1092">
        <f>IFERROR(O222*$G$1/(_xlfn.XLOOKUP($AA222,Métrés!$A:$A,Métrés!$D:$D,0)),0)</f>
        <v>23.278426220604235</v>
      </c>
      <c r="AG222" s="1092">
        <f>IFERROR(Q222*$G$1/(_xlfn.XLOOKUP($AA222,Métrés!$A:$A,Métrés!$D:$D,0)),0)</f>
        <v>11.851883283046279</v>
      </c>
      <c r="AH222" s="1092">
        <f>IFERROR(R222*$G$1/(_xlfn.XLOOKUP($AA222,Métrés!$A:$A,Métrés!$D:$D,0)),0)</f>
        <v>11.255898933333334</v>
      </c>
      <c r="AI222" s="1092">
        <f>IFERROR(S222*$G$1/(_xlfn.XLOOKUP($AA222,Métrés!$A:$A,Métrés!$D:$D,0)),0)</f>
        <v>99.990549999999999</v>
      </c>
      <c r="AJ222" s="1064"/>
      <c r="AK222" s="1064"/>
      <c r="AL222" s="1064"/>
      <c r="AM222" s="1021"/>
      <c r="AN222" s="1073"/>
      <c r="AO222" s="1064"/>
      <c r="AP222" s="1064"/>
      <c r="AQ222" s="1064"/>
      <c r="AR222" s="1074"/>
      <c r="AS222" s="1073"/>
      <c r="AT222" s="1064"/>
      <c r="AU222" s="1064"/>
      <c r="AV222" s="1064"/>
      <c r="AW222" s="1074"/>
      <c r="AX222" s="1073"/>
      <c r="AY222" s="1064"/>
      <c r="AZ222" s="1064"/>
      <c r="BA222" s="1064"/>
      <c r="BB222" s="1074"/>
      <c r="BC222" s="1073"/>
      <c r="BD222" s="1064"/>
      <c r="BE222" s="1064"/>
      <c r="BF222" s="1074"/>
      <c r="BG222" s="1073"/>
      <c r="BH222" s="1064"/>
      <c r="BI222" s="1074"/>
      <c r="BJ222" s="1078"/>
      <c r="BK222" s="1073"/>
      <c r="BL222" s="1064"/>
      <c r="BM222" s="1074"/>
      <c r="BN222" s="720"/>
      <c r="BO222" s="720"/>
    </row>
    <row r="223" spans="2:67">
      <c r="B223" s="1103"/>
      <c r="C223" s="1099"/>
      <c r="D223" s="478"/>
      <c r="E223" s="478"/>
      <c r="F223" s="3" t="s">
        <v>3271</v>
      </c>
      <c r="G223" s="478" t="str">
        <f>_xlfn.XLOOKUP(H223, 'Baumaterialien Matériaux'!A:A, 'Baumaterialien Matériaux'!AD:AD, "-", 0, 1)</f>
        <v>Bois lamellé-collé</v>
      </c>
      <c r="H223" s="895" t="s">
        <v>1445</v>
      </c>
      <c r="I223" s="641" t="str">
        <f>_xlfn.XLOOKUP(H223, 'Baumaterialien Matériaux'!A:A, 'Baumaterialien Matériaux'!F:F, "-", 0, 1)</f>
        <v>kg</v>
      </c>
      <c r="J223" s="649">
        <f>$J$222*K223</f>
        <v>6294.7331999999997</v>
      </c>
      <c r="K223" s="894">
        <f>0.18*439</f>
        <v>79.02</v>
      </c>
      <c r="L223" s="647">
        <v>60</v>
      </c>
      <c r="M223" s="648">
        <f t="shared" ref="M223:M227" si="606">SUM(N223:Q223)</f>
        <v>3.5537133290143448</v>
      </c>
      <c r="N223" s="720">
        <f>IFERROR(($J223*VLOOKUP($H223, 'Baumaterialien Matériaux'!$A$11:$AD$318, 26,FALSE)),0)/$G$1</f>
        <v>1.990467848218417</v>
      </c>
      <c r="O223" s="720">
        <f>IFERROR(($J223*VLOOKUP($H223, 'Baumaterialien Matériaux'!$A$11:$AH$318, 33,FALSE)),0)/$G$1</f>
        <v>1.2206353354928274</v>
      </c>
      <c r="P223" s="720">
        <f t="shared" ref="P223:P227" si="607">IFERROR((N223+Q223)*($L$2/L223-1),0)</f>
        <v>0</v>
      </c>
      <c r="Q223" s="720">
        <f>IFERROR(($J223*VLOOKUP($H223, 'Baumaterialien Matériaux'!$A$11:$AH$318, 27,FALSE)),0)/$G$1</f>
        <v>0.34261014530310041</v>
      </c>
      <c r="R223" s="720">
        <f>IFERROR(($J223*VLOOKUP($H223, 'Baumaterialien Matériaux'!$A$11:$AH$318, 34,FALSE)),0)/$G$1</f>
        <v>0.29406214900509026</v>
      </c>
      <c r="S223" s="720">
        <f>IFERROR((J223*VLOOKUP(H223, 'Baumaterialien Matériaux'!$A$11:$AD$318, 29,FALSE)),0)/$G$1</f>
        <v>11.341736658954188</v>
      </c>
      <c r="T223" s="720">
        <f>S223*AJ223</f>
        <v>-2.948851531328089</v>
      </c>
      <c r="V223" s="638">
        <f t="shared" si="556"/>
        <v>0</v>
      </c>
      <c r="W223" s="638">
        <f t="shared" si="557"/>
        <v>0</v>
      </c>
      <c r="Z223" s="638">
        <f t="shared" si="555"/>
        <v>60</v>
      </c>
      <c r="AA223" s="527" t="s">
        <v>3450</v>
      </c>
      <c r="AB223" t="str">
        <f>_xlfn.XLOOKUP($H223,'[1]Baumaterialien Matériaux'!$A:$A,'[1]Baumaterialien Matériaux'!AK:AK,0,0)</f>
        <v>timber</v>
      </c>
      <c r="AC223" t="str" cm="1">
        <f t="array" ref="AC223">_xlfn.SWITCH(I223,"kg"," ",0," ",_xlfn.XLOOKUP(H223, '[1]Baumaterialien Matériaux'!$A:$A, '[1]Baumaterialien Matériaux'!$AL:$AL, "-", 0, 1))</f>
        <v xml:space="preserve"> </v>
      </c>
      <c r="AD223" s="622" cm="1">
        <f t="array" ref="AD223">IFERROR(_xlfn.SWITCH(I223,"kg",1,"m3",AC223,AC223)*J223/(_xlfn.XLOOKUP(AA223,Métrés!A:A,Métrés!D:D,0)),0)</f>
        <v>52.68</v>
      </c>
      <c r="AE223" s="1092">
        <f>IFERROR(N223*$G$1/(_xlfn.XLOOKUP($AA223,Métrés!$A:$A,Métrés!$D:$D,0)),0)</f>
        <v>15.119159999999997</v>
      </c>
      <c r="AF223" s="1092">
        <f>IFERROR(O223*$G$1/(_xlfn.XLOOKUP($AA223,Métrés!$A:$A,Métrés!$D:$D,0)),0)</f>
        <v>9.2716799999999999</v>
      </c>
      <c r="AG223" s="1092">
        <f>IFERROR(Q223*$G$1/(_xlfn.XLOOKUP($AA223,Métrés!$A:$A,Métrés!$D:$D,0)),0)</f>
        <v>2.602392</v>
      </c>
      <c r="AH223" s="1092">
        <f>IFERROR(R223*$G$1/(_xlfn.XLOOKUP($AA223,Métrés!$A:$A,Métrés!$D:$D,0)),0)</f>
        <v>2.2336320000000001</v>
      </c>
      <c r="AI223" s="1092">
        <f>IFERROR(S223*$G$1/(_xlfn.XLOOKUP($AA223,Métrés!$A:$A,Métrés!$D:$D,0)),0)</f>
        <v>86.149360000000001</v>
      </c>
      <c r="AJ223" s="1030">
        <v>-0.26</v>
      </c>
      <c r="AK223" s="1030">
        <f>IF(L223=60,0,T223)</f>
        <v>0</v>
      </c>
      <c r="AL223" s="1030">
        <f>IF(L223=60,0,S223)</f>
        <v>0</v>
      </c>
      <c r="AM223" s="638" t="str">
        <f>IF(L223=$L$2, "Structure", IF(L223&gt;0,"Revêtement",0))</f>
        <v>Structure</v>
      </c>
      <c r="AN223" s="1032">
        <f>IF(AM223="Structure",N223,0)</f>
        <v>1.990467848218417</v>
      </c>
      <c r="AO223" s="1030">
        <f>IF(AM223="Structure",P223,0)</f>
        <v>0</v>
      </c>
      <c r="AP223" s="1030">
        <f>IF(AM223="Structure",Q223,0)</f>
        <v>0.34261014530310041</v>
      </c>
      <c r="AQ223" s="1030">
        <f>IF(AM223="Structure",S223,0)</f>
        <v>11.341736658954188</v>
      </c>
      <c r="AR223" s="1033">
        <f>IF(AM223="Structure",T223,0)</f>
        <v>-2.948851531328089</v>
      </c>
      <c r="AS223" s="1032">
        <f>IF($AM223="Insulation",N223,0)</f>
        <v>0</v>
      </c>
      <c r="AT223" s="1030">
        <f t="shared" ref="AT223:AU227" si="608">IF($AM223="Insulation",P223,0)</f>
        <v>0</v>
      </c>
      <c r="AU223" s="1030">
        <f t="shared" si="608"/>
        <v>0</v>
      </c>
      <c r="AV223" s="1030">
        <f t="shared" ref="AV223:AW227" si="609">IF($AM223="Insulation",S223,0)</f>
        <v>0</v>
      </c>
      <c r="AW223" s="1033">
        <f t="shared" si="609"/>
        <v>0</v>
      </c>
      <c r="AX223" s="1032">
        <f>IF($AM223="Revêtement",N223,0)</f>
        <v>0</v>
      </c>
      <c r="AY223" s="1030">
        <f t="shared" ref="AY223:AZ227" si="610">IF($AM223="Revêtement",P223,0)</f>
        <v>0</v>
      </c>
      <c r="AZ223" s="1030">
        <f t="shared" si="610"/>
        <v>0</v>
      </c>
      <c r="BA223" s="1030">
        <f t="shared" ref="BA223:BB227" si="611">IF($AM223="Revêtement",S223,0)</f>
        <v>0</v>
      </c>
      <c r="BB223" s="1033">
        <f t="shared" si="611"/>
        <v>0</v>
      </c>
      <c r="BC223" s="1032">
        <f>IF($AM223="Installation",N223,0)</f>
        <v>0</v>
      </c>
      <c r="BD223" s="1030">
        <f t="shared" ref="BD223:BE227" si="612">IF($AM223="Installation",P223,0)</f>
        <v>0</v>
      </c>
      <c r="BE223" s="1030">
        <f t="shared" si="612"/>
        <v>0</v>
      </c>
      <c r="BF223" s="1033">
        <f>IF($AM223="Installation",S223,0)</f>
        <v>0</v>
      </c>
      <c r="BG223" s="1032">
        <f>IF($AM223="Structure", IF($I223="kg",$J223,0), 0)</f>
        <v>6294.7331999999997</v>
      </c>
      <c r="BH223" s="1030">
        <f>IF($AM223="Insulation", IF($I223="kg",$J223,0), 0)</f>
        <v>0</v>
      </c>
      <c r="BI223" s="1033">
        <f>IF($AM223="Revêtement", IF($I223="kg",$J223,0), 0)</f>
        <v>0</v>
      </c>
      <c r="BJ223" s="1030">
        <f>_xlfn.XLOOKUP(H223, 'Baumaterialien Matériaux'!A:A, 'Baumaterialien Matériaux'!E:E, "-", 0, 1)</f>
        <v>439</v>
      </c>
      <c r="BK223" s="1032">
        <f t="shared" si="524"/>
        <v>14.338799999999999</v>
      </c>
      <c r="BL223" s="1030">
        <f t="shared" si="525"/>
        <v>0</v>
      </c>
      <c r="BM223" s="1033">
        <f t="shared" si="526"/>
        <v>0</v>
      </c>
      <c r="BN223" s="720"/>
      <c r="BO223" s="720"/>
    </row>
    <row r="224" spans="2:67">
      <c r="B224" s="1103"/>
      <c r="C224" s="1099"/>
      <c r="D224" s="478"/>
      <c r="E224" s="478"/>
      <c r="F224" s="3" t="s">
        <v>2994</v>
      </c>
      <c r="G224" s="478" t="str">
        <f>_xlfn.XLOOKUP(H224, 'Baumaterialien Matériaux'!A:A, 'Baumaterialien Matériaux'!AD:AD, "-", 0, 1)</f>
        <v>Lé d'étanchéité bitumineux</v>
      </c>
      <c r="H224" s="892" t="s">
        <v>696</v>
      </c>
      <c r="I224" s="641" t="str">
        <f>_xlfn.XLOOKUP(H224, 'Baumaterialien Matériaux'!A:A, 'Baumaterialien Matériaux'!F:F, "-", 0, 1)</f>
        <v>kg</v>
      </c>
      <c r="J224" s="649">
        <f>$J$222*K224</f>
        <v>455.65519999999998</v>
      </c>
      <c r="K224" s="893">
        <f>0.0052*1100</f>
        <v>5.72</v>
      </c>
      <c r="L224" s="647">
        <v>40</v>
      </c>
      <c r="M224" s="648">
        <f t="shared" si="606"/>
        <v>2.7958218293999693</v>
      </c>
      <c r="N224" s="720">
        <f>IFERROR(($J224*VLOOKUP($H224, 'Baumaterialien Matériaux'!$A$11:$AD$318, 26,FALSE)),0)/$G$1</f>
        <v>0.50705333950331632</v>
      </c>
      <c r="O224" s="720">
        <f>IFERROR(($J224*VLOOKUP($H224, 'Baumaterialien Matériaux'!$A$11:$AH$318, 33,FALSE)),0)/$G$1</f>
        <v>0.28063645225975631</v>
      </c>
      <c r="P224" s="720">
        <f t="shared" si="607"/>
        <v>0.83839512571340424</v>
      </c>
      <c r="Q224" s="720">
        <f>IFERROR(($J224*VLOOKUP($H224, 'Baumaterialien Matériaux'!$A$11:$AH$318, 27,FALSE)),0)/$G$1</f>
        <v>1.1697369119234922</v>
      </c>
      <c r="R224" s="720">
        <f>IFERROR(($J224*VLOOKUP($H224, 'Baumaterialien Matériaux'!$A$11:$AH$318, 34,FALSE)),0)/$G$1</f>
        <v>1.1797775721116768</v>
      </c>
      <c r="S224" s="720">
        <f>IFERROR((J224*VLOOKUP(H224, 'Baumaterialien Matériaux'!$A$11:$AD$318, 29,FALSE)),0)/$G$1</f>
        <v>0</v>
      </c>
      <c r="T224" s="720">
        <f>S224*AJ224</f>
        <v>0</v>
      </c>
      <c r="V224" s="638">
        <f t="shared" si="556"/>
        <v>0</v>
      </c>
      <c r="W224" s="638">
        <f t="shared" si="557"/>
        <v>0</v>
      </c>
      <c r="Z224" s="638">
        <f t="shared" si="555"/>
        <v>40</v>
      </c>
      <c r="AA224" s="527" t="s">
        <v>3450</v>
      </c>
      <c r="AB224" t="str">
        <f>_xlfn.XLOOKUP($H224,'[1]Baumaterialien Matériaux'!$A:$A,'[1]Baumaterialien Matériaux'!AK:AK,0,0)</f>
        <v>oil_product</v>
      </c>
      <c r="AC224" t="str" cm="1">
        <f t="array" ref="AC224">_xlfn.SWITCH(I224,"kg"," ",0," ",_xlfn.XLOOKUP(H224, '[1]Baumaterialien Matériaux'!$A:$A, '[1]Baumaterialien Matériaux'!$AL:$AL, "-", 0, 1))</f>
        <v xml:space="preserve"> </v>
      </c>
      <c r="AD224" s="622" cm="1">
        <f t="array" ref="AD224">IFERROR(_xlfn.SWITCH(I224,"kg",1,"m3",AC224,AC224)*J224/(_xlfn.XLOOKUP(AA224,Métrés!A:A,Métrés!D:D,0)),0)</f>
        <v>3.8133333333333335</v>
      </c>
      <c r="AE224" s="1092">
        <f>IFERROR(N224*$G$1/(_xlfn.XLOOKUP($AA224,Métrés!$A:$A,Métrés!$D:$D,0)),0)</f>
        <v>3.8514666666666666</v>
      </c>
      <c r="AF224" s="1092">
        <f>IFERROR(O224*$G$1/(_xlfn.XLOOKUP($AA224,Métrés!$A:$A,Métrés!$D:$D,0)),0)</f>
        <v>2.1316533333333338</v>
      </c>
      <c r="AG224" s="1092">
        <f>IFERROR(Q224*$G$1/(_xlfn.XLOOKUP($AA224,Métrés!$A:$A,Métrés!$D:$D,0)),0)</f>
        <v>8.8850666666666669</v>
      </c>
      <c r="AH224" s="1092">
        <f>IFERROR(R224*$G$1/(_xlfn.XLOOKUP($AA224,Métrés!$A:$A,Métrés!$D:$D,0)),0)</f>
        <v>8.961333333333334</v>
      </c>
      <c r="AI224" s="1092">
        <f>IFERROR(S224*$G$1/(_xlfn.XLOOKUP($AA224,Métrés!$A:$A,Métrés!$D:$D,0)),0)</f>
        <v>0</v>
      </c>
      <c r="AJ224" s="1030"/>
      <c r="AK224" s="1030">
        <f>IF(L224=60,0,T224)</f>
        <v>0</v>
      </c>
      <c r="AL224" s="1030">
        <f>IF(L224=60,0,S224)</f>
        <v>0</v>
      </c>
      <c r="AM224" s="638" t="str">
        <f>IF(L224=$L$2, "Structure", IF(L224&gt;0,"Revêtement",0))</f>
        <v>Revêtement</v>
      </c>
      <c r="AN224" s="1032">
        <f>IF(AM224="Structure",N224,0)</f>
        <v>0</v>
      </c>
      <c r="AO224" s="1030">
        <f>IF(AM224="Structure",P224,0)</f>
        <v>0</v>
      </c>
      <c r="AP224" s="1030">
        <f>IF(AM224="Structure",Q224,0)</f>
        <v>0</v>
      </c>
      <c r="AQ224" s="1030">
        <f>IF(AM224="Structure",S224,0)</f>
        <v>0</v>
      </c>
      <c r="AR224" s="1033">
        <f>IF(AM224="Structure",T224,0)</f>
        <v>0</v>
      </c>
      <c r="AS224" s="1032">
        <f>IF($AM224="Insulation",N224,0)</f>
        <v>0</v>
      </c>
      <c r="AT224" s="1030">
        <f t="shared" si="608"/>
        <v>0</v>
      </c>
      <c r="AU224" s="1030">
        <f t="shared" si="608"/>
        <v>0</v>
      </c>
      <c r="AV224" s="1030">
        <f t="shared" si="609"/>
        <v>0</v>
      </c>
      <c r="AW224" s="1033">
        <f t="shared" si="609"/>
        <v>0</v>
      </c>
      <c r="AX224" s="1032">
        <f>IF($AM224="Revêtement",N224,0)</f>
        <v>0.50705333950331632</v>
      </c>
      <c r="AY224" s="1030">
        <f t="shared" si="610"/>
        <v>0.83839512571340424</v>
      </c>
      <c r="AZ224" s="1030">
        <f t="shared" si="610"/>
        <v>1.1697369119234922</v>
      </c>
      <c r="BA224" s="1030">
        <f t="shared" si="611"/>
        <v>0</v>
      </c>
      <c r="BB224" s="1033">
        <f t="shared" si="611"/>
        <v>0</v>
      </c>
      <c r="BC224" s="1032">
        <f>IF($AM224="Installation",N224,0)</f>
        <v>0</v>
      </c>
      <c r="BD224" s="1030">
        <f t="shared" si="612"/>
        <v>0</v>
      </c>
      <c r="BE224" s="1030">
        <f t="shared" si="612"/>
        <v>0</v>
      </c>
      <c r="BF224" s="1033">
        <f>IF($AM224="Installation",S224,0)</f>
        <v>0</v>
      </c>
      <c r="BG224" s="1032">
        <f>IF($AM224="Structure", IF($I224="kg",$J224,0), 0)</f>
        <v>0</v>
      </c>
      <c r="BH224" s="1030">
        <f>IF($AM224="Insulation", IF($I224="kg",$J224,0), 0)</f>
        <v>0</v>
      </c>
      <c r="BI224" s="1033">
        <f>IF($AM224="Revêtement", IF($I224="kg",$J224,0), 0)</f>
        <v>455.65519999999998</v>
      </c>
      <c r="BJ224" s="1030">
        <f>_xlfn.XLOOKUP(H224, 'Baumaterialien Matériaux'!A:A, 'Baumaterialien Matériaux'!E:E, "-", 0, 1)</f>
        <v>1100</v>
      </c>
      <c r="BK224" s="1032">
        <f t="shared" si="524"/>
        <v>0</v>
      </c>
      <c r="BL224" s="1030">
        <f t="shared" si="525"/>
        <v>0</v>
      </c>
      <c r="BM224" s="1033">
        <f t="shared" si="526"/>
        <v>0.41423199999999999</v>
      </c>
      <c r="BN224" s="720"/>
      <c r="BO224" s="720"/>
    </row>
    <row r="225" spans="2:68">
      <c r="B225" s="1103"/>
      <c r="C225" s="1099"/>
      <c r="D225" s="478"/>
      <c r="E225" s="478"/>
      <c r="F225" s="3" t="s">
        <v>3354</v>
      </c>
      <c r="G225" s="478" t="str">
        <f>_xlfn.XLOOKUP(H225, 'Baumaterialien Matériaux'!A:A, 'Baumaterialien Matériaux'!AD:AD, "-", 0, 1)</f>
        <v>Profil d'aluminium, nu</v>
      </c>
      <c r="H225" s="892" t="s">
        <v>104</v>
      </c>
      <c r="I225" s="641" t="str">
        <f>_xlfn.XLOOKUP(H225, 'Baumaterialien Matériaux'!A:A, 'Baumaterialien Matériaux'!F:F, "-", 0, 1)</f>
        <v>kg</v>
      </c>
      <c r="J225" s="649">
        <f>2690*0.04*0.04*126.36</f>
        <v>543.85343999999998</v>
      </c>
      <c r="K225" s="894">
        <f>2690*0.004</f>
        <v>10.76</v>
      </c>
      <c r="L225" s="647">
        <v>40</v>
      </c>
      <c r="M225" s="648">
        <f t="shared" si="606"/>
        <v>6.6374123964619551</v>
      </c>
      <c r="N225" s="720">
        <f>IFERROR(($J225*VLOOKUP($H225, 'Baumaterialien Matériaux'!$A$11:$AD$318, 26,FALSE)),0)/$G$1</f>
        <v>3.4094952442652211</v>
      </c>
      <c r="O225" s="720">
        <f>IFERROR(($J225*VLOOKUP($H225, 'Baumaterialien Matériaux'!$A$11:$AH$318, 33,FALSE)),0)/$G$1</f>
        <v>1.5159970066768029</v>
      </c>
      <c r="P225" s="720">
        <f t="shared" si="607"/>
        <v>1.7071384632617175</v>
      </c>
      <c r="Q225" s="720">
        <f>IFERROR(($J225*VLOOKUP($H225, 'Baumaterialien Matériaux'!$A$11:$AH$318, 27,FALSE)),0)/$G$1</f>
        <v>4.7816822582137887E-3</v>
      </c>
      <c r="R225" s="720">
        <f>IFERROR(($J225*VLOOKUP($H225, 'Baumaterialien Matériaux'!$A$11:$AH$318, 34,FALSE)),0)/$G$1</f>
        <v>0</v>
      </c>
      <c r="S225" s="720">
        <f>IFERROR((J225*VLOOKUP(H225, 'Baumaterialien Matériaux'!$A$11:$AD$318, 29,FALSE)),0)/$G$1</f>
        <v>0</v>
      </c>
      <c r="T225" s="720">
        <f>S225*AJ225</f>
        <v>0</v>
      </c>
      <c r="V225" s="638">
        <f t="shared" si="556"/>
        <v>0</v>
      </c>
      <c r="W225" s="638">
        <f t="shared" si="557"/>
        <v>0</v>
      </c>
      <c r="Z225" s="638">
        <f t="shared" si="555"/>
        <v>40</v>
      </c>
      <c r="AA225" s="527" t="s">
        <v>3450</v>
      </c>
      <c r="AB225" t="str">
        <f>_xlfn.XLOOKUP($H225,'[1]Baumaterialien Matériaux'!$A:$A,'[1]Baumaterialien Matériaux'!AK:AK,0,0)</f>
        <v>metal</v>
      </c>
      <c r="AC225" t="str" cm="1">
        <f t="array" ref="AC225">_xlfn.SWITCH(I225,"kg"," ",0," ",_xlfn.XLOOKUP(H225, '[1]Baumaterialien Matériaux'!$A:$A, '[1]Baumaterialien Matériaux'!$AL:$AL, "-", 0, 1))</f>
        <v xml:space="preserve"> </v>
      </c>
      <c r="AD225" s="622" cm="1">
        <f t="array" ref="AD225">IFERROR(_xlfn.SWITCH(I225,"kg",1,"m3",AC225,AC225)*J225/(_xlfn.XLOOKUP(AA225,Métrés!A:A,Métrés!D:D,0)),0)</f>
        <v>4.5514556866683407</v>
      </c>
      <c r="AE225" s="1092">
        <f>IFERROR(N225*$G$1/(_xlfn.XLOOKUP($AA225,Métrés!$A:$A,Métrés!$D:$D,0)),0)</f>
        <v>25.897782857142857</v>
      </c>
      <c r="AF225" s="1092">
        <f>IFERROR(O225*$G$1/(_xlfn.XLOOKUP($AA225,Métrés!$A:$A,Métrés!$D:$D,0)),0)</f>
        <v>11.5151828872709</v>
      </c>
      <c r="AG225" s="1092">
        <f>IFERROR(Q225*$G$1/(_xlfn.XLOOKUP($AA225,Métrés!$A:$A,Métrés!$D:$D,0)),0)</f>
        <v>3.6320616379613348E-2</v>
      </c>
      <c r="AH225" s="1092">
        <f>IFERROR(R225*$G$1/(_xlfn.XLOOKUP($AA225,Métrés!$A:$A,Métrés!$D:$D,0)),0)</f>
        <v>0</v>
      </c>
      <c r="AI225" s="1092">
        <f>IFERROR(S225*$G$1/(_xlfn.XLOOKUP($AA225,Métrés!$A:$A,Métrés!$D:$D,0)),0)</f>
        <v>0</v>
      </c>
      <c r="AJ225" s="1030"/>
      <c r="AK225" s="1030">
        <f>IF(L225=60,0,T225)</f>
        <v>0</v>
      </c>
      <c r="AL225" s="1030">
        <f>IF(L225=60,0,S225)</f>
        <v>0</v>
      </c>
      <c r="AM225" s="638" t="str">
        <f>IF(L225=$L$2, "Structure", IF(L225&gt;0,"Revêtement",0))</f>
        <v>Revêtement</v>
      </c>
      <c r="AN225" s="1032">
        <f>IF(AM225="Structure",N225,0)</f>
        <v>0</v>
      </c>
      <c r="AO225" s="1030">
        <f>IF(AM225="Structure",P225,0)</f>
        <v>0</v>
      </c>
      <c r="AP225" s="1030">
        <f>IF(AM225="Structure",Q225,0)</f>
        <v>0</v>
      </c>
      <c r="AQ225" s="1030">
        <f>IF(AM225="Structure",S225,0)</f>
        <v>0</v>
      </c>
      <c r="AR225" s="1033">
        <f>IF(AM225="Structure",T225,0)</f>
        <v>0</v>
      </c>
      <c r="AS225" s="1032">
        <f>IF($AM225="Insulation",N225,0)</f>
        <v>0</v>
      </c>
      <c r="AT225" s="1030">
        <f t="shared" si="608"/>
        <v>0</v>
      </c>
      <c r="AU225" s="1030">
        <f t="shared" si="608"/>
        <v>0</v>
      </c>
      <c r="AV225" s="1030">
        <f t="shared" si="609"/>
        <v>0</v>
      </c>
      <c r="AW225" s="1033">
        <f t="shared" si="609"/>
        <v>0</v>
      </c>
      <c r="AX225" s="1032">
        <f>IF($AM225="Revêtement",N225,0)</f>
        <v>3.4094952442652211</v>
      </c>
      <c r="AY225" s="1030">
        <f t="shared" si="610"/>
        <v>1.7071384632617175</v>
      </c>
      <c r="AZ225" s="1030">
        <f t="shared" si="610"/>
        <v>4.7816822582137887E-3</v>
      </c>
      <c r="BA225" s="1030">
        <f t="shared" si="611"/>
        <v>0</v>
      </c>
      <c r="BB225" s="1033">
        <f t="shared" si="611"/>
        <v>0</v>
      </c>
      <c r="BC225" s="1032">
        <f>IF($AM225="Installation",N225,0)</f>
        <v>0</v>
      </c>
      <c r="BD225" s="1030">
        <f t="shared" si="612"/>
        <v>0</v>
      </c>
      <c r="BE225" s="1030">
        <f t="shared" si="612"/>
        <v>0</v>
      </c>
      <c r="BF225" s="1033">
        <f>IF($AM225="Installation",S225,0)</f>
        <v>0</v>
      </c>
      <c r="BG225" s="1032">
        <f>IF($AM225="Structure", IF($I225="kg",$J225,0), 0)</f>
        <v>0</v>
      </c>
      <c r="BH225" s="1030">
        <f>IF($AM225="Insulation", IF($I225="kg",$J225,0), 0)</f>
        <v>0</v>
      </c>
      <c r="BI225" s="1033">
        <f>IF($AM225="Revêtement", IF($I225="kg",$J225,0), 0)</f>
        <v>543.85343999999998</v>
      </c>
      <c r="BJ225" s="1030">
        <f>_xlfn.XLOOKUP(H225, 'Baumaterialien Matériaux'!A:A, 'Baumaterialien Matériaux'!E:E, "-", 0, 1)</f>
        <v>2690</v>
      </c>
      <c r="BK225" s="1032">
        <f t="shared" si="524"/>
        <v>0</v>
      </c>
      <c r="BL225" s="1030">
        <f t="shared" si="525"/>
        <v>0</v>
      </c>
      <c r="BM225" s="1033">
        <f t="shared" si="526"/>
        <v>0.20217599999999999</v>
      </c>
      <c r="BN225" s="720"/>
      <c r="BO225" s="720"/>
    </row>
    <row r="226" spans="2:68">
      <c r="B226" s="1103"/>
      <c r="C226" s="1099"/>
      <c r="D226" s="478"/>
      <c r="E226" s="478"/>
      <c r="F226" s="3" t="s">
        <v>3355</v>
      </c>
      <c r="G226" s="478"/>
      <c r="H226" s="892"/>
      <c r="I226" s="641"/>
      <c r="J226" s="649"/>
      <c r="K226" s="894"/>
      <c r="L226" s="647">
        <v>40</v>
      </c>
      <c r="M226" s="648"/>
      <c r="N226" s="720"/>
      <c r="O226" s="720"/>
      <c r="P226" s="720"/>
      <c r="Q226" s="720"/>
      <c r="R226" s="720"/>
      <c r="S226" s="720"/>
      <c r="T226" s="720"/>
      <c r="Z226" s="638">
        <f t="shared" si="555"/>
        <v>40</v>
      </c>
      <c r="AA226" s="527" t="s">
        <v>3450</v>
      </c>
      <c r="AB226">
        <f>_xlfn.XLOOKUP($H226,'[1]Baumaterialien Matériaux'!$A:$A,'[1]Baumaterialien Matériaux'!AK:AK,0,0)</f>
        <v>0</v>
      </c>
      <c r="AC226" t="str" cm="1">
        <f t="array" ref="AC226">_xlfn.SWITCH(I226,"kg"," ",0," ",_xlfn.XLOOKUP(H226, '[1]Baumaterialien Matériaux'!$A:$A, '[1]Baumaterialien Matériaux'!$AL:$AL, "-", 0, 1))</f>
        <v xml:space="preserve"> </v>
      </c>
      <c r="AD226" s="622" cm="1">
        <f t="array" ref="AD226">IFERROR(_xlfn.SWITCH(I226,"kg",1,"m3",AC226,AC226)*J226/(_xlfn.XLOOKUP(AA226,Métrés!A:A,Métrés!D:D,0)),0)</f>
        <v>0</v>
      </c>
      <c r="AE226" s="1092">
        <f>IFERROR(N226*$G$1/(_xlfn.XLOOKUP($AA226,Métrés!$A:$A,Métrés!$D:$D,0)),0)</f>
        <v>0</v>
      </c>
      <c r="AF226" s="1092">
        <f>IFERROR(O226*$G$1/(_xlfn.XLOOKUP($AA226,Métrés!$A:$A,Métrés!$D:$D,0)),0)</f>
        <v>0</v>
      </c>
      <c r="AG226" s="1092">
        <f>IFERROR(Q226*$G$1/(_xlfn.XLOOKUP($AA226,Métrés!$A:$A,Métrés!$D:$D,0)),0)</f>
        <v>0</v>
      </c>
      <c r="AH226" s="1092">
        <f>IFERROR(R226*$G$1/(_xlfn.XLOOKUP($AA226,Métrés!$A:$A,Métrés!$D:$D,0)),0)</f>
        <v>0</v>
      </c>
      <c r="AI226" s="1092">
        <f>IFERROR(S226*$G$1/(_xlfn.XLOOKUP($AA226,Métrés!$A:$A,Métrés!$D:$D,0)),0)</f>
        <v>0</v>
      </c>
      <c r="AJ226" s="1030"/>
      <c r="AK226" s="1030"/>
      <c r="AL226" s="1030"/>
      <c r="AM226" s="638" t="str">
        <f>IF(L226=$L$2, "Structure", IF(L226&gt;0,"Revêtement",0))</f>
        <v>Revêtement</v>
      </c>
      <c r="AN226" s="1032">
        <f>IF(AM226="Structure",N226,0)</f>
        <v>0</v>
      </c>
      <c r="AO226" s="1030">
        <f>IF(AM226="Structure",P226,0)</f>
        <v>0</v>
      </c>
      <c r="AP226" s="1030">
        <f>IF(AM226="Structure",Q226,0)</f>
        <v>0</v>
      </c>
      <c r="AQ226" s="1030">
        <f>IF(AM226="Structure",S226,0)</f>
        <v>0</v>
      </c>
      <c r="AR226" s="1033">
        <f>IF(AM226="Structure",T226,0)</f>
        <v>0</v>
      </c>
      <c r="AS226" s="1032">
        <f>IF($AM226="Insulation",N226,0)</f>
        <v>0</v>
      </c>
      <c r="AT226" s="1030">
        <f t="shared" si="608"/>
        <v>0</v>
      </c>
      <c r="AU226" s="1030">
        <f t="shared" si="608"/>
        <v>0</v>
      </c>
      <c r="AV226" s="1030">
        <f t="shared" si="609"/>
        <v>0</v>
      </c>
      <c r="AW226" s="1033">
        <f t="shared" si="609"/>
        <v>0</v>
      </c>
      <c r="AX226" s="1032">
        <f>IF($AM226="Revêtement",N226,0)</f>
        <v>0</v>
      </c>
      <c r="AY226" s="1030">
        <f t="shared" si="610"/>
        <v>0</v>
      </c>
      <c r="AZ226" s="1030">
        <f t="shared" si="610"/>
        <v>0</v>
      </c>
      <c r="BA226" s="1030">
        <f t="shared" si="611"/>
        <v>0</v>
      </c>
      <c r="BB226" s="1033">
        <f t="shared" si="611"/>
        <v>0</v>
      </c>
      <c r="BC226" s="1032">
        <f>IF($AM226="Installation",N226,0)</f>
        <v>0</v>
      </c>
      <c r="BD226" s="1030">
        <f t="shared" si="612"/>
        <v>0</v>
      </c>
      <c r="BE226" s="1030">
        <f t="shared" si="612"/>
        <v>0</v>
      </c>
      <c r="BF226" s="1033">
        <f>IF($AM226="Installation",S226,0)</f>
        <v>0</v>
      </c>
      <c r="BG226" s="1032">
        <f>IF($AM226="Structure", IF($I226="kg",$J226,0), 0)</f>
        <v>0</v>
      </c>
      <c r="BH226" s="1030">
        <f>IF($AM226="Insulation", IF($I226="kg",$J226,0), 0)</f>
        <v>0</v>
      </c>
      <c r="BI226" s="1033">
        <f>IF($AM226="Revêtement", IF($I226="kg",$J226,0), 0)</f>
        <v>0</v>
      </c>
      <c r="BJ226" s="1030">
        <f>_xlfn.XLOOKUP(H226, 'Baumaterialien Matériaux'!A:A, 'Baumaterialien Matériaux'!E:E, "-", 0, 1)</f>
        <v>0</v>
      </c>
      <c r="BK226" s="1032">
        <f t="shared" si="524"/>
        <v>0</v>
      </c>
      <c r="BL226" s="1030">
        <f t="shared" si="525"/>
        <v>0</v>
      </c>
      <c r="BM226" s="1033">
        <f t="shared" si="526"/>
        <v>0</v>
      </c>
      <c r="BN226" s="720"/>
      <c r="BO226" s="720"/>
    </row>
    <row r="227" spans="2:68">
      <c r="B227" s="1103"/>
      <c r="C227" s="1099"/>
      <c r="D227" s="478"/>
      <c r="E227" s="478"/>
      <c r="F227" s="3" t="s">
        <v>3353</v>
      </c>
      <c r="G227" s="478" t="str">
        <f>_xlfn.XLOOKUP(H227, 'Baumaterialien Matériaux'!A:A, 'Baumaterialien Matériaux'!AD:AD, "-", 0, 1)</f>
        <v>Bois massif épicéa / sapin / mélèze, séché en cellule, raboté</v>
      </c>
      <c r="H227" s="892" t="s">
        <v>129</v>
      </c>
      <c r="I227" s="641" t="str">
        <f>_xlfn.XLOOKUP(H227, 'Baumaterialien Matériaux'!A:A, 'Baumaterialien Matériaux'!F:F, "-", 0, 1)</f>
        <v>kg</v>
      </c>
      <c r="J227" s="649">
        <f>$J$222*K227</f>
        <v>1000.1312999999999</v>
      </c>
      <c r="K227" s="894">
        <f>0.027*465</f>
        <v>12.555</v>
      </c>
      <c r="L227" s="647">
        <v>40</v>
      </c>
      <c r="M227" s="648">
        <f t="shared" si="606"/>
        <v>0.33531649213327158</v>
      </c>
      <c r="N227" s="720">
        <f>IFERROR(($J227*VLOOKUP($H227, 'Baumaterialien Matériaux'!$A$11:$AD$318, 26,FALSE)),0)/$G$1</f>
        <v>0.14876019204072186</v>
      </c>
      <c r="O227" s="720">
        <f>IFERROR(($J227*VLOOKUP($H227, 'Baumaterialien Matériaux'!$A$11:$AH$318, 33,FALSE)),0)/$G$1</f>
        <v>4.7382875983341038E-2</v>
      </c>
      <c r="P227" s="720">
        <f t="shared" si="607"/>
        <v>9.5977872049976848E-2</v>
      </c>
      <c r="Q227" s="720">
        <f>IFERROR(($J227*VLOOKUP($H227, 'Baumaterialien Matériaux'!$A$11:$AH$318, 27,FALSE)),0)/$G$1</f>
        <v>4.3195552059231833E-2</v>
      </c>
      <c r="R227" s="720">
        <f>IFERROR(($J227*VLOOKUP($H227, 'Baumaterialien Matériaux'!$A$11:$AH$318, 34,FALSE)),0)/$G$1</f>
        <v>8.0220310967144826E-3</v>
      </c>
      <c r="S227" s="720">
        <f>IFERROR((J227*VLOOKUP(H227, 'Baumaterialien Matériaux'!$A$11:$AD$318, 29,FALSE)),0)/$G$1</f>
        <v>1.8222205252198054</v>
      </c>
      <c r="T227" s="720">
        <f>S227*AJ227</f>
        <v>-0.12755543676538639</v>
      </c>
      <c r="U227" s="638">
        <v>-7.0000000000000007E-2</v>
      </c>
      <c r="V227" s="638">
        <f t="shared" si="556"/>
        <v>-0.12755543676538639</v>
      </c>
      <c r="W227" s="638">
        <f t="shared" si="557"/>
        <v>1.8222205252198054</v>
      </c>
      <c r="Z227" s="638">
        <f t="shared" si="555"/>
        <v>40</v>
      </c>
      <c r="AA227" s="527" t="s">
        <v>3450</v>
      </c>
      <c r="AB227" t="str">
        <f>_xlfn.XLOOKUP($H227,'[1]Baumaterialien Matériaux'!$A:$A,'[1]Baumaterialien Matériaux'!AK:AK,0,0)</f>
        <v>timber</v>
      </c>
      <c r="AC227" t="str" cm="1">
        <f t="array" ref="AC227">_xlfn.SWITCH(I227,"kg"," ",0," ",_xlfn.XLOOKUP(H227, '[1]Baumaterialien Matériaux'!$A:$A, '[1]Baumaterialien Matériaux'!$AL:$AL, "-", 0, 1))</f>
        <v xml:space="preserve"> </v>
      </c>
      <c r="AD227" s="622" cm="1">
        <f t="array" ref="AD227">IFERROR(_xlfn.SWITCH(I227,"kg",1,"m3",AC227,AC227)*J227/(_xlfn.XLOOKUP(AA227,Métrés!A:A,Métrés!D:D,0)),0)</f>
        <v>8.3699999999999992</v>
      </c>
      <c r="AE227" s="1092">
        <f>IFERROR(N227*$G$1/(_xlfn.XLOOKUP($AA227,Métrés!$A:$A,Métrés!$D:$D,0)),0)</f>
        <v>1.12995</v>
      </c>
      <c r="AF227" s="1092">
        <f>IFERROR(O227*$G$1/(_xlfn.XLOOKUP($AA227,Métrés!$A:$A,Métrés!$D:$D,0)),0)</f>
        <v>0.35990999999999995</v>
      </c>
      <c r="AG227" s="1092">
        <f>IFERROR(Q227*$G$1/(_xlfn.XLOOKUP($AA227,Métrés!$A:$A,Métrés!$D:$D,0)),0)</f>
        <v>0.32810399999999995</v>
      </c>
      <c r="AH227" s="1092">
        <f>IFERROR(R227*$G$1/(_xlfn.XLOOKUP($AA227,Métrés!$A:$A,Métrés!$D:$D,0)),0)</f>
        <v>6.0933599999999991E-2</v>
      </c>
      <c r="AI227" s="1092">
        <f>IFERROR(S227*$G$1/(_xlfn.XLOOKUP($AA227,Métrés!$A:$A,Métrés!$D:$D,0)),0)</f>
        <v>13.841189999999999</v>
      </c>
      <c r="AJ227" s="1030">
        <v>-7.0000000000000007E-2</v>
      </c>
      <c r="AK227" s="1030">
        <f>IF(L227=60,0,T227)</f>
        <v>-0.12755543676538639</v>
      </c>
      <c r="AL227" s="1030">
        <f>IF(L227=60,0,S227)</f>
        <v>1.8222205252198054</v>
      </c>
      <c r="AM227" s="638" t="str">
        <f>IF(L227=$L$2, "Structure", IF(L227&gt;0,"Revêtement",0))</f>
        <v>Revêtement</v>
      </c>
      <c r="AN227" s="1032">
        <f>IF(AM227="Structure",N227,0)</f>
        <v>0</v>
      </c>
      <c r="AO227" s="1030">
        <f>IF(AM227="Structure",P227,0)</f>
        <v>0</v>
      </c>
      <c r="AP227" s="1030">
        <f>IF(AM227="Structure",Q227,0)</f>
        <v>0</v>
      </c>
      <c r="AQ227" s="1030">
        <f>IF(AM227="Structure",S227,0)</f>
        <v>0</v>
      </c>
      <c r="AR227" s="1033">
        <f>IF(AM227="Structure",T227,0)</f>
        <v>0</v>
      </c>
      <c r="AS227" s="1032">
        <f>IF($AM227="Insulation",N227,0)</f>
        <v>0</v>
      </c>
      <c r="AT227" s="1030">
        <f t="shared" si="608"/>
        <v>0</v>
      </c>
      <c r="AU227" s="1030">
        <f t="shared" si="608"/>
        <v>0</v>
      </c>
      <c r="AV227" s="1030">
        <f t="shared" si="609"/>
        <v>0</v>
      </c>
      <c r="AW227" s="1033">
        <f t="shared" si="609"/>
        <v>0</v>
      </c>
      <c r="AX227" s="1032">
        <f>IF($AM227="Revêtement",N227,0)</f>
        <v>0.14876019204072186</v>
      </c>
      <c r="AY227" s="1030">
        <f t="shared" si="610"/>
        <v>9.5977872049976848E-2</v>
      </c>
      <c r="AZ227" s="1030">
        <f t="shared" si="610"/>
        <v>4.3195552059231833E-2</v>
      </c>
      <c r="BA227" s="1030">
        <f t="shared" si="611"/>
        <v>1.8222205252198054</v>
      </c>
      <c r="BB227" s="1033">
        <f t="shared" si="611"/>
        <v>-0.12755543676538639</v>
      </c>
      <c r="BC227" s="1032">
        <f>IF($AM227="Installation",N227,0)</f>
        <v>0</v>
      </c>
      <c r="BD227" s="1030">
        <f t="shared" si="612"/>
        <v>0</v>
      </c>
      <c r="BE227" s="1030">
        <f t="shared" si="612"/>
        <v>0</v>
      </c>
      <c r="BF227" s="1033">
        <f>IF($AM227="Installation",S227,0)</f>
        <v>0</v>
      </c>
      <c r="BG227" s="1032">
        <f>IF($AM227="Structure", IF($I227="kg",$J227,0), 0)</f>
        <v>0</v>
      </c>
      <c r="BH227" s="1030">
        <f>IF($AM227="Insulation", IF($I227="kg",$J227,0), 0)</f>
        <v>0</v>
      </c>
      <c r="BI227" s="1033">
        <f>IF($AM227="Revêtement", IF($I227="kg",$J227,0), 0)</f>
        <v>1000.1312999999999</v>
      </c>
      <c r="BJ227" s="1030">
        <f>_xlfn.XLOOKUP(H227, 'Baumaterialien Matériaux'!A:A, 'Baumaterialien Matériaux'!E:E, "-", 0, 1)</f>
        <v>465</v>
      </c>
      <c r="BK227" s="1032">
        <f t="shared" si="524"/>
        <v>0</v>
      </c>
      <c r="BL227" s="1030">
        <f t="shared" si="525"/>
        <v>0</v>
      </c>
      <c r="BM227" s="1033">
        <f t="shared" si="526"/>
        <v>2.15082</v>
      </c>
      <c r="BN227" s="720"/>
      <c r="BO227" s="720"/>
    </row>
    <row r="228" spans="2:68">
      <c r="B228" s="1103"/>
      <c r="C228" s="1099"/>
      <c r="D228" s="478"/>
      <c r="E228" s="478"/>
      <c r="F228" s="479"/>
      <c r="G228" s="479"/>
      <c r="H228" s="479"/>
      <c r="I228" s="459"/>
      <c r="J228" s="662">
        <v>40.090000000000003</v>
      </c>
      <c r="K228" s="663"/>
      <c r="L228" s="663"/>
      <c r="M228" s="664">
        <f>SUM(M229:M232)</f>
        <v>0</v>
      </c>
      <c r="N228" s="664">
        <f t="shared" ref="N228:T228" si="613">SUM(N229:N232)</f>
        <v>0</v>
      </c>
      <c r="O228" s="664">
        <f t="shared" ref="O228" si="614">SUM(O229:O232)</f>
        <v>0</v>
      </c>
      <c r="P228" s="664">
        <f t="shared" si="613"/>
        <v>0</v>
      </c>
      <c r="Q228" s="664">
        <f t="shared" si="613"/>
        <v>0</v>
      </c>
      <c r="R228" s="664">
        <f t="shared" ref="R228" si="615">SUM(R229:R232)</f>
        <v>0</v>
      </c>
      <c r="S228" s="664">
        <f t="shared" si="613"/>
        <v>0</v>
      </c>
      <c r="T228" s="664">
        <f t="shared" si="613"/>
        <v>0</v>
      </c>
      <c r="V228" s="638">
        <f t="shared" si="556"/>
        <v>0</v>
      </c>
      <c r="W228" s="638">
        <f t="shared" si="557"/>
        <v>0</v>
      </c>
      <c r="Y228" s="638" t="s">
        <v>3407</v>
      </c>
      <c r="Z228" s="638">
        <f t="shared" si="555"/>
        <v>0</v>
      </c>
      <c r="AA228" s="527" t="s">
        <v>3450</v>
      </c>
      <c r="AB228">
        <f>_xlfn.XLOOKUP($H228,'[1]Baumaterialien Matériaux'!$A:$A,'[1]Baumaterialien Matériaux'!AK:AK,0,0)</f>
        <v>0</v>
      </c>
      <c r="AC228" t="str" cm="1">
        <f t="array" ref="AC228">_xlfn.SWITCH(I228,"kg"," ",0," ",_xlfn.XLOOKUP(H228, '[1]Baumaterialien Matériaux'!$A:$A, '[1]Baumaterialien Matériaux'!$AL:$AL, "-", 0, 1))</f>
        <v xml:space="preserve"> </v>
      </c>
      <c r="AD228" s="622" cm="1">
        <f t="array" ref="AD228">IFERROR(_xlfn.SWITCH(I228,"kg",1,"m3",AC228,AC228)*J228/(_xlfn.XLOOKUP(AA228,Métrés!A:A,Métrés!D:D,0)),0)</f>
        <v>0</v>
      </c>
      <c r="AE228" s="1092">
        <f>IFERROR(N228*$G$1/(_xlfn.XLOOKUP($AA228,Métrés!$A:$A,Métrés!$D:$D,0)),0)</f>
        <v>0</v>
      </c>
      <c r="AF228" s="1092">
        <f>IFERROR(O228*$G$1/(_xlfn.XLOOKUP($AA228,Métrés!$A:$A,Métrés!$D:$D,0)),0)</f>
        <v>0</v>
      </c>
      <c r="AG228" s="1092">
        <f>IFERROR(Q228*$G$1/(_xlfn.XLOOKUP($AA228,Métrés!$A:$A,Métrés!$D:$D,0)),0)</f>
        <v>0</v>
      </c>
      <c r="AH228" s="1092">
        <f>IFERROR(R228*$G$1/(_xlfn.XLOOKUP($AA228,Métrés!$A:$A,Métrés!$D:$D,0)),0)</f>
        <v>0</v>
      </c>
      <c r="AI228" s="1092">
        <f>IFERROR(S228*$G$1/(_xlfn.XLOOKUP($AA228,Métrés!$A:$A,Métrés!$D:$D,0)),0)</f>
        <v>0</v>
      </c>
      <c r="AJ228" s="1064"/>
      <c r="AK228" s="1064"/>
      <c r="AL228" s="1064"/>
      <c r="AM228" s="1021"/>
      <c r="AN228" s="1073"/>
      <c r="AO228" s="1064"/>
      <c r="AP228" s="1064"/>
      <c r="AQ228" s="1064"/>
      <c r="AR228" s="1074"/>
      <c r="AS228" s="1073"/>
      <c r="AT228" s="1064"/>
      <c r="AU228" s="1064"/>
      <c r="AV228" s="1064"/>
      <c r="AW228" s="1074"/>
      <c r="AX228" s="1073"/>
      <c r="AY228" s="1064"/>
      <c r="AZ228" s="1064"/>
      <c r="BA228" s="1064"/>
      <c r="BB228" s="1074"/>
      <c r="BC228" s="1073"/>
      <c r="BD228" s="1064"/>
      <c r="BE228" s="1064"/>
      <c r="BF228" s="1074"/>
      <c r="BG228" s="1073"/>
      <c r="BH228" s="1064"/>
      <c r="BI228" s="1074"/>
      <c r="BJ228" s="1078"/>
      <c r="BK228" s="1073"/>
      <c r="BL228" s="1064"/>
      <c r="BM228" s="1074"/>
      <c r="BN228" s="720">
        <f>IFERROR((J228*VLOOKUP(H228, 'Baumaterialien Matériaux'!$A$11:$AH$318, 32,FALSE))*($L$2/L228-1),0)/$G$1</f>
        <v>0</v>
      </c>
      <c r="BO228" s="720">
        <f>IFERROR((N228+Q228)*($L$2/L228-1),0)</f>
        <v>0</v>
      </c>
    </row>
    <row r="229" spans="2:68">
      <c r="B229" s="1103"/>
      <c r="C229" s="1099"/>
      <c r="D229" s="478"/>
      <c r="E229" s="478"/>
      <c r="F229" s="3"/>
      <c r="G229" s="478"/>
      <c r="H229" s="875"/>
      <c r="I229" s="641"/>
      <c r="J229" s="649"/>
      <c r="K229" s="650"/>
      <c r="L229" s="647"/>
      <c r="M229" s="648"/>
      <c r="N229" s="720"/>
      <c r="O229" s="720"/>
      <c r="P229" s="720"/>
      <c r="Q229" s="720"/>
      <c r="R229" s="720"/>
      <c r="S229" s="720"/>
      <c r="T229" s="720">
        <f>S229*AJ229</f>
        <v>0</v>
      </c>
      <c r="V229" s="638">
        <f t="shared" si="556"/>
        <v>0</v>
      </c>
      <c r="W229" s="638">
        <f t="shared" si="557"/>
        <v>0</v>
      </c>
      <c r="Y229" s="638" t="s">
        <v>3407</v>
      </c>
      <c r="Z229" s="638">
        <f t="shared" si="555"/>
        <v>0</v>
      </c>
      <c r="AA229" s="527" t="s">
        <v>3450</v>
      </c>
      <c r="AB229">
        <f>_xlfn.XLOOKUP($H229,'[1]Baumaterialien Matériaux'!$A:$A,'[1]Baumaterialien Matériaux'!AK:AK,0,0)</f>
        <v>0</v>
      </c>
      <c r="AC229" t="str" cm="1">
        <f t="array" ref="AC229">_xlfn.SWITCH(I229,"kg"," ",0," ",_xlfn.XLOOKUP(H229, '[1]Baumaterialien Matériaux'!$A:$A, '[1]Baumaterialien Matériaux'!$AL:$AL, "-", 0, 1))</f>
        <v xml:space="preserve"> </v>
      </c>
      <c r="AD229" s="622" cm="1">
        <f t="array" ref="AD229">IFERROR(_xlfn.SWITCH(I229,"kg",1,"m3",AC229,AC229)*J229/(_xlfn.XLOOKUP(AA229,Métrés!A:A,Métrés!D:D,0)),0)</f>
        <v>0</v>
      </c>
      <c r="AE229" s="1092">
        <f>IFERROR(N229*$G$1/(_xlfn.XLOOKUP($AA229,Métrés!$A:$A,Métrés!$D:$D,0)),0)</f>
        <v>0</v>
      </c>
      <c r="AF229" s="1092">
        <f>IFERROR(O229*$G$1/(_xlfn.XLOOKUP($AA229,Métrés!$A:$A,Métrés!$D:$D,0)),0)</f>
        <v>0</v>
      </c>
      <c r="AG229" s="1092">
        <f>IFERROR(Q229*$G$1/(_xlfn.XLOOKUP($AA229,Métrés!$A:$A,Métrés!$D:$D,0)),0)</f>
        <v>0</v>
      </c>
      <c r="AH229" s="1092">
        <f>IFERROR(R229*$G$1/(_xlfn.XLOOKUP($AA229,Métrés!$A:$A,Métrés!$D:$D,0)),0)</f>
        <v>0</v>
      </c>
      <c r="AI229" s="1092">
        <f>IFERROR(S229*$G$1/(_xlfn.XLOOKUP($AA229,Métrés!$A:$A,Métrés!$D:$D,0)),0)</f>
        <v>0</v>
      </c>
      <c r="AJ229" s="1030"/>
      <c r="AK229" s="1030">
        <f>IF(L229=60,0,T229)</f>
        <v>0</v>
      </c>
      <c r="AL229" s="1030">
        <f>IF(L229=60,0,S229)</f>
        <v>0</v>
      </c>
      <c r="AM229" s="638">
        <f>IF(L229=$L$2, "Structure", IF(L229&gt;0,"Revêtement",0))</f>
        <v>0</v>
      </c>
      <c r="AN229" s="1032">
        <f>IF(AM229="Structure",N229,0)</f>
        <v>0</v>
      </c>
      <c r="AO229" s="1030">
        <f>IF(AM229="Structure",P229,0)</f>
        <v>0</v>
      </c>
      <c r="AP229" s="1030">
        <f>IF(AM229="Structure",Q229,0)</f>
        <v>0</v>
      </c>
      <c r="AQ229" s="1030">
        <f>IF(AM229="Structure",S229,0)</f>
        <v>0</v>
      </c>
      <c r="AR229" s="1033">
        <f>IF(AM229="Structure",T229,0)</f>
        <v>0</v>
      </c>
      <c r="AS229" s="1032">
        <f>IF($AM229="Insulation",N229,0)</f>
        <v>0</v>
      </c>
      <c r="AT229" s="1030">
        <f t="shared" ref="AT229:AU232" si="616">IF($AM229="Insulation",P229,0)</f>
        <v>0</v>
      </c>
      <c r="AU229" s="1030">
        <f t="shared" si="616"/>
        <v>0</v>
      </c>
      <c r="AV229" s="1030">
        <f t="shared" ref="AV229:AW232" si="617">IF($AM229="Insulation",S229,0)</f>
        <v>0</v>
      </c>
      <c r="AW229" s="1033">
        <f t="shared" si="617"/>
        <v>0</v>
      </c>
      <c r="AX229" s="1032">
        <f>IF($AM229="Revêtement",N229,0)</f>
        <v>0</v>
      </c>
      <c r="AY229" s="1030">
        <f t="shared" ref="AY229:AZ232" si="618">IF($AM229="Revêtement",P229,0)</f>
        <v>0</v>
      </c>
      <c r="AZ229" s="1030">
        <f t="shared" si="618"/>
        <v>0</v>
      </c>
      <c r="BA229" s="1030">
        <f t="shared" ref="BA229:BB232" si="619">IF($AM229="Revêtement",S229,0)</f>
        <v>0</v>
      </c>
      <c r="BB229" s="1033">
        <f t="shared" si="619"/>
        <v>0</v>
      </c>
      <c r="BC229" s="1032">
        <f>IF($AM229="Installation",N229,0)</f>
        <v>0</v>
      </c>
      <c r="BD229" s="1030">
        <f t="shared" ref="BD229:BE232" si="620">IF($AM229="Installation",P229,0)</f>
        <v>0</v>
      </c>
      <c r="BE229" s="1030">
        <f t="shared" si="620"/>
        <v>0</v>
      </c>
      <c r="BF229" s="1033">
        <f>IF($AM229="Installation",S229,0)</f>
        <v>0</v>
      </c>
      <c r="BG229" s="1032">
        <f>IF($AM229="Structure", IF($I229="kg",$J229,0), 0)</f>
        <v>0</v>
      </c>
      <c r="BH229" s="1030">
        <f>IF($AM229="Insulation", IF($I229="kg",$J229,0), 0)</f>
        <v>0</v>
      </c>
      <c r="BI229" s="1033">
        <f>IF($AM229="Revêtement", IF($I229="kg",$J229,0), 0)</f>
        <v>0</v>
      </c>
      <c r="BJ229" s="1030">
        <f>_xlfn.XLOOKUP(H229, 'Baumaterialien Matériaux'!A:A, 'Baumaterialien Matériaux'!E:E, "-", 0, 1)</f>
        <v>0</v>
      </c>
      <c r="BK229" s="1032">
        <f t="shared" si="524"/>
        <v>0</v>
      </c>
      <c r="BL229" s="1030">
        <f t="shared" si="525"/>
        <v>0</v>
      </c>
      <c r="BM229" s="1033">
        <f t="shared" si="526"/>
        <v>0</v>
      </c>
      <c r="BN229" s="720">
        <f>IFERROR((J229*VLOOKUP(H229, 'Baumaterialien Matériaux'!$A$11:$AH$318, 32,FALSE))*($L$2/L229-1),0)/$G$1/57.8</f>
        <v>0</v>
      </c>
      <c r="BO229" s="720">
        <f>IFERROR((N229+Q229)*($L$2/L229-1),0)</f>
        <v>0</v>
      </c>
      <c r="BP229" s="638" t="e">
        <f>VLOOKUP(H229, 'Baumaterialien Matériaux'!$A$11:$AH$318, 32,FALSE)</f>
        <v>#N/A</v>
      </c>
    </row>
    <row r="230" spans="2:68">
      <c r="B230" s="1103"/>
      <c r="C230" s="1099"/>
      <c r="D230" s="478"/>
      <c r="E230" s="478"/>
      <c r="F230" s="3"/>
      <c r="G230" s="478"/>
      <c r="H230" s="875"/>
      <c r="I230" s="641"/>
      <c r="J230" s="649"/>
      <c r="K230" s="650"/>
      <c r="L230" s="647"/>
      <c r="M230" s="648"/>
      <c r="N230" s="720"/>
      <c r="O230" s="720"/>
      <c r="P230" s="720"/>
      <c r="Q230" s="720"/>
      <c r="R230" s="720"/>
      <c r="S230" s="720"/>
      <c r="T230" s="720">
        <f>S230*AJ230</f>
        <v>0</v>
      </c>
      <c r="V230" s="638">
        <f t="shared" si="556"/>
        <v>0</v>
      </c>
      <c r="W230" s="638">
        <f t="shared" si="557"/>
        <v>0</v>
      </c>
      <c r="Z230" s="638">
        <f t="shared" si="555"/>
        <v>0</v>
      </c>
      <c r="AA230" s="527" t="s">
        <v>3450</v>
      </c>
      <c r="AB230">
        <f>_xlfn.XLOOKUP($H230,'[1]Baumaterialien Matériaux'!$A:$A,'[1]Baumaterialien Matériaux'!AK:AK,0,0)</f>
        <v>0</v>
      </c>
      <c r="AC230" t="str" cm="1">
        <f t="array" ref="AC230">_xlfn.SWITCH(I230,"kg"," ",0," ",_xlfn.XLOOKUP(H230, '[1]Baumaterialien Matériaux'!$A:$A, '[1]Baumaterialien Matériaux'!$AL:$AL, "-", 0, 1))</f>
        <v xml:space="preserve"> </v>
      </c>
      <c r="AD230" s="622" cm="1">
        <f t="array" ref="AD230">IFERROR(_xlfn.SWITCH(I230,"kg",1,"m3",AC230,AC230)*J230/(_xlfn.XLOOKUP(AA230,Métrés!A:A,Métrés!D:D,0)),0)</f>
        <v>0</v>
      </c>
      <c r="AE230" s="1092">
        <f>IFERROR(N230*$G$1/(_xlfn.XLOOKUP($AA230,Métrés!$A:$A,Métrés!$D:$D,0)),0)</f>
        <v>0</v>
      </c>
      <c r="AF230" s="1092">
        <f>IFERROR(O230*$G$1/(_xlfn.XLOOKUP($AA230,Métrés!$A:$A,Métrés!$D:$D,0)),0)</f>
        <v>0</v>
      </c>
      <c r="AG230" s="1092">
        <f>IFERROR(Q230*$G$1/(_xlfn.XLOOKUP($AA230,Métrés!$A:$A,Métrés!$D:$D,0)),0)</f>
        <v>0</v>
      </c>
      <c r="AH230" s="1092">
        <f>IFERROR(R230*$G$1/(_xlfn.XLOOKUP($AA230,Métrés!$A:$A,Métrés!$D:$D,0)),0)</f>
        <v>0</v>
      </c>
      <c r="AI230" s="1092">
        <f>IFERROR(S230*$G$1/(_xlfn.XLOOKUP($AA230,Métrés!$A:$A,Métrés!$D:$D,0)),0)</f>
        <v>0</v>
      </c>
      <c r="AJ230" s="1030"/>
      <c r="AK230" s="1030">
        <f>IF(L230=60,0,T230)</f>
        <v>0</v>
      </c>
      <c r="AL230" s="1030">
        <f>IF(L230=60,0,S230)</f>
        <v>0</v>
      </c>
      <c r="AM230" s="638">
        <f>IF(L230=$L$2, "Structure", IF(L230&gt;0,"Revêtement",0))</f>
        <v>0</v>
      </c>
      <c r="AN230" s="1032">
        <f>IF(AM230="Structure",N230,0)</f>
        <v>0</v>
      </c>
      <c r="AO230" s="1030">
        <f>IF(AM230="Structure",P230,0)</f>
        <v>0</v>
      </c>
      <c r="AP230" s="1030">
        <f>IF(AM230="Structure",Q230,0)</f>
        <v>0</v>
      </c>
      <c r="AQ230" s="1030">
        <f>IF(AM230="Structure",S230,0)</f>
        <v>0</v>
      </c>
      <c r="AR230" s="1033">
        <f>IF(AM230="Structure",T230,0)</f>
        <v>0</v>
      </c>
      <c r="AS230" s="1032">
        <f>IF($AM230="Insulation",N230,0)</f>
        <v>0</v>
      </c>
      <c r="AT230" s="1030">
        <f t="shared" si="616"/>
        <v>0</v>
      </c>
      <c r="AU230" s="1030">
        <f t="shared" si="616"/>
        <v>0</v>
      </c>
      <c r="AV230" s="1030">
        <f t="shared" si="617"/>
        <v>0</v>
      </c>
      <c r="AW230" s="1033">
        <f t="shared" si="617"/>
        <v>0</v>
      </c>
      <c r="AX230" s="1032">
        <f>IF($AM230="Revêtement",N230,0)</f>
        <v>0</v>
      </c>
      <c r="AY230" s="1030">
        <f t="shared" si="618"/>
        <v>0</v>
      </c>
      <c r="AZ230" s="1030">
        <f t="shared" si="618"/>
        <v>0</v>
      </c>
      <c r="BA230" s="1030">
        <f t="shared" si="619"/>
        <v>0</v>
      </c>
      <c r="BB230" s="1033">
        <f t="shared" si="619"/>
        <v>0</v>
      </c>
      <c r="BC230" s="1032">
        <f>IF($AM230="Installation",N230,0)</f>
        <v>0</v>
      </c>
      <c r="BD230" s="1030">
        <f t="shared" si="620"/>
        <v>0</v>
      </c>
      <c r="BE230" s="1030">
        <f t="shared" si="620"/>
        <v>0</v>
      </c>
      <c r="BF230" s="1033">
        <f>IF($AM230="Installation",S230,0)</f>
        <v>0</v>
      </c>
      <c r="BG230" s="1032">
        <f>IF($AM230="Structure", IF($I230="kg",$J230,0), 0)</f>
        <v>0</v>
      </c>
      <c r="BH230" s="1030">
        <f>IF($AM230="Insulation", IF($I230="kg",$J230,0), 0)</f>
        <v>0</v>
      </c>
      <c r="BI230" s="1033">
        <f>IF($AM230="Revêtement", IF($I230="kg",$J230,0), 0)</f>
        <v>0</v>
      </c>
      <c r="BJ230" s="1030">
        <f>_xlfn.XLOOKUP(H230, 'Baumaterialien Matériaux'!A:A, 'Baumaterialien Matériaux'!E:E, "-", 0, 1)</f>
        <v>0</v>
      </c>
      <c r="BK230" s="1032">
        <f t="shared" si="524"/>
        <v>0</v>
      </c>
      <c r="BL230" s="1030">
        <f t="shared" si="525"/>
        <v>0</v>
      </c>
      <c r="BM230" s="1033">
        <f t="shared" si="526"/>
        <v>0</v>
      </c>
      <c r="BN230" s="720"/>
      <c r="BO230" s="720"/>
    </row>
    <row r="231" spans="2:68">
      <c r="B231" s="1103"/>
      <c r="C231" s="1099"/>
      <c r="D231" s="478"/>
      <c r="E231" s="478"/>
      <c r="F231" s="3"/>
      <c r="G231" s="478"/>
      <c r="H231" s="875"/>
      <c r="I231" s="641"/>
      <c r="J231" s="649"/>
      <c r="K231" s="650"/>
      <c r="L231" s="647"/>
      <c r="M231" s="648"/>
      <c r="N231" s="720"/>
      <c r="O231" s="720"/>
      <c r="P231" s="720"/>
      <c r="Q231" s="720"/>
      <c r="R231" s="720"/>
      <c r="S231" s="720"/>
      <c r="T231" s="720">
        <f>S231*AJ231</f>
        <v>0</v>
      </c>
      <c r="V231" s="638">
        <f t="shared" si="556"/>
        <v>0</v>
      </c>
      <c r="W231" s="638">
        <f t="shared" si="557"/>
        <v>0</v>
      </c>
      <c r="Z231" s="638">
        <f t="shared" si="555"/>
        <v>0</v>
      </c>
      <c r="AA231" s="527" t="s">
        <v>3450</v>
      </c>
      <c r="AB231">
        <f>_xlfn.XLOOKUP($H231,'[1]Baumaterialien Matériaux'!$A:$A,'[1]Baumaterialien Matériaux'!AK:AK,0,0)</f>
        <v>0</v>
      </c>
      <c r="AC231" t="str" cm="1">
        <f t="array" ref="AC231">_xlfn.SWITCH(I231,"kg"," ",0," ",_xlfn.XLOOKUP(H231, '[1]Baumaterialien Matériaux'!$A:$A, '[1]Baumaterialien Matériaux'!$AL:$AL, "-", 0, 1))</f>
        <v xml:space="preserve"> </v>
      </c>
      <c r="AD231" s="622" cm="1">
        <f t="array" ref="AD231">IFERROR(_xlfn.SWITCH(I231,"kg",1,"m3",AC231,AC231)*J231/(_xlfn.XLOOKUP(AA231,Métrés!A:A,Métrés!D:D,0)),0)</f>
        <v>0</v>
      </c>
      <c r="AE231" s="1092">
        <f>IFERROR(N231*$G$1/(_xlfn.XLOOKUP($AA231,Métrés!$A:$A,Métrés!$D:$D,0)),0)</f>
        <v>0</v>
      </c>
      <c r="AF231" s="1092">
        <f>IFERROR(O231*$G$1/(_xlfn.XLOOKUP($AA231,Métrés!$A:$A,Métrés!$D:$D,0)),0)</f>
        <v>0</v>
      </c>
      <c r="AG231" s="1092">
        <f>IFERROR(Q231*$G$1/(_xlfn.XLOOKUP($AA231,Métrés!$A:$A,Métrés!$D:$D,0)),0)</f>
        <v>0</v>
      </c>
      <c r="AH231" s="1092">
        <f>IFERROR(R231*$G$1/(_xlfn.XLOOKUP($AA231,Métrés!$A:$A,Métrés!$D:$D,0)),0)</f>
        <v>0</v>
      </c>
      <c r="AI231" s="1092">
        <f>IFERROR(S231*$G$1/(_xlfn.XLOOKUP($AA231,Métrés!$A:$A,Métrés!$D:$D,0)),0)</f>
        <v>0</v>
      </c>
      <c r="AJ231" s="1030"/>
      <c r="AK231" s="1030">
        <f>IF(L231=60,0,T231)</f>
        <v>0</v>
      </c>
      <c r="AL231" s="1030">
        <f>IF(L231=60,0,S231)</f>
        <v>0</v>
      </c>
      <c r="AM231" s="638">
        <f>IF(L231=$L$2, "Structure", IF(L231&gt;0,"Revêtement",0))</f>
        <v>0</v>
      </c>
      <c r="AN231" s="1032">
        <f>IF(AM231="Structure",N231,0)</f>
        <v>0</v>
      </c>
      <c r="AO231" s="1030">
        <f>IF(AM231="Structure",P231,0)</f>
        <v>0</v>
      </c>
      <c r="AP231" s="1030">
        <f>IF(AM231="Structure",Q231,0)</f>
        <v>0</v>
      </c>
      <c r="AQ231" s="1030">
        <f>IF(AM231="Structure",S231,0)</f>
        <v>0</v>
      </c>
      <c r="AR231" s="1033">
        <f>IF(AM231="Structure",T231,0)</f>
        <v>0</v>
      </c>
      <c r="AS231" s="1032">
        <f>IF($AM231="Insulation",N231,0)</f>
        <v>0</v>
      </c>
      <c r="AT231" s="1030">
        <f t="shared" si="616"/>
        <v>0</v>
      </c>
      <c r="AU231" s="1030">
        <f t="shared" si="616"/>
        <v>0</v>
      </c>
      <c r="AV231" s="1030">
        <f t="shared" si="617"/>
        <v>0</v>
      </c>
      <c r="AW231" s="1033">
        <f t="shared" si="617"/>
        <v>0</v>
      </c>
      <c r="AX231" s="1032">
        <f>IF($AM231="Revêtement",N231,0)</f>
        <v>0</v>
      </c>
      <c r="AY231" s="1030">
        <f t="shared" si="618"/>
        <v>0</v>
      </c>
      <c r="AZ231" s="1030">
        <f t="shared" si="618"/>
        <v>0</v>
      </c>
      <c r="BA231" s="1030">
        <f t="shared" si="619"/>
        <v>0</v>
      </c>
      <c r="BB231" s="1033">
        <f t="shared" si="619"/>
        <v>0</v>
      </c>
      <c r="BC231" s="1032">
        <f>IF($AM231="Installation",N231,0)</f>
        <v>0</v>
      </c>
      <c r="BD231" s="1030">
        <f t="shared" si="620"/>
        <v>0</v>
      </c>
      <c r="BE231" s="1030">
        <f t="shared" si="620"/>
        <v>0</v>
      </c>
      <c r="BF231" s="1033">
        <f>IF($AM231="Installation",S231,0)</f>
        <v>0</v>
      </c>
      <c r="BG231" s="1032">
        <f>IF($AM231="Structure", IF($I231="kg",$J231,0), 0)</f>
        <v>0</v>
      </c>
      <c r="BH231" s="1030">
        <f>IF($AM231="Insulation", IF($I231="kg",$J231,0), 0)</f>
        <v>0</v>
      </c>
      <c r="BI231" s="1033">
        <f>IF($AM231="Revêtement", IF($I231="kg",$J231,0), 0)</f>
        <v>0</v>
      </c>
      <c r="BJ231" s="1030">
        <f>_xlfn.XLOOKUP(H231, 'Baumaterialien Matériaux'!A:A, 'Baumaterialien Matériaux'!E:E, "-", 0, 1)</f>
        <v>0</v>
      </c>
      <c r="BK231" s="1032">
        <f t="shared" si="524"/>
        <v>0</v>
      </c>
      <c r="BL231" s="1030">
        <f t="shared" si="525"/>
        <v>0</v>
      </c>
      <c r="BM231" s="1033">
        <f t="shared" si="526"/>
        <v>0</v>
      </c>
      <c r="BN231" s="720"/>
      <c r="BO231" s="720"/>
    </row>
    <row r="232" spans="2:68">
      <c r="B232" s="1104"/>
      <c r="C232" s="1099"/>
      <c r="D232" s="478"/>
      <c r="E232" s="478"/>
      <c r="F232" s="3"/>
      <c r="G232" s="478"/>
      <c r="H232" s="875"/>
      <c r="I232" s="641"/>
      <c r="J232" s="649"/>
      <c r="K232" s="650"/>
      <c r="L232" s="647"/>
      <c r="M232" s="648"/>
      <c r="N232" s="720"/>
      <c r="O232" s="720"/>
      <c r="P232" s="720"/>
      <c r="Q232" s="720"/>
      <c r="R232" s="720"/>
      <c r="S232" s="720"/>
      <c r="T232" s="720">
        <f>S232*AJ232</f>
        <v>0</v>
      </c>
      <c r="V232" s="638">
        <f t="shared" si="556"/>
        <v>0</v>
      </c>
      <c r="W232" s="638">
        <f t="shared" si="557"/>
        <v>0</v>
      </c>
      <c r="Y232" s="638" t="s">
        <v>3407</v>
      </c>
      <c r="Z232" s="638">
        <f t="shared" si="555"/>
        <v>0</v>
      </c>
      <c r="AA232" s="527" t="s">
        <v>3450</v>
      </c>
      <c r="AB232">
        <f>_xlfn.XLOOKUP($H232,'[1]Baumaterialien Matériaux'!$A:$A,'[1]Baumaterialien Matériaux'!AK:AK,0,0)</f>
        <v>0</v>
      </c>
      <c r="AC232" t="str" cm="1">
        <f t="array" ref="AC232">_xlfn.SWITCH(I232,"kg"," ",0," ",_xlfn.XLOOKUP(H232, '[1]Baumaterialien Matériaux'!$A:$A, '[1]Baumaterialien Matériaux'!$AL:$AL, "-", 0, 1))</f>
        <v xml:space="preserve"> </v>
      </c>
      <c r="AD232" s="622" cm="1">
        <f t="array" ref="AD232">IFERROR(_xlfn.SWITCH(I232,"kg",1,"m3",AC232,AC232)*J232/(_xlfn.XLOOKUP(AA232,Métrés!A:A,Métrés!D:D,0)),0)</f>
        <v>0</v>
      </c>
      <c r="AE232" s="1092">
        <f>IFERROR(N232*$G$1/(_xlfn.XLOOKUP($AA232,Métrés!$A:$A,Métrés!$D:$D,0)),0)</f>
        <v>0</v>
      </c>
      <c r="AF232" s="1092">
        <f>IFERROR(O232*$G$1/(_xlfn.XLOOKUP($AA232,Métrés!$A:$A,Métrés!$D:$D,0)),0)</f>
        <v>0</v>
      </c>
      <c r="AG232" s="1092">
        <f>IFERROR(Q232*$G$1/(_xlfn.XLOOKUP($AA232,Métrés!$A:$A,Métrés!$D:$D,0)),0)</f>
        <v>0</v>
      </c>
      <c r="AH232" s="1092">
        <f>IFERROR(R232*$G$1/(_xlfn.XLOOKUP($AA232,Métrés!$A:$A,Métrés!$D:$D,0)),0)</f>
        <v>0</v>
      </c>
      <c r="AI232" s="1092">
        <f>IFERROR(S232*$G$1/(_xlfn.XLOOKUP($AA232,Métrés!$A:$A,Métrés!$D:$D,0)),0)</f>
        <v>0</v>
      </c>
      <c r="AJ232" s="1030"/>
      <c r="AK232" s="1030">
        <f>IF(L232=60,0,T232)</f>
        <v>0</v>
      </c>
      <c r="AL232" s="1030">
        <f>IF(L232=60,0,S232)</f>
        <v>0</v>
      </c>
      <c r="AM232" s="638">
        <f>IF(L232=$L$2, "Structure", IF(L232&gt;0,"Revêtement",0))</f>
        <v>0</v>
      </c>
      <c r="AN232" s="1032">
        <f>IF(AM232="Structure",N232,0)</f>
        <v>0</v>
      </c>
      <c r="AO232" s="1030">
        <f>IF(AM232="Structure",P232,0)</f>
        <v>0</v>
      </c>
      <c r="AP232" s="1030">
        <f>IF(AM232="Structure",Q232,0)</f>
        <v>0</v>
      </c>
      <c r="AQ232" s="1030">
        <f>IF(AM232="Structure",S232,0)</f>
        <v>0</v>
      </c>
      <c r="AR232" s="1033">
        <f>IF(AM232="Structure",T232,0)</f>
        <v>0</v>
      </c>
      <c r="AS232" s="1032">
        <f>IF($AM232="Insulation",N232,0)</f>
        <v>0</v>
      </c>
      <c r="AT232" s="1030">
        <f t="shared" si="616"/>
        <v>0</v>
      </c>
      <c r="AU232" s="1030">
        <f t="shared" si="616"/>
        <v>0</v>
      </c>
      <c r="AV232" s="1030">
        <f t="shared" si="617"/>
        <v>0</v>
      </c>
      <c r="AW232" s="1033">
        <f t="shared" si="617"/>
        <v>0</v>
      </c>
      <c r="AX232" s="1032">
        <f>IF($AM232="Revêtement",N232,0)</f>
        <v>0</v>
      </c>
      <c r="AY232" s="1030">
        <f t="shared" si="618"/>
        <v>0</v>
      </c>
      <c r="AZ232" s="1030">
        <f t="shared" si="618"/>
        <v>0</v>
      </c>
      <c r="BA232" s="1030">
        <f t="shared" si="619"/>
        <v>0</v>
      </c>
      <c r="BB232" s="1033">
        <f t="shared" si="619"/>
        <v>0</v>
      </c>
      <c r="BC232" s="1032">
        <f>IF($AM232="Installation",N232,0)</f>
        <v>0</v>
      </c>
      <c r="BD232" s="1030">
        <f t="shared" si="620"/>
        <v>0</v>
      </c>
      <c r="BE232" s="1030">
        <f t="shared" si="620"/>
        <v>0</v>
      </c>
      <c r="BF232" s="1033">
        <f>IF($AM232="Installation",S232,0)</f>
        <v>0</v>
      </c>
      <c r="BG232" s="1032">
        <f>IF($AM232="Structure", IF($I232="kg",$J232,0), 0)</f>
        <v>0</v>
      </c>
      <c r="BH232" s="1030">
        <f>IF($AM232="Insulation", IF($I232="kg",$J232,0), 0)</f>
        <v>0</v>
      </c>
      <c r="BI232" s="1033">
        <f>IF($AM232="Revêtement", IF($I232="kg",$J232,0), 0)</f>
        <v>0</v>
      </c>
      <c r="BJ232" s="1030">
        <f>_xlfn.XLOOKUP(H232, 'Baumaterialien Matériaux'!A:A, 'Baumaterialien Matériaux'!E:E, "-", 0, 1)</f>
        <v>0</v>
      </c>
      <c r="BK232" s="1032">
        <f t="shared" si="524"/>
        <v>0</v>
      </c>
      <c r="BL232" s="1030">
        <f t="shared" si="525"/>
        <v>0</v>
      </c>
      <c r="BM232" s="1033">
        <f t="shared" si="526"/>
        <v>0</v>
      </c>
      <c r="BN232" s="720">
        <f>IFERROR((J232*VLOOKUP(H232, 'Baumaterialien Matériaux'!$A$11:$AH$318, 32,FALSE))*($L$2/L232-1),0)/$G$1</f>
        <v>0</v>
      </c>
      <c r="BO232" s="720">
        <f>IFERROR((N232+Q232)*($L$2/L232-1),0)</f>
        <v>0</v>
      </c>
    </row>
    <row r="233" spans="2:68" ht="15.75" customHeight="1">
      <c r="B233" s="1101"/>
      <c r="C233" s="1097" t="s">
        <v>2987</v>
      </c>
      <c r="D233" s="473" t="s">
        <v>2988</v>
      </c>
      <c r="E233" s="473"/>
      <c r="F233" s="473"/>
      <c r="G233" s="473"/>
      <c r="H233" s="473"/>
      <c r="I233" s="463"/>
      <c r="J233" s="654"/>
      <c r="K233" s="652"/>
      <c r="L233" s="652"/>
      <c r="M233" s="653">
        <f>M234+M241+M244</f>
        <v>8.8110058132000795</v>
      </c>
      <c r="N233" s="653">
        <f t="shared" ref="N233:S233" si="621">N234+N241+N244</f>
        <v>6.3171499173662991</v>
      </c>
      <c r="O233" s="653">
        <f t="shared" ref="O233" si="622">O234+O241+O244</f>
        <v>1.475534391239347</v>
      </c>
      <c r="P233" s="653">
        <f t="shared" si="621"/>
        <v>0.5712099226548556</v>
      </c>
      <c r="Q233" s="653">
        <f t="shared" si="621"/>
        <v>0.44711158193957823</v>
      </c>
      <c r="R233" s="653">
        <f t="shared" ref="R233" si="623">R234+R241+R244</f>
        <v>9.0758066110102217E-2</v>
      </c>
      <c r="S233" s="653">
        <f t="shared" si="621"/>
        <v>0.26107820453493752</v>
      </c>
      <c r="T233" s="653">
        <f t="shared" ref="T233" si="624">T234+T241+T244</f>
        <v>2.6107820453493752E-3</v>
      </c>
      <c r="V233" s="638">
        <f t="shared" si="556"/>
        <v>2.6107820453493752E-3</v>
      </c>
      <c r="W233" s="638">
        <f t="shared" si="557"/>
        <v>0.26107820453493752</v>
      </c>
      <c r="Z233" s="638">
        <f t="shared" si="555"/>
        <v>0</v>
      </c>
      <c r="AB233">
        <f>_xlfn.XLOOKUP($H233,'[1]Baumaterialien Matériaux'!$A:$A,'[1]Baumaterialien Matériaux'!AK:AK,0,0)</f>
        <v>0</v>
      </c>
      <c r="AC233" t="str" cm="1">
        <f t="array" ref="AC233">_xlfn.SWITCH(I233,"kg"," ",0," ",_xlfn.XLOOKUP(H233, '[1]Baumaterialien Matériaux'!$A:$A, '[1]Baumaterialien Matériaux'!$AL:$AL, "-", 0, 1))</f>
        <v xml:space="preserve"> </v>
      </c>
      <c r="AD233" s="622" cm="1">
        <f t="array" ref="AD233">IFERROR(_xlfn.SWITCH(I233,"kg",1,"m3",AC233,AC233)*J233/(_xlfn.XLOOKUP(AA233,Métrés!A:A,Métrés!D:D,0)),0)</f>
        <v>0</v>
      </c>
      <c r="AE233" s="1092">
        <f>IFERROR(N233*$G$1/(_xlfn.XLOOKUP($AA233,Métrés!$A:$A,Métrés!$D:$D,0)),0)</f>
        <v>0</v>
      </c>
      <c r="AF233" s="1092">
        <f>IFERROR(O233*$G$1/(_xlfn.XLOOKUP($AA233,Métrés!$A:$A,Métrés!$D:$D,0)),0)</f>
        <v>0</v>
      </c>
      <c r="AG233" s="1092">
        <f>IFERROR(Q233*$G$1/(_xlfn.XLOOKUP($AA233,Métrés!$A:$A,Métrés!$D:$D,0)),0)</f>
        <v>0</v>
      </c>
      <c r="AH233" s="1092">
        <f>IFERROR(R233*$G$1/(_xlfn.XLOOKUP($AA233,Métrés!$A:$A,Métrés!$D:$D,0)),0)</f>
        <v>0</v>
      </c>
      <c r="AI233" s="1092">
        <f>IFERROR(S233*$G$1/(_xlfn.XLOOKUP($AA233,Métrés!$A:$A,Métrés!$D:$D,0)),0)</f>
        <v>0</v>
      </c>
      <c r="AJ233" s="1063"/>
      <c r="AK233" s="1063"/>
      <c r="AL233" s="1063"/>
      <c r="AM233" s="1020"/>
      <c r="AN233" s="1071"/>
      <c r="AO233" s="1063"/>
      <c r="AP233" s="1063"/>
      <c r="AQ233" s="1063"/>
      <c r="AR233" s="1072"/>
      <c r="AS233" s="1071"/>
      <c r="AT233" s="1063"/>
      <c r="AU233" s="1063"/>
      <c r="AV233" s="1063"/>
      <c r="AW233" s="1072"/>
      <c r="AX233" s="1071"/>
      <c r="AY233" s="1063"/>
      <c r="AZ233" s="1063"/>
      <c r="BA233" s="1063"/>
      <c r="BB233" s="1072"/>
      <c r="BC233" s="1071"/>
      <c r="BD233" s="1063"/>
      <c r="BE233" s="1063"/>
      <c r="BF233" s="1072"/>
      <c r="BG233" s="1071"/>
      <c r="BH233" s="1063"/>
      <c r="BI233" s="1072"/>
      <c r="BJ233" s="1077"/>
      <c r="BK233" s="1071"/>
      <c r="BL233" s="1063"/>
      <c r="BM233" s="1072"/>
      <c r="BN233" s="720"/>
      <c r="BO233" s="720"/>
    </row>
    <row r="234" spans="2:68">
      <c r="B234" s="1101"/>
      <c r="C234" s="1098"/>
      <c r="D234" s="478"/>
      <c r="E234" s="479">
        <f>BillQuantities!E45</f>
        <v>0</v>
      </c>
      <c r="F234" s="479" t="s">
        <v>61</v>
      </c>
      <c r="G234" s="479"/>
      <c r="H234" s="479"/>
      <c r="I234" s="459" t="s">
        <v>39</v>
      </c>
      <c r="J234" s="662">
        <v>13.38</v>
      </c>
      <c r="K234" s="663"/>
      <c r="L234" s="663"/>
      <c r="M234" s="664">
        <f>SUM(M235:M239)</f>
        <v>3.339332646015575</v>
      </c>
      <c r="N234" s="664">
        <f t="shared" ref="N234:S234" si="625">SUM(N235:N239)</f>
        <v>2.0607871223639851</v>
      </c>
      <c r="O234" s="664">
        <f t="shared" ref="O234" si="626">SUM(O235:O239)</f>
        <v>0.56831551109126743</v>
      </c>
      <c r="P234" s="664">
        <f t="shared" si="625"/>
        <v>0.5712099226548556</v>
      </c>
      <c r="Q234" s="664">
        <f t="shared" si="625"/>
        <v>0.13902008990546702</v>
      </c>
      <c r="R234" s="664">
        <f t="shared" ref="R234" si="627">SUM(R235:R239)</f>
        <v>2.9635569911252477E-2</v>
      </c>
      <c r="S234" s="664">
        <f t="shared" si="625"/>
        <v>0.26107820453493752</v>
      </c>
      <c r="T234" s="664">
        <f t="shared" ref="T234" si="628">SUM(T235:T239)</f>
        <v>2.6107820453493752E-3</v>
      </c>
      <c r="V234" s="638">
        <f t="shared" si="556"/>
        <v>2.6107820453493752E-3</v>
      </c>
      <c r="W234" s="638">
        <f t="shared" si="557"/>
        <v>0.26107820453493752</v>
      </c>
      <c r="Z234" s="638">
        <f t="shared" si="555"/>
        <v>0</v>
      </c>
      <c r="AA234" s="647" t="s">
        <v>3463</v>
      </c>
      <c r="AB234">
        <f>_xlfn.XLOOKUP($H234,'[1]Baumaterialien Matériaux'!$A:$A,'[1]Baumaterialien Matériaux'!AK:AK,0,0)</f>
        <v>0</v>
      </c>
      <c r="AC234" cm="1">
        <f t="array" ref="AC234">_xlfn.SWITCH(I234,"kg"," ",0," ",_xlfn.XLOOKUP(H234, '[1]Baumaterialien Matériaux'!$A:$A, '[1]Baumaterialien Matériaux'!$AL:$AL, "-", 0, 1))</f>
        <v>0</v>
      </c>
      <c r="AD234" s="622" cm="1">
        <f t="array" ref="AD234">IFERROR(_xlfn.SWITCH(I234,"kg",1,"m3",AC234,AC234)*J234/(_xlfn.XLOOKUP(AA234,Métrés!A:A,Métrés!D:D,0)),0)</f>
        <v>0</v>
      </c>
      <c r="AE234" s="1092">
        <f>IFERROR(N234*$G$1/(_xlfn.XLOOKUP($AA234,Métrés!$A:$A,Métrés!$D:$D,0)),0)</f>
        <v>83.575138873994632</v>
      </c>
      <c r="AF234" s="1092">
        <f>IFERROR(O234*$G$1/(_xlfn.XLOOKUP($AA234,Métrés!$A:$A,Métrés!$D:$D,0)),0)</f>
        <v>23.04801269779518</v>
      </c>
      <c r="AG234" s="1092">
        <f>IFERROR(Q234*$G$1/(_xlfn.XLOOKUP($AA234,Métrés!$A:$A,Métrés!$D:$D,0)),0)</f>
        <v>5.6379541554959776</v>
      </c>
      <c r="AH234" s="1092">
        <f>IFERROR(R234*$G$1/(_xlfn.XLOOKUP($AA234,Métrés!$A:$A,Métrés!$D:$D,0)),0)</f>
        <v>1.2018693459718932</v>
      </c>
      <c r="AI234" s="1092">
        <f>IFERROR(S234*$G$1/(_xlfn.XLOOKUP($AA234,Métrés!$A:$A,Métrés!$D:$D,0)),0)</f>
        <v>10.588016085790883</v>
      </c>
      <c r="AJ234" s="1064"/>
      <c r="AK234" s="1064"/>
      <c r="AL234" s="1064"/>
      <c r="AM234" s="1021"/>
      <c r="AN234" s="1073"/>
      <c r="AO234" s="1064"/>
      <c r="AP234" s="1064"/>
      <c r="AQ234" s="1064"/>
      <c r="AR234" s="1074"/>
      <c r="AS234" s="1073"/>
      <c r="AT234" s="1064"/>
      <c r="AU234" s="1064"/>
      <c r="AV234" s="1064"/>
      <c r="AW234" s="1074"/>
      <c r="AX234" s="1073"/>
      <c r="AY234" s="1064"/>
      <c r="AZ234" s="1064"/>
      <c r="BA234" s="1064"/>
      <c r="BB234" s="1074"/>
      <c r="BC234" s="1073"/>
      <c r="BD234" s="1064"/>
      <c r="BE234" s="1064"/>
      <c r="BF234" s="1074"/>
      <c r="BG234" s="1073"/>
      <c r="BH234" s="1064"/>
      <c r="BI234" s="1074"/>
      <c r="BJ234" s="1078"/>
      <c r="BK234" s="1073"/>
      <c r="BL234" s="1064"/>
      <c r="BM234" s="1074"/>
      <c r="BN234" s="720"/>
      <c r="BO234" s="720"/>
    </row>
    <row r="235" spans="2:68">
      <c r="B235" s="1101"/>
      <c r="C235" s="1099"/>
      <c r="D235" s="478"/>
      <c r="E235" s="478"/>
      <c r="F235" s="478" t="s">
        <v>3022</v>
      </c>
      <c r="G235" s="478" t="str">
        <f>_xlfn.XLOOKUP(H235, 'Baumaterialien Matériaux'!A:A, 'Baumaterialien Matériaux'!AD:AD, "-", 0, 1)</f>
        <v>Chape de ciment, 85 mm</v>
      </c>
      <c r="H235" s="891" t="s">
        <v>780</v>
      </c>
      <c r="I235" s="641" t="str">
        <f>_xlfn.XLOOKUP(H235, 'Baumaterialien Matériaux'!A:A, 'Baumaterialien Matériaux'!F:F, "-", 0, 1)</f>
        <v>kg</v>
      </c>
      <c r="J235" s="649">
        <f>$J$234*K235</f>
        <v>1980.24</v>
      </c>
      <c r="K235" s="893">
        <f>0.08*1850</f>
        <v>148</v>
      </c>
      <c r="L235" s="647">
        <v>30</v>
      </c>
      <c r="M235" s="648">
        <f t="shared" ref="M235:M239" si="629">SUM(N235:Q235)</f>
        <v>0.58079360084616916</v>
      </c>
      <c r="N235" s="720">
        <f>IFERROR(($J235*VLOOKUP($H235, 'Baumaterialien Matériaux'!$A$11:$AD$318, 26,FALSE)),0)/$G$1</f>
        <v>0.23563376743571096</v>
      </c>
      <c r="O235" s="720">
        <f>IFERROR(($J235*VLOOKUP($H235, 'Baumaterialien Matériaux'!$A$11:$AH$318, 33,FALSE)),0)/$G$1</f>
        <v>5.3672135915911946E-2</v>
      </c>
      <c r="P235" s="720">
        <f t="shared" ref="P235:P239" si="630">IFERROR((N235+Q235)*($L$2/L235-1),0)</f>
        <v>0.26356073246512857</v>
      </c>
      <c r="Q235" s="720">
        <f>IFERROR(($J235*VLOOKUP($H235, 'Baumaterialien Matériaux'!$A$11:$AH$318, 27,FALSE)),0)/$G$1</f>
        <v>2.7926965029417598E-2</v>
      </c>
      <c r="R235" s="720">
        <f>IFERROR(($J235*VLOOKUP($H235, 'Baumaterialien Matériaux'!$A$11:$AH$318, 34,FALSE)),0)/$G$1</f>
        <v>7.1344668473590266E-3</v>
      </c>
      <c r="S235" s="720">
        <f>IFERROR((J235*VLOOKUP(H235, 'Baumaterialien Matériaux'!$A$11:$AD$318, 29,FALSE)),0)/$G$1</f>
        <v>0</v>
      </c>
      <c r="T235" s="720">
        <f t="shared" ref="T235:T240" si="631">S235*AJ235</f>
        <v>0</v>
      </c>
      <c r="V235" s="638">
        <f t="shared" si="556"/>
        <v>0</v>
      </c>
      <c r="W235" s="638">
        <f t="shared" si="557"/>
        <v>0</v>
      </c>
      <c r="Y235" s="638" t="s">
        <v>3407</v>
      </c>
      <c r="Z235" s="638">
        <f t="shared" si="555"/>
        <v>30</v>
      </c>
      <c r="AA235" s="647" t="s">
        <v>3463</v>
      </c>
      <c r="AB235" t="str">
        <f>_xlfn.XLOOKUP($H235,'[1]Baumaterialien Matériaux'!$A:$A,'[1]Baumaterialien Matériaux'!AK:AK,0,0)</f>
        <v>concrete</v>
      </c>
      <c r="AC235" t="str" cm="1">
        <f t="array" ref="AC235">_xlfn.SWITCH(I235,"kg"," ",0," ",_xlfn.XLOOKUP(H235, '[1]Baumaterialien Matériaux'!$A:$A, '[1]Baumaterialien Matériaux'!$AL:$AL, "-", 0, 1))</f>
        <v xml:space="preserve"> </v>
      </c>
      <c r="AD235" s="622" cm="1">
        <f t="array" ref="AD235">IFERROR(_xlfn.SWITCH(I235,"kg",1,"m3",AC235,AC235)*J235/(_xlfn.XLOOKUP(AA235,Métrés!A:A,Métrés!D:D,0)),0)</f>
        <v>88.482573726541546</v>
      </c>
      <c r="AE235" s="1092">
        <f>IFERROR(N235*$G$1/(_xlfn.XLOOKUP($AA235,Métrés!$A:$A,Métrés!$D:$D,0)),0)</f>
        <v>9.5561179624664856</v>
      </c>
      <c r="AF235" s="1092">
        <f>IFERROR(O235*$G$1/(_xlfn.XLOOKUP($AA235,Métrés!$A:$A,Métrés!$D:$D,0)),0)</f>
        <v>2.1766713136729221</v>
      </c>
      <c r="AG235" s="1092">
        <f>IFERROR(Q235*$G$1/(_xlfn.XLOOKUP($AA235,Métrés!$A:$A,Métrés!$D:$D,0)),0)</f>
        <v>1.1325769436997317</v>
      </c>
      <c r="AH235" s="1092">
        <f>IFERROR(R235*$G$1/(_xlfn.XLOOKUP($AA235,Métrés!$A:$A,Métrés!$D:$D,0)),0)</f>
        <v>0.28933801608579085</v>
      </c>
      <c r="AI235" s="1092">
        <f>IFERROR(S235*$G$1/(_xlfn.XLOOKUP($AA235,Métrés!$A:$A,Métrés!$D:$D,0)),0)</f>
        <v>0</v>
      </c>
      <c r="AJ235" s="1030"/>
      <c r="AK235" s="1030">
        <f t="shared" ref="AK235:AK240" si="632">IF(L235=60,0,T235)</f>
        <v>0</v>
      </c>
      <c r="AL235" s="1030">
        <f t="shared" ref="AL235:AL240" si="633">IF(L235=60,0,S235)</f>
        <v>0</v>
      </c>
      <c r="AM235" s="638" t="str">
        <f>IF(L235=$L$2, "Structure", IF(L235&gt;0,"Revêtement",0))</f>
        <v>Revêtement</v>
      </c>
      <c r="AN235" s="1032">
        <f t="shared" ref="AN235:AN240" si="634">IF(AM235="Structure",N235,0)</f>
        <v>0</v>
      </c>
      <c r="AO235" s="1030">
        <f t="shared" ref="AO235:AO240" si="635">IF(AM235="Structure",P235,0)</f>
        <v>0</v>
      </c>
      <c r="AP235" s="1030">
        <f t="shared" ref="AP235:AP240" si="636">IF(AM235="Structure",Q235,0)</f>
        <v>0</v>
      </c>
      <c r="AQ235" s="1030">
        <f t="shared" ref="AQ235:AQ240" si="637">IF(AM235="Structure",S235,0)</f>
        <v>0</v>
      </c>
      <c r="AR235" s="1033">
        <f t="shared" ref="AR235:AR240" si="638">IF(AM235="Structure",T235,0)</f>
        <v>0</v>
      </c>
      <c r="AS235" s="1032">
        <f t="shared" ref="AS235:AS240" si="639">IF($AM235="Insulation",N235,0)</f>
        <v>0</v>
      </c>
      <c r="AT235" s="1030">
        <f t="shared" ref="AT235:AU240" si="640">IF($AM235="Insulation",P235,0)</f>
        <v>0</v>
      </c>
      <c r="AU235" s="1030">
        <f t="shared" si="640"/>
        <v>0</v>
      </c>
      <c r="AV235" s="1030">
        <f t="shared" ref="AV235:AW240" si="641">IF($AM235="Insulation",S235,0)</f>
        <v>0</v>
      </c>
      <c r="AW235" s="1033">
        <f t="shared" si="641"/>
        <v>0</v>
      </c>
      <c r="AX235" s="1032">
        <f t="shared" ref="AX235:AX240" si="642">IF($AM235="Revêtement",N235,0)</f>
        <v>0.23563376743571096</v>
      </c>
      <c r="AY235" s="1030">
        <f t="shared" ref="AY235:AZ240" si="643">IF($AM235="Revêtement",P235,0)</f>
        <v>0.26356073246512857</v>
      </c>
      <c r="AZ235" s="1030">
        <f t="shared" si="643"/>
        <v>2.7926965029417598E-2</v>
      </c>
      <c r="BA235" s="1030">
        <f t="shared" ref="BA235:BB240" si="644">IF($AM235="Revêtement",S235,0)</f>
        <v>0</v>
      </c>
      <c r="BB235" s="1033">
        <f t="shared" si="644"/>
        <v>0</v>
      </c>
      <c r="BC235" s="1032">
        <f t="shared" ref="BC235:BC240" si="645">IF($AM235="Installation",N235,0)</f>
        <v>0</v>
      </c>
      <c r="BD235" s="1030">
        <f t="shared" ref="BD235:BE240" si="646">IF($AM235="Installation",P235,0)</f>
        <v>0</v>
      </c>
      <c r="BE235" s="1030">
        <f t="shared" si="646"/>
        <v>0</v>
      </c>
      <c r="BF235" s="1033">
        <f t="shared" ref="BF235:BF240" si="647">IF($AM235="Installation",S235,0)</f>
        <v>0</v>
      </c>
      <c r="BG235" s="1032">
        <f t="shared" ref="BG235:BG240" si="648">IF($AM235="Structure", IF($I235="kg",$J235,0), 0)</f>
        <v>0</v>
      </c>
      <c r="BH235" s="1030">
        <f t="shared" ref="BH235:BH240" si="649">IF($AM235="Insulation", IF($I235="kg",$J235,0), 0)</f>
        <v>0</v>
      </c>
      <c r="BI235" s="1033">
        <f t="shared" ref="BI235:BI240" si="650">IF($AM235="Revêtement", IF($I235="kg",$J235,0), 0)</f>
        <v>1980.24</v>
      </c>
      <c r="BJ235" s="1030">
        <f>_xlfn.XLOOKUP(H235, 'Baumaterialien Matériaux'!A:A, 'Baumaterialien Matériaux'!E:E, "-", 0, 1)</f>
        <v>1850</v>
      </c>
      <c r="BK235" s="1032">
        <f t="shared" si="524"/>
        <v>0</v>
      </c>
      <c r="BL235" s="1030">
        <f t="shared" si="525"/>
        <v>0</v>
      </c>
      <c r="BM235" s="1033">
        <f t="shared" si="526"/>
        <v>1.0704</v>
      </c>
      <c r="BN235" s="720"/>
      <c r="BO235" s="720"/>
    </row>
    <row r="236" spans="2:68">
      <c r="B236" s="1101"/>
      <c r="C236" s="1099"/>
      <c r="D236" s="478"/>
      <c r="E236" s="478"/>
      <c r="F236" s="478" t="s">
        <v>3287</v>
      </c>
      <c r="G236" s="478" t="str">
        <f>_xlfn.XLOOKUP(H236, 'Baumaterialien Matériaux'!A:A, 'Baumaterialien Matériaux'!AD:AD, "-", 0, 1)</f>
        <v>GUTEX Pyroresist</v>
      </c>
      <c r="H236" s="892" t="s">
        <v>2997</v>
      </c>
      <c r="I236" s="641" t="str">
        <f>_xlfn.XLOOKUP(H236, 'Baumaterialien Matériaux'!A:A, 'Baumaterialien Matériaux'!F:F, "-", 0, 1)</f>
        <v>kg</v>
      </c>
      <c r="J236" s="649">
        <f t="shared" ref="J236:J239" si="651">$J$234*K236</f>
        <v>101.68800000000002</v>
      </c>
      <c r="K236" s="893">
        <f>0.04*190</f>
        <v>7.6000000000000005</v>
      </c>
      <c r="L236" s="647">
        <v>30</v>
      </c>
      <c r="M236" s="648">
        <f t="shared" si="629"/>
        <v>0.46071203378169984</v>
      </c>
      <c r="N236" s="720">
        <f>IFERROR(($J236*VLOOKUP($H236, 'Baumaterialien Matériaux'!$A$11:$AD$318, 26,FALSE)),0)/$G$1</f>
        <v>0.17513320552654196</v>
      </c>
      <c r="O236" s="720">
        <f>IFERROR(($J236*VLOOKUP($H236, 'Baumaterialien Matériaux'!$A$11:$AH$318, 33,FALSE)),0)/$G$1</f>
        <v>0.10911295927915469</v>
      </c>
      <c r="P236" s="720">
        <f t="shared" si="630"/>
        <v>0.17579953725127256</v>
      </c>
      <c r="Q236" s="720">
        <f>IFERROR(($J236*VLOOKUP($H236, 'Baumaterialien Matériaux'!$A$11:$AH$318, 27,FALSE)),0)/$G$1</f>
        <v>6.663317247306141E-4</v>
      </c>
      <c r="R236" s="720">
        <f>IFERROR(($J236*VLOOKUP($H236, 'Baumaterialien Matériaux'!$A$11:$AH$318, 34,FALSE)),0)/$G$1</f>
        <v>3.9576938293934958E-4</v>
      </c>
      <c r="S236" s="720">
        <f>IFERROR((J236*VLOOKUP(H236, 'Baumaterialien Matériaux'!$A$11:$AD$318, 29,FALSE)),0)/$G$1</f>
        <v>0.14918754544853574</v>
      </c>
      <c r="T236" s="720">
        <f t="shared" si="631"/>
        <v>1.4918754544853575E-3</v>
      </c>
      <c r="U236" s="638">
        <v>0.01</v>
      </c>
      <c r="V236" s="638">
        <f t="shared" si="556"/>
        <v>1.4918754544853575E-3</v>
      </c>
      <c r="W236" s="638">
        <f t="shared" si="557"/>
        <v>0.14918754544853574</v>
      </c>
      <c r="Y236" s="638" t="s">
        <v>3407</v>
      </c>
      <c r="Z236" s="638">
        <f t="shared" si="555"/>
        <v>30</v>
      </c>
      <c r="AA236" s="647" t="s">
        <v>3463</v>
      </c>
      <c r="AB236" t="str">
        <f>_xlfn.XLOOKUP($H236,'[1]Baumaterialien Matériaux'!$A:$A,'[1]Baumaterialien Matériaux'!AK:AK,0,0)</f>
        <v>vegetal_fiber</v>
      </c>
      <c r="AC236" t="str" cm="1">
        <f t="array" ref="AC236">_xlfn.SWITCH(I236,"kg"," ",0," ",_xlfn.XLOOKUP(H236, '[1]Baumaterialien Matériaux'!$A:$A, '[1]Baumaterialien Matériaux'!$AL:$AL, "-", 0, 1))</f>
        <v xml:space="preserve"> </v>
      </c>
      <c r="AD236" s="622" cm="1">
        <f t="array" ref="AD236">IFERROR(_xlfn.SWITCH(I236,"kg",1,"m3",AC236,AC236)*J236/(_xlfn.XLOOKUP(AA236,Métrés!A:A,Métrés!D:D,0)),0)</f>
        <v>4.5436997319034855</v>
      </c>
      <c r="AE236" s="1092">
        <f>IFERROR(N236*$G$1/(_xlfn.XLOOKUP($AA236,Métrés!$A:$A,Métrés!$D:$D,0)),0)</f>
        <v>7.1025201072386057</v>
      </c>
      <c r="AF236" s="1092">
        <f>IFERROR(O236*$G$1/(_xlfn.XLOOKUP($AA236,Métrés!$A:$A,Métrés!$D:$D,0)),0)</f>
        <v>4.425071675645504</v>
      </c>
      <c r="AG236" s="1092">
        <f>IFERROR(Q236*$G$1/(_xlfn.XLOOKUP($AA236,Métrés!$A:$A,Métrés!$D:$D,0)),0)</f>
        <v>2.7023056300268092E-2</v>
      </c>
      <c r="AH236" s="1092">
        <f>IFERROR(R236*$G$1/(_xlfn.XLOOKUP($AA236,Métrés!$A:$A,Métrés!$D:$D,0)),0)</f>
        <v>1.6050411409446488E-2</v>
      </c>
      <c r="AI236" s="1092">
        <f>IFERROR(S236*$G$1/(_xlfn.XLOOKUP($AA236,Métrés!$A:$A,Métrés!$D:$D,0)),0)</f>
        <v>6.0502949061662203</v>
      </c>
      <c r="AJ236" s="1030">
        <v>0.01</v>
      </c>
      <c r="AK236" s="1030">
        <f t="shared" si="632"/>
        <v>1.4918754544853575E-3</v>
      </c>
      <c r="AL236" s="1030">
        <f t="shared" si="633"/>
        <v>0.14918754544853574</v>
      </c>
      <c r="AM236" s="638" t="s">
        <v>3388</v>
      </c>
      <c r="AN236" s="1032">
        <f t="shared" si="634"/>
        <v>0</v>
      </c>
      <c r="AO236" s="1030">
        <f t="shared" si="635"/>
        <v>0</v>
      </c>
      <c r="AP236" s="1030">
        <f t="shared" si="636"/>
        <v>0</v>
      </c>
      <c r="AQ236" s="1030">
        <f t="shared" si="637"/>
        <v>0</v>
      </c>
      <c r="AR236" s="1033">
        <f t="shared" si="638"/>
        <v>0</v>
      </c>
      <c r="AS236" s="1032">
        <f t="shared" si="639"/>
        <v>0.17513320552654196</v>
      </c>
      <c r="AT236" s="1030">
        <f t="shared" si="640"/>
        <v>0.17579953725127256</v>
      </c>
      <c r="AU236" s="1030">
        <f t="shared" si="640"/>
        <v>6.663317247306141E-4</v>
      </c>
      <c r="AV236" s="1030">
        <f t="shared" si="641"/>
        <v>0.14918754544853574</v>
      </c>
      <c r="AW236" s="1033">
        <f t="shared" si="641"/>
        <v>1.4918754544853575E-3</v>
      </c>
      <c r="AX236" s="1032">
        <f t="shared" si="642"/>
        <v>0</v>
      </c>
      <c r="AY236" s="1030">
        <f t="shared" si="643"/>
        <v>0</v>
      </c>
      <c r="AZ236" s="1030">
        <f t="shared" si="643"/>
        <v>0</v>
      </c>
      <c r="BA236" s="1030">
        <f t="shared" si="644"/>
        <v>0</v>
      </c>
      <c r="BB236" s="1033">
        <f t="shared" si="644"/>
        <v>0</v>
      </c>
      <c r="BC236" s="1032">
        <f t="shared" si="645"/>
        <v>0</v>
      </c>
      <c r="BD236" s="1030">
        <f t="shared" si="646"/>
        <v>0</v>
      </c>
      <c r="BE236" s="1030">
        <f t="shared" si="646"/>
        <v>0</v>
      </c>
      <c r="BF236" s="1033">
        <f t="shared" si="647"/>
        <v>0</v>
      </c>
      <c r="BG236" s="1032">
        <f t="shared" si="648"/>
        <v>0</v>
      </c>
      <c r="BH236" s="1030">
        <f t="shared" si="649"/>
        <v>101.68800000000002</v>
      </c>
      <c r="BI236" s="1033">
        <f t="shared" si="650"/>
        <v>0</v>
      </c>
      <c r="BJ236" s="1030">
        <f>_xlfn.XLOOKUP(H236, 'Baumaterialien Matériaux'!A:A, 'Baumaterialien Matériaux'!E:E, "-", 0, 1)</f>
        <v>190</v>
      </c>
      <c r="BK236" s="1032">
        <f t="shared" si="524"/>
        <v>0</v>
      </c>
      <c r="BL236" s="1030">
        <f t="shared" si="525"/>
        <v>0.53520000000000012</v>
      </c>
      <c r="BM236" s="1033">
        <f t="shared" si="526"/>
        <v>0</v>
      </c>
      <c r="BN236" s="720"/>
      <c r="BO236" s="720"/>
    </row>
    <row r="237" spans="2:68">
      <c r="B237" s="1101"/>
      <c r="C237" s="1099"/>
      <c r="D237" s="478"/>
      <c r="E237" s="478"/>
      <c r="F237" s="478" t="s">
        <v>3284</v>
      </c>
      <c r="G237" s="478" t="str">
        <f>_xlfn.XLOOKUP(H237, 'Baumaterialien Matériaux'!A:A, 'Baumaterialien Matériaux'!AD:AD, "-", 0, 1)</f>
        <v>GUTEX Pyroresist</v>
      </c>
      <c r="H237" s="885" t="s">
        <v>2997</v>
      </c>
      <c r="I237" s="641" t="str">
        <f>_xlfn.XLOOKUP(H237, 'Baumaterialien Matériaux'!A:A, 'Baumaterialien Matériaux'!F:F, "-", 0, 1)</f>
        <v>kg</v>
      </c>
      <c r="J237" s="649">
        <f t="shared" si="651"/>
        <v>76.266000000000005</v>
      </c>
      <c r="K237" s="893">
        <f>0.03*190</f>
        <v>5.7</v>
      </c>
      <c r="L237" s="647">
        <v>30</v>
      </c>
      <c r="M237" s="648">
        <f t="shared" si="629"/>
        <v>0.34553402533627486</v>
      </c>
      <c r="N237" s="720">
        <f>IFERROR(($J237*VLOOKUP($H237, 'Baumaterialien Matériaux'!$A$11:$AD$318, 26,FALSE)),0)/$G$1</f>
        <v>0.13134990414490647</v>
      </c>
      <c r="O237" s="720">
        <f>IFERROR(($J237*VLOOKUP($H237, 'Baumaterialien Matériaux'!$A$11:$AH$318, 33,FALSE)),0)/$G$1</f>
        <v>8.1834719459366004E-2</v>
      </c>
      <c r="P237" s="720">
        <f t="shared" si="630"/>
        <v>0.13184965293845444</v>
      </c>
      <c r="Q237" s="720">
        <f>IFERROR(($J237*VLOOKUP($H237, 'Baumaterialien Matériaux'!$A$11:$AH$318, 27,FALSE)),0)/$G$1</f>
        <v>4.9974879354796058E-4</v>
      </c>
      <c r="R237" s="720">
        <f>IFERROR(($J237*VLOOKUP($H237, 'Baumaterialien Matériaux'!$A$11:$AH$318, 34,FALSE)),0)/$G$1</f>
        <v>2.968270372045122E-4</v>
      </c>
      <c r="S237" s="720">
        <f>IFERROR((J237*VLOOKUP(H237, 'Baumaterialien Matériaux'!$A$11:$AD$318, 29,FALSE)),0)/$G$1</f>
        <v>0.11189065908640179</v>
      </c>
      <c r="T237" s="720">
        <f t="shared" si="631"/>
        <v>1.1189065908640179E-3</v>
      </c>
      <c r="U237" s="638">
        <v>0.01</v>
      </c>
      <c r="V237" s="638">
        <f t="shared" si="556"/>
        <v>1.1189065908640179E-3</v>
      </c>
      <c r="W237" s="638">
        <f t="shared" si="557"/>
        <v>0.11189065908640179</v>
      </c>
      <c r="Z237" s="638">
        <f t="shared" si="555"/>
        <v>30</v>
      </c>
      <c r="AA237" s="647" t="s">
        <v>3463</v>
      </c>
      <c r="AB237" t="str">
        <f>_xlfn.XLOOKUP($H237,'[1]Baumaterialien Matériaux'!$A:$A,'[1]Baumaterialien Matériaux'!AK:AK,0,0)</f>
        <v>vegetal_fiber</v>
      </c>
      <c r="AC237" t="str" cm="1">
        <f t="array" ref="AC237">_xlfn.SWITCH(I237,"kg"," ",0," ",_xlfn.XLOOKUP(H237, '[1]Baumaterialien Matériaux'!$A:$A, '[1]Baumaterialien Matériaux'!$AL:$AL, "-", 0, 1))</f>
        <v xml:space="preserve"> </v>
      </c>
      <c r="AD237" s="622" cm="1">
        <f t="array" ref="AD237">IFERROR(_xlfn.SWITCH(I237,"kg",1,"m3",AC237,AC237)*J237/(_xlfn.XLOOKUP(AA237,Métrés!A:A,Métrés!D:D,0)),0)</f>
        <v>3.4077747989276137</v>
      </c>
      <c r="AE237" s="1092">
        <f>IFERROR(N237*$G$1/(_xlfn.XLOOKUP($AA237,Métrés!$A:$A,Métrés!$D:$D,0)),0)</f>
        <v>5.3268900804289538</v>
      </c>
      <c r="AF237" s="1092">
        <f>IFERROR(O237*$G$1/(_xlfn.XLOOKUP($AA237,Métrés!$A:$A,Métrés!$D:$D,0)),0)</f>
        <v>3.3188037567341273</v>
      </c>
      <c r="AG237" s="1092">
        <f>IFERROR(Q237*$G$1/(_xlfn.XLOOKUP($AA237,Métrés!$A:$A,Métrés!$D:$D,0)),0)</f>
        <v>2.0267292225201069E-2</v>
      </c>
      <c r="AH237" s="1092">
        <f>IFERROR(R237*$G$1/(_xlfn.XLOOKUP($AA237,Métrés!$A:$A,Métrés!$D:$D,0)),0)</f>
        <v>1.2037808557084867E-2</v>
      </c>
      <c r="AI237" s="1092">
        <f>IFERROR(S237*$G$1/(_xlfn.XLOOKUP($AA237,Métrés!$A:$A,Métrés!$D:$D,0)),0)</f>
        <v>4.5377211796246639</v>
      </c>
      <c r="AJ237" s="1030">
        <v>0.01</v>
      </c>
      <c r="AK237" s="1030">
        <f t="shared" si="632"/>
        <v>1.1189065908640179E-3</v>
      </c>
      <c r="AL237" s="1030">
        <f t="shared" si="633"/>
        <v>0.11189065908640179</v>
      </c>
      <c r="AM237" s="638" t="s">
        <v>3388</v>
      </c>
      <c r="AN237" s="1032">
        <f t="shared" si="634"/>
        <v>0</v>
      </c>
      <c r="AO237" s="1030">
        <f t="shared" si="635"/>
        <v>0</v>
      </c>
      <c r="AP237" s="1030">
        <f t="shared" si="636"/>
        <v>0</v>
      </c>
      <c r="AQ237" s="1030">
        <f t="shared" si="637"/>
        <v>0</v>
      </c>
      <c r="AR237" s="1033">
        <f t="shared" si="638"/>
        <v>0</v>
      </c>
      <c r="AS237" s="1032">
        <f t="shared" si="639"/>
        <v>0.13134990414490647</v>
      </c>
      <c r="AT237" s="1030">
        <f t="shared" si="640"/>
        <v>0.13184965293845444</v>
      </c>
      <c r="AU237" s="1030">
        <f t="shared" si="640"/>
        <v>4.9974879354796058E-4</v>
      </c>
      <c r="AV237" s="1030">
        <f t="shared" si="641"/>
        <v>0.11189065908640179</v>
      </c>
      <c r="AW237" s="1033">
        <f t="shared" si="641"/>
        <v>1.1189065908640179E-3</v>
      </c>
      <c r="AX237" s="1032">
        <f t="shared" si="642"/>
        <v>0</v>
      </c>
      <c r="AY237" s="1030">
        <f t="shared" si="643"/>
        <v>0</v>
      </c>
      <c r="AZ237" s="1030">
        <f t="shared" si="643"/>
        <v>0</v>
      </c>
      <c r="BA237" s="1030">
        <f t="shared" si="644"/>
        <v>0</v>
      </c>
      <c r="BB237" s="1033">
        <f t="shared" si="644"/>
        <v>0</v>
      </c>
      <c r="BC237" s="1032">
        <f t="shared" si="645"/>
        <v>0</v>
      </c>
      <c r="BD237" s="1030">
        <f t="shared" si="646"/>
        <v>0</v>
      </c>
      <c r="BE237" s="1030">
        <f t="shared" si="646"/>
        <v>0</v>
      </c>
      <c r="BF237" s="1033">
        <f t="shared" si="647"/>
        <v>0</v>
      </c>
      <c r="BG237" s="1032">
        <f t="shared" si="648"/>
        <v>0</v>
      </c>
      <c r="BH237" s="1030">
        <f t="shared" si="649"/>
        <v>76.266000000000005</v>
      </c>
      <c r="BI237" s="1033">
        <f t="shared" si="650"/>
        <v>0</v>
      </c>
      <c r="BJ237" s="1030">
        <f>_xlfn.XLOOKUP(H237, 'Baumaterialien Matériaux'!A:A, 'Baumaterialien Matériaux'!E:E, "-", 0, 1)</f>
        <v>190</v>
      </c>
      <c r="BK237" s="1032">
        <f t="shared" si="524"/>
        <v>0</v>
      </c>
      <c r="BL237" s="1030">
        <f t="shared" si="525"/>
        <v>0.40140000000000003</v>
      </c>
      <c r="BM237" s="1033">
        <f t="shared" si="526"/>
        <v>0</v>
      </c>
      <c r="BN237" s="720"/>
      <c r="BO237" s="720"/>
    </row>
    <row r="238" spans="2:68">
      <c r="B238" s="1101"/>
      <c r="C238" s="1099"/>
      <c r="D238" s="478"/>
      <c r="E238" s="478"/>
      <c r="F238" s="483" t="s">
        <v>3007</v>
      </c>
      <c r="G238" s="478" t="str">
        <f>_xlfn.XLOOKUP(H238, 'Baumaterialien Matériaux'!A:A, 'Baumaterialien Matériaux'!AD:AD, "-", 0, 1)</f>
        <v>Béton pour bâtiment (sans armature)</v>
      </c>
      <c r="H238" s="891">
        <v>1.0019999999999998</v>
      </c>
      <c r="I238" s="641" t="str">
        <f>_xlfn.XLOOKUP(H238, 'Baumaterialien Matériaux'!A:A, 'Baumaterialien Matériaux'!F:F, "-", 0, 1)</f>
        <v>kg</v>
      </c>
      <c r="J238" s="649">
        <f t="shared" si="651"/>
        <v>7385.76</v>
      </c>
      <c r="K238" s="893">
        <f>0.24*2300</f>
        <v>552</v>
      </c>
      <c r="L238" s="647">
        <v>60</v>
      </c>
      <c r="M238" s="648">
        <f t="shared" si="629"/>
        <v>0.99521655318305013</v>
      </c>
      <c r="N238" s="720">
        <f>IFERROR(($J238*VLOOKUP($H238, 'Baumaterialien Matériaux'!$A$11:$AD$318, 26,FALSE)),0)/$G$1</f>
        <v>0.72261022013618037</v>
      </c>
      <c r="O238" s="720">
        <f>IFERROR(($J238*VLOOKUP($H238, 'Baumaterialien Matériaux'!$A$11:$AH$318, 33,FALSE)),0)/$G$1</f>
        <v>0.16926005156342963</v>
      </c>
      <c r="P238" s="720">
        <f t="shared" si="630"/>
        <v>0</v>
      </c>
      <c r="Q238" s="720">
        <f>IFERROR(($J238*VLOOKUP($H238, 'Baumaterialien Matériaux'!$A$11:$AH$318, 27,FALSE)),0)/$G$1</f>
        <v>0.1033462814834402</v>
      </c>
      <c r="R238" s="720">
        <f>IFERROR(($J238*VLOOKUP($H238, 'Baumaterialien Matériaux'!$A$11:$AH$318, 34,FALSE)),0)/$G$1</f>
        <v>2.1808506643749587E-2</v>
      </c>
      <c r="S238" s="720">
        <f>IFERROR((J238*VLOOKUP(H238, 'Baumaterialien Matériaux'!$A$11:$AD$318, 29,FALSE)),0)/$G$1</f>
        <v>0</v>
      </c>
      <c r="T238" s="720">
        <f t="shared" si="631"/>
        <v>0</v>
      </c>
      <c r="V238" s="638">
        <f t="shared" si="556"/>
        <v>0</v>
      </c>
      <c r="W238" s="638">
        <f t="shared" si="557"/>
        <v>0</v>
      </c>
      <c r="Z238" s="638">
        <f t="shared" si="555"/>
        <v>60</v>
      </c>
      <c r="AA238" s="647" t="s">
        <v>3463</v>
      </c>
      <c r="AB238" t="str">
        <f>_xlfn.XLOOKUP($H238,'[1]Baumaterialien Matériaux'!$A:$A,'[1]Baumaterialien Matériaux'!AK:AK,0,0)</f>
        <v>concrete</v>
      </c>
      <c r="AC238" t="str" cm="1">
        <f t="array" ref="AC238">_xlfn.SWITCH(I238,"kg"," ",0," ",_xlfn.XLOOKUP(H238, '[1]Baumaterialien Matériaux'!$A:$A, '[1]Baumaterialien Matériaux'!$AL:$AL, "-", 0, 1))</f>
        <v xml:space="preserve"> </v>
      </c>
      <c r="AD238" s="622" cm="1">
        <f t="array" ref="AD238">IFERROR(_xlfn.SWITCH(I238,"kg",1,"m3",AC238,AC238)*J238/(_xlfn.XLOOKUP(AA238,Métrés!A:A,Métrés!D:D,0)),0)</f>
        <v>330.01608579088469</v>
      </c>
      <c r="AE238" s="1092">
        <f>IFERROR(N238*$G$1/(_xlfn.XLOOKUP($AA238,Métrés!$A:$A,Métrés!$D:$D,0)),0)</f>
        <v>29.305428418230562</v>
      </c>
      <c r="AF238" s="1092">
        <f>IFERROR(O238*$G$1/(_xlfn.XLOOKUP($AA238,Métrés!$A:$A,Métrés!$D:$D,0)),0)</f>
        <v>6.8643345844504013</v>
      </c>
      <c r="AG238" s="1092">
        <f>IFERROR(Q238*$G$1/(_xlfn.XLOOKUP($AA238,Métrés!$A:$A,Métrés!$D:$D,0)),0)</f>
        <v>4.1912042895442347</v>
      </c>
      <c r="AH238" s="1092">
        <f>IFERROR(R238*$G$1/(_xlfn.XLOOKUP($AA238,Métrés!$A:$A,Métrés!$D:$D,0)),0)</f>
        <v>0.88444310991957098</v>
      </c>
      <c r="AI238" s="1092">
        <f>IFERROR(S238*$G$1/(_xlfn.XLOOKUP($AA238,Métrés!$A:$A,Métrés!$D:$D,0)),0)</f>
        <v>0</v>
      </c>
      <c r="AJ238" s="1030"/>
      <c r="AK238" s="1030">
        <f t="shared" si="632"/>
        <v>0</v>
      </c>
      <c r="AL238" s="1030">
        <f t="shared" si="633"/>
        <v>0</v>
      </c>
      <c r="AM238" s="638" t="str">
        <f>IF(L238=$L$2, "Structure", IF(L238&gt;0,"Revêtement",0))</f>
        <v>Structure</v>
      </c>
      <c r="AN238" s="1032">
        <f t="shared" si="634"/>
        <v>0.72261022013618037</v>
      </c>
      <c r="AO238" s="1030">
        <f t="shared" si="635"/>
        <v>0</v>
      </c>
      <c r="AP238" s="1030">
        <f t="shared" si="636"/>
        <v>0.1033462814834402</v>
      </c>
      <c r="AQ238" s="1030">
        <f t="shared" si="637"/>
        <v>0</v>
      </c>
      <c r="AR238" s="1033">
        <f t="shared" si="638"/>
        <v>0</v>
      </c>
      <c r="AS238" s="1032">
        <f t="shared" si="639"/>
        <v>0</v>
      </c>
      <c r="AT238" s="1030">
        <f t="shared" si="640"/>
        <v>0</v>
      </c>
      <c r="AU238" s="1030">
        <f t="shared" si="640"/>
        <v>0</v>
      </c>
      <c r="AV238" s="1030">
        <f t="shared" si="641"/>
        <v>0</v>
      </c>
      <c r="AW238" s="1033">
        <f t="shared" si="641"/>
        <v>0</v>
      </c>
      <c r="AX238" s="1032">
        <f t="shared" si="642"/>
        <v>0</v>
      </c>
      <c r="AY238" s="1030">
        <f t="shared" si="643"/>
        <v>0</v>
      </c>
      <c r="AZ238" s="1030">
        <f t="shared" si="643"/>
        <v>0</v>
      </c>
      <c r="BA238" s="1030">
        <f t="shared" si="644"/>
        <v>0</v>
      </c>
      <c r="BB238" s="1033">
        <f t="shared" si="644"/>
        <v>0</v>
      </c>
      <c r="BC238" s="1032">
        <f t="shared" si="645"/>
        <v>0</v>
      </c>
      <c r="BD238" s="1030">
        <f t="shared" si="646"/>
        <v>0</v>
      </c>
      <c r="BE238" s="1030">
        <f t="shared" si="646"/>
        <v>0</v>
      </c>
      <c r="BF238" s="1033">
        <f t="shared" si="647"/>
        <v>0</v>
      </c>
      <c r="BG238" s="1032">
        <f t="shared" si="648"/>
        <v>7385.76</v>
      </c>
      <c r="BH238" s="1030">
        <f t="shared" si="649"/>
        <v>0</v>
      </c>
      <c r="BI238" s="1033">
        <f t="shared" si="650"/>
        <v>0</v>
      </c>
      <c r="BJ238" s="1030">
        <f>_xlfn.XLOOKUP(H238, 'Baumaterialien Matériaux'!A:A, 'Baumaterialien Matériaux'!E:E, "-", 0, 1)</f>
        <v>2300</v>
      </c>
      <c r="BK238" s="1032">
        <f t="shared" si="524"/>
        <v>3.2112000000000003</v>
      </c>
      <c r="BL238" s="1030">
        <f t="shared" si="525"/>
        <v>0</v>
      </c>
      <c r="BM238" s="1033">
        <f t="shared" si="526"/>
        <v>0</v>
      </c>
      <c r="BN238" s="720"/>
      <c r="BO238" s="720"/>
    </row>
    <row r="239" spans="2:68">
      <c r="B239" s="1101"/>
      <c r="C239" s="1099"/>
      <c r="D239" s="478"/>
      <c r="E239" s="478"/>
      <c r="F239" s="638" t="s">
        <v>3008</v>
      </c>
      <c r="G239" s="478" t="str">
        <f>_xlfn.XLOOKUP(H239, 'Baumaterialien Matériaux'!A:A, 'Baumaterialien Matériaux'!AD:AD, "-", 0, 1)</f>
        <v>Acier d'armature</v>
      </c>
      <c r="H239" s="892" t="s">
        <v>497</v>
      </c>
      <c r="I239" s="641" t="str">
        <f>_xlfn.XLOOKUP(H239, 'Baumaterialien Matériaux'!A:A, 'Baumaterialien Matériaux'!F:F, "-", 0, 1)</f>
        <v>kg</v>
      </c>
      <c r="J239" s="649">
        <f t="shared" si="651"/>
        <v>481.68</v>
      </c>
      <c r="K239" s="894">
        <f>0.24*150</f>
        <v>36</v>
      </c>
      <c r="L239" s="647">
        <v>60</v>
      </c>
      <c r="M239" s="648">
        <f t="shared" si="629"/>
        <v>0.95707643286838096</v>
      </c>
      <c r="N239" s="720">
        <f>IFERROR(($J239*VLOOKUP($H239, 'Baumaterialien Matériaux'!$A$11:$AD$318, 26,FALSE)),0)/$G$1</f>
        <v>0.79606002512064522</v>
      </c>
      <c r="O239" s="720">
        <f>IFERROR(($J239*VLOOKUP($H239, 'Baumaterialien Matériaux'!$A$11:$AH$318, 33,FALSE)),0)/$G$1</f>
        <v>0.15443564487340516</v>
      </c>
      <c r="P239" s="720">
        <f t="shared" si="630"/>
        <v>0</v>
      </c>
      <c r="Q239" s="720">
        <f>IFERROR(($J239*VLOOKUP($H239, 'Baumaterialien Matériaux'!$A$11:$AH$318, 27,FALSE)),0)/$G$1</f>
        <v>6.5807628743306664E-3</v>
      </c>
      <c r="R239" s="720">
        <f>IFERROR(($J239*VLOOKUP($H239, 'Baumaterialien Matériaux'!$A$11:$AH$318, 34,FALSE)),0)/$G$1</f>
        <v>0</v>
      </c>
      <c r="S239" s="720">
        <f>IFERROR((J239*VLOOKUP(H239, 'Baumaterialien Matériaux'!$A$11:$AD$318, 29,FALSE)),0)/$G$1</f>
        <v>0</v>
      </c>
      <c r="T239" s="720">
        <f t="shared" si="631"/>
        <v>0</v>
      </c>
      <c r="V239" s="638">
        <f t="shared" si="556"/>
        <v>0</v>
      </c>
      <c r="W239" s="638">
        <f t="shared" si="557"/>
        <v>0</v>
      </c>
      <c r="Z239" s="638">
        <f t="shared" si="555"/>
        <v>60</v>
      </c>
      <c r="AA239" s="647" t="s">
        <v>3463</v>
      </c>
      <c r="AB239" t="str">
        <f>_xlfn.XLOOKUP($H239,'[1]Baumaterialien Matériaux'!$A:$A,'[1]Baumaterialien Matériaux'!AK:AK,0,0)</f>
        <v>metal</v>
      </c>
      <c r="AC239" t="str" cm="1">
        <f t="array" ref="AC239">_xlfn.SWITCH(I239,"kg"," ",0," ",_xlfn.XLOOKUP(H239, '[1]Baumaterialien Matériaux'!$A:$A, '[1]Baumaterialien Matériaux'!$AL:$AL, "-", 0, 1))</f>
        <v xml:space="preserve"> </v>
      </c>
      <c r="AD239" s="622" cm="1">
        <f t="array" ref="AD239">IFERROR(_xlfn.SWITCH(I239,"kg",1,"m3",AC239,AC239)*J239/(_xlfn.XLOOKUP(AA239,Métrés!A:A,Métrés!D:D,0)),0)</f>
        <v>21.52278820375335</v>
      </c>
      <c r="AE239" s="1092">
        <f>IFERROR(N239*$G$1/(_xlfn.XLOOKUP($AA239,Métrés!$A:$A,Métrés!$D:$D,0)),0)</f>
        <v>32.284182305630026</v>
      </c>
      <c r="AF239" s="1092">
        <f>IFERROR(O239*$G$1/(_xlfn.XLOOKUP($AA239,Métrés!$A:$A,Métrés!$D:$D,0)),0)</f>
        <v>6.2631313672922246</v>
      </c>
      <c r="AG239" s="1092">
        <f>IFERROR(Q239*$G$1/(_xlfn.XLOOKUP($AA239,Métrés!$A:$A,Métrés!$D:$D,0)),0)</f>
        <v>0.26688257372654151</v>
      </c>
      <c r="AH239" s="1092">
        <f>IFERROR(R239*$G$1/(_xlfn.XLOOKUP($AA239,Métrés!$A:$A,Métrés!$D:$D,0)),0)</f>
        <v>0</v>
      </c>
      <c r="AI239" s="1092">
        <f>IFERROR(S239*$G$1/(_xlfn.XLOOKUP($AA239,Métrés!$A:$A,Métrés!$D:$D,0)),0)</f>
        <v>0</v>
      </c>
      <c r="AJ239" s="1030"/>
      <c r="AK239" s="1030">
        <f t="shared" si="632"/>
        <v>0</v>
      </c>
      <c r="AL239" s="1030">
        <f t="shared" si="633"/>
        <v>0</v>
      </c>
      <c r="AM239" s="638" t="str">
        <f>IF(L239=$L$2, "Structure", IF(L239&gt;0,"Revêtement",0))</f>
        <v>Structure</v>
      </c>
      <c r="AN239" s="1032">
        <f t="shared" si="634"/>
        <v>0.79606002512064522</v>
      </c>
      <c r="AO239" s="1030">
        <f t="shared" si="635"/>
        <v>0</v>
      </c>
      <c r="AP239" s="1030">
        <f t="shared" si="636"/>
        <v>6.5807628743306664E-3</v>
      </c>
      <c r="AQ239" s="1030">
        <f t="shared" si="637"/>
        <v>0</v>
      </c>
      <c r="AR239" s="1033">
        <f t="shared" si="638"/>
        <v>0</v>
      </c>
      <c r="AS239" s="1032">
        <f t="shared" si="639"/>
        <v>0</v>
      </c>
      <c r="AT239" s="1030">
        <f t="shared" si="640"/>
        <v>0</v>
      </c>
      <c r="AU239" s="1030">
        <f t="shared" si="640"/>
        <v>0</v>
      </c>
      <c r="AV239" s="1030">
        <f t="shared" si="641"/>
        <v>0</v>
      </c>
      <c r="AW239" s="1033">
        <f t="shared" si="641"/>
        <v>0</v>
      </c>
      <c r="AX239" s="1032">
        <f t="shared" si="642"/>
        <v>0</v>
      </c>
      <c r="AY239" s="1030">
        <f t="shared" si="643"/>
        <v>0</v>
      </c>
      <c r="AZ239" s="1030">
        <f t="shared" si="643"/>
        <v>0</v>
      </c>
      <c r="BA239" s="1030">
        <f t="shared" si="644"/>
        <v>0</v>
      </c>
      <c r="BB239" s="1033">
        <f t="shared" si="644"/>
        <v>0</v>
      </c>
      <c r="BC239" s="1032">
        <f t="shared" si="645"/>
        <v>0</v>
      </c>
      <c r="BD239" s="1030">
        <f t="shared" si="646"/>
        <v>0</v>
      </c>
      <c r="BE239" s="1030">
        <f t="shared" si="646"/>
        <v>0</v>
      </c>
      <c r="BF239" s="1033">
        <f t="shared" si="647"/>
        <v>0</v>
      </c>
      <c r="BG239" s="1032">
        <f t="shared" si="648"/>
        <v>481.68</v>
      </c>
      <c r="BH239" s="1030">
        <f t="shared" si="649"/>
        <v>0</v>
      </c>
      <c r="BI239" s="1033">
        <f t="shared" si="650"/>
        <v>0</v>
      </c>
      <c r="BJ239" s="1030">
        <f>_xlfn.XLOOKUP(H239, 'Baumaterialien Matériaux'!A:A, 'Baumaterialien Matériaux'!E:E, "-", 0, 1)</f>
        <v>7850</v>
      </c>
      <c r="BK239" s="1032">
        <f t="shared" si="524"/>
        <v>6.136050955414013E-2</v>
      </c>
      <c r="BL239" s="1030">
        <f t="shared" si="525"/>
        <v>0</v>
      </c>
      <c r="BM239" s="1033">
        <f t="shared" si="526"/>
        <v>0</v>
      </c>
      <c r="BN239" s="720"/>
      <c r="BO239" s="720"/>
    </row>
    <row r="240" spans="2:68">
      <c r="B240" s="1101"/>
      <c r="C240" s="1099"/>
      <c r="D240" s="478"/>
      <c r="E240" s="478"/>
      <c r="F240" s="483"/>
      <c r="G240" s="478"/>
      <c r="H240" s="892"/>
      <c r="I240" s="641"/>
      <c r="J240" s="649"/>
      <c r="K240" s="894"/>
      <c r="L240" s="647"/>
      <c r="M240" s="648"/>
      <c r="N240" s="720"/>
      <c r="O240" s="720"/>
      <c r="P240" s="720"/>
      <c r="Q240" s="720"/>
      <c r="R240" s="720"/>
      <c r="S240" s="720"/>
      <c r="T240" s="720">
        <f t="shared" si="631"/>
        <v>0</v>
      </c>
      <c r="V240" s="638">
        <f t="shared" si="556"/>
        <v>0</v>
      </c>
      <c r="W240" s="638">
        <f t="shared" si="557"/>
        <v>0</v>
      </c>
      <c r="Z240" s="638">
        <f t="shared" si="555"/>
        <v>0</v>
      </c>
      <c r="AA240" s="647" t="s">
        <v>3463</v>
      </c>
      <c r="AB240">
        <f>_xlfn.XLOOKUP($H240,'[1]Baumaterialien Matériaux'!$A:$A,'[1]Baumaterialien Matériaux'!AK:AK,0,0)</f>
        <v>0</v>
      </c>
      <c r="AC240" t="str" cm="1">
        <f t="array" ref="AC240">_xlfn.SWITCH(I240,"kg"," ",0," ",_xlfn.XLOOKUP(H240, '[1]Baumaterialien Matériaux'!$A:$A, '[1]Baumaterialien Matériaux'!$AL:$AL, "-", 0, 1))</f>
        <v xml:space="preserve"> </v>
      </c>
      <c r="AD240" s="622" cm="1">
        <f t="array" ref="AD240">IFERROR(_xlfn.SWITCH(I240,"kg",1,"m3",AC240,AC240)*J240/(_xlfn.XLOOKUP(AA240,Métrés!A:A,Métrés!D:D,0)),0)</f>
        <v>0</v>
      </c>
      <c r="AE240" s="1092">
        <f>IFERROR(N240*$G$1/(_xlfn.XLOOKUP($AA240,Métrés!$A:$A,Métrés!$D:$D,0)),0)</f>
        <v>0</v>
      </c>
      <c r="AF240" s="1092">
        <f>IFERROR(O240*$G$1/(_xlfn.XLOOKUP($AA240,Métrés!$A:$A,Métrés!$D:$D,0)),0)</f>
        <v>0</v>
      </c>
      <c r="AG240" s="1092">
        <f>IFERROR(Q240*$G$1/(_xlfn.XLOOKUP($AA240,Métrés!$A:$A,Métrés!$D:$D,0)),0)</f>
        <v>0</v>
      </c>
      <c r="AH240" s="1092">
        <f>IFERROR(R240*$G$1/(_xlfn.XLOOKUP($AA240,Métrés!$A:$A,Métrés!$D:$D,0)),0)</f>
        <v>0</v>
      </c>
      <c r="AI240" s="1092">
        <f>IFERROR(S240*$G$1/(_xlfn.XLOOKUP($AA240,Métrés!$A:$A,Métrés!$D:$D,0)),0)</f>
        <v>0</v>
      </c>
      <c r="AJ240" s="1030"/>
      <c r="AK240" s="1030">
        <f t="shared" si="632"/>
        <v>0</v>
      </c>
      <c r="AL240" s="1030">
        <f t="shared" si="633"/>
        <v>0</v>
      </c>
      <c r="AM240" s="638">
        <f>IF(L240=$L$2, "Structure", IF(L240&gt;0,"Revêtement",0))</f>
        <v>0</v>
      </c>
      <c r="AN240" s="1032">
        <f t="shared" si="634"/>
        <v>0</v>
      </c>
      <c r="AO240" s="1030">
        <f t="shared" si="635"/>
        <v>0</v>
      </c>
      <c r="AP240" s="1030">
        <f t="shared" si="636"/>
        <v>0</v>
      </c>
      <c r="AQ240" s="1030">
        <f t="shared" si="637"/>
        <v>0</v>
      </c>
      <c r="AR240" s="1033">
        <f t="shared" si="638"/>
        <v>0</v>
      </c>
      <c r="AS240" s="1032">
        <f t="shared" si="639"/>
        <v>0</v>
      </c>
      <c r="AT240" s="1030">
        <f t="shared" si="640"/>
        <v>0</v>
      </c>
      <c r="AU240" s="1030">
        <f t="shared" si="640"/>
        <v>0</v>
      </c>
      <c r="AV240" s="1030">
        <f t="shared" si="641"/>
        <v>0</v>
      </c>
      <c r="AW240" s="1033">
        <f t="shared" si="641"/>
        <v>0</v>
      </c>
      <c r="AX240" s="1032">
        <f t="shared" si="642"/>
        <v>0</v>
      </c>
      <c r="AY240" s="1030">
        <f t="shared" si="643"/>
        <v>0</v>
      </c>
      <c r="AZ240" s="1030">
        <f t="shared" si="643"/>
        <v>0</v>
      </c>
      <c r="BA240" s="1030">
        <f t="shared" si="644"/>
        <v>0</v>
      </c>
      <c r="BB240" s="1033">
        <f t="shared" si="644"/>
        <v>0</v>
      </c>
      <c r="BC240" s="1032">
        <f t="shared" si="645"/>
        <v>0</v>
      </c>
      <c r="BD240" s="1030">
        <f t="shared" si="646"/>
        <v>0</v>
      </c>
      <c r="BE240" s="1030">
        <f t="shared" si="646"/>
        <v>0</v>
      </c>
      <c r="BF240" s="1033">
        <f t="shared" si="647"/>
        <v>0</v>
      </c>
      <c r="BG240" s="1032">
        <f t="shared" si="648"/>
        <v>0</v>
      </c>
      <c r="BH240" s="1030">
        <f t="shared" si="649"/>
        <v>0</v>
      </c>
      <c r="BI240" s="1033">
        <f t="shared" si="650"/>
        <v>0</v>
      </c>
      <c r="BJ240" s="1030">
        <f>_xlfn.XLOOKUP(H240, 'Baumaterialien Matériaux'!A:A, 'Baumaterialien Matériaux'!E:E, "-", 0, 1)</f>
        <v>0</v>
      </c>
      <c r="BK240" s="1032">
        <f t="shared" si="524"/>
        <v>0</v>
      </c>
      <c r="BL240" s="1030">
        <f t="shared" si="525"/>
        <v>0</v>
      </c>
      <c r="BM240" s="1033">
        <f t="shared" si="526"/>
        <v>0</v>
      </c>
      <c r="BN240" s="720"/>
      <c r="BO240" s="720"/>
    </row>
    <row r="241" spans="2:67">
      <c r="B241" s="1101"/>
      <c r="C241" s="1099"/>
      <c r="D241" s="478"/>
      <c r="E241" s="478"/>
      <c r="F241" s="479" t="s">
        <v>3061</v>
      </c>
      <c r="G241" s="479"/>
      <c r="H241" s="479"/>
      <c r="I241" s="459" t="s">
        <v>39</v>
      </c>
      <c r="J241" s="876">
        <v>9</v>
      </c>
      <c r="K241" s="663"/>
      <c r="L241" s="663"/>
      <c r="M241" s="664">
        <f>SUM(M242:M243)</f>
        <v>5.4716731671845036</v>
      </c>
      <c r="N241" s="664">
        <f t="shared" ref="N241:T241" si="652">SUM(N242:N243)</f>
        <v>4.256362795002314</v>
      </c>
      <c r="O241" s="664">
        <f t="shared" ref="O241" si="653">SUM(O242:O243)</f>
        <v>0.90721888014807961</v>
      </c>
      <c r="P241" s="664">
        <f t="shared" si="652"/>
        <v>0</v>
      </c>
      <c r="Q241" s="664">
        <f t="shared" si="652"/>
        <v>0.30809149203411118</v>
      </c>
      <c r="R241" s="664">
        <f t="shared" ref="R241" si="654">SUM(R242:R243)</f>
        <v>6.1122496198849741E-2</v>
      </c>
      <c r="S241" s="664">
        <f t="shared" si="652"/>
        <v>0</v>
      </c>
      <c r="T241" s="664">
        <f t="shared" si="652"/>
        <v>0</v>
      </c>
      <c r="V241" s="638">
        <f t="shared" si="556"/>
        <v>0</v>
      </c>
      <c r="W241" s="638">
        <f t="shared" si="557"/>
        <v>0</v>
      </c>
      <c r="Z241" s="638">
        <f t="shared" si="555"/>
        <v>0</v>
      </c>
      <c r="AA241" s="647" t="s">
        <v>3463</v>
      </c>
      <c r="AB241">
        <f>_xlfn.XLOOKUP($H241,'[1]Baumaterialien Matériaux'!$A:$A,'[1]Baumaterialien Matériaux'!AK:AK,0,0)</f>
        <v>0</v>
      </c>
      <c r="AC241" cm="1">
        <f t="array" ref="AC241">_xlfn.SWITCH(I241,"kg"," ",0," ",_xlfn.XLOOKUP(H241, '[1]Baumaterialien Matériaux'!$A:$A, '[1]Baumaterialien Matériaux'!$AL:$AL, "-", 0, 1))</f>
        <v>0</v>
      </c>
      <c r="AD241" s="622" cm="1">
        <f t="array" ref="AD241">IFERROR(_xlfn.SWITCH(I241,"kg",1,"m3",AC241,AC241)*J241/(_xlfn.XLOOKUP(AA241,Métrés!A:A,Métrés!D:D,0)),0)</f>
        <v>0</v>
      </c>
      <c r="AE241" s="1092">
        <f>IFERROR(N241*$G$1/(_xlfn.XLOOKUP($AA241,Métrés!$A:$A,Métrés!$D:$D,0)),0)</f>
        <v>172.6166219839142</v>
      </c>
      <c r="AF241" s="1092">
        <f>IFERROR(O241*$G$1/(_xlfn.XLOOKUP($AA241,Métrés!$A:$A,Métrés!$D:$D,0)),0)</f>
        <v>36.792225201072384</v>
      </c>
      <c r="AG241" s="1092">
        <f>IFERROR(Q241*$G$1/(_xlfn.XLOOKUP($AA241,Métrés!$A:$A,Métrés!$D:$D,0)),0)</f>
        <v>12.494638069705092</v>
      </c>
      <c r="AH241" s="1092">
        <f>IFERROR(R241*$G$1/(_xlfn.XLOOKUP($AA241,Métrés!$A:$A,Métrés!$D:$D,0)),0)</f>
        <v>2.4788203753351201</v>
      </c>
      <c r="AI241" s="1092">
        <f>IFERROR(S241*$G$1/(_xlfn.XLOOKUP($AA241,Métrés!$A:$A,Métrés!$D:$D,0)),0)</f>
        <v>0</v>
      </c>
      <c r="AJ241" s="1064"/>
      <c r="AK241" s="1064"/>
      <c r="AL241" s="1064"/>
      <c r="AM241" s="1021"/>
      <c r="AN241" s="1073"/>
      <c r="AO241" s="1064"/>
      <c r="AP241" s="1064"/>
      <c r="AQ241" s="1064"/>
      <c r="AR241" s="1074"/>
      <c r="AS241" s="1073"/>
      <c r="AT241" s="1064"/>
      <c r="AU241" s="1064"/>
      <c r="AV241" s="1064"/>
      <c r="AW241" s="1074"/>
      <c r="AX241" s="1073"/>
      <c r="AY241" s="1064"/>
      <c r="AZ241" s="1064"/>
      <c r="BA241" s="1064"/>
      <c r="BB241" s="1074"/>
      <c r="BC241" s="1073"/>
      <c r="BD241" s="1064"/>
      <c r="BE241" s="1064"/>
      <c r="BF241" s="1074"/>
      <c r="BG241" s="1073"/>
      <c r="BH241" s="1064"/>
      <c r="BI241" s="1074"/>
      <c r="BJ241" s="1078"/>
      <c r="BK241" s="1073"/>
      <c r="BL241" s="1064"/>
      <c r="BM241" s="1074"/>
      <c r="BN241" s="720"/>
      <c r="BO241" s="720"/>
    </row>
    <row r="242" spans="2:67">
      <c r="B242" s="1101"/>
      <c r="C242" s="1099"/>
      <c r="D242" s="478"/>
      <c r="E242" s="478"/>
      <c r="F242" s="638" t="s">
        <v>3403</v>
      </c>
      <c r="G242" s="478" t="str">
        <f>_xlfn.XLOOKUP(H242, 'Baumaterialien Matériaux'!A:A, 'Baumaterialien Matériaux'!AD:AD, "-", 0, 1)</f>
        <v>Béton pour bâtiment (sans armature)</v>
      </c>
      <c r="H242" s="891">
        <v>1.0019999999999998</v>
      </c>
      <c r="I242" s="641" t="str">
        <f>_xlfn.XLOOKUP(H242, 'Baumaterialien Matériaux'!A:A, 'Baumaterialien Matériaux'!F:F, "-", 0, 1)</f>
        <v>kg</v>
      </c>
      <c r="J242" s="649">
        <f>9*2300</f>
        <v>20700</v>
      </c>
      <c r="K242" s="894"/>
      <c r="L242" s="647">
        <v>60</v>
      </c>
      <c r="M242" s="648">
        <f t="shared" ref="M242:M243" si="655">SUM(N242:Q242)</f>
        <v>2.7892840616116876</v>
      </c>
      <c r="N242" s="720">
        <f>IFERROR(($J242*VLOOKUP($H242, 'Baumaterialien Matériaux'!$A$11:$AD$318, 26,FALSE)),0)/$G$1</f>
        <v>2.0252528591260659</v>
      </c>
      <c r="O242" s="720">
        <f>IFERROR(($J242*VLOOKUP($H242, 'Baumaterialien Matériaux'!$A$11:$AH$318, 33,FALSE)),0)/$G$1</f>
        <v>0.47438355258808751</v>
      </c>
      <c r="P242" s="720">
        <f t="shared" ref="P242:P243" si="656">IFERROR((N242+Q242)*($L$2/L242-1),0)</f>
        <v>0</v>
      </c>
      <c r="Q242" s="720">
        <f>IFERROR(($J242*VLOOKUP($H242, 'Baumaterialien Matériaux'!$A$11:$AH$318, 27,FALSE)),0)/$G$1</f>
        <v>0.28964764989753422</v>
      </c>
      <c r="R242" s="720">
        <f>IFERROR(($J242*VLOOKUP($H242, 'Baumaterialien Matériaux'!$A$11:$AH$318, 34,FALSE)),0)/$G$1</f>
        <v>6.1122496198849741E-2</v>
      </c>
      <c r="S242" s="720">
        <f>IFERROR((J242*VLOOKUP(H242, 'Baumaterialien Matériaux'!$A$11:$AD$318, 29,FALSE)),0)/$G$1</f>
        <v>0</v>
      </c>
      <c r="T242" s="720">
        <f>S242*AJ242</f>
        <v>0</v>
      </c>
      <c r="V242" s="638">
        <f t="shared" si="556"/>
        <v>0</v>
      </c>
      <c r="W242" s="638">
        <f t="shared" si="557"/>
        <v>0</v>
      </c>
      <c r="Z242" s="638">
        <f t="shared" si="555"/>
        <v>60</v>
      </c>
      <c r="AA242" s="647" t="s">
        <v>3463</v>
      </c>
      <c r="AB242" t="str">
        <f>_xlfn.XLOOKUP($H242,'[1]Baumaterialien Matériaux'!$A:$A,'[1]Baumaterialien Matériaux'!AK:AK,0,0)</f>
        <v>concrete</v>
      </c>
      <c r="AC242" t="str" cm="1">
        <f t="array" ref="AC242">_xlfn.SWITCH(I242,"kg"," ",0," ",_xlfn.XLOOKUP(H242, '[1]Baumaterialien Matériaux'!$A:$A, '[1]Baumaterialien Matériaux'!$AL:$AL, "-", 0, 1))</f>
        <v xml:space="preserve"> </v>
      </c>
      <c r="AD242" s="622" cm="1">
        <f t="array" ref="AD242">IFERROR(_xlfn.SWITCH(I242,"kg",1,"m3",AC242,AC242)*J242/(_xlfn.XLOOKUP(AA242,Métrés!A:A,Métrés!D:D,0)),0)</f>
        <v>924.9329758713136</v>
      </c>
      <c r="AE242" s="1092">
        <f>IFERROR(N242*$G$1/(_xlfn.XLOOKUP($AA242,Métrés!$A:$A,Métrés!$D:$D,0)),0)</f>
        <v>82.13404825737264</v>
      </c>
      <c r="AF242" s="1092">
        <f>IFERROR(O242*$G$1/(_xlfn.XLOOKUP($AA242,Métrés!$A:$A,Métrés!$D:$D,0)),0)</f>
        <v>19.238605898123321</v>
      </c>
      <c r="AG242" s="1092">
        <f>IFERROR(Q242*$G$1/(_xlfn.XLOOKUP($AA242,Métrés!$A:$A,Métrés!$D:$D,0)),0)</f>
        <v>11.746648793565681</v>
      </c>
      <c r="AH242" s="1092">
        <f>IFERROR(R242*$G$1/(_xlfn.XLOOKUP($AA242,Métrés!$A:$A,Métrés!$D:$D,0)),0)</f>
        <v>2.4788203753351201</v>
      </c>
      <c r="AI242" s="1092">
        <f>IFERROR(S242*$G$1/(_xlfn.XLOOKUP($AA242,Métrés!$A:$A,Métrés!$D:$D,0)),0)</f>
        <v>0</v>
      </c>
      <c r="AJ242" s="1030"/>
      <c r="AK242" s="1030">
        <f>IF(L242=60,0,T242)</f>
        <v>0</v>
      </c>
      <c r="AL242" s="1030">
        <f>IF(L242=60,0,S242)</f>
        <v>0</v>
      </c>
      <c r="AM242" s="638" t="str">
        <f>IF(L242=$L$2, "Structure", IF(L242&gt;0,"Revêtement",0))</f>
        <v>Structure</v>
      </c>
      <c r="AN242" s="1032">
        <f>IF(AM242="Structure",N242,0)</f>
        <v>2.0252528591260659</v>
      </c>
      <c r="AO242" s="1030">
        <f>IF(AM242="Structure",P242,0)</f>
        <v>0</v>
      </c>
      <c r="AP242" s="1030">
        <f>IF(AM242="Structure",Q242,0)</f>
        <v>0.28964764989753422</v>
      </c>
      <c r="AQ242" s="1030">
        <f>IF(AM242="Structure",S242,0)</f>
        <v>0</v>
      </c>
      <c r="AR242" s="1033">
        <f>IF(AM242="Structure",T242,0)</f>
        <v>0</v>
      </c>
      <c r="AS242" s="1032">
        <f>IF($AM242="Insulation",N242,0)</f>
        <v>0</v>
      </c>
      <c r="AT242" s="1030">
        <f>IF($AM242="Insulation",P242,0)</f>
        <v>0</v>
      </c>
      <c r="AU242" s="1030">
        <f>IF($AM242="Insulation",Q242,0)</f>
        <v>0</v>
      </c>
      <c r="AV242" s="1030">
        <f>IF($AM242="Insulation",S242,0)</f>
        <v>0</v>
      </c>
      <c r="AW242" s="1033">
        <f>IF($AM242="Insulation",T242,0)</f>
        <v>0</v>
      </c>
      <c r="AX242" s="1032">
        <f>IF($AM242="Revêtement",N242,0)</f>
        <v>0</v>
      </c>
      <c r="AY242" s="1030">
        <f>IF($AM242="Revêtement",P242,0)</f>
        <v>0</v>
      </c>
      <c r="AZ242" s="1030">
        <f>IF($AM242="Revêtement",Q242,0)</f>
        <v>0</v>
      </c>
      <c r="BA242" s="1030">
        <f>IF($AM242="Revêtement",S242,0)</f>
        <v>0</v>
      </c>
      <c r="BB242" s="1033">
        <f>IF($AM242="Revêtement",T242,0)</f>
        <v>0</v>
      </c>
      <c r="BC242" s="1032">
        <f>IF($AM242="Installation",N242,0)</f>
        <v>0</v>
      </c>
      <c r="BD242" s="1030">
        <f>IF($AM242="Installation",P242,0)</f>
        <v>0</v>
      </c>
      <c r="BE242" s="1030">
        <f>IF($AM242="Installation",Q242,0)</f>
        <v>0</v>
      </c>
      <c r="BF242" s="1033">
        <f>IF($AM242="Installation",S242,0)</f>
        <v>0</v>
      </c>
      <c r="BG242" s="1032">
        <f>IF($AM242="Structure", IF($I242="kg",$J242,0), 0)</f>
        <v>20700</v>
      </c>
      <c r="BH242" s="1030">
        <f>IF($AM242="Insulation", IF($I242="kg",$J242,0), 0)</f>
        <v>0</v>
      </c>
      <c r="BI242" s="1033">
        <f>IF($AM242="Revêtement", IF($I242="kg",$J242,0), 0)</f>
        <v>0</v>
      </c>
      <c r="BJ242" s="1030">
        <f>_xlfn.XLOOKUP(H242, 'Baumaterialien Matériaux'!A:A, 'Baumaterialien Matériaux'!E:E, "-", 0, 1)</f>
        <v>2300</v>
      </c>
      <c r="BK242" s="1032">
        <f t="shared" si="524"/>
        <v>9</v>
      </c>
      <c r="BL242" s="1030">
        <f t="shared" si="525"/>
        <v>0</v>
      </c>
      <c r="BM242" s="1033">
        <f t="shared" si="526"/>
        <v>0</v>
      </c>
      <c r="BN242" s="720"/>
      <c r="BO242" s="720"/>
    </row>
    <row r="243" spans="2:67">
      <c r="B243" s="1101"/>
      <c r="C243" s="1099"/>
      <c r="D243" s="478"/>
      <c r="E243" s="478"/>
      <c r="F243" s="638" t="s">
        <v>3004</v>
      </c>
      <c r="G243" s="478" t="str">
        <f>_xlfn.XLOOKUP(H243, 'Baumaterialien Matériaux'!A:A, 'Baumaterialien Matériaux'!AD:AD, "-", 0, 1)</f>
        <v>Acier d'armature</v>
      </c>
      <c r="H243" s="892" t="s">
        <v>497</v>
      </c>
      <c r="I243" s="641" t="str">
        <f>_xlfn.XLOOKUP(H243, 'Baumaterialien Matériaux'!A:A, 'Baumaterialien Matériaux'!F:F, "-", 0, 1)</f>
        <v>kg</v>
      </c>
      <c r="J243" s="649">
        <f>150*9</f>
        <v>1350</v>
      </c>
      <c r="K243" s="894"/>
      <c r="L243" s="647">
        <v>60</v>
      </c>
      <c r="M243" s="648">
        <f t="shared" si="655"/>
        <v>2.6823891055728164</v>
      </c>
      <c r="N243" s="720">
        <f>IFERROR(($J243*VLOOKUP($H243, 'Baumaterialien Matériaux'!$A$11:$AD$318, 26,FALSE)),0)/$G$1</f>
        <v>2.2311099358762476</v>
      </c>
      <c r="O243" s="720">
        <f>IFERROR(($J243*VLOOKUP($H243, 'Baumaterialien Matériaux'!$A$11:$AH$318, 33,FALSE)),0)/$G$1</f>
        <v>0.43283532755999204</v>
      </c>
      <c r="P243" s="720">
        <f t="shared" si="656"/>
        <v>0</v>
      </c>
      <c r="Q243" s="720">
        <f>IFERROR(($J243*VLOOKUP($H243, 'Baumaterialien Matériaux'!$A$11:$AH$318, 27,FALSE)),0)/$G$1</f>
        <v>1.8443842136576981E-2</v>
      </c>
      <c r="R243" s="720">
        <f>IFERROR(($J243*VLOOKUP($H243, 'Baumaterialien Matériaux'!$A$11:$AH$318, 34,FALSE)),0)/$G$1</f>
        <v>0</v>
      </c>
      <c r="S243" s="720">
        <f>IFERROR((J243*VLOOKUP(H243, 'Baumaterialien Matériaux'!$A$11:$AD$318, 29,FALSE)),0)/$G$1</f>
        <v>0</v>
      </c>
      <c r="T243" s="720">
        <f>S243*AJ243</f>
        <v>0</v>
      </c>
      <c r="V243" s="638">
        <f t="shared" si="556"/>
        <v>0</v>
      </c>
      <c r="W243" s="638">
        <f t="shared" si="557"/>
        <v>0</v>
      </c>
      <c r="Z243" s="638">
        <f t="shared" si="555"/>
        <v>60</v>
      </c>
      <c r="AA243" s="647" t="s">
        <v>3463</v>
      </c>
      <c r="AB243" t="str">
        <f>_xlfn.XLOOKUP($H243,'[1]Baumaterialien Matériaux'!$A:$A,'[1]Baumaterialien Matériaux'!AK:AK,0,0)</f>
        <v>metal</v>
      </c>
      <c r="AC243" t="str" cm="1">
        <f t="array" ref="AC243">_xlfn.SWITCH(I243,"kg"," ",0," ",_xlfn.XLOOKUP(H243, '[1]Baumaterialien Matériaux'!$A:$A, '[1]Baumaterialien Matériaux'!$AL:$AL, "-", 0, 1))</f>
        <v xml:space="preserve"> </v>
      </c>
      <c r="AD243" s="622" cm="1">
        <f t="array" ref="AD243">IFERROR(_xlfn.SWITCH(I243,"kg",1,"m3",AC243,AC243)*J243/(_xlfn.XLOOKUP(AA243,Métrés!A:A,Métrés!D:D,0)),0)</f>
        <v>60.321715817694361</v>
      </c>
      <c r="AE243" s="1092">
        <f>IFERROR(N243*$G$1/(_xlfn.XLOOKUP($AA243,Métrés!$A:$A,Métrés!$D:$D,0)),0)</f>
        <v>90.482573726541531</v>
      </c>
      <c r="AF243" s="1092">
        <f>IFERROR(O243*$G$1/(_xlfn.XLOOKUP($AA243,Métrés!$A:$A,Métrés!$D:$D,0)),0)</f>
        <v>17.553619302949059</v>
      </c>
      <c r="AG243" s="1092">
        <f>IFERROR(Q243*$G$1/(_xlfn.XLOOKUP($AA243,Métrés!$A:$A,Métrés!$D:$D,0)),0)</f>
        <v>0.74798927613941002</v>
      </c>
      <c r="AH243" s="1092">
        <f>IFERROR(R243*$G$1/(_xlfn.XLOOKUP($AA243,Métrés!$A:$A,Métrés!$D:$D,0)),0)</f>
        <v>0</v>
      </c>
      <c r="AI243" s="1092">
        <f>IFERROR(S243*$G$1/(_xlfn.XLOOKUP($AA243,Métrés!$A:$A,Métrés!$D:$D,0)),0)</f>
        <v>0</v>
      </c>
      <c r="AJ243" s="1030"/>
      <c r="AK243" s="1030">
        <f>IF(L243=60,0,T243)</f>
        <v>0</v>
      </c>
      <c r="AL243" s="1030">
        <f>IF(L243=60,0,S243)</f>
        <v>0</v>
      </c>
      <c r="AM243" s="638" t="str">
        <f>IF(L243=$L$2, "Structure", IF(L243&gt;0,"Revêtement",0))</f>
        <v>Structure</v>
      </c>
      <c r="AN243" s="1032">
        <f>IF(AM243="Structure",N243,0)</f>
        <v>2.2311099358762476</v>
      </c>
      <c r="AO243" s="1030">
        <f>IF(AM243="Structure",P243,0)</f>
        <v>0</v>
      </c>
      <c r="AP243" s="1030">
        <f>IF(AM243="Structure",Q243,0)</f>
        <v>1.8443842136576981E-2</v>
      </c>
      <c r="AQ243" s="1030">
        <f>IF(AM243="Structure",S243,0)</f>
        <v>0</v>
      </c>
      <c r="AR243" s="1033">
        <f>IF(AM243="Structure",T243,0)</f>
        <v>0</v>
      </c>
      <c r="AS243" s="1032">
        <f>IF($AM243="Insulation",N243,0)</f>
        <v>0</v>
      </c>
      <c r="AT243" s="1030">
        <f>IF($AM243="Insulation",P243,0)</f>
        <v>0</v>
      </c>
      <c r="AU243" s="1030">
        <f>IF($AM243="Insulation",Q243,0)</f>
        <v>0</v>
      </c>
      <c r="AV243" s="1030">
        <f>IF($AM243="Insulation",S243,0)</f>
        <v>0</v>
      </c>
      <c r="AW243" s="1033">
        <f>IF($AM243="Insulation",T243,0)</f>
        <v>0</v>
      </c>
      <c r="AX243" s="1032">
        <f>IF($AM243="Revêtement",N243,0)</f>
        <v>0</v>
      </c>
      <c r="AY243" s="1030">
        <f>IF($AM243="Revêtement",P243,0)</f>
        <v>0</v>
      </c>
      <c r="AZ243" s="1030">
        <f>IF($AM243="Revêtement",Q243,0)</f>
        <v>0</v>
      </c>
      <c r="BA243" s="1030">
        <f>IF($AM243="Revêtement",S243,0)</f>
        <v>0</v>
      </c>
      <c r="BB243" s="1033">
        <f>IF($AM243="Revêtement",T243,0)</f>
        <v>0</v>
      </c>
      <c r="BC243" s="1032">
        <f>IF($AM243="Installation",N243,0)</f>
        <v>0</v>
      </c>
      <c r="BD243" s="1030">
        <f>IF($AM243="Installation",P243,0)</f>
        <v>0</v>
      </c>
      <c r="BE243" s="1030">
        <f>IF($AM243="Installation",Q243,0)</f>
        <v>0</v>
      </c>
      <c r="BF243" s="1033">
        <f>IF($AM243="Installation",S243,0)</f>
        <v>0</v>
      </c>
      <c r="BG243" s="1032">
        <f>IF($AM243="Structure", IF($I243="kg",$J243,0), 0)</f>
        <v>1350</v>
      </c>
      <c r="BH243" s="1030">
        <f>IF($AM243="Insulation", IF($I243="kg",$J243,0), 0)</f>
        <v>0</v>
      </c>
      <c r="BI243" s="1033">
        <f>IF($AM243="Revêtement", IF($I243="kg",$J243,0), 0)</f>
        <v>0</v>
      </c>
      <c r="BJ243" s="1030">
        <f>_xlfn.XLOOKUP(H243, 'Baumaterialien Matériaux'!A:A, 'Baumaterialien Matériaux'!E:E, "-", 0, 1)</f>
        <v>7850</v>
      </c>
      <c r="BK243" s="1032">
        <f t="shared" si="524"/>
        <v>0.17197452229299362</v>
      </c>
      <c r="BL243" s="1030">
        <f t="shared" si="525"/>
        <v>0</v>
      </c>
      <c r="BM243" s="1033">
        <f t="shared" si="526"/>
        <v>0</v>
      </c>
      <c r="BN243" s="720"/>
      <c r="BO243" s="720"/>
    </row>
    <row r="244" spans="2:67">
      <c r="B244" s="1101"/>
      <c r="C244" s="1099"/>
      <c r="D244" s="478"/>
      <c r="E244" s="478"/>
      <c r="F244" s="479" t="s">
        <v>3290</v>
      </c>
      <c r="G244" s="479"/>
      <c r="H244" s="479"/>
      <c r="I244" s="459" t="s">
        <v>39</v>
      </c>
      <c r="J244" s="662"/>
      <c r="K244" s="663"/>
      <c r="L244" s="663"/>
      <c r="M244" s="664">
        <f>SUM(M245:M246)</f>
        <v>0</v>
      </c>
      <c r="N244" s="664">
        <f t="shared" ref="N244:T244" si="657">SUM(N245:N246)</f>
        <v>0</v>
      </c>
      <c r="O244" s="664">
        <f t="shared" ref="O244" si="658">SUM(O245:O246)</f>
        <v>0</v>
      </c>
      <c r="P244" s="664">
        <f t="shared" si="657"/>
        <v>0</v>
      </c>
      <c r="Q244" s="664">
        <f t="shared" si="657"/>
        <v>0</v>
      </c>
      <c r="R244" s="664">
        <f t="shared" ref="R244" si="659">SUM(R245:R246)</f>
        <v>0</v>
      </c>
      <c r="S244" s="664">
        <f t="shared" si="657"/>
        <v>0</v>
      </c>
      <c r="T244" s="664">
        <f t="shared" si="657"/>
        <v>0</v>
      </c>
      <c r="V244" s="638">
        <f t="shared" si="556"/>
        <v>0</v>
      </c>
      <c r="W244" s="638">
        <f t="shared" si="557"/>
        <v>0</v>
      </c>
      <c r="Z244" s="638">
        <f t="shared" si="555"/>
        <v>0</v>
      </c>
      <c r="AA244" s="647" t="s">
        <v>3463</v>
      </c>
      <c r="AB244">
        <f>_xlfn.XLOOKUP($H244,'[1]Baumaterialien Matériaux'!$A:$A,'[1]Baumaterialien Matériaux'!AK:AK,0,0)</f>
        <v>0</v>
      </c>
      <c r="AC244" cm="1">
        <f t="array" ref="AC244">_xlfn.SWITCH(I244,"kg"," ",0," ",_xlfn.XLOOKUP(H244, '[1]Baumaterialien Matériaux'!$A:$A, '[1]Baumaterialien Matériaux'!$AL:$AL, "-", 0, 1))</f>
        <v>0</v>
      </c>
      <c r="AD244" s="622" cm="1">
        <f t="array" ref="AD244">IFERROR(_xlfn.SWITCH(I244,"kg",1,"m3",AC244,AC244)*J244/(_xlfn.XLOOKUP(AA244,Métrés!A:A,Métrés!D:D,0)),0)</f>
        <v>0</v>
      </c>
      <c r="AE244" s="1092">
        <f>IFERROR(N244*$G$1/(_xlfn.XLOOKUP($AA244,Métrés!$A:$A,Métrés!$D:$D,0)),0)</f>
        <v>0</v>
      </c>
      <c r="AF244" s="1092">
        <f>IFERROR(O244*$G$1/(_xlfn.XLOOKUP($AA244,Métrés!$A:$A,Métrés!$D:$D,0)),0)</f>
        <v>0</v>
      </c>
      <c r="AG244" s="1092">
        <f>IFERROR(Q244*$G$1/(_xlfn.XLOOKUP($AA244,Métrés!$A:$A,Métrés!$D:$D,0)),0)</f>
        <v>0</v>
      </c>
      <c r="AH244" s="1092">
        <f>IFERROR(R244*$G$1/(_xlfn.XLOOKUP($AA244,Métrés!$A:$A,Métrés!$D:$D,0)),0)</f>
        <v>0</v>
      </c>
      <c r="AI244" s="1092">
        <f>IFERROR(S244*$G$1/(_xlfn.XLOOKUP($AA244,Métrés!$A:$A,Métrés!$D:$D,0)),0)</f>
        <v>0</v>
      </c>
      <c r="AJ244" s="1064"/>
      <c r="AK244" s="1064"/>
      <c r="AL244" s="1064"/>
      <c r="AM244" s="1021"/>
      <c r="AN244" s="1073"/>
      <c r="AO244" s="1064"/>
      <c r="AP244" s="1064"/>
      <c r="AQ244" s="1064"/>
      <c r="AR244" s="1074"/>
      <c r="AS244" s="1073"/>
      <c r="AT244" s="1064"/>
      <c r="AU244" s="1064"/>
      <c r="AV244" s="1064"/>
      <c r="AW244" s="1074"/>
      <c r="AX244" s="1073"/>
      <c r="AY244" s="1064"/>
      <c r="AZ244" s="1064"/>
      <c r="BA244" s="1064"/>
      <c r="BB244" s="1074"/>
      <c r="BC244" s="1073"/>
      <c r="BD244" s="1064"/>
      <c r="BE244" s="1064"/>
      <c r="BF244" s="1074"/>
      <c r="BG244" s="1073"/>
      <c r="BH244" s="1064"/>
      <c r="BI244" s="1074"/>
      <c r="BJ244" s="1078"/>
      <c r="BK244" s="1073"/>
      <c r="BL244" s="1064"/>
      <c r="BM244" s="1074"/>
      <c r="BN244" s="720"/>
      <c r="BO244" s="720"/>
    </row>
    <row r="245" spans="2:67">
      <c r="B245" s="1101"/>
      <c r="C245" s="1099"/>
      <c r="D245" s="478"/>
      <c r="E245" s="478"/>
      <c r="F245" s="638" t="s">
        <v>3402</v>
      </c>
      <c r="G245" s="478" t="str">
        <f>_xlfn.XLOOKUP(H245, 'Baumaterialien Matériaux'!A:A, 'Baumaterialien Matériaux'!AD:AD, "-", 0, 1)</f>
        <v>Données écobilans dans la construction</v>
      </c>
      <c r="H245" s="891"/>
      <c r="I245" s="641">
        <f>_xlfn.XLOOKUP(H245, 'Baumaterialien Matériaux'!A:A, 'Baumaterialien Matériaux'!F:F, "-", 0, 1)</f>
        <v>0</v>
      </c>
      <c r="J245" s="649"/>
      <c r="K245" s="894"/>
      <c r="L245" s="647">
        <v>60</v>
      </c>
      <c r="M245" s="648">
        <f t="shared" ref="M245" si="660">SUM(N245:Q245)</f>
        <v>0</v>
      </c>
      <c r="N245" s="720">
        <f>IFERROR(($J245*VLOOKUP($H245, 'Baumaterialien Matériaux'!$A$11:$AD$318, 26,FALSE)),0)/$G$1</f>
        <v>0</v>
      </c>
      <c r="O245" s="720">
        <f>IFERROR(($J245*VLOOKUP($H245, 'Baumaterialien Matériaux'!$A$11:$AH$318, 33,FALSE)),0)/$G$1</f>
        <v>0</v>
      </c>
      <c r="P245" s="720">
        <f t="shared" ref="P245" si="661">IFERROR((N245+Q245)*($L$2/L245-1),0)</f>
        <v>0</v>
      </c>
      <c r="Q245" s="720">
        <f>IFERROR(($J245*VLOOKUP($H245, 'Baumaterialien Matériaux'!$A$11:$AH$318, 27,FALSE)),0)/$G$1</f>
        <v>0</v>
      </c>
      <c r="R245" s="720">
        <f>IFERROR(($J245*VLOOKUP($H245, 'Baumaterialien Matériaux'!$A$11:$AH$318, 34,FALSE)),0)/$G$1</f>
        <v>0</v>
      </c>
      <c r="S245" s="720">
        <f>IFERROR((J245*VLOOKUP(H245, 'Baumaterialien Matériaux'!$A$11:$AD$318, 29,FALSE)),0)/$G$1</f>
        <v>0</v>
      </c>
      <c r="T245" s="720">
        <f>S245*AJ245</f>
        <v>0</v>
      </c>
      <c r="V245" s="638">
        <f t="shared" si="556"/>
        <v>0</v>
      </c>
      <c r="W245" s="638">
        <f t="shared" si="557"/>
        <v>0</v>
      </c>
      <c r="Z245" s="638">
        <f t="shared" si="555"/>
        <v>60</v>
      </c>
      <c r="AA245" s="647" t="s">
        <v>3463</v>
      </c>
      <c r="AB245">
        <f>_xlfn.XLOOKUP($H245,'[1]Baumaterialien Matériaux'!$A:$A,'[1]Baumaterialien Matériaux'!AK:AK,0,0)</f>
        <v>0</v>
      </c>
      <c r="AC245" t="str" cm="1">
        <f t="array" ref="AC245">_xlfn.SWITCH(I245,"kg"," ",0," ",_xlfn.XLOOKUP(H245, '[1]Baumaterialien Matériaux'!$A:$A, '[1]Baumaterialien Matériaux'!$AL:$AL, "-", 0, 1))</f>
        <v xml:space="preserve"> </v>
      </c>
      <c r="AD245" s="622" cm="1">
        <f t="array" ref="AD245">IFERROR(_xlfn.SWITCH(I245,"kg",1,"m3",AC245,AC245)*J245/(_xlfn.XLOOKUP(AA245,Métrés!A:A,Métrés!D:D,0)),0)</f>
        <v>0</v>
      </c>
      <c r="AE245" s="1092">
        <f>IFERROR(N245*$G$1/(_xlfn.XLOOKUP($AA245,Métrés!$A:$A,Métrés!$D:$D,0)),0)</f>
        <v>0</v>
      </c>
      <c r="AF245" s="1092">
        <f>IFERROR(O245*$G$1/(_xlfn.XLOOKUP($AA245,Métrés!$A:$A,Métrés!$D:$D,0)),0)</f>
        <v>0</v>
      </c>
      <c r="AG245" s="1092">
        <f>IFERROR(Q245*$G$1/(_xlfn.XLOOKUP($AA245,Métrés!$A:$A,Métrés!$D:$D,0)),0)</f>
        <v>0</v>
      </c>
      <c r="AH245" s="1092">
        <f>IFERROR(R245*$G$1/(_xlfn.XLOOKUP($AA245,Métrés!$A:$A,Métrés!$D:$D,0)),0)</f>
        <v>0</v>
      </c>
      <c r="AI245" s="1092">
        <f>IFERROR(S245*$G$1/(_xlfn.XLOOKUP($AA245,Métrés!$A:$A,Métrés!$D:$D,0)),0)</f>
        <v>0</v>
      </c>
      <c r="AJ245" s="1030"/>
      <c r="AK245" s="1030">
        <f>IF(L245=60,0,T245)</f>
        <v>0</v>
      </c>
      <c r="AL245" s="1030">
        <f>IF(L245=60,0,S245)</f>
        <v>0</v>
      </c>
      <c r="AM245" s="638" t="str">
        <f>IF(L245=$L$2, "Structure", IF(L245&gt;0,"Revêtement",0))</f>
        <v>Structure</v>
      </c>
      <c r="AN245" s="1032">
        <f>IF(AM245="Structure",N245,0)</f>
        <v>0</v>
      </c>
      <c r="AO245" s="1030">
        <f>IF(AM245="Structure",P245,0)</f>
        <v>0</v>
      </c>
      <c r="AP245" s="1030">
        <f>IF(AM245="Structure",Q245,0)</f>
        <v>0</v>
      </c>
      <c r="AQ245" s="1030">
        <f>IF(AM245="Structure",S245,0)</f>
        <v>0</v>
      </c>
      <c r="AR245" s="1033">
        <f>IF(AM245="Structure",T245,0)</f>
        <v>0</v>
      </c>
      <c r="AS245" s="1032">
        <f>IF($AM245="Insulation",N245,0)</f>
        <v>0</v>
      </c>
      <c r="AT245" s="1030">
        <f t="shared" ref="AT245:AU247" si="662">IF($AM245="Insulation",P245,0)</f>
        <v>0</v>
      </c>
      <c r="AU245" s="1030">
        <f t="shared" si="662"/>
        <v>0</v>
      </c>
      <c r="AV245" s="1030">
        <f t="shared" ref="AV245:AW247" si="663">IF($AM245="Insulation",S245,0)</f>
        <v>0</v>
      </c>
      <c r="AW245" s="1033">
        <f t="shared" si="663"/>
        <v>0</v>
      </c>
      <c r="AX245" s="1032">
        <f>IF($AM245="Revêtement",N245,0)</f>
        <v>0</v>
      </c>
      <c r="AY245" s="1030">
        <f t="shared" ref="AY245:AZ247" si="664">IF($AM245="Revêtement",P245,0)</f>
        <v>0</v>
      </c>
      <c r="AZ245" s="1030">
        <f t="shared" si="664"/>
        <v>0</v>
      </c>
      <c r="BA245" s="1030">
        <f t="shared" ref="BA245:BB247" si="665">IF($AM245="Revêtement",S245,0)</f>
        <v>0</v>
      </c>
      <c r="BB245" s="1033">
        <f t="shared" si="665"/>
        <v>0</v>
      </c>
      <c r="BC245" s="1032">
        <f>IF($AM245="Installation",N245,0)</f>
        <v>0</v>
      </c>
      <c r="BD245" s="1030">
        <f t="shared" ref="BD245:BE247" si="666">IF($AM245="Installation",P245,0)</f>
        <v>0</v>
      </c>
      <c r="BE245" s="1030">
        <f t="shared" si="666"/>
        <v>0</v>
      </c>
      <c r="BF245" s="1033">
        <f>IF($AM245="Installation",S245,0)</f>
        <v>0</v>
      </c>
      <c r="BG245" s="1032">
        <f>IF($AM245="Structure", IF($I245="kg",$J245,0), 0)</f>
        <v>0</v>
      </c>
      <c r="BH245" s="1030">
        <f>IF($AM245="Insulation", IF($I245="kg",$J245,0), 0)</f>
        <v>0</v>
      </c>
      <c r="BI245" s="1033">
        <f>IF($AM245="Revêtement", IF($I245="kg",$J245,0), 0)</f>
        <v>0</v>
      </c>
      <c r="BJ245" s="1030">
        <f>_xlfn.XLOOKUP(H245, 'Baumaterialien Matériaux'!A:A, 'Baumaterialien Matériaux'!E:E, "-", 0, 1)</f>
        <v>0</v>
      </c>
      <c r="BK245" s="1032">
        <f t="shared" si="524"/>
        <v>0</v>
      </c>
      <c r="BL245" s="1030">
        <f t="shared" si="525"/>
        <v>0</v>
      </c>
      <c r="BM245" s="1033">
        <f t="shared" si="526"/>
        <v>0</v>
      </c>
      <c r="BN245" s="720"/>
      <c r="BO245" s="720"/>
    </row>
    <row r="246" spans="2:67">
      <c r="B246" s="1101"/>
      <c r="C246" s="1099"/>
      <c r="D246" s="478"/>
      <c r="E246" s="478"/>
      <c r="G246" s="478"/>
      <c r="H246" s="892"/>
      <c r="I246" s="641"/>
      <c r="J246" s="649"/>
      <c r="K246" s="894"/>
      <c r="L246" s="647"/>
      <c r="M246" s="648"/>
      <c r="N246" s="720"/>
      <c r="O246" s="720"/>
      <c r="P246" s="720"/>
      <c r="Q246" s="720"/>
      <c r="R246" s="720"/>
      <c r="S246" s="720"/>
      <c r="T246" s="720">
        <f>S246*AJ246</f>
        <v>0</v>
      </c>
      <c r="V246" s="638">
        <f t="shared" si="556"/>
        <v>0</v>
      </c>
      <c r="W246" s="638">
        <f t="shared" si="557"/>
        <v>0</v>
      </c>
      <c r="Z246" s="638">
        <f t="shared" si="555"/>
        <v>0</v>
      </c>
      <c r="AA246" s="647" t="s">
        <v>3463</v>
      </c>
      <c r="AB246">
        <f>_xlfn.XLOOKUP($H246,'[1]Baumaterialien Matériaux'!$A:$A,'[1]Baumaterialien Matériaux'!AK:AK,0,0)</f>
        <v>0</v>
      </c>
      <c r="AC246" t="str" cm="1">
        <f t="array" ref="AC246">_xlfn.SWITCH(I246,"kg"," ",0," ",_xlfn.XLOOKUP(H246, '[1]Baumaterialien Matériaux'!$A:$A, '[1]Baumaterialien Matériaux'!$AL:$AL, "-", 0, 1))</f>
        <v xml:space="preserve"> </v>
      </c>
      <c r="AD246" s="622" cm="1">
        <f t="array" ref="AD246">IFERROR(_xlfn.SWITCH(I246,"kg",1,"m3",AC246,AC246)*J246/(_xlfn.XLOOKUP(AA246,Métrés!A:A,Métrés!D:D,0)),0)</f>
        <v>0</v>
      </c>
      <c r="AE246" s="1092">
        <f>IFERROR(N246*$G$1/(_xlfn.XLOOKUP($AA246,Métrés!$A:$A,Métrés!$D:$D,0)),0)</f>
        <v>0</v>
      </c>
      <c r="AF246" s="1092">
        <f>IFERROR(O246*$G$1/(_xlfn.XLOOKUP($AA246,Métrés!$A:$A,Métrés!$D:$D,0)),0)</f>
        <v>0</v>
      </c>
      <c r="AG246" s="1092">
        <f>IFERROR(Q246*$G$1/(_xlfn.XLOOKUP($AA246,Métrés!$A:$A,Métrés!$D:$D,0)),0)</f>
        <v>0</v>
      </c>
      <c r="AH246" s="1092">
        <f>IFERROR(R246*$G$1/(_xlfn.XLOOKUP($AA246,Métrés!$A:$A,Métrés!$D:$D,0)),0)</f>
        <v>0</v>
      </c>
      <c r="AI246" s="1092">
        <f>IFERROR(S246*$G$1/(_xlfn.XLOOKUP($AA246,Métrés!$A:$A,Métrés!$D:$D,0)),0)</f>
        <v>0</v>
      </c>
      <c r="AJ246" s="1030"/>
      <c r="AK246" s="1030">
        <f>IF(L246=60,0,T246)</f>
        <v>0</v>
      </c>
      <c r="AL246" s="1030">
        <f>IF(L246=60,0,S246)</f>
        <v>0</v>
      </c>
      <c r="AM246" s="638">
        <f>IF(L246=$L$2, "Structure", IF(L246&gt;0,"Revêtement",0))</f>
        <v>0</v>
      </c>
      <c r="AN246" s="1032">
        <f>IF(AM246="Structure",N246,0)</f>
        <v>0</v>
      </c>
      <c r="AO246" s="1030">
        <f>IF(AM246="Structure",P246,0)</f>
        <v>0</v>
      </c>
      <c r="AP246" s="1030">
        <f>IF(AM246="Structure",Q246,0)</f>
        <v>0</v>
      </c>
      <c r="AQ246" s="1030">
        <f>IF(AM246="Structure",S246,0)</f>
        <v>0</v>
      </c>
      <c r="AR246" s="1033">
        <f>IF(AM246="Structure",T246,0)</f>
        <v>0</v>
      </c>
      <c r="AS246" s="1032">
        <f>IF($AM246="Insulation",N246,0)</f>
        <v>0</v>
      </c>
      <c r="AT246" s="1030">
        <f t="shared" si="662"/>
        <v>0</v>
      </c>
      <c r="AU246" s="1030">
        <f t="shared" si="662"/>
        <v>0</v>
      </c>
      <c r="AV246" s="1030">
        <f t="shared" si="663"/>
        <v>0</v>
      </c>
      <c r="AW246" s="1033">
        <f t="shared" si="663"/>
        <v>0</v>
      </c>
      <c r="AX246" s="1032">
        <f>IF($AM246="Revêtement",N246,0)</f>
        <v>0</v>
      </c>
      <c r="AY246" s="1030">
        <f t="shared" si="664"/>
        <v>0</v>
      </c>
      <c r="AZ246" s="1030">
        <f t="shared" si="664"/>
        <v>0</v>
      </c>
      <c r="BA246" s="1030">
        <f t="shared" si="665"/>
        <v>0</v>
      </c>
      <c r="BB246" s="1033">
        <f t="shared" si="665"/>
        <v>0</v>
      </c>
      <c r="BC246" s="1032">
        <f>IF($AM246="Installation",N246,0)</f>
        <v>0</v>
      </c>
      <c r="BD246" s="1030">
        <f t="shared" si="666"/>
        <v>0</v>
      </c>
      <c r="BE246" s="1030">
        <f t="shared" si="666"/>
        <v>0</v>
      </c>
      <c r="BF246" s="1033">
        <f>IF($AM246="Installation",S246,0)</f>
        <v>0</v>
      </c>
      <c r="BG246" s="1032">
        <f>IF($AM246="Structure", IF($I246="kg",$J246,0), 0)</f>
        <v>0</v>
      </c>
      <c r="BH246" s="1030">
        <f>IF($AM246="Insulation", IF($I246="kg",$J246,0), 0)</f>
        <v>0</v>
      </c>
      <c r="BI246" s="1033">
        <f>IF($AM246="Revêtement", IF($I246="kg",$J246,0), 0)</f>
        <v>0</v>
      </c>
      <c r="BJ246" s="1030">
        <f>_xlfn.XLOOKUP(H246, 'Baumaterialien Matériaux'!A:A, 'Baumaterialien Matériaux'!E:E, "-", 0, 1)</f>
        <v>0</v>
      </c>
      <c r="BK246" s="1032">
        <f t="shared" si="524"/>
        <v>0</v>
      </c>
      <c r="BL246" s="1030">
        <f t="shared" si="525"/>
        <v>0</v>
      </c>
      <c r="BM246" s="1033">
        <f t="shared" si="526"/>
        <v>0</v>
      </c>
      <c r="BN246" s="720"/>
      <c r="BO246" s="720"/>
    </row>
    <row r="247" spans="2:67">
      <c r="B247" s="1101"/>
      <c r="C247" s="1099"/>
      <c r="D247" s="478"/>
      <c r="E247" s="478"/>
      <c r="G247" s="478"/>
      <c r="H247" s="875"/>
      <c r="I247" s="641"/>
      <c r="J247" s="649"/>
      <c r="K247" s="650"/>
      <c r="L247" s="647"/>
      <c r="M247" s="648"/>
      <c r="N247" s="720"/>
      <c r="O247" s="720"/>
      <c r="P247" s="720"/>
      <c r="Q247" s="720"/>
      <c r="R247" s="720"/>
      <c r="S247" s="720"/>
      <c r="T247" s="720"/>
      <c r="Z247" s="638">
        <f t="shared" si="555"/>
        <v>0</v>
      </c>
      <c r="AA247" s="647" t="s">
        <v>3463</v>
      </c>
      <c r="AB247">
        <f>_xlfn.XLOOKUP($H247,'[1]Baumaterialien Matériaux'!$A:$A,'[1]Baumaterialien Matériaux'!AK:AK,0,0)</f>
        <v>0</v>
      </c>
      <c r="AC247" t="str" cm="1">
        <f t="array" ref="AC247">_xlfn.SWITCH(I247,"kg"," ",0," ",_xlfn.XLOOKUP(H247, '[1]Baumaterialien Matériaux'!$A:$A, '[1]Baumaterialien Matériaux'!$AL:$AL, "-", 0, 1))</f>
        <v xml:space="preserve"> </v>
      </c>
      <c r="AD247" s="622" cm="1">
        <f t="array" ref="AD247">IFERROR(_xlfn.SWITCH(I247,"kg",1,"m3",AC247,AC247)*J247/(_xlfn.XLOOKUP(AA247,Métrés!A:A,Métrés!D:D,0)),0)</f>
        <v>0</v>
      </c>
      <c r="AE247" s="1092">
        <f>IFERROR(N247*$G$1/(_xlfn.XLOOKUP($AA247,Métrés!$A:$A,Métrés!$D:$D,0)),0)</f>
        <v>0</v>
      </c>
      <c r="AF247" s="1092">
        <f>IFERROR(O247*$G$1/(_xlfn.XLOOKUP($AA247,Métrés!$A:$A,Métrés!$D:$D,0)),0)</f>
        <v>0</v>
      </c>
      <c r="AG247" s="1092">
        <f>IFERROR(Q247*$G$1/(_xlfn.XLOOKUP($AA247,Métrés!$A:$A,Métrés!$D:$D,0)),0)</f>
        <v>0</v>
      </c>
      <c r="AH247" s="1092">
        <f>IFERROR(R247*$G$1/(_xlfn.XLOOKUP($AA247,Métrés!$A:$A,Métrés!$D:$D,0)),0)</f>
        <v>0</v>
      </c>
      <c r="AI247" s="1092">
        <f>IFERROR(S247*$G$1/(_xlfn.XLOOKUP($AA247,Métrés!$A:$A,Métrés!$D:$D,0)),0)</f>
        <v>0</v>
      </c>
      <c r="AJ247" s="1030"/>
      <c r="AK247" s="1030"/>
      <c r="AL247" s="1030"/>
      <c r="AM247" s="638">
        <f>IF(L247=$L$2, "Structure", IF(L247&gt;0,"Revêtement",0))</f>
        <v>0</v>
      </c>
      <c r="AN247" s="1032">
        <f>IF(AM247="Structure",N247,0)</f>
        <v>0</v>
      </c>
      <c r="AO247" s="1030">
        <f>IF(AM247="Structure",P247,0)</f>
        <v>0</v>
      </c>
      <c r="AP247" s="1030">
        <f>IF(AM247="Structure",Q247,0)</f>
        <v>0</v>
      </c>
      <c r="AQ247" s="1030">
        <f>IF(AM247="Structure",S247,0)</f>
        <v>0</v>
      </c>
      <c r="AR247" s="1033">
        <f>IF(AM247="Structure",T247,0)</f>
        <v>0</v>
      </c>
      <c r="AS247" s="1032">
        <f>IF($AM247="Insulation",N247,0)</f>
        <v>0</v>
      </c>
      <c r="AT247" s="1030">
        <f t="shared" si="662"/>
        <v>0</v>
      </c>
      <c r="AU247" s="1030">
        <f t="shared" si="662"/>
        <v>0</v>
      </c>
      <c r="AV247" s="1030">
        <f t="shared" si="663"/>
        <v>0</v>
      </c>
      <c r="AW247" s="1033">
        <f t="shared" si="663"/>
        <v>0</v>
      </c>
      <c r="AX247" s="1032">
        <f>IF($AM247="Revêtement",N247,0)</f>
        <v>0</v>
      </c>
      <c r="AY247" s="1030">
        <f t="shared" si="664"/>
        <v>0</v>
      </c>
      <c r="AZ247" s="1030">
        <f t="shared" si="664"/>
        <v>0</v>
      </c>
      <c r="BA247" s="1030">
        <f t="shared" si="665"/>
        <v>0</v>
      </c>
      <c r="BB247" s="1033">
        <f t="shared" si="665"/>
        <v>0</v>
      </c>
      <c r="BC247" s="1032">
        <f>IF($AM247="Installation",N247,0)</f>
        <v>0</v>
      </c>
      <c r="BD247" s="1030">
        <f t="shared" si="666"/>
        <v>0</v>
      </c>
      <c r="BE247" s="1030">
        <f t="shared" si="666"/>
        <v>0</v>
      </c>
      <c r="BF247" s="1033">
        <f>IF($AM247="Installation",S247,0)</f>
        <v>0</v>
      </c>
      <c r="BG247" s="1032">
        <f>IF($AM247="Structure", IF($I247="kg",$J247,0), 0)</f>
        <v>0</v>
      </c>
      <c r="BH247" s="1030">
        <f>IF($AM247="Insulation", IF($I247="kg",$J247,0), 0)</f>
        <v>0</v>
      </c>
      <c r="BI247" s="1033">
        <f>IF($AM247="Revêtement", IF($I247="kg",$J247,0), 0)</f>
        <v>0</v>
      </c>
      <c r="BJ247" s="1030">
        <f>_xlfn.XLOOKUP(H247, 'Baumaterialien Matériaux'!A:A, 'Baumaterialien Matériaux'!E:E, "-", 0, 1)</f>
        <v>0</v>
      </c>
      <c r="BK247" s="1032">
        <f t="shared" si="524"/>
        <v>0</v>
      </c>
      <c r="BL247" s="1030">
        <f t="shared" si="525"/>
        <v>0</v>
      </c>
      <c r="BM247" s="1033">
        <f t="shared" si="526"/>
        <v>0</v>
      </c>
      <c r="BN247" s="720"/>
      <c r="BO247" s="720"/>
    </row>
    <row r="248" spans="2:67" ht="15.75" customHeight="1">
      <c r="B248" s="1105" t="s">
        <v>145</v>
      </c>
      <c r="C248" s="1097" t="s">
        <v>146</v>
      </c>
      <c r="D248" s="473" t="s">
        <v>147</v>
      </c>
      <c r="E248" s="473"/>
      <c r="F248" s="473"/>
      <c r="G248" s="473"/>
      <c r="H248" s="473"/>
      <c r="I248" s="463"/>
      <c r="J248" s="654"/>
      <c r="K248" s="652"/>
      <c r="L248" s="652"/>
      <c r="M248" s="653">
        <f>SUM(M249:M250)</f>
        <v>90.407757828165984</v>
      </c>
      <c r="N248" s="653">
        <f>N249+N250</f>
        <v>32.141445318525378</v>
      </c>
      <c r="O248" s="653">
        <f>O249+O250</f>
        <v>19.284867191115225</v>
      </c>
      <c r="P248" s="653">
        <f t="shared" ref="P248:Q248" si="667">P249+P250</f>
        <v>35.561445318525372</v>
      </c>
      <c r="Q248" s="653">
        <f t="shared" si="667"/>
        <v>3.42</v>
      </c>
      <c r="R248" s="653">
        <f t="shared" ref="R248" si="668">R249+R250</f>
        <v>3.42</v>
      </c>
      <c r="S248" s="653"/>
      <c r="T248" s="666"/>
      <c r="Y248" s="638">
        <f t="shared" ref="Y248:Y260" si="669">IF(L248=$L$2, "Structure", IF(L248&gt;0,"Revêtement",0))</f>
        <v>0</v>
      </c>
      <c r="Z248" s="638">
        <f t="shared" si="555"/>
        <v>0</v>
      </c>
      <c r="AB248">
        <f>_xlfn.XLOOKUP($H248,'[1]Baumaterialien Matériaux'!$A:$A,'[1]Baumaterialien Matériaux'!AK:AK,0,0)</f>
        <v>0</v>
      </c>
      <c r="AC248" t="str" cm="1">
        <f t="array" ref="AC248">_xlfn.SWITCH(I248,"kg"," ",0," ",_xlfn.XLOOKUP(H248, '[1]Baumaterialien Matériaux'!$A:$A, '[1]Baumaterialien Matériaux'!$AL:$AL, "-", 0, 1))</f>
        <v xml:space="preserve"> </v>
      </c>
      <c r="AD248" s="622" cm="1">
        <f t="array" ref="AD248">IFERROR(_xlfn.SWITCH(I248,"kg",1,"m3",AC248,AC248)*J248/(_xlfn.XLOOKUP(AA248,Métrés!A:A,Métrés!D:D,0)),0)</f>
        <v>0</v>
      </c>
      <c r="AE248" s="1092">
        <f>IFERROR(N248*$G$1/(_xlfn.XLOOKUP($AA248,Métrés!$A:$A,Métrés!$D:$D,0)),0)</f>
        <v>0</v>
      </c>
      <c r="AF248" s="1092">
        <f>IFERROR(O248*$G$1/(_xlfn.XLOOKUP($AA248,Métrés!$A:$A,Métrés!$D:$D,0)),0)</f>
        <v>0</v>
      </c>
      <c r="AG248" s="1092">
        <f>IFERROR(Q248*$G$1/(_xlfn.XLOOKUP($AA248,Métrés!$A:$A,Métrés!$D:$D,0)),0)</f>
        <v>0</v>
      </c>
      <c r="AH248" s="1092">
        <f>IFERROR(R248*$G$1/(_xlfn.XLOOKUP($AA248,Métrés!$A:$A,Métrés!$D:$D,0)),0)</f>
        <v>0</v>
      </c>
      <c r="AI248" s="1092">
        <f>IFERROR(S248*$G$1/(_xlfn.XLOOKUP($AA248,Métrés!$A:$A,Métrés!$D:$D,0)),0)</f>
        <v>0</v>
      </c>
      <c r="AJ248" s="1034"/>
      <c r="AK248" s="1034"/>
      <c r="AL248" s="1034"/>
      <c r="AM248" s="666"/>
      <c r="AN248" s="1067"/>
      <c r="AO248" s="1034"/>
      <c r="AP248" s="1034"/>
      <c r="AQ248" s="1034"/>
      <c r="AR248" s="1068"/>
      <c r="AS248" s="1067"/>
      <c r="AT248" s="1034"/>
      <c r="AU248" s="1034"/>
      <c r="AV248" s="1034"/>
      <c r="AW248" s="1068"/>
      <c r="AX248" s="1067"/>
      <c r="AY248" s="1034"/>
      <c r="AZ248" s="1034"/>
      <c r="BA248" s="1034"/>
      <c r="BB248" s="1068"/>
      <c r="BC248" s="1067"/>
      <c r="BD248" s="1034"/>
      <c r="BE248" s="1034"/>
      <c r="BF248" s="1068"/>
      <c r="BG248" s="1067"/>
      <c r="BH248" s="1034"/>
      <c r="BI248" s="1068"/>
      <c r="BJ248" s="1034"/>
      <c r="BK248" s="1067"/>
      <c r="BL248" s="1034"/>
      <c r="BM248" s="1068"/>
    </row>
    <row r="249" spans="2:67">
      <c r="B249" s="1105"/>
      <c r="C249" s="1099"/>
      <c r="D249" s="478" t="s">
        <v>147</v>
      </c>
      <c r="E249" s="479" t="str">
        <f>BillQuantities!E38</f>
        <v>Habitation</v>
      </c>
      <c r="F249" s="479"/>
      <c r="G249" s="479" t="str">
        <f>VLOOKUP(H249, 'Gebäudetechnik Technique du bât'!$A$10:$X$78, 24,FALSE)</f>
        <v>Installations électriques, habitation</v>
      </c>
      <c r="H249" s="753" t="s">
        <v>800</v>
      </c>
      <c r="I249" s="459" t="str">
        <f>VLOOKUP(H249, 'Gebäudetechnik Technique du bât'!$A$10:$X$78, 23,FALSE)</f>
        <v>SRE</v>
      </c>
      <c r="J249" s="662">
        <f>$G$1</f>
        <v>907.62</v>
      </c>
      <c r="K249" s="663">
        <v>1</v>
      </c>
      <c r="L249" s="663">
        <v>30</v>
      </c>
      <c r="M249" s="664">
        <f>SUM(N249:Q249)</f>
        <v>31.618000000000002</v>
      </c>
      <c r="N249" s="720">
        <f>IFERROR(($J249*VLOOKUP($H249, 'Gebäudetechnik Technique du bât'!$A$10:$U$78, 21,FALSE)),0)/$G$1</f>
        <v>9.5299999999999994</v>
      </c>
      <c r="O249" s="720">
        <f>N249-(40%*N249)</f>
        <v>5.718</v>
      </c>
      <c r="P249" s="720">
        <f>IFERROR((N249+Q249)*($L$2/L249-1),0)</f>
        <v>12.95</v>
      </c>
      <c r="Q249" s="720">
        <f>IFERROR(($J249*VLOOKUP($H249, 'Gebäudetechnik Technique du bât'!$A$10:$V$78, 22,FALSE)),0)/$G$1</f>
        <v>3.42</v>
      </c>
      <c r="R249" s="720">
        <f>IFERROR(($J249*VLOOKUP($H249, 'Gebäudetechnik Technique du bât'!$A$10:$V$78, 22,FALSE)),0)/$G$1</f>
        <v>3.42</v>
      </c>
      <c r="Y249" s="638" t="s">
        <v>148</v>
      </c>
      <c r="Z249" s="638">
        <f t="shared" si="555"/>
        <v>30</v>
      </c>
      <c r="AA249" s="1093" t="s">
        <v>3446</v>
      </c>
      <c r="AB249" t="str">
        <f>_xlfn.XLOOKUP($H249,'[1]Baumaterialien Matériaux'!$A:$A,'[1]Baumaterialien Matériaux'!AK:AK,0,0)</f>
        <v>equipment</v>
      </c>
      <c r="AC249" cm="1">
        <f t="array" ref="AC249">_xlfn.SWITCH(I249,"kg"," ",0," ",_xlfn.XLOOKUP(H249, '[1]Baumaterialien Matériaux'!$A:$A, '[1]Baumaterialien Matériaux'!$AL:$AL, "-", 0, 1))</f>
        <v>0</v>
      </c>
      <c r="AD249" s="622" cm="1">
        <f t="array" ref="AD249">IFERROR(_xlfn.SWITCH(I249,"kg",1,"m3",AC249,AC249)*J249/(_xlfn.XLOOKUP(AA249,Métrés!A:A,Métrés!D:D,0)),0)</f>
        <v>0</v>
      </c>
      <c r="AE249" s="1092">
        <f>IFERROR(N249*$G$1/(_xlfn.XLOOKUP($AA249,Métrés!$A:$A,Métrés!$D:$D,0)),0)</f>
        <v>9.5299999999999994</v>
      </c>
      <c r="AF249" s="1092">
        <f>IFERROR(O249*$G$1/(_xlfn.XLOOKUP($AA249,Métrés!$A:$A,Métrés!$D:$D,0)),0)</f>
        <v>5.718</v>
      </c>
      <c r="AG249" s="1092">
        <f>IFERROR(Q249*$G$1/(_xlfn.XLOOKUP($AA249,Métrés!$A:$A,Métrés!$D:$D,0)),0)</f>
        <v>3.42</v>
      </c>
      <c r="AH249" s="1092">
        <f>IFERROR(R249*$G$1/(_xlfn.XLOOKUP($AA249,Métrés!$A:$A,Métrés!$D:$D,0)),0)</f>
        <v>3.42</v>
      </c>
      <c r="AI249" s="1092">
        <f>IFERROR(S249*$G$1/(_xlfn.XLOOKUP($AA249,Métrés!$A:$A,Métrés!$D:$D,0)),0)</f>
        <v>0</v>
      </c>
      <c r="AJ249" s="1030"/>
      <c r="AK249" s="1030"/>
      <c r="AL249" s="1030"/>
      <c r="AM249" s="638" t="s">
        <v>148</v>
      </c>
      <c r="AN249" s="1032">
        <f>IF(AM249="Structure",N249,0)</f>
        <v>0</v>
      </c>
      <c r="AO249" s="1030">
        <f>IF(AM249="Structure",P249,0)</f>
        <v>0</v>
      </c>
      <c r="AP249" s="1030">
        <f>IF(AM249="Structure",Q249,0)</f>
        <v>0</v>
      </c>
      <c r="AQ249" s="1030">
        <f>IF(AM249="Structure",S249,0)</f>
        <v>0</v>
      </c>
      <c r="AR249" s="1033">
        <f>IF(AM249="Structure",T249,0)</f>
        <v>0</v>
      </c>
      <c r="AS249" s="1032">
        <f>IF($AM249="Insulation",N249,0)</f>
        <v>0</v>
      </c>
      <c r="AT249" s="1030">
        <f>IF($AM249="Insulation",P249,0)</f>
        <v>0</v>
      </c>
      <c r="AU249" s="1030">
        <f>IF($AM249="Insulation",Q249,0)</f>
        <v>0</v>
      </c>
      <c r="AV249" s="1030">
        <f>IF($AM249="Insulation",S249,0)</f>
        <v>0</v>
      </c>
      <c r="AW249" s="1033">
        <f>IF($AM249="Insulation",T249,0)</f>
        <v>0</v>
      </c>
      <c r="AX249" s="1032">
        <f>IF($AM249="Revêtement",N249,0)</f>
        <v>0</v>
      </c>
      <c r="AY249" s="1030">
        <f>IF($AM249="Revêtement",P249,0)</f>
        <v>0</v>
      </c>
      <c r="AZ249" s="1030">
        <f>IF($AM249="Revêtement",Q249,0)</f>
        <v>0</v>
      </c>
      <c r="BA249" s="1030">
        <f>IF($AM249="Revêtement",S249,0)</f>
        <v>0</v>
      </c>
      <c r="BB249" s="1033">
        <f>IF($AM249="Revêtement",T249,0)</f>
        <v>0</v>
      </c>
      <c r="BC249" s="1032">
        <f>IF($AM249="Installation",N249,0)</f>
        <v>9.5299999999999994</v>
      </c>
      <c r="BD249" s="1030">
        <f>IF($AM249="Installation",P249,0)</f>
        <v>12.95</v>
      </c>
      <c r="BE249" s="1030">
        <f>IF($AM249="Installation",Q249,0)</f>
        <v>3.42</v>
      </c>
      <c r="BF249" s="1033">
        <f>IF($AM249="Installation",S249,0)</f>
        <v>0</v>
      </c>
      <c r="BG249" s="1032">
        <f>IF($AM249="Structure", IF($I249="kg",$J249,0), 0)</f>
        <v>0</v>
      </c>
      <c r="BH249" s="1030">
        <f>IF($AM249="Insulation", IF($I249="kg",$J249,0), 0)</f>
        <v>0</v>
      </c>
      <c r="BI249" s="1033">
        <f>IF($AM249="Revêtement", IF($I249="kg",$J249,0), 0)</f>
        <v>0</v>
      </c>
      <c r="BJ249" s="1030" t="str">
        <f>_xlfn.XLOOKUP(H249, 'Baumaterialien Matériaux'!A:A, 'Baumaterialien Matériaux'!E:E, "-", 0, 1)</f>
        <v>-</v>
      </c>
      <c r="BK249" s="1032">
        <f t="shared" si="524"/>
        <v>0</v>
      </c>
      <c r="BL249" s="1030">
        <f t="shared" si="525"/>
        <v>0</v>
      </c>
      <c r="BM249" s="1033">
        <f t="shared" si="526"/>
        <v>0</v>
      </c>
      <c r="BN249" s="675">
        <f>BO249-(40%*BO249)</f>
        <v>7.77</v>
      </c>
      <c r="BO249" s="720">
        <f>IFERROR((N249+Q249)*($L$2/L249-1),0)</f>
        <v>12.95</v>
      </c>
    </row>
    <row r="250" spans="2:67">
      <c r="B250" s="1105"/>
      <c r="C250" s="1098"/>
      <c r="D250" s="478" t="s">
        <v>149</v>
      </c>
      <c r="E250" s="479" t="str">
        <f>BillQuantities!E39</f>
        <v>Installation photovoltaique (1 m2 = 0.14 kWp)</v>
      </c>
      <c r="F250" s="479" t="s">
        <v>3056</v>
      </c>
      <c r="G250" s="479" t="str">
        <f>VLOOKUP(H250, 'Gebäudetechnik Technique du bât'!$A$10:$X$78, 24,FALSE)</f>
        <v>Installations photovoltaïques 1</v>
      </c>
      <c r="H250" s="753" t="s">
        <v>150</v>
      </c>
      <c r="I250" s="459" t="str">
        <f>VLOOKUP(H250, 'Gebäudetechnik Technique du bât'!$A$10:$X$78, 23,FALSE)</f>
        <v>Puissance max.</v>
      </c>
      <c r="J250" s="662">
        <f>137*0.14</f>
        <v>19.180000000000003</v>
      </c>
      <c r="K250" s="663">
        <v>1</v>
      </c>
      <c r="L250" s="663">
        <v>30</v>
      </c>
      <c r="M250" s="664">
        <f>SUM(N250:Q250)</f>
        <v>58.789757828165982</v>
      </c>
      <c r="N250" s="720">
        <f>IFERROR(($J250*VLOOKUP($H250, 'Gebäudetechnik Technique du bât'!$A$10:$U$78, 21,FALSE)),0)/$G$1</f>
        <v>22.611445318525377</v>
      </c>
      <c r="O250" s="720">
        <f>N250-(40%*N250)</f>
        <v>13.566867191115225</v>
      </c>
      <c r="P250" s="720">
        <f>IFERROR((N250+Q250)*($L$2/L250-1),0)</f>
        <v>22.611445318525377</v>
      </c>
      <c r="Q250" s="720">
        <f>IFERROR(($J250*VLOOKUP($H250, 'Gebäudetechnik Technique du bât'!$A$10:$V$78, 22,FALSE)),0)/$G$1</f>
        <v>0</v>
      </c>
      <c r="R250" s="720">
        <f>IFERROR(($J250*VLOOKUP($H250, 'Gebäudetechnik Technique du bât'!$A$10:$V$78, 22,FALSE)),0)/$G$1</f>
        <v>0</v>
      </c>
      <c r="Y250" s="638" t="s">
        <v>148</v>
      </c>
      <c r="Z250" s="638">
        <f t="shared" si="555"/>
        <v>30</v>
      </c>
      <c r="AA250" s="1093" t="s">
        <v>3446</v>
      </c>
      <c r="AB250" t="str">
        <f>_xlfn.XLOOKUP($H250,'[1]Baumaterialien Matériaux'!$A:$A,'[1]Baumaterialien Matériaux'!AK:AK,0,0)</f>
        <v>equipment</v>
      </c>
      <c r="AC250" cm="1">
        <f t="array" ref="AC250">_xlfn.SWITCH(I250,"kg"," ",0," ",_xlfn.XLOOKUP(H250, '[1]Baumaterialien Matériaux'!$A:$A, '[1]Baumaterialien Matériaux'!$AL:$AL, "-", 0, 1))</f>
        <v>0</v>
      </c>
      <c r="AD250" s="622" cm="1">
        <f t="array" ref="AD250">IFERROR(_xlfn.SWITCH(I250,"kg",1,"m3",AC250,AC250)*J250/(_xlfn.XLOOKUP(AA250,Métrés!A:A,Métrés!D:D,0)),0)</f>
        <v>0</v>
      </c>
      <c r="AE250" s="1092">
        <f>IFERROR(N250*$G$1/(_xlfn.XLOOKUP($AA250,Métrés!$A:$A,Métrés!$D:$D,0)),0)</f>
        <v>22.611445318525377</v>
      </c>
      <c r="AF250" s="1092">
        <f>IFERROR(O250*$G$1/(_xlfn.XLOOKUP($AA250,Métrés!$A:$A,Métrés!$D:$D,0)),0)</f>
        <v>13.566867191115225</v>
      </c>
      <c r="AG250" s="1092">
        <f>IFERROR(Q250*$G$1/(_xlfn.XLOOKUP($AA250,Métrés!$A:$A,Métrés!$D:$D,0)),0)</f>
        <v>0</v>
      </c>
      <c r="AH250" s="1092">
        <f>IFERROR(R250*$G$1/(_xlfn.XLOOKUP($AA250,Métrés!$A:$A,Métrés!$D:$D,0)),0)</f>
        <v>0</v>
      </c>
      <c r="AI250" s="1092">
        <f>IFERROR(S250*$G$1/(_xlfn.XLOOKUP($AA250,Métrés!$A:$A,Métrés!$D:$D,0)),0)</f>
        <v>0</v>
      </c>
      <c r="AJ250" s="1030"/>
      <c r="AK250" s="1030"/>
      <c r="AL250" s="1030"/>
      <c r="AM250" s="638" t="s">
        <v>148</v>
      </c>
      <c r="AN250" s="1032">
        <f>IF(AM250="Structure",N250,0)</f>
        <v>0</v>
      </c>
      <c r="AO250" s="1030">
        <f>IF(AM250="Structure",P250,0)</f>
        <v>0</v>
      </c>
      <c r="AP250" s="1030">
        <f>IF(AM250="Structure",Q250,0)</f>
        <v>0</v>
      </c>
      <c r="AQ250" s="1030">
        <f>IF(AM250="Structure",S250,0)</f>
        <v>0</v>
      </c>
      <c r="AR250" s="1033">
        <f>IF(AM250="Structure",T250,0)</f>
        <v>0</v>
      </c>
      <c r="AS250" s="1032">
        <f>IF($AM250="Insulation",N250,0)</f>
        <v>0</v>
      </c>
      <c r="AT250" s="1030">
        <f>IF($AM250="Insulation",P250,0)</f>
        <v>0</v>
      </c>
      <c r="AU250" s="1030">
        <f>IF($AM250="Insulation",Q250,0)</f>
        <v>0</v>
      </c>
      <c r="AV250" s="1030">
        <f>IF($AM250="Insulation",S250,0)</f>
        <v>0</v>
      </c>
      <c r="AW250" s="1033">
        <f>IF($AM250="Insulation",T250,0)</f>
        <v>0</v>
      </c>
      <c r="AX250" s="1032">
        <f>IF($AM250="Revêtement",N250,0)</f>
        <v>0</v>
      </c>
      <c r="AY250" s="1030">
        <f>IF($AM250="Revêtement",P250,0)</f>
        <v>0</v>
      </c>
      <c r="AZ250" s="1030">
        <f>IF($AM250="Revêtement",Q250,0)</f>
        <v>0</v>
      </c>
      <c r="BA250" s="1030">
        <f>IF($AM250="Revêtement",S250,0)</f>
        <v>0</v>
      </c>
      <c r="BB250" s="1033">
        <f>IF($AM250="Revêtement",T250,0)</f>
        <v>0</v>
      </c>
      <c r="BC250" s="1032">
        <f>IF($AM250="Installation",N250,0)</f>
        <v>22.611445318525377</v>
      </c>
      <c r="BD250" s="1030">
        <f>IF($AM250="Installation",P250,0)</f>
        <v>22.611445318525377</v>
      </c>
      <c r="BE250" s="1030">
        <f>IF($AM250="Installation",Q250,0)</f>
        <v>0</v>
      </c>
      <c r="BF250" s="1033">
        <f>IF($AM250="Installation",S250,0)</f>
        <v>0</v>
      </c>
      <c r="BG250" s="1032">
        <f>IF($AM250="Structure", IF($I250="kg",$J250,0), 0)</f>
        <v>0</v>
      </c>
      <c r="BH250" s="1030">
        <f>IF($AM250="Insulation", IF($I250="kg",$J250,0), 0)</f>
        <v>0</v>
      </c>
      <c r="BI250" s="1033">
        <f>IF($AM250="Revêtement", IF($I250="kg",$J250,0), 0)</f>
        <v>0</v>
      </c>
      <c r="BJ250" s="1030" t="str">
        <f>_xlfn.XLOOKUP(H250, 'Baumaterialien Matériaux'!A:A, 'Baumaterialien Matériaux'!E:E, "-", 0, 1)</f>
        <v>-</v>
      </c>
      <c r="BK250" s="1032">
        <f t="shared" si="524"/>
        <v>0</v>
      </c>
      <c r="BL250" s="1030">
        <f t="shared" si="525"/>
        <v>0</v>
      </c>
      <c r="BM250" s="1033">
        <f t="shared" si="526"/>
        <v>0</v>
      </c>
      <c r="BN250" s="675">
        <f t="shared" ref="BN250:BN261" si="670">BO250-(40%*BO250)</f>
        <v>13.566867191115225</v>
      </c>
      <c r="BO250" s="720">
        <f>IFERROR((N250+Q250)*($L$2/L250-1),0)</f>
        <v>22.611445318525377</v>
      </c>
    </row>
    <row r="251" spans="2:67">
      <c r="B251" s="1105"/>
      <c r="C251" s="1097" t="s">
        <v>152</v>
      </c>
      <c r="D251" s="473" t="s">
        <v>153</v>
      </c>
      <c r="E251" s="473"/>
      <c r="F251" s="473"/>
      <c r="G251" s="473"/>
      <c r="H251" s="473"/>
      <c r="I251" s="463"/>
      <c r="J251" s="654"/>
      <c r="K251" s="652"/>
      <c r="L251" s="652"/>
      <c r="M251" s="653">
        <f>SUM(M252:M256)</f>
        <v>58.923550472664772</v>
      </c>
      <c r="N251" s="653">
        <f>SUM(N252:N256)</f>
        <v>20.688305458231419</v>
      </c>
      <c r="O251" s="653">
        <f>SUM(O252:O256)</f>
        <v>12.412983274938851</v>
      </c>
      <c r="P251" s="653">
        <f t="shared" ref="P251:Q251" si="671">SUM(P252:P256)</f>
        <v>20.992772856481789</v>
      </c>
      <c r="Q251" s="653">
        <f t="shared" si="671"/>
        <v>4.829488883012715</v>
      </c>
      <c r="R251" s="653">
        <f t="shared" ref="R251" si="672">SUM(R252:R256)</f>
        <v>2.8976933298076286</v>
      </c>
      <c r="S251" s="653"/>
      <c r="T251" s="666"/>
      <c r="Y251" s="638">
        <f t="shared" si="669"/>
        <v>0</v>
      </c>
      <c r="Z251" s="638">
        <f t="shared" si="555"/>
        <v>0</v>
      </c>
      <c r="AA251" s="1093"/>
      <c r="AB251">
        <f>_xlfn.XLOOKUP($H251,'[1]Baumaterialien Matériaux'!$A:$A,'[1]Baumaterialien Matériaux'!AK:AK,0,0)</f>
        <v>0</v>
      </c>
      <c r="AC251" t="str" cm="1">
        <f t="array" ref="AC251">_xlfn.SWITCH(I251,"kg"," ",0," ",_xlfn.XLOOKUP(H251, '[1]Baumaterialien Matériaux'!$A:$A, '[1]Baumaterialien Matériaux'!$AL:$AL, "-", 0, 1))</f>
        <v xml:space="preserve"> </v>
      </c>
      <c r="AD251" s="622" cm="1">
        <f t="array" ref="AD251">IFERROR(_xlfn.SWITCH(I251,"kg",1,"m3",AC251,AC251)*J251/(_xlfn.XLOOKUP(AA251,Métrés!A:A,Métrés!D:D,0)),0)</f>
        <v>0</v>
      </c>
      <c r="AE251" s="1092">
        <f>IFERROR(N251*$G$1/(_xlfn.XLOOKUP($AA251,Métrés!$A:$A,Métrés!$D:$D,0)),0)</f>
        <v>0</v>
      </c>
      <c r="AF251" s="1092">
        <f>IFERROR(O251*$G$1/(_xlfn.XLOOKUP($AA251,Métrés!$A:$A,Métrés!$D:$D,0)),0)</f>
        <v>0</v>
      </c>
      <c r="AG251" s="1092">
        <f>IFERROR(Q251*$G$1/(_xlfn.XLOOKUP($AA251,Métrés!$A:$A,Métrés!$D:$D,0)),0)</f>
        <v>0</v>
      </c>
      <c r="AH251" s="1092">
        <f>IFERROR(R251*$G$1/(_xlfn.XLOOKUP($AA251,Métrés!$A:$A,Métrés!$D:$D,0)),0)</f>
        <v>0</v>
      </c>
      <c r="AI251" s="1092">
        <f>IFERROR(S251*$G$1/(_xlfn.XLOOKUP($AA251,Métrés!$A:$A,Métrés!$D:$D,0)),0)</f>
        <v>0</v>
      </c>
      <c r="AJ251" s="1034"/>
      <c r="AK251" s="1034"/>
      <c r="AL251" s="1034"/>
      <c r="AM251" s="666"/>
      <c r="AN251" s="1067"/>
      <c r="AO251" s="1034"/>
      <c r="AP251" s="1034"/>
      <c r="AQ251" s="1034"/>
      <c r="AR251" s="1068"/>
      <c r="AS251" s="1067"/>
      <c r="AT251" s="1034"/>
      <c r="AU251" s="1034"/>
      <c r="AV251" s="1034"/>
      <c r="AW251" s="1068"/>
      <c r="AX251" s="1067"/>
      <c r="AY251" s="1034"/>
      <c r="AZ251" s="1034"/>
      <c r="BA251" s="1034"/>
      <c r="BB251" s="1068"/>
      <c r="BC251" s="1067"/>
      <c r="BD251" s="1034"/>
      <c r="BE251" s="1034"/>
      <c r="BF251" s="1068"/>
      <c r="BG251" s="1067"/>
      <c r="BH251" s="1034"/>
      <c r="BI251" s="1068"/>
      <c r="BJ251" s="1034"/>
      <c r="BK251" s="1067"/>
      <c r="BL251" s="1034"/>
      <c r="BM251" s="1068"/>
      <c r="BN251" s="675">
        <f t="shared" si="670"/>
        <v>0</v>
      </c>
    </row>
    <row r="252" spans="2:67">
      <c r="B252" s="1105"/>
      <c r="C252" s="1099"/>
      <c r="D252" s="478" t="s">
        <v>154</v>
      </c>
      <c r="E252" s="479" t="str">
        <f>BillQuantities!E41</f>
        <v>Production de chaleur</v>
      </c>
      <c r="F252" s="479"/>
      <c r="G252" s="479" t="str">
        <f>VLOOKUP(H252, 'Gebäudetechnik Technique du bât'!$A$10:$X$78, 24,FALSE)</f>
        <v>Pompe à chaleur saumure-eau 7 kW</v>
      </c>
      <c r="H252" s="753" t="s">
        <v>2207</v>
      </c>
      <c r="I252" s="459" t="str">
        <f>VLOOKUP(H252, 'Gebäudetechnik Technique du bât'!$A$10:$X$78, 23,FALSE)</f>
        <v>appareil</v>
      </c>
      <c r="J252" s="662">
        <v>1</v>
      </c>
      <c r="K252" s="663">
        <v>1</v>
      </c>
      <c r="L252" s="663">
        <v>20</v>
      </c>
      <c r="M252" s="664">
        <f>SUM(N252:Q252)</f>
        <v>9.2186157202353396</v>
      </c>
      <c r="N252" s="720">
        <f>IFERROR(($J252*VLOOKUP($H252, 'Gebäudetechnik Technique du bât'!$A$10:$U$78, 21,FALSE)),0)/$G$1</f>
        <v>2.126440580859831</v>
      </c>
      <c r="O252" s="720">
        <f>N252-(40%*N252)</f>
        <v>1.2758643485158987</v>
      </c>
      <c r="P252" s="720">
        <f>IFERROR((N252+Q252)*($L$2/L252-1),0)</f>
        <v>5.2951675811462948</v>
      </c>
      <c r="Q252" s="720">
        <f>IFERROR(($J252*VLOOKUP($H252, 'Gebäudetechnik Technique du bât'!$A$10:$V$78, 22,FALSE)),0)/$G$1</f>
        <v>0.52114320971331618</v>
      </c>
      <c r="R252" s="720">
        <f>Q252-(40%*Q252)</f>
        <v>0.31268592582798971</v>
      </c>
      <c r="Y252" s="638" t="s">
        <v>148</v>
      </c>
      <c r="Z252" s="638">
        <f t="shared" si="555"/>
        <v>20</v>
      </c>
      <c r="AA252" s="1093" t="s">
        <v>3446</v>
      </c>
      <c r="AB252" t="str">
        <f>_xlfn.XLOOKUP($H252,'[1]Baumaterialien Matériaux'!$A:$A,'[1]Baumaterialien Matériaux'!AK:AK,0,0)</f>
        <v>equipment</v>
      </c>
      <c r="AC252" cm="1">
        <f t="array" ref="AC252">_xlfn.SWITCH(I252,"kg"," ",0," ",_xlfn.XLOOKUP(H252, '[1]Baumaterialien Matériaux'!$A:$A, '[1]Baumaterialien Matériaux'!$AL:$AL, "-", 0, 1))</f>
        <v>0</v>
      </c>
      <c r="AD252" s="622" cm="1">
        <f t="array" ref="AD252">IFERROR(_xlfn.SWITCH(I252,"kg",1,"m3",AC252,AC252)*J252/(_xlfn.XLOOKUP(AA252,Métrés!A:A,Métrés!D:D,0)),0)</f>
        <v>0</v>
      </c>
      <c r="AE252" s="1092">
        <f>IFERROR(N252*$G$1/(_xlfn.XLOOKUP($AA252,Métrés!$A:$A,Métrés!$D:$D,0)),0)</f>
        <v>2.126440580859831</v>
      </c>
      <c r="AF252" s="1092">
        <f>IFERROR(O252*$G$1/(_xlfn.XLOOKUP($AA252,Métrés!$A:$A,Métrés!$D:$D,0)),0)</f>
        <v>1.2758643485158987</v>
      </c>
      <c r="AG252" s="1092">
        <f>IFERROR(Q252*$G$1/(_xlfn.XLOOKUP($AA252,Métrés!$A:$A,Métrés!$D:$D,0)),0)</f>
        <v>0.52114320971331618</v>
      </c>
      <c r="AH252" s="1092">
        <f>IFERROR(R252*$G$1/(_xlfn.XLOOKUP($AA252,Métrés!$A:$A,Métrés!$D:$D,0)),0)</f>
        <v>0.31268592582798971</v>
      </c>
      <c r="AI252" s="1092">
        <f>IFERROR(S252*$G$1/(_xlfn.XLOOKUP($AA252,Métrés!$A:$A,Métrés!$D:$D,0)),0)</f>
        <v>0</v>
      </c>
      <c r="AJ252" s="1030"/>
      <c r="AK252" s="1030"/>
      <c r="AL252" s="1030"/>
      <c r="AM252" s="638" t="s">
        <v>148</v>
      </c>
      <c r="AN252" s="1032">
        <f>IF(AM252="Structure",N252,0)</f>
        <v>0</v>
      </c>
      <c r="AO252" s="1030">
        <f>IF(AM252="Structure",P252,0)</f>
        <v>0</v>
      </c>
      <c r="AP252" s="1030">
        <f>IF(AM252="Structure",Q252,0)</f>
        <v>0</v>
      </c>
      <c r="AQ252" s="1030">
        <f>IF(AM252="Structure",S252,0)</f>
        <v>0</v>
      </c>
      <c r="AR252" s="1033">
        <f>IF(AM252="Structure",T252,0)</f>
        <v>0</v>
      </c>
      <c r="AS252" s="1032">
        <f>IF($AM252="Insulation",N252,0)</f>
        <v>0</v>
      </c>
      <c r="AT252" s="1030">
        <f t="shared" ref="AT252:AU256" si="673">IF($AM252="Insulation",P252,0)</f>
        <v>0</v>
      </c>
      <c r="AU252" s="1030">
        <f t="shared" si="673"/>
        <v>0</v>
      </c>
      <c r="AV252" s="1030">
        <f t="shared" ref="AV252:AW256" si="674">IF($AM252="Insulation",S252,0)</f>
        <v>0</v>
      </c>
      <c r="AW252" s="1033">
        <f t="shared" si="674"/>
        <v>0</v>
      </c>
      <c r="AX252" s="1032">
        <f>IF($AM252="Revêtement",N252,0)</f>
        <v>0</v>
      </c>
      <c r="AY252" s="1030">
        <f t="shared" ref="AY252:AZ256" si="675">IF($AM252="Revêtement",P252,0)</f>
        <v>0</v>
      </c>
      <c r="AZ252" s="1030">
        <f t="shared" si="675"/>
        <v>0</v>
      </c>
      <c r="BA252" s="1030">
        <f t="shared" ref="BA252:BB256" si="676">IF($AM252="Revêtement",S252,0)</f>
        <v>0</v>
      </c>
      <c r="BB252" s="1033">
        <f t="shared" si="676"/>
        <v>0</v>
      </c>
      <c r="BC252" s="1032">
        <f>IF($AM252="Installation",N252,0)</f>
        <v>2.126440580859831</v>
      </c>
      <c r="BD252" s="1030">
        <f t="shared" ref="BD252:BE256" si="677">IF($AM252="Installation",P252,0)</f>
        <v>5.2951675811462948</v>
      </c>
      <c r="BE252" s="1030">
        <f t="shared" si="677"/>
        <v>0.52114320971331618</v>
      </c>
      <c r="BF252" s="1033">
        <f>IF($AM252="Installation",S252,0)</f>
        <v>0</v>
      </c>
      <c r="BG252" s="1032">
        <f>IF($AM252="Structure", IF($I252="kg",$J252,0), 0)</f>
        <v>0</v>
      </c>
      <c r="BH252" s="1030">
        <f>IF($AM252="Insulation", IF($I252="kg",$J252,0), 0)</f>
        <v>0</v>
      </c>
      <c r="BI252" s="1033">
        <f>IF($AM252="Revêtement", IF($I252="kg",$J252,0), 0)</f>
        <v>0</v>
      </c>
      <c r="BJ252" s="1030" t="str">
        <f>_xlfn.XLOOKUP(H252, 'Baumaterialien Matériaux'!A:A, 'Baumaterialien Matériaux'!E:E, "-", 0, 1)</f>
        <v>-</v>
      </c>
      <c r="BK252" s="1032">
        <f t="shared" si="524"/>
        <v>0</v>
      </c>
      <c r="BL252" s="1030">
        <f t="shared" si="525"/>
        <v>0</v>
      </c>
      <c r="BM252" s="1033">
        <f t="shared" si="526"/>
        <v>0</v>
      </c>
      <c r="BN252" s="675">
        <f t="shared" si="670"/>
        <v>3.1771005486877768</v>
      </c>
      <c r="BO252" s="720">
        <f>IFERROR((N252+Q252)*($L$2/L252-1),0)</f>
        <v>5.2951675811462948</v>
      </c>
    </row>
    <row r="253" spans="2:67">
      <c r="B253" s="1105"/>
      <c r="C253" s="1099"/>
      <c r="D253" s="478" t="s">
        <v>156</v>
      </c>
      <c r="E253" s="479" t="str">
        <f>BillQuantities!E42</f>
        <v>Distribution et émissions de chaleur habitation</v>
      </c>
      <c r="F253" s="479" t="s">
        <v>157</v>
      </c>
      <c r="G253" s="479" t="str">
        <f>VLOOKUP(H253, 'Gebäudetechnik Technique du bât'!$A$10:$X$78, 24,FALSE)</f>
        <v>Distribution de chaleur, bâtiment d'habitation</v>
      </c>
      <c r="H253" s="753" t="s">
        <v>812</v>
      </c>
      <c r="I253" s="459" t="str">
        <f>VLOOKUP(H253, 'Gebäudetechnik Technique du bât'!$A$10:$X$78, 23,FALSE)</f>
        <v>SRE</v>
      </c>
      <c r="J253" s="662">
        <f>$G$1</f>
        <v>907.62</v>
      </c>
      <c r="K253" s="663">
        <v>1</v>
      </c>
      <c r="L253" s="663">
        <v>30</v>
      </c>
      <c r="M253" s="664">
        <f>SUM(N253:Q253)</f>
        <v>8.5920000000000005</v>
      </c>
      <c r="N253" s="720">
        <f>IFERROR(($J253*VLOOKUP($H253, 'Gebäudetechnik Technique du bât'!$A$10:$U$78, 21,FALSE)),0)/$G$1</f>
        <v>2.77</v>
      </c>
      <c r="O253" s="720">
        <f>N253-(40%*N253)</f>
        <v>1.6619999999999999</v>
      </c>
      <c r="P253" s="720">
        <f>IFERROR((N253+Q253)*($L$2/L253-1),0)</f>
        <v>3.4649999999999999</v>
      </c>
      <c r="Q253" s="720">
        <f>IFERROR(($J253*VLOOKUP($H253, 'Gebäudetechnik Technique du bât'!$A$10:$V$78, 22,FALSE)),0)/$G$1</f>
        <v>0.69499999999999995</v>
      </c>
      <c r="R253" s="720">
        <f>Q253-(40%*Q253)</f>
        <v>0.41699999999999998</v>
      </c>
      <c r="Y253" s="638" t="s">
        <v>148</v>
      </c>
      <c r="Z253" s="638">
        <f t="shared" si="555"/>
        <v>30</v>
      </c>
      <c r="AA253" s="1093" t="s">
        <v>3446</v>
      </c>
      <c r="AB253" t="str">
        <f>_xlfn.XLOOKUP($H253,'[1]Baumaterialien Matériaux'!$A:$A,'[1]Baumaterialien Matériaux'!AK:AK,0,0)</f>
        <v>equipment</v>
      </c>
      <c r="AC253" cm="1">
        <f t="array" ref="AC253">_xlfn.SWITCH(I253,"kg"," ",0," ",_xlfn.XLOOKUP(H253, '[1]Baumaterialien Matériaux'!$A:$A, '[1]Baumaterialien Matériaux'!$AL:$AL, "-", 0, 1))</f>
        <v>0</v>
      </c>
      <c r="AD253" s="622" cm="1">
        <f t="array" ref="AD253">IFERROR(_xlfn.SWITCH(I253,"kg",1,"m3",AC253,AC253)*J253/(_xlfn.XLOOKUP(AA253,Métrés!A:A,Métrés!D:D,0)),0)</f>
        <v>0</v>
      </c>
      <c r="AE253" s="1092">
        <f>IFERROR(N253*$G$1/(_xlfn.XLOOKUP($AA253,Métrés!$A:$A,Métrés!$D:$D,0)),0)</f>
        <v>2.77</v>
      </c>
      <c r="AF253" s="1092">
        <f>IFERROR(O253*$G$1/(_xlfn.XLOOKUP($AA253,Métrés!$A:$A,Métrés!$D:$D,0)),0)</f>
        <v>1.6619999999999999</v>
      </c>
      <c r="AG253" s="1092">
        <f>IFERROR(Q253*$G$1/(_xlfn.XLOOKUP($AA253,Métrés!$A:$A,Métrés!$D:$D,0)),0)</f>
        <v>0.69499999999999995</v>
      </c>
      <c r="AH253" s="1092">
        <f>IFERROR(R253*$G$1/(_xlfn.XLOOKUP($AA253,Métrés!$A:$A,Métrés!$D:$D,0)),0)</f>
        <v>0.41699999999999998</v>
      </c>
      <c r="AI253" s="1092">
        <f>IFERROR(S253*$G$1/(_xlfn.XLOOKUP($AA253,Métrés!$A:$A,Métrés!$D:$D,0)),0)</f>
        <v>0</v>
      </c>
      <c r="AJ253" s="1030"/>
      <c r="AK253" s="1030"/>
      <c r="AL253" s="1030"/>
      <c r="AM253" s="638" t="s">
        <v>148</v>
      </c>
      <c r="AN253" s="1032">
        <f>IF(AM253="Structure",N253,0)</f>
        <v>0</v>
      </c>
      <c r="AO253" s="1030">
        <f>IF(AM253="Structure",P253,0)</f>
        <v>0</v>
      </c>
      <c r="AP253" s="1030">
        <f>IF(AM253="Structure",Q253,0)</f>
        <v>0</v>
      </c>
      <c r="AQ253" s="1030">
        <f>IF(AM253="Structure",S253,0)</f>
        <v>0</v>
      </c>
      <c r="AR253" s="1033">
        <f>IF(AM253="Structure",T253,0)</f>
        <v>0</v>
      </c>
      <c r="AS253" s="1032">
        <f>IF($AM253="Insulation",N253,0)</f>
        <v>0</v>
      </c>
      <c r="AT253" s="1030">
        <f t="shared" si="673"/>
        <v>0</v>
      </c>
      <c r="AU253" s="1030">
        <f t="shared" si="673"/>
        <v>0</v>
      </c>
      <c r="AV253" s="1030">
        <f t="shared" si="674"/>
        <v>0</v>
      </c>
      <c r="AW253" s="1033">
        <f t="shared" si="674"/>
        <v>0</v>
      </c>
      <c r="AX253" s="1032">
        <f>IF($AM253="Revêtement",N253,0)</f>
        <v>0</v>
      </c>
      <c r="AY253" s="1030">
        <f t="shared" si="675"/>
        <v>0</v>
      </c>
      <c r="AZ253" s="1030">
        <f t="shared" si="675"/>
        <v>0</v>
      </c>
      <c r="BA253" s="1030">
        <f t="shared" si="676"/>
        <v>0</v>
      </c>
      <c r="BB253" s="1033">
        <f t="shared" si="676"/>
        <v>0</v>
      </c>
      <c r="BC253" s="1032">
        <f>IF($AM253="Installation",N253,0)</f>
        <v>2.77</v>
      </c>
      <c r="BD253" s="1030">
        <f t="shared" si="677"/>
        <v>3.4649999999999999</v>
      </c>
      <c r="BE253" s="1030">
        <f t="shared" si="677"/>
        <v>0.69499999999999995</v>
      </c>
      <c r="BF253" s="1033">
        <f>IF($AM253="Installation",S253,0)</f>
        <v>0</v>
      </c>
      <c r="BG253" s="1032">
        <f>IF($AM253="Structure", IF($I253="kg",$J253,0), 0)</f>
        <v>0</v>
      </c>
      <c r="BH253" s="1030">
        <f>IF($AM253="Insulation", IF($I253="kg",$J253,0), 0)</f>
        <v>0</v>
      </c>
      <c r="BI253" s="1033">
        <f>IF($AM253="Revêtement", IF($I253="kg",$J253,0), 0)</f>
        <v>0</v>
      </c>
      <c r="BJ253" s="1030" t="str">
        <f>_xlfn.XLOOKUP(H253, 'Baumaterialien Matériaux'!A:A, 'Baumaterialien Matériaux'!E:E, "-", 0, 1)</f>
        <v>-</v>
      </c>
      <c r="BK253" s="1032">
        <f t="shared" si="524"/>
        <v>0</v>
      </c>
      <c r="BL253" s="1030">
        <f t="shared" si="525"/>
        <v>0</v>
      </c>
      <c r="BM253" s="1033">
        <f t="shared" si="526"/>
        <v>0</v>
      </c>
      <c r="BN253" s="675">
        <f t="shared" si="670"/>
        <v>2.0789999999999997</v>
      </c>
      <c r="BO253" s="720">
        <f>IFERROR((N253+Q253)*($L$2/L253-1),0)</f>
        <v>3.4649999999999999</v>
      </c>
    </row>
    <row r="254" spans="2:67">
      <c r="B254" s="1105"/>
      <c r="C254" s="1099"/>
      <c r="D254" s="478"/>
      <c r="E254" s="479"/>
      <c r="F254" s="479" t="s">
        <v>158</v>
      </c>
      <c r="G254" s="479" t="str">
        <f>VLOOKUP(H254, 'Gebäudetechnik Technique du bât'!$A$10:$X$78, 24,FALSE)</f>
        <v>Diffusion de chaleur par le biais du chauffage au sol</v>
      </c>
      <c r="H254" s="753" t="str">
        <f>Installations!D12</f>
        <v>31.024</v>
      </c>
      <c r="I254" s="459" t="str">
        <f>VLOOKUP(H254, 'Gebäudetechnik Technique du bât'!$A$10:$X$78, 23,FALSE)</f>
        <v>SRE</v>
      </c>
      <c r="J254" s="662">
        <f>$G$1</f>
        <v>907.62</v>
      </c>
      <c r="K254" s="663">
        <v>1</v>
      </c>
      <c r="L254" s="663">
        <v>30</v>
      </c>
      <c r="M254" s="664">
        <f>SUM(N254:Q254)</f>
        <v>11.931999999999999</v>
      </c>
      <c r="N254" s="720">
        <f>IFERROR(($J254*VLOOKUP($H254, 'Gebäudetechnik Technique du bât'!$A$10:$U$78, 21,FALSE)),0)/$G$1</f>
        <v>3.02</v>
      </c>
      <c r="O254" s="720">
        <f>N254-(40%*N254)</f>
        <v>1.8119999999999998</v>
      </c>
      <c r="P254" s="720">
        <f>IFERROR((N254+Q254)*($L$2/L254-1),0)</f>
        <v>5.0600000000000005</v>
      </c>
      <c r="Q254" s="720">
        <f>IFERROR(($J254*VLOOKUP($H254, 'Gebäudetechnik Technique du bât'!$A$10:$V$78, 22,FALSE)),0)/$G$1</f>
        <v>2.04</v>
      </c>
      <c r="R254" s="720">
        <f>Q254-(40%*Q254)</f>
        <v>1.224</v>
      </c>
      <c r="Y254" s="638" t="s">
        <v>148</v>
      </c>
      <c r="Z254" s="638">
        <f t="shared" si="555"/>
        <v>30</v>
      </c>
      <c r="AA254" s="1093" t="s">
        <v>3446</v>
      </c>
      <c r="AB254" t="str">
        <f>_xlfn.XLOOKUP($H254,'[1]Baumaterialien Matériaux'!$A:$A,'[1]Baumaterialien Matériaux'!AK:AK,0,0)</f>
        <v>equipment</v>
      </c>
      <c r="AC254" cm="1">
        <f t="array" ref="AC254">_xlfn.SWITCH(I254,"kg"," ",0," ",_xlfn.XLOOKUP(H254, '[1]Baumaterialien Matériaux'!$A:$A, '[1]Baumaterialien Matériaux'!$AL:$AL, "-", 0, 1))</f>
        <v>0</v>
      </c>
      <c r="AD254" s="622" cm="1">
        <f t="array" ref="AD254">IFERROR(_xlfn.SWITCH(I254,"kg",1,"m3",AC254,AC254)*J254/(_xlfn.XLOOKUP(AA254,Métrés!A:A,Métrés!D:D,0)),0)</f>
        <v>0</v>
      </c>
      <c r="AE254" s="1092">
        <f>IFERROR(N254*$G$1/(_xlfn.XLOOKUP($AA254,Métrés!$A:$A,Métrés!$D:$D,0)),0)</f>
        <v>3.02</v>
      </c>
      <c r="AF254" s="1092">
        <f>IFERROR(O254*$G$1/(_xlfn.XLOOKUP($AA254,Métrés!$A:$A,Métrés!$D:$D,0)),0)</f>
        <v>1.8119999999999998</v>
      </c>
      <c r="AG254" s="1092">
        <f>IFERROR(Q254*$G$1/(_xlfn.XLOOKUP($AA254,Métrés!$A:$A,Métrés!$D:$D,0)),0)</f>
        <v>2.04</v>
      </c>
      <c r="AH254" s="1092">
        <f>IFERROR(R254*$G$1/(_xlfn.XLOOKUP($AA254,Métrés!$A:$A,Métrés!$D:$D,0)),0)</f>
        <v>1.224</v>
      </c>
      <c r="AI254" s="1092">
        <f>IFERROR(S254*$G$1/(_xlfn.XLOOKUP($AA254,Métrés!$A:$A,Métrés!$D:$D,0)),0)</f>
        <v>0</v>
      </c>
      <c r="AJ254" s="1030"/>
      <c r="AK254" s="1030"/>
      <c r="AL254" s="1030"/>
      <c r="AM254" s="638" t="s">
        <v>148</v>
      </c>
      <c r="AN254" s="1032">
        <f>IF(AM254="Structure",N254,0)</f>
        <v>0</v>
      </c>
      <c r="AO254" s="1030">
        <f>IF(AM254="Structure",P254,0)</f>
        <v>0</v>
      </c>
      <c r="AP254" s="1030">
        <f>IF(AM254="Structure",Q254,0)</f>
        <v>0</v>
      </c>
      <c r="AQ254" s="1030">
        <f>IF(AM254="Structure",S254,0)</f>
        <v>0</v>
      </c>
      <c r="AR254" s="1033">
        <f>IF(AM254="Structure",T254,0)</f>
        <v>0</v>
      </c>
      <c r="AS254" s="1032">
        <f>IF($AM254="Insulation",N254,0)</f>
        <v>0</v>
      </c>
      <c r="AT254" s="1030">
        <f t="shared" si="673"/>
        <v>0</v>
      </c>
      <c r="AU254" s="1030">
        <f t="shared" si="673"/>
        <v>0</v>
      </c>
      <c r="AV254" s="1030">
        <f t="shared" si="674"/>
        <v>0</v>
      </c>
      <c r="AW254" s="1033">
        <f t="shared" si="674"/>
        <v>0</v>
      </c>
      <c r="AX254" s="1032">
        <f>IF($AM254="Revêtement",N254,0)</f>
        <v>0</v>
      </c>
      <c r="AY254" s="1030">
        <f t="shared" si="675"/>
        <v>0</v>
      </c>
      <c r="AZ254" s="1030">
        <f t="shared" si="675"/>
        <v>0</v>
      </c>
      <c r="BA254" s="1030">
        <f t="shared" si="676"/>
        <v>0</v>
      </c>
      <c r="BB254" s="1033">
        <f t="shared" si="676"/>
        <v>0</v>
      </c>
      <c r="BC254" s="1032">
        <f>IF($AM254="Installation",N254,0)</f>
        <v>3.02</v>
      </c>
      <c r="BD254" s="1030">
        <f t="shared" si="677"/>
        <v>5.0600000000000005</v>
      </c>
      <c r="BE254" s="1030">
        <f t="shared" si="677"/>
        <v>2.04</v>
      </c>
      <c r="BF254" s="1033">
        <f>IF($AM254="Installation",S254,0)</f>
        <v>0</v>
      </c>
      <c r="BG254" s="1032">
        <f>IF($AM254="Structure", IF($I254="kg",$J254,0), 0)</f>
        <v>0</v>
      </c>
      <c r="BH254" s="1030">
        <f>IF($AM254="Insulation", IF($I254="kg",$J254,0), 0)</f>
        <v>0</v>
      </c>
      <c r="BI254" s="1033">
        <f>IF($AM254="Revêtement", IF($I254="kg",$J254,0), 0)</f>
        <v>0</v>
      </c>
      <c r="BJ254" s="1030" t="str">
        <f>_xlfn.XLOOKUP(H254, 'Baumaterialien Matériaux'!A:A, 'Baumaterialien Matériaux'!E:E, "-", 0, 1)</f>
        <v>-</v>
      </c>
      <c r="BK254" s="1032">
        <f t="shared" si="524"/>
        <v>0</v>
      </c>
      <c r="BL254" s="1030">
        <f t="shared" si="525"/>
        <v>0</v>
      </c>
      <c r="BM254" s="1033">
        <f t="shared" si="526"/>
        <v>0</v>
      </c>
      <c r="BN254" s="675">
        <f t="shared" si="670"/>
        <v>3.036</v>
      </c>
      <c r="BO254" s="720">
        <f>IFERROR((N254+Q254)*($L$2/L254-1),0)</f>
        <v>5.0600000000000005</v>
      </c>
    </row>
    <row r="255" spans="2:67">
      <c r="B255" s="1105"/>
      <c r="C255" s="1099"/>
      <c r="D255" s="478" t="s">
        <v>34</v>
      </c>
      <c r="E255" s="479" t="str">
        <f>BillQuantities!E43</f>
        <v>Sondes géothermiques</v>
      </c>
      <c r="F255" s="479"/>
      <c r="G255" s="479" t="str">
        <f>VLOOKUP(H255, 'Gebäudetechnik Technique du bât'!$A$10:$X$78, 24,FALSE)</f>
        <v>Sondes géothermiques, pour la pompe à chaleur saumure-eau</v>
      </c>
      <c r="H255" s="753" t="s">
        <v>159</v>
      </c>
      <c r="I255" s="459" t="str">
        <f>VLOOKUP(H255, 'Gebäudetechnik Technique du bât'!$A$10:$X$78, 23,FALSE)</f>
        <v>longueur</v>
      </c>
      <c r="J255" s="662">
        <f>4*140</f>
        <v>560</v>
      </c>
      <c r="K255" s="663">
        <v>1</v>
      </c>
      <c r="L255" s="663">
        <v>40</v>
      </c>
      <c r="M255" s="664">
        <f>SUM(N255:Q255)</f>
        <v>29.180934752429433</v>
      </c>
      <c r="N255" s="720">
        <f>IFERROR(($J255*VLOOKUP($H255, 'Gebäudetechnik Technique du bât'!$A$10:$U$78, 21,FALSE)),0)/$G$1</f>
        <v>12.771864877371588</v>
      </c>
      <c r="O255" s="720">
        <f>N255-(40%*N255)</f>
        <v>7.6631189264229524</v>
      </c>
      <c r="P255" s="720">
        <f>IFERROR((N255+Q255)*($L$2/L255-1),0)</f>
        <v>7.172605275335493</v>
      </c>
      <c r="Q255" s="720">
        <f>IFERROR(($J255*VLOOKUP($H255, 'Gebäudetechnik Technique du bât'!$A$10:$V$78, 22,FALSE)),0)/$G$1</f>
        <v>1.5733456732993985</v>
      </c>
      <c r="R255" s="720">
        <f>Q255-(40%*Q255)</f>
        <v>0.944007403979639</v>
      </c>
      <c r="Y255" s="638" t="s">
        <v>148</v>
      </c>
      <c r="Z255" s="638">
        <f t="shared" si="555"/>
        <v>40</v>
      </c>
      <c r="AA255" s="1093" t="s">
        <v>3446</v>
      </c>
      <c r="AB255" t="str">
        <f>_xlfn.XLOOKUP($H255,'[1]Baumaterialien Matériaux'!$A:$A,'[1]Baumaterialien Matériaux'!AK:AK,0,0)</f>
        <v>equipment</v>
      </c>
      <c r="AC255" cm="1">
        <f t="array" ref="AC255">_xlfn.SWITCH(I255,"kg"," ",0," ",_xlfn.XLOOKUP(H255, '[1]Baumaterialien Matériaux'!$A:$A, '[1]Baumaterialien Matériaux'!$AL:$AL, "-", 0, 1))</f>
        <v>0</v>
      </c>
      <c r="AD255" s="622" cm="1">
        <f t="array" ref="AD255">IFERROR(_xlfn.SWITCH(I255,"kg",1,"m3",AC255,AC255)*J255/(_xlfn.XLOOKUP(AA255,Métrés!A:A,Métrés!D:D,0)),0)</f>
        <v>0</v>
      </c>
      <c r="AE255" s="1092">
        <f>IFERROR(N255*$G$1/(_xlfn.XLOOKUP($AA255,Métrés!$A:$A,Métrés!$D:$D,0)),0)</f>
        <v>12.771864877371588</v>
      </c>
      <c r="AF255" s="1092">
        <f>IFERROR(O255*$G$1/(_xlfn.XLOOKUP($AA255,Métrés!$A:$A,Métrés!$D:$D,0)),0)</f>
        <v>7.6631189264229524</v>
      </c>
      <c r="AG255" s="1092">
        <f>IFERROR(Q255*$G$1/(_xlfn.XLOOKUP($AA255,Métrés!$A:$A,Métrés!$D:$D,0)),0)</f>
        <v>1.5733456732993985</v>
      </c>
      <c r="AH255" s="1092">
        <f>IFERROR(R255*$G$1/(_xlfn.XLOOKUP($AA255,Métrés!$A:$A,Métrés!$D:$D,0)),0)</f>
        <v>0.944007403979639</v>
      </c>
      <c r="AI255" s="1092">
        <f>IFERROR(S255*$G$1/(_xlfn.XLOOKUP($AA255,Métrés!$A:$A,Métrés!$D:$D,0)),0)</f>
        <v>0</v>
      </c>
      <c r="AJ255" s="1030"/>
      <c r="AK255" s="1030"/>
      <c r="AL255" s="1030"/>
      <c r="AM255" s="638" t="s">
        <v>148</v>
      </c>
      <c r="AN255" s="1032">
        <f>IF(AM255="Structure",N255,0)</f>
        <v>0</v>
      </c>
      <c r="AO255" s="1030">
        <f>IF(AM255="Structure",P255,0)</f>
        <v>0</v>
      </c>
      <c r="AP255" s="1030">
        <f>IF(AM255="Structure",Q255,0)</f>
        <v>0</v>
      </c>
      <c r="AQ255" s="1030">
        <f>IF(AM255="Structure",S255,0)</f>
        <v>0</v>
      </c>
      <c r="AR255" s="1033">
        <f>IF(AM255="Structure",T255,0)</f>
        <v>0</v>
      </c>
      <c r="AS255" s="1032">
        <f>IF($AM255="Insulation",N255,0)</f>
        <v>0</v>
      </c>
      <c r="AT255" s="1030">
        <f t="shared" si="673"/>
        <v>0</v>
      </c>
      <c r="AU255" s="1030">
        <f t="shared" si="673"/>
        <v>0</v>
      </c>
      <c r="AV255" s="1030">
        <f t="shared" si="674"/>
        <v>0</v>
      </c>
      <c r="AW255" s="1033">
        <f t="shared" si="674"/>
        <v>0</v>
      </c>
      <c r="AX255" s="1032">
        <f>IF($AM255="Revêtement",N255,0)</f>
        <v>0</v>
      </c>
      <c r="AY255" s="1030">
        <f t="shared" si="675"/>
        <v>0</v>
      </c>
      <c r="AZ255" s="1030">
        <f t="shared" si="675"/>
        <v>0</v>
      </c>
      <c r="BA255" s="1030">
        <f t="shared" si="676"/>
        <v>0</v>
      </c>
      <c r="BB255" s="1033">
        <f t="shared" si="676"/>
        <v>0</v>
      </c>
      <c r="BC255" s="1032">
        <f>IF($AM255="Installation",N255,0)</f>
        <v>12.771864877371588</v>
      </c>
      <c r="BD255" s="1030">
        <f t="shared" si="677"/>
        <v>7.172605275335493</v>
      </c>
      <c r="BE255" s="1030">
        <f t="shared" si="677"/>
        <v>1.5733456732993985</v>
      </c>
      <c r="BF255" s="1033">
        <f>IF($AM255="Installation",S255,0)</f>
        <v>0</v>
      </c>
      <c r="BG255" s="1032">
        <f>IF($AM255="Structure", IF($I255="kg",$J255,0), 0)</f>
        <v>0</v>
      </c>
      <c r="BH255" s="1030">
        <f>IF($AM255="Insulation", IF($I255="kg",$J255,0), 0)</f>
        <v>0</v>
      </c>
      <c r="BI255" s="1033">
        <f>IF($AM255="Revêtement", IF($I255="kg",$J255,0), 0)</f>
        <v>0</v>
      </c>
      <c r="BJ255" s="1030" t="str">
        <f>_xlfn.XLOOKUP(H255, 'Baumaterialien Matériaux'!A:A, 'Baumaterialien Matériaux'!E:E, "-", 0, 1)</f>
        <v>-</v>
      </c>
      <c r="BK255" s="1032">
        <f t="shared" si="524"/>
        <v>0</v>
      </c>
      <c r="BL255" s="1030">
        <f t="shared" si="525"/>
        <v>0</v>
      </c>
      <c r="BM255" s="1033">
        <f t="shared" si="526"/>
        <v>0</v>
      </c>
      <c r="BN255" s="675">
        <f t="shared" si="670"/>
        <v>0</v>
      </c>
    </row>
    <row r="256" spans="2:67">
      <c r="B256" s="1105"/>
      <c r="C256" s="1098"/>
      <c r="D256" s="478" t="s">
        <v>42</v>
      </c>
      <c r="E256" s="479" t="str">
        <f>BillQuantities!E44</f>
        <v>Capteurs solaires</v>
      </c>
      <c r="F256" s="479"/>
      <c r="G256" s="479" t="str">
        <f>VLOOKUP(H256, 'Gebäudetechnik Technique du bât'!$A$10:$X$78, 24,FALSE)</f>
        <v>Collecteurs solaires plan, eau chaude immeuble locatif</v>
      </c>
      <c r="H256" s="753" t="s">
        <v>161</v>
      </c>
      <c r="I256" s="459" t="str">
        <f>VLOOKUP(H256, 'Gebäudetechnik Technique du bât'!$A$10:$X$78, 23,FALSE)</f>
        <v>Surf. collecteurs</v>
      </c>
      <c r="J256" s="662"/>
      <c r="K256" s="663">
        <v>1</v>
      </c>
      <c r="L256" s="663">
        <v>30</v>
      </c>
      <c r="M256" s="664">
        <f>SUM(N256:Q256)</f>
        <v>0</v>
      </c>
      <c r="N256" s="720">
        <f>IFERROR(($J256*VLOOKUP($H256, 'Gebäudetechnik Technique du bât'!$A$10:$U$78, 21,FALSE)),0)/$G$1</f>
        <v>0</v>
      </c>
      <c r="O256" s="720">
        <f>N256-(40%*N256)</f>
        <v>0</v>
      </c>
      <c r="P256" s="720">
        <f>IFERROR((N256+Q256)*($L$2/L256-1),0)</f>
        <v>0</v>
      </c>
      <c r="Q256" s="720">
        <f>IFERROR(($J256*VLOOKUP($H256, 'Gebäudetechnik Technique du bât'!$A$10:$V$78, 22,FALSE)),0)/$G$1</f>
        <v>0</v>
      </c>
      <c r="R256" s="720">
        <f>Q256-(40%*Q256)</f>
        <v>0</v>
      </c>
      <c r="Y256" s="638" t="str">
        <f t="shared" si="669"/>
        <v>Revêtement</v>
      </c>
      <c r="Z256" s="638">
        <f t="shared" si="555"/>
        <v>30</v>
      </c>
      <c r="AA256" s="1093" t="s">
        <v>3446</v>
      </c>
      <c r="AB256" t="str">
        <f>_xlfn.XLOOKUP($H256,'[1]Baumaterialien Matériaux'!$A:$A,'[1]Baumaterialien Matériaux'!AK:AK,0,0)</f>
        <v>equipment</v>
      </c>
      <c r="AC256" cm="1">
        <f t="array" ref="AC256">_xlfn.SWITCH(I256,"kg"," ",0," ",_xlfn.XLOOKUP(H256, '[1]Baumaterialien Matériaux'!$A:$A, '[1]Baumaterialien Matériaux'!$AL:$AL, "-", 0, 1))</f>
        <v>0</v>
      </c>
      <c r="AD256" s="622" cm="1">
        <f t="array" ref="AD256">IFERROR(_xlfn.SWITCH(I256,"kg",1,"m3",AC256,AC256)*J256/(_xlfn.XLOOKUP(AA256,Métrés!A:A,Métrés!D:D,0)),0)</f>
        <v>0</v>
      </c>
      <c r="AE256" s="1092">
        <f>IFERROR(N256*$G$1/(_xlfn.XLOOKUP($AA256,Métrés!$A:$A,Métrés!$D:$D,0)),0)</f>
        <v>0</v>
      </c>
      <c r="AF256" s="1092">
        <f>IFERROR(O256*$G$1/(_xlfn.XLOOKUP($AA256,Métrés!$A:$A,Métrés!$D:$D,0)),0)</f>
        <v>0</v>
      </c>
      <c r="AG256" s="1092">
        <f>IFERROR(Q256*$G$1/(_xlfn.XLOOKUP($AA256,Métrés!$A:$A,Métrés!$D:$D,0)),0)</f>
        <v>0</v>
      </c>
      <c r="AH256" s="1092">
        <f>IFERROR(R256*$G$1/(_xlfn.XLOOKUP($AA256,Métrés!$A:$A,Métrés!$D:$D,0)),0)</f>
        <v>0</v>
      </c>
      <c r="AI256" s="1092">
        <f>IFERROR(S256*$G$1/(_xlfn.XLOOKUP($AA256,Métrés!$A:$A,Métrés!$D:$D,0)),0)</f>
        <v>0</v>
      </c>
      <c r="AJ256" s="1030"/>
      <c r="AK256" s="1030"/>
      <c r="AL256" s="1030"/>
      <c r="AM256" s="638" t="s">
        <v>148</v>
      </c>
      <c r="AN256" s="1032">
        <f>IF(AM256="Structure",N256,0)</f>
        <v>0</v>
      </c>
      <c r="AO256" s="1030">
        <f>IF(AM256="Structure",P256,0)</f>
        <v>0</v>
      </c>
      <c r="AP256" s="1030">
        <f>IF(AM256="Structure",Q256,0)</f>
        <v>0</v>
      </c>
      <c r="AQ256" s="1030">
        <f>IF(AM256="Structure",S256,0)</f>
        <v>0</v>
      </c>
      <c r="AR256" s="1033">
        <f>IF(AM256="Structure",T256,0)</f>
        <v>0</v>
      </c>
      <c r="AS256" s="1032">
        <f>IF($AM256="Insulation",N256,0)</f>
        <v>0</v>
      </c>
      <c r="AT256" s="1030">
        <f t="shared" si="673"/>
        <v>0</v>
      </c>
      <c r="AU256" s="1030">
        <f t="shared" si="673"/>
        <v>0</v>
      </c>
      <c r="AV256" s="1030">
        <f t="shared" si="674"/>
        <v>0</v>
      </c>
      <c r="AW256" s="1033">
        <f t="shared" si="674"/>
        <v>0</v>
      </c>
      <c r="AX256" s="1032">
        <f>IF($AM256="Revêtement",N256,0)</f>
        <v>0</v>
      </c>
      <c r="AY256" s="1030">
        <f t="shared" si="675"/>
        <v>0</v>
      </c>
      <c r="AZ256" s="1030">
        <f t="shared" si="675"/>
        <v>0</v>
      </c>
      <c r="BA256" s="1030">
        <f t="shared" si="676"/>
        <v>0</v>
      </c>
      <c r="BB256" s="1033">
        <f t="shared" si="676"/>
        <v>0</v>
      </c>
      <c r="BC256" s="1032">
        <f>IF($AM256="Installation",N256,0)</f>
        <v>0</v>
      </c>
      <c r="BD256" s="1030">
        <f t="shared" si="677"/>
        <v>0</v>
      </c>
      <c r="BE256" s="1030">
        <f t="shared" si="677"/>
        <v>0</v>
      </c>
      <c r="BF256" s="1033">
        <f>IF($AM256="Installation",S256,0)</f>
        <v>0</v>
      </c>
      <c r="BG256" s="1032">
        <f>IF($AM256="Structure", IF($I256="kg",$J256,0), 0)</f>
        <v>0</v>
      </c>
      <c r="BH256" s="1030">
        <f>IF($AM256="Insulation", IF($I256="kg",$J256,0), 0)</f>
        <v>0</v>
      </c>
      <c r="BI256" s="1033">
        <f>IF($AM256="Revêtement", IF($I256="kg",$J256,0), 0)</f>
        <v>0</v>
      </c>
      <c r="BJ256" s="1030" t="str">
        <f>_xlfn.XLOOKUP(H256, 'Baumaterialien Matériaux'!A:A, 'Baumaterialien Matériaux'!E:E, "-", 0, 1)</f>
        <v>-</v>
      </c>
      <c r="BK256" s="1032">
        <f t="shared" si="524"/>
        <v>0</v>
      </c>
      <c r="BL256" s="1030">
        <f t="shared" si="525"/>
        <v>0</v>
      </c>
      <c r="BM256" s="1033">
        <f t="shared" si="526"/>
        <v>0</v>
      </c>
      <c r="BN256" s="675">
        <f t="shared" si="670"/>
        <v>0</v>
      </c>
    </row>
    <row r="257" spans="2:67">
      <c r="B257" s="1105"/>
      <c r="C257" s="1097" t="s">
        <v>162</v>
      </c>
      <c r="D257" s="473" t="s">
        <v>163</v>
      </c>
      <c r="E257" s="473"/>
      <c r="F257" s="473"/>
      <c r="G257" s="473"/>
      <c r="H257" s="473"/>
      <c r="I257" s="463"/>
      <c r="J257" s="654"/>
      <c r="K257" s="652"/>
      <c r="L257" s="652"/>
      <c r="M257" s="653">
        <f>M258+M259</f>
        <v>45.878000000000007</v>
      </c>
      <c r="N257" s="653">
        <f>N258+N259</f>
        <v>17.32</v>
      </c>
      <c r="O257" s="653">
        <f>O258+O259</f>
        <v>10.392000000000001</v>
      </c>
      <c r="P257" s="653">
        <f t="shared" ref="P257:Q257" si="678">P258+P259</f>
        <v>17.743000000000002</v>
      </c>
      <c r="Q257" s="653">
        <f t="shared" si="678"/>
        <v>0.42299999999999999</v>
      </c>
      <c r="R257" s="653">
        <f t="shared" ref="R257" si="679">R258+R259</f>
        <v>0.25379999999999997</v>
      </c>
      <c r="S257" s="653"/>
      <c r="T257" s="666"/>
      <c r="Y257" s="638">
        <f t="shared" si="669"/>
        <v>0</v>
      </c>
      <c r="Z257" s="638">
        <f t="shared" si="555"/>
        <v>0</v>
      </c>
      <c r="AA257" s="1093"/>
      <c r="AB257">
        <f>_xlfn.XLOOKUP($H257,'[1]Baumaterialien Matériaux'!$A:$A,'[1]Baumaterialien Matériaux'!AK:AK,0,0)</f>
        <v>0</v>
      </c>
      <c r="AC257" t="str" cm="1">
        <f t="array" ref="AC257">_xlfn.SWITCH(I257,"kg"," ",0," ",_xlfn.XLOOKUP(H257, '[1]Baumaterialien Matériaux'!$A:$A, '[1]Baumaterialien Matériaux'!$AL:$AL, "-", 0, 1))</f>
        <v xml:space="preserve"> </v>
      </c>
      <c r="AD257" s="622" cm="1">
        <f t="array" ref="AD257">IFERROR(_xlfn.SWITCH(I257,"kg",1,"m3",AC257,AC257)*J257/(_xlfn.XLOOKUP(AA257,Métrés!A:A,Métrés!D:D,0)),0)</f>
        <v>0</v>
      </c>
      <c r="AE257" s="1092">
        <f>IFERROR(N257*$G$1/(_xlfn.XLOOKUP($AA257,Métrés!$A:$A,Métrés!$D:$D,0)),0)</f>
        <v>0</v>
      </c>
      <c r="AF257" s="1092">
        <f>IFERROR(O257*$G$1/(_xlfn.XLOOKUP($AA257,Métrés!$A:$A,Métrés!$D:$D,0)),0)</f>
        <v>0</v>
      </c>
      <c r="AG257" s="1092">
        <f>IFERROR(Q257*$G$1/(_xlfn.XLOOKUP($AA257,Métrés!$A:$A,Métrés!$D:$D,0)),0)</f>
        <v>0</v>
      </c>
      <c r="AH257" s="1092">
        <f>IFERROR(R257*$G$1/(_xlfn.XLOOKUP($AA257,Métrés!$A:$A,Métrés!$D:$D,0)),0)</f>
        <v>0</v>
      </c>
      <c r="AI257" s="1092">
        <f>IFERROR(S257*$G$1/(_xlfn.XLOOKUP($AA257,Métrés!$A:$A,Métrés!$D:$D,0)),0)</f>
        <v>0</v>
      </c>
      <c r="AJ257" s="1034"/>
      <c r="AK257" s="1034"/>
      <c r="AL257" s="1034"/>
      <c r="AM257" s="666"/>
      <c r="AN257" s="1067"/>
      <c r="AO257" s="1034"/>
      <c r="AP257" s="1034"/>
      <c r="AQ257" s="1034"/>
      <c r="AR257" s="1068"/>
      <c r="AS257" s="1067"/>
      <c r="AT257" s="1034"/>
      <c r="AU257" s="1034"/>
      <c r="AV257" s="1034"/>
      <c r="AW257" s="1068"/>
      <c r="AX257" s="1067"/>
      <c r="AY257" s="1034"/>
      <c r="AZ257" s="1034"/>
      <c r="BA257" s="1034"/>
      <c r="BB257" s="1068"/>
      <c r="BC257" s="1067"/>
      <c r="BD257" s="1034"/>
      <c r="BE257" s="1034"/>
      <c r="BF257" s="1068"/>
      <c r="BG257" s="1067"/>
      <c r="BH257" s="1034"/>
      <c r="BI257" s="1068"/>
      <c r="BJ257" s="1034"/>
      <c r="BK257" s="1067"/>
      <c r="BL257" s="1034"/>
      <c r="BM257" s="1068"/>
      <c r="BN257" s="675">
        <f t="shared" si="670"/>
        <v>0</v>
      </c>
    </row>
    <row r="258" spans="2:67">
      <c r="B258" s="1105"/>
      <c r="C258" s="1099"/>
      <c r="D258" s="478" t="s">
        <v>164</v>
      </c>
      <c r="E258" s="479" t="str">
        <f>BillQuantities!E46</f>
        <v>Extraction mécanique cuisine et salle de bain</v>
      </c>
      <c r="F258" s="733"/>
      <c r="G258" s="479" t="str">
        <f>VLOOKUP(H258, 'Gebäudetechnik Technique du bât'!$A$10:$X$78, 24,FALSE)</f>
        <v>Évacuation d'air cuisine et salle de bain</v>
      </c>
      <c r="H258" s="753" t="s">
        <v>165</v>
      </c>
      <c r="I258" s="459" t="str">
        <f>VLOOKUP(H258, 'Gebäudetechnik Technique du bât'!$A$10:$X$78, 23,FALSE)</f>
        <v>SRE</v>
      </c>
      <c r="J258" s="662">
        <f>$G$1</f>
        <v>907.62</v>
      </c>
      <c r="K258" s="663">
        <v>1</v>
      </c>
      <c r="L258" s="663">
        <v>30</v>
      </c>
      <c r="M258" s="664">
        <f>SUM(N258:Q258)</f>
        <v>9.4019999999999992</v>
      </c>
      <c r="N258" s="720">
        <f>IFERROR(($J258*VLOOKUP($H258, 'Gebäudetechnik Technique du bât'!$A$10:$U$78, 21,FALSE)),0)/$G$1</f>
        <v>3.52</v>
      </c>
      <c r="O258" s="720">
        <f>N258-(40%*N258)</f>
        <v>2.1120000000000001</v>
      </c>
      <c r="P258" s="720">
        <f>IFERROR((N258+Q258)*($L$2/L258-1),0)</f>
        <v>3.645</v>
      </c>
      <c r="Q258" s="720">
        <f>IFERROR(($J258*VLOOKUP($H258, 'Gebäudetechnik Technique du bât'!$A$10:$V$78, 22,FALSE)),0)/$G$1</f>
        <v>0.125</v>
      </c>
      <c r="R258" s="720">
        <f>Q258-(40%*Q258)</f>
        <v>7.4999999999999997E-2</v>
      </c>
      <c r="Y258" s="638" t="s">
        <v>148</v>
      </c>
      <c r="Z258" s="638">
        <f t="shared" si="555"/>
        <v>30</v>
      </c>
      <c r="AA258" s="1093" t="s">
        <v>3446</v>
      </c>
      <c r="AB258" t="str">
        <f>_xlfn.XLOOKUP($H258,'[1]Baumaterialien Matériaux'!$A:$A,'[1]Baumaterialien Matériaux'!AK:AK,0,0)</f>
        <v>equipment</v>
      </c>
      <c r="AC258" cm="1">
        <f t="array" ref="AC258">_xlfn.SWITCH(I258,"kg"," ",0," ",_xlfn.XLOOKUP(H258, '[1]Baumaterialien Matériaux'!$A:$A, '[1]Baumaterialien Matériaux'!$AL:$AL, "-", 0, 1))</f>
        <v>0</v>
      </c>
      <c r="AD258" s="622" cm="1">
        <f t="array" ref="AD258">IFERROR(_xlfn.SWITCH(I258,"kg",1,"m3",AC258,AC258)*J258/(_xlfn.XLOOKUP(AA258,Métrés!A:A,Métrés!D:D,0)),0)</f>
        <v>0</v>
      </c>
      <c r="AE258" s="1092">
        <f>IFERROR(N258*$G$1/(_xlfn.XLOOKUP($AA258,Métrés!$A:$A,Métrés!$D:$D,0)),0)</f>
        <v>3.52</v>
      </c>
      <c r="AF258" s="1092">
        <f>IFERROR(O258*$G$1/(_xlfn.XLOOKUP($AA258,Métrés!$A:$A,Métrés!$D:$D,0)),0)</f>
        <v>2.1120000000000001</v>
      </c>
      <c r="AG258" s="1092">
        <f>IFERROR(Q258*$G$1/(_xlfn.XLOOKUP($AA258,Métrés!$A:$A,Métrés!$D:$D,0)),0)</f>
        <v>0.125</v>
      </c>
      <c r="AH258" s="1092">
        <f>IFERROR(R258*$G$1/(_xlfn.XLOOKUP($AA258,Métrés!$A:$A,Métrés!$D:$D,0)),0)</f>
        <v>7.4999999999999997E-2</v>
      </c>
      <c r="AI258" s="1092">
        <f>IFERROR(S258*$G$1/(_xlfn.XLOOKUP($AA258,Métrés!$A:$A,Métrés!$D:$D,0)),0)</f>
        <v>0</v>
      </c>
      <c r="AJ258" s="1030"/>
      <c r="AK258" s="1030"/>
      <c r="AL258" s="1030"/>
      <c r="AM258" s="638" t="s">
        <v>148</v>
      </c>
      <c r="AN258" s="1032">
        <f>IF(AM258="Structure",N258,0)</f>
        <v>0</v>
      </c>
      <c r="AO258" s="1030">
        <f>IF(AM258="Structure",P258,0)</f>
        <v>0</v>
      </c>
      <c r="AP258" s="1030">
        <f>IF(AM258="Structure",Q258,0)</f>
        <v>0</v>
      </c>
      <c r="AQ258" s="1030">
        <f>IF(AM258="Structure",S258,0)</f>
        <v>0</v>
      </c>
      <c r="AR258" s="1033">
        <f>IF(AM258="Structure",T258,0)</f>
        <v>0</v>
      </c>
      <c r="AS258" s="1032">
        <f>IF($AM258="Insulation",N258,0)</f>
        <v>0</v>
      </c>
      <c r="AT258" s="1030">
        <f>IF($AM258="Insulation",P258,0)</f>
        <v>0</v>
      </c>
      <c r="AU258" s="1030">
        <f>IF($AM258="Insulation",Q258,0)</f>
        <v>0</v>
      </c>
      <c r="AV258" s="1030">
        <f>IF($AM258="Insulation",S258,0)</f>
        <v>0</v>
      </c>
      <c r="AW258" s="1033">
        <f>IF($AM258="Insulation",T258,0)</f>
        <v>0</v>
      </c>
      <c r="AX258" s="1032">
        <f>IF($AM258="Revêtement",N258,0)</f>
        <v>0</v>
      </c>
      <c r="AY258" s="1030">
        <f>IF($AM258="Revêtement",P258,0)</f>
        <v>0</v>
      </c>
      <c r="AZ258" s="1030">
        <f>IF($AM258="Revêtement",Q258,0)</f>
        <v>0</v>
      </c>
      <c r="BA258" s="1030">
        <f>IF($AM258="Revêtement",S258,0)</f>
        <v>0</v>
      </c>
      <c r="BB258" s="1033">
        <f>IF($AM258="Revêtement",T258,0)</f>
        <v>0</v>
      </c>
      <c r="BC258" s="1032">
        <f>IF($AM258="Installation",N258,0)</f>
        <v>3.52</v>
      </c>
      <c r="BD258" s="1030">
        <f>IF($AM258="Installation",P258,0)</f>
        <v>3.645</v>
      </c>
      <c r="BE258" s="1030">
        <f>IF($AM258="Installation",Q258,0)</f>
        <v>0.125</v>
      </c>
      <c r="BF258" s="1033">
        <f>IF($AM258="Installation",S258,0)</f>
        <v>0</v>
      </c>
      <c r="BG258" s="1032">
        <f>IF($AM258="Structure", IF($I258="kg",$J258,0), 0)</f>
        <v>0</v>
      </c>
      <c r="BH258" s="1030">
        <f>IF($AM258="Insulation", IF($I258="kg",$J258,0), 0)</f>
        <v>0</v>
      </c>
      <c r="BI258" s="1033">
        <f>IF($AM258="Revêtement", IF($I258="kg",$J258,0), 0)</f>
        <v>0</v>
      </c>
      <c r="BJ258" s="1030" t="str">
        <f>_xlfn.XLOOKUP(H258, 'Baumaterialien Matériaux'!A:A, 'Baumaterialien Matériaux'!E:E, "-", 0, 1)</f>
        <v>-</v>
      </c>
      <c r="BK258" s="1032">
        <f t="shared" si="524"/>
        <v>0</v>
      </c>
      <c r="BL258" s="1030">
        <f t="shared" si="525"/>
        <v>0</v>
      </c>
      <c r="BM258" s="1033">
        <f t="shared" si="526"/>
        <v>0</v>
      </c>
      <c r="BN258" s="675">
        <f t="shared" si="670"/>
        <v>2.1869999999999998</v>
      </c>
      <c r="BO258" s="720">
        <f>IFERROR((N258+Q258)*($L$2/L258-1),0)</f>
        <v>3.645</v>
      </c>
    </row>
    <row r="259" spans="2:67">
      <c r="B259" s="1105"/>
      <c r="C259" s="1099"/>
      <c r="D259" s="478" t="s">
        <v>166</v>
      </c>
      <c r="E259" s="479" t="str">
        <f>BillQuantities!E47</f>
        <v>Installations de ventilation habitation</v>
      </c>
      <c r="F259" s="733"/>
      <c r="G259" s="479" t="str">
        <f>VLOOKUP(H259, 'Gebäudetechnik Technique du bât'!$A$10:$X$78, 24,FALSE)</f>
        <v xml:space="preserve">Ventilation habitation, canaux en tôle, évacuation d'air (cuisine) </v>
      </c>
      <c r="H259" s="753" t="s">
        <v>2249</v>
      </c>
      <c r="I259" s="459" t="str">
        <f>VLOOKUP(H259, 'Gebäudetechnik Technique du bât'!$A$10:$X$78, 23,FALSE)</f>
        <v>SRE</v>
      </c>
      <c r="J259" s="662">
        <f>$G$1</f>
        <v>907.62</v>
      </c>
      <c r="K259" s="663">
        <v>1</v>
      </c>
      <c r="L259" s="663">
        <v>30</v>
      </c>
      <c r="M259" s="664">
        <f>SUM(N259:Q259)</f>
        <v>36.476000000000006</v>
      </c>
      <c r="N259" s="720">
        <f>IFERROR(($J259*VLOOKUP($H259, 'Gebäudetechnik Technique du bât'!$A$10:$U$78, 21,FALSE)),0)/$G$1</f>
        <v>13.8</v>
      </c>
      <c r="O259" s="720">
        <f>N259-(40%*N259)</f>
        <v>8.2800000000000011</v>
      </c>
      <c r="P259" s="720">
        <f>IFERROR((N259+Q259)*($L$2/L259-1),0)</f>
        <v>14.098000000000001</v>
      </c>
      <c r="Q259" s="720">
        <f>IFERROR(($J259*VLOOKUP($H259, 'Gebäudetechnik Technique du bât'!$A$10:$V$78, 22,FALSE)),0)/$G$1</f>
        <v>0.29799999999999999</v>
      </c>
      <c r="R259" s="720">
        <f>Q259-(40%*Q259)</f>
        <v>0.17879999999999999</v>
      </c>
      <c r="Y259" s="638" t="s">
        <v>148</v>
      </c>
      <c r="Z259" s="638">
        <f t="shared" si="555"/>
        <v>30</v>
      </c>
      <c r="AA259" s="1093" t="s">
        <v>3446</v>
      </c>
      <c r="AB259" t="str">
        <f>_xlfn.XLOOKUP($H259,'[1]Baumaterialien Matériaux'!$A:$A,'[1]Baumaterialien Matériaux'!AK:AK,0,0)</f>
        <v>equipment</v>
      </c>
      <c r="AC259" cm="1">
        <f t="array" ref="AC259">_xlfn.SWITCH(I259,"kg"," ",0," ",_xlfn.XLOOKUP(H259, '[1]Baumaterialien Matériaux'!$A:$A, '[1]Baumaterialien Matériaux'!$AL:$AL, "-", 0, 1))</f>
        <v>0</v>
      </c>
      <c r="AD259" s="622" cm="1">
        <f t="array" ref="AD259">IFERROR(_xlfn.SWITCH(I259,"kg",1,"m3",AC259,AC259)*J259/(_xlfn.XLOOKUP(AA259,Métrés!A:A,Métrés!D:D,0)),0)</f>
        <v>0</v>
      </c>
      <c r="AE259" s="1092">
        <f>IFERROR(N259*$G$1/(_xlfn.XLOOKUP($AA259,Métrés!$A:$A,Métrés!$D:$D,0)),0)</f>
        <v>13.8</v>
      </c>
      <c r="AF259" s="1092">
        <f>IFERROR(O259*$G$1/(_xlfn.XLOOKUP($AA259,Métrés!$A:$A,Métrés!$D:$D,0)),0)</f>
        <v>8.2800000000000011</v>
      </c>
      <c r="AG259" s="1092">
        <f>IFERROR(Q259*$G$1/(_xlfn.XLOOKUP($AA259,Métrés!$A:$A,Métrés!$D:$D,0)),0)</f>
        <v>0.29799999999999999</v>
      </c>
      <c r="AH259" s="1092">
        <f>IFERROR(R259*$G$1/(_xlfn.XLOOKUP($AA259,Métrés!$A:$A,Métrés!$D:$D,0)),0)</f>
        <v>0.17879999999999999</v>
      </c>
      <c r="AI259" s="1092">
        <f>IFERROR(S259*$G$1/(_xlfn.XLOOKUP($AA259,Métrés!$A:$A,Métrés!$D:$D,0)),0)</f>
        <v>0</v>
      </c>
      <c r="AJ259" s="1030"/>
      <c r="AK259" s="1030"/>
      <c r="AL259" s="1030"/>
      <c r="AM259" s="638" t="s">
        <v>148</v>
      </c>
      <c r="AN259" s="1032">
        <f>IF(AM259="Structure",N259,0)</f>
        <v>0</v>
      </c>
      <c r="AO259" s="1030">
        <f>IF(AM259="Structure",P259,0)</f>
        <v>0</v>
      </c>
      <c r="AP259" s="1030">
        <f>IF(AM259="Structure",Q259,0)</f>
        <v>0</v>
      </c>
      <c r="AQ259" s="1030">
        <f>IF(AM259="Structure",S259,0)</f>
        <v>0</v>
      </c>
      <c r="AR259" s="1033">
        <f>IF(AM259="Structure",T259,0)</f>
        <v>0</v>
      </c>
      <c r="AS259" s="1032">
        <f>IF($AM259="Insulation",N259,0)</f>
        <v>0</v>
      </c>
      <c r="AT259" s="1030">
        <f>IF($AM259="Insulation",P259,0)</f>
        <v>0</v>
      </c>
      <c r="AU259" s="1030">
        <f>IF($AM259="Insulation",Q259,0)</f>
        <v>0</v>
      </c>
      <c r="AV259" s="1030">
        <f>IF($AM259="Insulation",S259,0)</f>
        <v>0</v>
      </c>
      <c r="AW259" s="1033">
        <f>IF($AM259="Insulation",T259,0)</f>
        <v>0</v>
      </c>
      <c r="AX259" s="1032">
        <f>IF($AM259="Revêtement",N259,0)</f>
        <v>0</v>
      </c>
      <c r="AY259" s="1030">
        <f>IF($AM259="Revêtement",P259,0)</f>
        <v>0</v>
      </c>
      <c r="AZ259" s="1030">
        <f>IF($AM259="Revêtement",Q259,0)</f>
        <v>0</v>
      </c>
      <c r="BA259" s="1030">
        <f>IF($AM259="Revêtement",S259,0)</f>
        <v>0</v>
      </c>
      <c r="BB259" s="1033">
        <f>IF($AM259="Revêtement",T259,0)</f>
        <v>0</v>
      </c>
      <c r="BC259" s="1032">
        <f>IF($AM259="Installation",N259,0)</f>
        <v>13.8</v>
      </c>
      <c r="BD259" s="1030">
        <f>IF($AM259="Installation",P259,0)</f>
        <v>14.098000000000001</v>
      </c>
      <c r="BE259" s="1030">
        <f>IF($AM259="Installation",Q259,0)</f>
        <v>0.29799999999999999</v>
      </c>
      <c r="BF259" s="1033">
        <f>IF($AM259="Installation",S259,0)</f>
        <v>0</v>
      </c>
      <c r="BG259" s="1032">
        <f>IF($AM259="Structure", IF($I259="kg",$J259,0), 0)</f>
        <v>0</v>
      </c>
      <c r="BH259" s="1030">
        <f>IF($AM259="Insulation", IF($I259="kg",$J259,0), 0)</f>
        <v>0</v>
      </c>
      <c r="BI259" s="1033">
        <f>IF($AM259="Revêtement", IF($I259="kg",$J259,0), 0)</f>
        <v>0</v>
      </c>
      <c r="BJ259" s="1030" t="str">
        <f>_xlfn.XLOOKUP(H259, 'Baumaterialien Matériaux'!A:A, 'Baumaterialien Matériaux'!E:E, "-", 0, 1)</f>
        <v>-</v>
      </c>
      <c r="BK259" s="1032">
        <f t="shared" si="524"/>
        <v>0</v>
      </c>
      <c r="BL259" s="1030">
        <f t="shared" si="525"/>
        <v>0</v>
      </c>
      <c r="BM259" s="1033">
        <f t="shared" si="526"/>
        <v>0</v>
      </c>
      <c r="BN259" s="675">
        <f t="shared" si="670"/>
        <v>8.4588000000000001</v>
      </c>
      <c r="BO259" s="720">
        <f>IFERROR((N259+Q259)*($L$2/L259-1),0)</f>
        <v>14.098000000000001</v>
      </c>
    </row>
    <row r="260" spans="2:67">
      <c r="B260" s="1105"/>
      <c r="C260" s="1106" t="s">
        <v>167</v>
      </c>
      <c r="D260" s="473" t="s">
        <v>168</v>
      </c>
      <c r="E260" s="473"/>
      <c r="F260" s="473"/>
      <c r="G260" s="473"/>
      <c r="H260" s="473"/>
      <c r="I260" s="463"/>
      <c r="J260" s="654"/>
      <c r="K260" s="652"/>
      <c r="L260" s="652"/>
      <c r="M260" s="653">
        <f>M261</f>
        <v>31.68</v>
      </c>
      <c r="N260" s="653">
        <f>N261</f>
        <v>11</v>
      </c>
      <c r="O260" s="653">
        <f>O261</f>
        <v>6.6</v>
      </c>
      <c r="P260" s="653">
        <f t="shared" ref="P260:R260" si="680">P261</f>
        <v>12.54</v>
      </c>
      <c r="Q260" s="653">
        <f t="shared" si="680"/>
        <v>1.54</v>
      </c>
      <c r="R260" s="653">
        <f t="shared" si="680"/>
        <v>0.92399999999999993</v>
      </c>
      <c r="S260" s="653"/>
      <c r="T260" s="666"/>
      <c r="Y260" s="638">
        <f t="shared" si="669"/>
        <v>0</v>
      </c>
      <c r="Z260" s="638">
        <f t="shared" si="555"/>
        <v>0</v>
      </c>
      <c r="AA260" s="1093"/>
      <c r="AB260">
        <f>_xlfn.XLOOKUP($H260,'[1]Baumaterialien Matériaux'!$A:$A,'[1]Baumaterialien Matériaux'!AK:AK,0,0)</f>
        <v>0</v>
      </c>
      <c r="AC260" t="str" cm="1">
        <f t="array" ref="AC260">_xlfn.SWITCH(I260,"kg"," ",0," ",_xlfn.XLOOKUP(H260, '[1]Baumaterialien Matériaux'!$A:$A, '[1]Baumaterialien Matériaux'!$AL:$AL, "-", 0, 1))</f>
        <v xml:space="preserve"> </v>
      </c>
      <c r="AD260" s="622" cm="1">
        <f t="array" ref="AD260">IFERROR(_xlfn.SWITCH(I260,"kg",1,"m3",AC260,AC260)*J260/(_xlfn.XLOOKUP(AA260,Métrés!A:A,Métrés!D:D,0)),0)</f>
        <v>0</v>
      </c>
      <c r="AE260" s="1092">
        <f>IFERROR(N260*$G$1/(_xlfn.XLOOKUP($AA260,Métrés!$A:$A,Métrés!$D:$D,0)),0)</f>
        <v>0</v>
      </c>
      <c r="AF260" s="1092">
        <f>IFERROR(O260*$G$1/(_xlfn.XLOOKUP($AA260,Métrés!$A:$A,Métrés!$D:$D,0)),0)</f>
        <v>0</v>
      </c>
      <c r="AG260" s="1092">
        <f>IFERROR(Q260*$G$1/(_xlfn.XLOOKUP($AA260,Métrés!$A:$A,Métrés!$D:$D,0)),0)</f>
        <v>0</v>
      </c>
      <c r="AH260" s="1092">
        <f>IFERROR(R260*$G$1/(_xlfn.XLOOKUP($AA260,Métrés!$A:$A,Métrés!$D:$D,0)),0)</f>
        <v>0</v>
      </c>
      <c r="AI260" s="1092">
        <f>IFERROR(S260*$G$1/(_xlfn.XLOOKUP($AA260,Métrés!$A:$A,Métrés!$D:$D,0)),0)</f>
        <v>0</v>
      </c>
      <c r="AJ260" s="666"/>
      <c r="AK260" s="666"/>
      <c r="AL260" s="666"/>
      <c r="AM260" s="666"/>
      <c r="AN260" s="1067"/>
      <c r="AO260" s="1034"/>
      <c r="AP260" s="1034"/>
      <c r="AQ260" s="1034"/>
      <c r="AR260" s="1068"/>
      <c r="AS260" s="1067"/>
      <c r="AT260" s="1034"/>
      <c r="AU260" s="1034"/>
      <c r="AV260" s="1034"/>
      <c r="AW260" s="1068"/>
      <c r="AX260" s="1067"/>
      <c r="AY260" s="1034"/>
      <c r="AZ260" s="1034"/>
      <c r="BA260" s="1034"/>
      <c r="BB260" s="1068"/>
      <c r="BC260" s="1067"/>
      <c r="BD260" s="1034"/>
      <c r="BE260" s="1034"/>
      <c r="BF260" s="1068"/>
      <c r="BG260" s="1067"/>
      <c r="BH260" s="1034"/>
      <c r="BI260" s="1068"/>
      <c r="BJ260" s="1034"/>
      <c r="BK260" s="1067"/>
      <c r="BL260" s="1034"/>
      <c r="BM260" s="1068"/>
      <c r="BN260" s="675">
        <f t="shared" si="670"/>
        <v>0</v>
      </c>
    </row>
    <row r="261" spans="2:67">
      <c r="B261" s="1105"/>
      <c r="C261" s="1106"/>
      <c r="D261" s="478" t="s">
        <v>169</v>
      </c>
      <c r="E261" s="479" t="str">
        <f>BillQuantities!E49</f>
        <v>Installation sanitaire habitation</v>
      </c>
      <c r="F261" s="479"/>
      <c r="G261" s="479" t="str">
        <f>VLOOKUP(H261, 'Gebäudetechnik Technique du bât'!$A$10:$X$78, 24,FALSE)</f>
        <v>Habitation, appareils et conduites compris</v>
      </c>
      <c r="H261" s="753" t="s">
        <v>831</v>
      </c>
      <c r="I261" s="459" t="str">
        <f>VLOOKUP(H261, 'Gebäudetechnik Technique du bât'!$A$10:$X$78, 23,FALSE)</f>
        <v>SRE</v>
      </c>
      <c r="J261" s="662">
        <f>$G$1</f>
        <v>907.62</v>
      </c>
      <c r="K261" s="663">
        <v>1</v>
      </c>
      <c r="L261" s="663">
        <v>30</v>
      </c>
      <c r="M261" s="664">
        <f>SUM(N261:Q261)</f>
        <v>31.68</v>
      </c>
      <c r="N261" s="720">
        <f>IFERROR(($J261*VLOOKUP($H261, 'Gebäudetechnik Technique du bât'!$A$10:$U$78, 21,FALSE)),0)/$G$1</f>
        <v>11</v>
      </c>
      <c r="O261" s="720">
        <f>N261-(40%*N261)</f>
        <v>6.6</v>
      </c>
      <c r="P261" s="720">
        <f>IFERROR((N261+Q261)*($L$2/L261-1),0)</f>
        <v>12.54</v>
      </c>
      <c r="Q261" s="720">
        <f>IFERROR(($J261*VLOOKUP($H261, 'Gebäudetechnik Technique du bât'!$A$10:$V$78, 22,FALSE)),0)/$G$1</f>
        <v>1.54</v>
      </c>
      <c r="R261" s="720">
        <f>Q261-(40%*Q261)</f>
        <v>0.92399999999999993</v>
      </c>
      <c r="Y261" s="638" t="s">
        <v>148</v>
      </c>
      <c r="Z261" s="638">
        <f t="shared" si="555"/>
        <v>30</v>
      </c>
      <c r="AA261" s="1094" t="s">
        <v>3446</v>
      </c>
      <c r="AB261" t="str">
        <f>_xlfn.XLOOKUP($H261,'[1]Baumaterialien Matériaux'!$A:$A,'[1]Baumaterialien Matériaux'!AK:AK,0,0)</f>
        <v>equipment</v>
      </c>
      <c r="AC261" cm="1">
        <f t="array" ref="AC261">_xlfn.SWITCH(I261,"kg"," ",0," ",_xlfn.XLOOKUP(H261, '[1]Baumaterialien Matériaux'!$A:$A, '[1]Baumaterialien Matériaux'!$AL:$AL, "-", 0, 1))</f>
        <v>0</v>
      </c>
      <c r="AD261" s="622" cm="1">
        <f t="array" ref="AD261">IFERROR(_xlfn.SWITCH(I261,"kg",1,"m3",AC261,AC261)*J261/(_xlfn.XLOOKUP(AA261,Métrés!A:A,Métrés!D:D,0)),0)</f>
        <v>0</v>
      </c>
      <c r="AE261" s="1092">
        <f>IFERROR(N261*$G$1/(_xlfn.XLOOKUP($AA261,Métrés!$A:$A,Métrés!$D:$D,0)),0)</f>
        <v>11</v>
      </c>
      <c r="AF261" s="1092">
        <f>IFERROR(O261*$G$1/(_xlfn.XLOOKUP($AA261,Métrés!$A:$A,Métrés!$D:$D,0)),0)</f>
        <v>6.6</v>
      </c>
      <c r="AG261" s="1092">
        <f>IFERROR(Q261*$G$1/(_xlfn.XLOOKUP($AA261,Métrés!$A:$A,Métrés!$D:$D,0)),0)</f>
        <v>1.54</v>
      </c>
      <c r="AH261" s="1092">
        <f>IFERROR(R261*$G$1/(_xlfn.XLOOKUP($AA261,Métrés!$A:$A,Métrés!$D:$D,0)),0)</f>
        <v>0.92399999999999993</v>
      </c>
      <c r="AI261" s="1092">
        <f>IFERROR(S261*$G$1/(_xlfn.XLOOKUP($AA261,Métrés!$A:$A,Métrés!$D:$D,0)),0)</f>
        <v>0</v>
      </c>
      <c r="AM261" s="638" t="s">
        <v>148</v>
      </c>
      <c r="AN261" s="1032">
        <f>IF(AM261="Structure",N261,0)</f>
        <v>0</v>
      </c>
      <c r="AO261" s="1030">
        <f>IF(AM261="Structure",P261,0)</f>
        <v>0</v>
      </c>
      <c r="AP261" s="1030">
        <f>IF(AM261="Structure",Q261,0)</f>
        <v>0</v>
      </c>
      <c r="AQ261" s="1030">
        <f>IF(AM261="Structure",S261,0)</f>
        <v>0</v>
      </c>
      <c r="AR261" s="1033">
        <f>IF(AM261="Structure",T261,0)</f>
        <v>0</v>
      </c>
      <c r="AS261" s="1032">
        <f>IF($AM261="Insulation",N261,0)</f>
        <v>0</v>
      </c>
      <c r="AT261" s="1030">
        <f>IF($AM261="Insulation",P261,0)</f>
        <v>0</v>
      </c>
      <c r="AU261" s="1030">
        <f>IF($AM261="Insulation",Q261,0)</f>
        <v>0</v>
      </c>
      <c r="AV261" s="1030">
        <f>IF($AM261="Insulation",S261,0)</f>
        <v>0</v>
      </c>
      <c r="AW261" s="1033">
        <f>IF($AM261="Insulation",T261,0)</f>
        <v>0</v>
      </c>
      <c r="AX261" s="1032">
        <f>IF($AM261="Revêtement",N261,0)</f>
        <v>0</v>
      </c>
      <c r="AY261" s="1030">
        <f>IF($AM261="Revêtement",P261,0)</f>
        <v>0</v>
      </c>
      <c r="AZ261" s="1030">
        <f>IF($AM261="Revêtement",Q261,0)</f>
        <v>0</v>
      </c>
      <c r="BA261" s="1030">
        <f>IF($AM261="Revêtement",S261,0)</f>
        <v>0</v>
      </c>
      <c r="BB261" s="1033">
        <f>IF($AM261="Revêtement",T261,0)</f>
        <v>0</v>
      </c>
      <c r="BC261" s="1032">
        <f>IF($AM261="Installation",N261,0)</f>
        <v>11</v>
      </c>
      <c r="BD261" s="1030">
        <f>IF($AM261="Installation",P261,0)</f>
        <v>12.54</v>
      </c>
      <c r="BE261" s="1030">
        <f>IF($AM261="Installation",Q261,0)</f>
        <v>1.54</v>
      </c>
      <c r="BF261" s="1033">
        <f>IF($AM261="Installation",S261,0)</f>
        <v>0</v>
      </c>
      <c r="BG261" s="1032">
        <f>IF($AM261="Structure", IF($I261="kg",$J261,0), 0)</f>
        <v>0</v>
      </c>
      <c r="BH261" s="1030">
        <f>IF($AM261="Insulation", IF($I261="kg",$J261,0), 0)</f>
        <v>0</v>
      </c>
      <c r="BI261" s="1033">
        <f>IF($AM261="Revêtement", IF($I261="kg",$J261,0), 0)</f>
        <v>0</v>
      </c>
      <c r="BJ261" s="1030" t="str">
        <f>_xlfn.XLOOKUP(H261, 'Baumaterialien Matériaux'!A:A, 'Baumaterialien Matériaux'!E:E, "-", 0, 1)</f>
        <v>-</v>
      </c>
      <c r="BK261" s="1032">
        <f t="shared" ref="BK261" si="681">IFERROR(BG261/$BJ261,0)</f>
        <v>0</v>
      </c>
      <c r="BL261" s="1030">
        <f t="shared" ref="BL261:BM261" si="682">IFERROR(BH261/$BJ261,0)</f>
        <v>0</v>
      </c>
      <c r="BM261" s="1033">
        <f t="shared" si="682"/>
        <v>0</v>
      </c>
      <c r="BN261" s="675">
        <f t="shared" si="670"/>
        <v>7.5239999999999991</v>
      </c>
      <c r="BO261" s="720">
        <f>IFERROR((N261+Q261)*($L$2/L261-1),0)</f>
        <v>12.54</v>
      </c>
    </row>
    <row r="262" spans="2:67">
      <c r="E262" s="454"/>
      <c r="J262" s="645"/>
      <c r="AA262" s="638"/>
      <c r="AN262" s="1032"/>
      <c r="AO262" s="1030"/>
      <c r="AP262" s="1030"/>
      <c r="AQ262" s="1030"/>
      <c r="AR262" s="1033"/>
      <c r="AS262" s="1032"/>
      <c r="AT262" s="1030"/>
      <c r="AU262" s="1030"/>
      <c r="AV262" s="1030"/>
      <c r="AW262" s="1033"/>
      <c r="AX262" s="1032"/>
      <c r="AY262" s="1030"/>
      <c r="AZ262" s="1030"/>
      <c r="BA262" s="1030"/>
      <c r="BB262" s="1033"/>
      <c r="BC262" s="1032"/>
      <c r="BD262" s="1030"/>
      <c r="BE262" s="1030"/>
      <c r="BF262" s="1033"/>
      <c r="BG262" s="1032"/>
      <c r="BH262" s="1030"/>
      <c r="BI262" s="1033"/>
      <c r="BJ262" s="1030"/>
      <c r="BK262" s="1032"/>
      <c r="BL262" s="1030"/>
      <c r="BM262" s="1033"/>
    </row>
    <row r="263" spans="2:67" ht="16.5" thickBot="1">
      <c r="E263" s="454"/>
      <c r="J263" s="645"/>
      <c r="M263" s="666">
        <f t="shared" ref="M263:R263" ca="1" si="683">M4+M11+M22+M38+M50+M66+M87+M96+M106+M119+M159+M187+M215+M233+M248+M251+M257+M260</f>
        <v>1060.3211079739274</v>
      </c>
      <c r="N263" s="666">
        <f t="shared" si="683"/>
        <v>521.56293818255449</v>
      </c>
      <c r="O263" s="666">
        <f t="shared" si="683"/>
        <v>206.9005268816764</v>
      </c>
      <c r="P263" s="666">
        <f t="shared" ca="1" si="683"/>
        <v>259.8259160436599</v>
      </c>
      <c r="Q263" s="666">
        <f t="shared" si="683"/>
        <v>72.031726866036664</v>
      </c>
      <c r="R263" s="666">
        <f t="shared" si="683"/>
        <v>36.881426013026108</v>
      </c>
      <c r="S263" s="666">
        <f>-(S4+S11+S22+S38+S50+S66+S87+S96+S106+S119+S159+S187+S215+S233+S248+S251+S257+S260)</f>
        <v>-181.28821723221171</v>
      </c>
      <c r="T263" s="666">
        <f>(T4+T11+T22+T38+T50+T66+T87+T96+T106+T119+T159+T187+T215+T233+T248+T251+T257+T260)</f>
        <v>-21.457521073926316</v>
      </c>
      <c r="V263" s="666">
        <f ca="1">SUM(V4:V260)</f>
        <v>-42.661200135609256</v>
      </c>
      <c r="W263" s="666">
        <f>-(W4+W11+W22+W38+W50+W66+W87+W96+W106+W119+W159+W187+W215+W233+W248+W251+W257+W260)</f>
        <v>-181.28821723221171</v>
      </c>
      <c r="X263" s="666"/>
      <c r="AA263" s="638"/>
      <c r="AK263" s="666">
        <f ca="1">SUM(AK4:AK260)</f>
        <v>-8.5560596072879552E-2</v>
      </c>
      <c r="AL263" s="666">
        <f ca="1">-SUM(AL4:AL260)</f>
        <v>-99.088369240467728</v>
      </c>
      <c r="AN263" s="1035">
        <f ca="1">SUM(AN4:AN261)</f>
        <v>294.55890121152026</v>
      </c>
      <c r="AO263" s="1035">
        <f t="shared" ref="AO263:BE263" ca="1" si="684">SUM(AO4:AO261)</f>
        <v>0</v>
      </c>
      <c r="AP263" s="1035">
        <f t="shared" ca="1" si="684"/>
        <v>31.10878482294353</v>
      </c>
      <c r="AQ263" s="1035">
        <f ca="1">-SUM(AQ4:AQ261)</f>
        <v>-82.199847991743979</v>
      </c>
      <c r="AR263" s="1035">
        <f t="shared" ca="1" si="684"/>
        <v>-21.371960477853435</v>
      </c>
      <c r="AS263" s="1035">
        <f ca="1">SUM(AS4:AS261)</f>
        <v>47.2518204953615</v>
      </c>
      <c r="AT263" s="1035">
        <f t="shared" ca="1" si="684"/>
        <v>59.459525252330273</v>
      </c>
      <c r="AU263" s="1035">
        <f t="shared" ca="1" si="684"/>
        <v>12.677235483484274</v>
      </c>
      <c r="AV263" s="1035">
        <f ca="1">-SUM(AV4:AV261)</f>
        <v>-38.584131420638585</v>
      </c>
      <c r="AW263" s="1035">
        <f t="shared" ca="1" si="684"/>
        <v>-1.668573049514114</v>
      </c>
      <c r="AX263" s="1035">
        <f ca="1">SUM(AX4:AX261)</f>
        <v>98.602465698915836</v>
      </c>
      <c r="AY263" s="1035">
        <f t="shared" ca="1" si="684"/>
        <v>113.52917261632243</v>
      </c>
      <c r="AZ263" s="1035">
        <f t="shared" ca="1" si="684"/>
        <v>18.033217676596156</v>
      </c>
      <c r="BA263" s="1035">
        <f ca="1">-SUM(BA4:BA261)</f>
        <v>-60.504237819829157</v>
      </c>
      <c r="BB263" s="1035">
        <f t="shared" ca="1" si="684"/>
        <v>1.5830124534412342</v>
      </c>
      <c r="BC263" s="1035">
        <f ca="1">SUM(BC4:BC261)</f>
        <v>81.149750776756804</v>
      </c>
      <c r="BD263" s="1035">
        <f t="shared" ca="1" si="684"/>
        <v>86.837218175007166</v>
      </c>
      <c r="BE263" s="1035">
        <f t="shared" ca="1" si="684"/>
        <v>10.212488883012714</v>
      </c>
      <c r="BF263" s="1075"/>
      <c r="BG263" s="1035">
        <f ca="1">SUM(BG4:BG261)</f>
        <v>1736159.5629999994</v>
      </c>
      <c r="BH263" s="1035">
        <f t="shared" ref="BH263:BI263" ca="1" si="685">SUM(BH4:BH261)</f>
        <v>30230.986199999999</v>
      </c>
      <c r="BI263" s="1035">
        <f t="shared" ca="1" si="685"/>
        <v>216873.74203000002</v>
      </c>
      <c r="BJ263" s="1034"/>
      <c r="BK263" s="1035">
        <f ca="1">SUM(BK4:BK261)</f>
        <v>844.14761882719461</v>
      </c>
      <c r="BL263" s="1035">
        <f t="shared" ref="BL263:BM263" ca="1" si="686">SUM(BL4:BL261)</f>
        <v>324.85233152542366</v>
      </c>
      <c r="BM263" s="1035">
        <f t="shared" ca="1" si="686"/>
        <v>163.02105665743565</v>
      </c>
      <c r="BN263" s="666">
        <f ca="1">SUM(BN6:BN261)</f>
        <v>136.66895181617298</v>
      </c>
      <c r="BO263" s="666">
        <f ca="1">SUM(BO6:BO261)</f>
        <v>224.18750836288979</v>
      </c>
    </row>
    <row r="264" spans="2:67">
      <c r="E264" s="454"/>
      <c r="J264" s="645"/>
      <c r="AA264" s="638"/>
    </row>
    <row r="265" spans="2:67">
      <c r="E265" s="454"/>
      <c r="J265" s="645"/>
      <c r="T265" s="638" t="s">
        <v>3426</v>
      </c>
      <c r="AA265" s="638"/>
      <c r="AN265" s="1030">
        <f ca="1">SUM(AN263:AP263)</f>
        <v>325.66768603446377</v>
      </c>
      <c r="AS265" s="1030">
        <f ca="1">SUM(AS263:AU263)</f>
        <v>119.38858123117606</v>
      </c>
      <c r="AX265" s="1030">
        <f ca="1">SUM(AX263:AZ263)</f>
        <v>230.16485599183443</v>
      </c>
      <c r="BC265" s="1030">
        <f ca="1">SUM(BC263:BE263)</f>
        <v>178.19945783477669</v>
      </c>
    </row>
    <row r="266" spans="2:67">
      <c r="E266" s="454"/>
      <c r="J266" s="645"/>
      <c r="N266" s="720">
        <f ca="1">SUM(N263:Q263)</f>
        <v>1060.3211079739274</v>
      </c>
      <c r="O266" s="720">
        <f ca="1">SUM(O263:R263)</f>
        <v>575.63959580439916</v>
      </c>
      <c r="S266" s="720">
        <f ca="1">S263-(AQ263+AV263+BA263)</f>
        <v>0</v>
      </c>
      <c r="T266" s="720">
        <f ca="1">T263-(AR263+AW263+BB263)</f>
        <v>0</v>
      </c>
      <c r="AA266" s="638"/>
      <c r="AN266" s="1030">
        <f ca="1">AN265+AS265+AX265+BC265</f>
        <v>853.42058109225093</v>
      </c>
    </row>
    <row r="267" spans="2:67">
      <c r="E267" s="454"/>
      <c r="J267" s="645"/>
      <c r="N267" s="720">
        <f ca="1">$M$263-N266</f>
        <v>0</v>
      </c>
      <c r="O267" s="720">
        <f ca="1">$M$263-O266</f>
        <v>484.68151216952822</v>
      </c>
      <c r="AA267" s="638"/>
      <c r="AN267" s="720">
        <f ca="1">$M$263-AN266</f>
        <v>206.90052688167646</v>
      </c>
    </row>
    <row r="268" spans="2:67">
      <c r="AA268" s="638"/>
    </row>
    <row r="269" spans="2:67">
      <c r="N269" s="720">
        <f ca="1">AN263+AS263+AX263+BC263</f>
        <v>521.56293818255438</v>
      </c>
      <c r="O269" s="720">
        <f ca="1">AO263+AT263+AY263+BD263</f>
        <v>259.82591604365984</v>
      </c>
      <c r="P269" s="720">
        <f t="shared" ref="P269:R269" ca="1" si="687">AO263+AT263+AY263+BD263</f>
        <v>259.82591604365984</v>
      </c>
      <c r="Q269" s="720">
        <f t="shared" ca="1" si="687"/>
        <v>72.031726866036664</v>
      </c>
      <c r="R269" s="720">
        <f t="shared" ca="1" si="687"/>
        <v>-181.28821723221171</v>
      </c>
      <c r="AA269" s="638"/>
    </row>
    <row r="270" spans="2:67">
      <c r="AA270" s="638"/>
    </row>
    <row r="271" spans="2:67">
      <c r="AA271" s="638"/>
    </row>
    <row r="272" spans="2:6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  <row r="994" spans="27:27">
      <c r="AA994" s="638"/>
    </row>
    <row r="995" spans="27:27">
      <c r="AA995" s="638"/>
    </row>
    <row r="996" spans="27:27">
      <c r="AA996" s="638"/>
    </row>
    <row r="997" spans="27:27">
      <c r="AA997" s="638"/>
    </row>
    <row r="998" spans="27:27">
      <c r="AA998" s="638"/>
    </row>
    <row r="999" spans="27:27">
      <c r="AA999" s="638"/>
    </row>
    <row r="1000" spans="27:27">
      <c r="AA1000" s="638"/>
    </row>
    <row r="1001" spans="27:27">
      <c r="AA1001" s="638"/>
    </row>
    <row r="1002" spans="27:27">
      <c r="AA1002" s="638"/>
    </row>
    <row r="1003" spans="27:27">
      <c r="AA1003" s="638"/>
    </row>
    <row r="1004" spans="27:27">
      <c r="AA1004" s="638"/>
    </row>
    <row r="1005" spans="27:27">
      <c r="AA1005" s="638"/>
    </row>
    <row r="1006" spans="27:27">
      <c r="AA1006" s="638"/>
    </row>
    <row r="1007" spans="27:27">
      <c r="AA1007" s="638"/>
    </row>
    <row r="1008" spans="27:27">
      <c r="AA1008" s="638"/>
    </row>
    <row r="1009" spans="27:27">
      <c r="AA1009" s="638"/>
    </row>
    <row r="1010" spans="27:27">
      <c r="AA1010" s="638"/>
    </row>
    <row r="1011" spans="27:27">
      <c r="AA1011" s="638"/>
    </row>
    <row r="1012" spans="27:27">
      <c r="AA1012" s="638"/>
    </row>
    <row r="1013" spans="27:27">
      <c r="AA1013" s="638"/>
    </row>
    <row r="1014" spans="27:27">
      <c r="AA1014" s="638"/>
    </row>
    <row r="1015" spans="27:27">
      <c r="AA1015" s="638"/>
    </row>
    <row r="1016" spans="27:27">
      <c r="AA1016" s="638"/>
    </row>
    <row r="1017" spans="27:27">
      <c r="AA1017" s="638"/>
    </row>
    <row r="1018" spans="27:27">
      <c r="AA1018" s="638"/>
    </row>
    <row r="1019" spans="27:27">
      <c r="AA1019" s="638"/>
    </row>
    <row r="1020" spans="27:27">
      <c r="AA1020" s="638"/>
    </row>
    <row r="1021" spans="27:27">
      <c r="AA1021" s="638"/>
    </row>
    <row r="1022" spans="27:27">
      <c r="AA1022" s="638"/>
    </row>
    <row r="1023" spans="27:27">
      <c r="AA1023" s="638"/>
    </row>
    <row r="1024" spans="27:27">
      <c r="AA1024" s="638"/>
    </row>
    <row r="1025" spans="27:27">
      <c r="AA1025" s="638"/>
    </row>
    <row r="1026" spans="27:27">
      <c r="AA1026" s="638"/>
    </row>
    <row r="1027" spans="27:27">
      <c r="AA1027" s="638"/>
    </row>
    <row r="1028" spans="27:27">
      <c r="AA1028" s="638"/>
    </row>
    <row r="1029" spans="27:27">
      <c r="AA1029" s="638"/>
    </row>
    <row r="1030" spans="27:27">
      <c r="AA1030" s="638"/>
    </row>
    <row r="1031" spans="27:27">
      <c r="AA1031" s="638"/>
    </row>
    <row r="1032" spans="27:27">
      <c r="AA1032" s="638"/>
    </row>
    <row r="1033" spans="27:27">
      <c r="AA1033" s="638"/>
    </row>
    <row r="1034" spans="27:27">
      <c r="AA1034" s="638"/>
    </row>
    <row r="1035" spans="27:27">
      <c r="AA1035" s="638"/>
    </row>
    <row r="1036" spans="27:27">
      <c r="AA1036" s="638"/>
    </row>
    <row r="1037" spans="27:27">
      <c r="AA1037" s="638"/>
    </row>
    <row r="1038" spans="27:27">
      <c r="AA1038" s="638"/>
    </row>
    <row r="1039" spans="27:27">
      <c r="AA1039" s="638"/>
    </row>
    <row r="1040" spans="27:27">
      <c r="AA1040" s="638"/>
    </row>
    <row r="1041" spans="27:27">
      <c r="AA1041" s="638"/>
    </row>
    <row r="1042" spans="27:27">
      <c r="AA1042" s="638"/>
    </row>
    <row r="1043" spans="27:27">
      <c r="AA1043" s="638"/>
    </row>
    <row r="1044" spans="27:27">
      <c r="AA1044" s="638"/>
    </row>
    <row r="1045" spans="27:27">
      <c r="AA1045" s="638"/>
    </row>
    <row r="1046" spans="27:27">
      <c r="AA1046" s="638"/>
    </row>
    <row r="1047" spans="27:27">
      <c r="AA1047" s="638"/>
    </row>
    <row r="1048" spans="27:27">
      <c r="AA1048" s="638"/>
    </row>
    <row r="1049" spans="27:27">
      <c r="AA1049" s="638"/>
    </row>
    <row r="1050" spans="27:27">
      <c r="AA1050" s="638"/>
    </row>
    <row r="1051" spans="27:27">
      <c r="AA1051" s="638"/>
    </row>
    <row r="1052" spans="27:27">
      <c r="AA1052" s="638"/>
    </row>
    <row r="1053" spans="27:27">
      <c r="AA1053" s="638"/>
    </row>
    <row r="1054" spans="27:27">
      <c r="AA1054" s="638"/>
    </row>
  </sheetData>
  <phoneticPr fontId="86" type="noConversion"/>
  <conditionalFormatting sqref="AC1:AC1048576">
    <cfRule type="cellIs" dxfId="387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B2B72-4146-487E-967E-36397ECD87D6}">
  <dimension ref="A2:C60"/>
  <sheetViews>
    <sheetView topLeftCell="A34" zoomScale="70" zoomScaleNormal="70" workbookViewId="0">
      <selection activeCell="A57" sqref="A57:A60"/>
    </sheetView>
  </sheetViews>
  <sheetFormatPr baseColWidth="10" defaultColWidth="11" defaultRowHeight="15.75"/>
  <cols>
    <col min="2" max="2" width="62.875" bestFit="1" customWidth="1"/>
  </cols>
  <sheetData>
    <row r="2" spans="1:3">
      <c r="A2" t="s">
        <v>200</v>
      </c>
      <c r="B2" s="410" t="s">
        <v>201</v>
      </c>
      <c r="C2" t="s">
        <v>202</v>
      </c>
    </row>
    <row r="3" spans="1:3">
      <c r="B3" s="624" cm="1">
        <f t="array" ref="B3">INDEX(Réaliste!G5:G247,MATCH(0,COUNTIF($B$2:B2,Réaliste!G5:G247),0))</f>
        <v>0</v>
      </c>
    </row>
    <row r="4" spans="1:3">
      <c r="A4" s="615" cm="1">
        <f t="array" aca="1" ref="A4" ca="1">IFERROR(SUM((Réaliste!$G$4:$G$262='List of materials_Re'!B4)*Réaliste!$M$4:$M$262),0)</f>
        <v>1.8708693065379787</v>
      </c>
      <c r="B4" s="624" t="str" cm="1">
        <f t="array" ref="B4">INDEX(Réaliste!G6:G248,MATCH(0,COUNTIF($B$2:B3,Réaliste!G6:G248),0))</f>
        <v>Excavations mécaniques, en moyenne</v>
      </c>
      <c r="C4" s="422" cm="1">
        <f t="array" ref="C4">IFERROR(SUM((Réaliste!$G$4:$G$262='List of materials_Re'!B4)*Réaliste!$J$4:$J$262),0)</f>
        <v>2423</v>
      </c>
    </row>
    <row r="5" spans="1:3">
      <c r="A5" s="615" cm="1">
        <f t="array" aca="1" ref="A5" ca="1">IFERROR(SUM((Réaliste!$G$4:$G$262='List of materials_Re'!B5)*Réaliste!$M$4:$M$262),0)</f>
        <v>0</v>
      </c>
      <c r="B5" s="624" t="str" cm="1">
        <f t="array" ref="B5">INDEX(Réaliste!G7:G249,MATCH(0,COUNTIF($B$2:B4,Réaliste!G7:G249),0))</f>
        <v>Fondations profondes, pieu en béton préfabriqué</v>
      </c>
      <c r="C5" s="422" cm="1">
        <f t="array" ref="C5">IFERROR(SUM((Réaliste!$G$4:$G$262='List of materials_Re'!B5)*Réaliste!$J$4:$J$262),0)</f>
        <v>0</v>
      </c>
    </row>
    <row r="6" spans="1:3">
      <c r="A6" s="615" cm="1">
        <f t="array" aca="1" ref="A6" ca="1">IFERROR(SUM((Réaliste!$G$4:$G$262='List of materials_Re'!B6)*Réaliste!$M$4:$M$262),0)</f>
        <v>177.52460394217843</v>
      </c>
      <c r="B6" s="624" t="str" cm="1">
        <f t="array" ref="B6">INDEX(Réaliste!G8:G250,MATCH(0,COUNTIF($B$2:B5,Réaliste!G8:G250),0))</f>
        <v>Béton pour bâtiment (sans armature)</v>
      </c>
      <c r="C6" s="422" cm="1">
        <f t="array" ref="C6">IFERROR(SUM((Réaliste!$G$4:$G$262='List of materials_Re'!B6)*Réaliste!$J$4:$J$262),0)</f>
        <v>1317456.0999999999</v>
      </c>
    </row>
    <row r="7" spans="1:3">
      <c r="A7" s="615" cm="1">
        <f t="array" aca="1" ref="A7" ca="1">IFERROR(SUM((Réaliste!$G$4:$G$262='List of materials_Re'!B7)*Réaliste!$M$4:$M$262),0)</f>
        <v>166.51913915515303</v>
      </c>
      <c r="B7" s="624" t="str" cm="1">
        <f t="array" ref="B7">INDEX(Réaliste!G9:G251,MATCH(0,COUNTIF($B$2:B6,Réaliste!G9:G251),0))</f>
        <v>Acier d'armature</v>
      </c>
      <c r="C7" s="422" cm="1">
        <f t="array" ref="C7">IFERROR(SUM((Réaliste!$G$4:$G$262='List of materials_Re'!B7)*Réaliste!$J$4:$J$262),0)</f>
        <v>83806.200000000012</v>
      </c>
    </row>
    <row r="8" spans="1:3">
      <c r="A8" s="615" cm="1">
        <f t="array" aca="1" ref="A8" ca="1">IFERROR(SUM((Réaliste!$G$4:$G$262='List of materials_Re'!B8)*Réaliste!$M$4:$M$262),0)</f>
        <v>7.9577755376699502</v>
      </c>
      <c r="B8" s="624" t="str" cm="1">
        <f t="array" ref="B8">INDEX(Réaliste!G10:G252,MATCH(0,COUNTIF($B$2:B7,Réaliste!G10:G252),0))</f>
        <v>Béton maigre (sans armature)</v>
      </c>
      <c r="C8" s="422" cm="1">
        <f t="array" ref="C8">IFERROR(SUM((Réaliste!$G$4:$G$262='List of materials_Re'!B8)*Réaliste!$J$4:$J$262),0)</f>
        <v>96173.584999999992</v>
      </c>
    </row>
    <row r="9" spans="1:3">
      <c r="A9" s="615" cm="1">
        <f t="array" aca="1" ref="A9" ca="1">IFERROR(SUM((Réaliste!$G$4:$G$262='List of materials_Re'!B9)*Réaliste!$M$4:$M$262),0)</f>
        <v>2.8983324078358788</v>
      </c>
      <c r="B9" s="624" t="str" cm="1">
        <f t="array" ref="B9">INDEX(Réaliste!G11:G253,MATCH(0,COUNTIF($B$2:B8,Réaliste!G11:G253),0))</f>
        <v>Gravier rond</v>
      </c>
      <c r="C9" s="422" cm="1">
        <f t="array" ref="C9">IFERROR(SUM((Réaliste!$G$4:$G$262='List of materials_Re'!B9)*Réaliste!$J$4:$J$262),0)</f>
        <v>153319.6</v>
      </c>
    </row>
    <row r="10" spans="1:3">
      <c r="A10" s="615" cm="1">
        <f t="array" aca="1" ref="A10" ca="1">IFERROR(SUM((Réaliste!$G$4:$G$262='List of materials_Re'!B10)*Réaliste!$M$4:$M$262),0)</f>
        <v>5.9434293647121041</v>
      </c>
      <c r="B10" s="624" t="str" cm="1">
        <f t="array" ref="B10">INDEX(Réaliste!G12:G254,MATCH(0,COUNTIF($B$2:B9,Réaliste!G12:G254),0))</f>
        <v>Polystyrène extrudé (XPS)</v>
      </c>
      <c r="C10" s="422" cm="1">
        <f t="array" ref="C10">IFERROR(SUM((Réaliste!$G$4:$G$262='List of materials_Re'!B10)*Réaliste!$J$4:$J$262),0)</f>
        <v>334.22399999999999</v>
      </c>
    </row>
    <row r="11" spans="1:3">
      <c r="A11" s="615" cm="1">
        <f t="array" aca="1" ref="A11" ca="1">IFERROR(SUM((Réaliste!$G$4:$G$262='List of materials_Re'!B11)*Réaliste!$M$4:$M$262),0)</f>
        <v>3.6999578502016259</v>
      </c>
      <c r="B11" s="624" t="str" cm="1">
        <f t="array" ref="B11">INDEX(Réaliste!G13:G255,MATCH(0,COUNTIF($B$2:B10,Réaliste!G13:G255),0))</f>
        <v>Feuille de polyéthylène (PE)</v>
      </c>
      <c r="C11" s="422" cm="1">
        <f t="array" ref="C11">IFERROR(SUM((Réaliste!$G$4:$G$262='List of materials_Re'!B11)*Réaliste!$J$4:$J$262),0)</f>
        <v>333.1986</v>
      </c>
    </row>
    <row r="12" spans="1:3">
      <c r="A12" s="615" cm="1">
        <f t="array" aca="1" ref="A12" ca="1">IFERROR(SUM((Réaliste!$G$4:$G$262='List of materials_Re'!B12)*Réaliste!$M$4:$M$262),0)</f>
        <v>3.843430785119323</v>
      </c>
      <c r="B12" s="624" t="str" cm="1">
        <f t="array" ref="B12">INDEX(Réaliste!G14:G256,MATCH(0,COUNTIF($B$2:B11,Réaliste!G14:G256),0))</f>
        <v>Bois massif épicéa / sapin / mélèze, séché en cellule, raboté</v>
      </c>
      <c r="C12" s="422" cm="1">
        <f t="array" ref="C12">IFERROR(SUM((Réaliste!$G$4:$G$262='List of materials_Re'!B12)*Réaliste!$J$4:$J$262),0)</f>
        <v>9135.1202999999987</v>
      </c>
    </row>
    <row r="13" spans="1:3">
      <c r="A13" s="615" cm="1">
        <f t="array" aca="1" ref="A13" ca="1">IFERROR(SUM((Réaliste!$G$4:$G$262='List of materials_Re'!B13)*Réaliste!$M$4:$M$262),0)</f>
        <v>8.8532087771675361</v>
      </c>
      <c r="B13" s="624" t="str" cm="1">
        <f t="array" ref="B13">INDEX(Réaliste!G15:G257,MATCH(0,COUNTIF($B$2:B12,Réaliste!G15:G257),0))</f>
        <v>Bois massif de construction</v>
      </c>
      <c r="C13" s="422" cm="1">
        <f t="array" ref="C13">IFERROR(SUM((Réaliste!$G$4:$G$262='List of materials_Re'!B13)*Réaliste!$J$4:$J$262),0)</f>
        <v>18860.74524</v>
      </c>
    </row>
    <row r="14" spans="1:3">
      <c r="A14" s="615" cm="1">
        <f t="array" aca="1" ref="A14" ca="1">IFERROR(SUM((Réaliste!$G$4:$G$262='List of materials_Re'!B14)*Réaliste!$M$4:$M$262),0)</f>
        <v>18.303603497058241</v>
      </c>
      <c r="B14" s="624" t="str" cm="1">
        <f t="array" ref="B14">INDEX(Réaliste!G16:G258,MATCH(0,COUNTIF($B$2:B13,Réaliste!G16:G258),0))</f>
        <v>Panneau de fibres mou</v>
      </c>
      <c r="C14" s="422" cm="1">
        <f t="array" ref="C14">IFERROR(SUM((Réaliste!$G$4:$G$262='List of materials_Re'!B14)*Réaliste!$J$4:$J$262),0)</f>
        <v>9817.2300000000014</v>
      </c>
    </row>
    <row r="15" spans="1:3">
      <c r="A15" s="615" cm="1">
        <f t="array" aca="1" ref="A15" ca="1">IFERROR(SUM((Réaliste!$G$4:$G$262='List of materials_Re'!B15)*Réaliste!$M$4:$M$262),0)</f>
        <v>4.6691235539102269</v>
      </c>
      <c r="B15" s="624" t="str" cm="1">
        <f t="array" ref="B15">INDEX(Réaliste!G17:G259,MATCH(0,COUNTIF($B$2:B14,Réaliste!G17:G259),0))</f>
        <v>Gramitherm</v>
      </c>
      <c r="C15" s="422" cm="1">
        <f t="array" ref="C15">IFERROR(SUM((Réaliste!$G$4:$G$262='List of materials_Re'!B15)*Réaliste!$J$4:$J$262),0)</f>
        <v>5433.0639999999994</v>
      </c>
    </row>
    <row r="16" spans="1:3">
      <c r="A16" s="615" cm="1">
        <f t="array" aca="1" ref="A16" ca="1">IFERROR(SUM((Réaliste!$G$4:$G$262='List of materials_Re'!B16)*Réaliste!$M$4:$M$262),0)</f>
        <v>10.993427223672901</v>
      </c>
      <c r="B16" s="624" t="str" cm="1">
        <f t="array" ref="B16">INDEX(Réaliste!G19:G260,MATCH(0,COUNTIF($B$2:B15,Réaliste!G19:G260),0))</f>
        <v>Panneau d'aggloméré type OSB, colle PF, zone humide</v>
      </c>
      <c r="C16" s="422" cm="1">
        <f t="array" ref="C16">IFERROR(SUM((Réaliste!$G$4:$G$262='List of materials_Re'!B16)*Réaliste!$J$4:$J$262),0)</f>
        <v>7132.133249999999</v>
      </c>
    </row>
    <row r="17" spans="1:3">
      <c r="A17" s="615" cm="1">
        <f t="array" aca="1" ref="A17" ca="1">IFERROR(SUM((Réaliste!$G$4:$G$262='List of materials_Re'!B17)*Réaliste!$M$4:$M$262),0)</f>
        <v>6.3018194172010311</v>
      </c>
      <c r="B17" s="624" t="str" cm="1">
        <f t="array" ref="B17">INDEX(Réaliste!G20:G261,MATCH(0,COUNTIF($B$2:B16,Réaliste!G20:G261),0))</f>
        <v>Laine de verre</v>
      </c>
      <c r="C17" s="422" cm="1">
        <f t="array" ref="C17">IFERROR(SUM((Réaliste!$G$4:$G$262='List of materials_Re'!B17)*Réaliste!$J$4:$J$262),0)</f>
        <v>2377.2012</v>
      </c>
    </row>
    <row r="18" spans="1:3">
      <c r="A18" s="615" cm="1">
        <f t="array" aca="1" ref="A18" ca="1">IFERROR(SUM((Réaliste!$G$4:$G$262='List of materials_Re'!B18)*Réaliste!$M$4:$M$262),0)</f>
        <v>1.0223125826337014</v>
      </c>
      <c r="B18" s="624" t="str" cm="1">
        <f t="array" ref="B18">INDEX(Réaliste!G21:G262,MATCH(0,COUNTIF($B$2:B17,Réaliste!G21:G262),0))</f>
        <v>Enduit de ciment</v>
      </c>
      <c r="C18" s="422" cm="1">
        <f t="array" ref="C18">IFERROR(SUM((Réaliste!$G$4:$G$262='List of materials_Re'!B18)*Réaliste!$J$4:$J$262),0)</f>
        <v>1503.1125000000002</v>
      </c>
    </row>
    <row r="19" spans="1:3">
      <c r="A19" s="615" cm="1">
        <f t="array" aca="1" ref="A19" ca="1">IFERROR(SUM((Réaliste!$G$4:$G$262='List of materials_Re'!B19)*Réaliste!$M$4:$M$262),0)</f>
        <v>1.8547516427579824</v>
      </c>
      <c r="B19" s="624" t="str" cm="1">
        <f t="array" ref="B19">INDEX(Réaliste!G22:G263,MATCH(0,COUNTIF($B$2:B18,Réaliste!G22:G263),0))</f>
        <v>Sable</v>
      </c>
      <c r="C19" s="422" cm="1">
        <f t="array" ref="C19">IFERROR(SUM((Réaliste!$G$4:$G$262='List of materials_Re'!B19)*Réaliste!$J$4:$J$262),0)</f>
        <v>72054.600000000006</v>
      </c>
    </row>
    <row r="20" spans="1:3">
      <c r="A20" s="615" cm="1">
        <f t="array" aca="1" ref="A20" ca="1">IFERROR(SUM((Réaliste!$G$4:$G$262='List of materials_Re'!B20)*Réaliste!$M$4:$M$262),0)</f>
        <v>23.176329994050374</v>
      </c>
      <c r="B20" s="624" t="str" cm="1">
        <f t="array" ref="B20">INDEX(Réaliste!G23:G264,MATCH(0,COUNTIF($B$2:B19,Réaliste!G23:G264),0))</f>
        <v>Lé d'étanchéité bitumineux</v>
      </c>
      <c r="C20" s="422" cm="1">
        <f t="array" ref="C20">IFERROR(SUM((Réaliste!$G$4:$G$262='List of materials_Re'!B20)*Réaliste!$J$4:$J$262),0)</f>
        <v>3667.6068</v>
      </c>
    </row>
    <row r="21" spans="1:3">
      <c r="A21" s="615" cm="1">
        <f t="array" aca="1" ref="A21" ca="1">IFERROR(SUM((Réaliste!$G$4:$G$262='List of materials_Re'!B21)*Réaliste!$M$4:$M$262),0)</f>
        <v>70.945459570304749</v>
      </c>
      <c r="B21" s="624" t="str" cm="1">
        <f t="array" ref="B21">INDEX(Réaliste!G24:G265,MATCH(0,COUNTIF($B$2:B20,Réaliste!G24:G265),0))</f>
        <v>Plaque de plâtre armé de fibres</v>
      </c>
      <c r="C21" s="422" cm="1">
        <f t="array" ref="C21">IFERROR(SUM((Réaliste!$G$4:$G$262='List of materials_Re'!B21)*Réaliste!$J$4:$J$262),0)</f>
        <v>39586.572</v>
      </c>
    </row>
    <row r="22" spans="1:3">
      <c r="A22" s="615" cm="1">
        <f t="array" aca="1" ref="A22" ca="1">IFERROR(SUM((Réaliste!$G$4:$G$262='List of materials_Re'!B22)*Réaliste!$M$4:$M$262),0)</f>
        <v>70.434199841343286</v>
      </c>
      <c r="B22" s="624" t="str" cm="1">
        <f t="array" ref="B22">INDEX(Réaliste!G25:G266,MATCH(0,COUNTIF($B$2:B21,Réaliste!G25:G266),0))</f>
        <v>Polyuréthane (PUR/PIR)</v>
      </c>
      <c r="C22" s="422" cm="1">
        <f t="array" ref="C22">IFERROR(SUM((Réaliste!$G$4:$G$262='List of materials_Re'!B22)*Réaliste!$J$4:$J$262),0)</f>
        <v>3807.4739999999993</v>
      </c>
    </row>
    <row r="23" spans="1:3">
      <c r="A23" s="615" cm="1">
        <f t="array" aca="1" ref="A23" ca="1">IFERROR(SUM((Réaliste!$G$4:$G$262='List of materials_Re'!B23)*Réaliste!$M$4:$M$262),0)</f>
        <v>33.569488552477907</v>
      </c>
      <c r="B23" s="624" t="str" cm="1">
        <f t="array" ref="B23">INDEX(Réaliste!G26:G267,MATCH(0,COUNTIF($B$2:B22,Réaliste!G26:G267),0))</f>
        <v>Cadre de fenêtre bois-métal</v>
      </c>
      <c r="C23" s="422" cm="1">
        <f t="array" ref="C23">IFERROR(SUM((Réaliste!$G$4:$G$262='List of materials_Re'!B23)*Réaliste!$J$4:$J$262),0)</f>
        <v>134.07999999999998</v>
      </c>
    </row>
    <row r="24" spans="1:3">
      <c r="A24" s="615" cm="1">
        <f t="array" aca="1" ref="A24" ca="1">IFERROR(SUM((Réaliste!$G$4:$G$262='List of materials_Re'!B24)*Réaliste!$M$4:$M$262),0)</f>
        <v>17.528343015799564</v>
      </c>
      <c r="B24" s="624" t="str" cm="1">
        <f t="array" ref="B24">INDEX(Réaliste!G27:G268,MATCH(0,COUNTIF($B$2:B23,Réaliste!G27:G268),0))</f>
        <v>Triple vitrage, U&lt;0.6 W/m2K, épaisseur 40 mm 3</v>
      </c>
      <c r="C24" s="422" cm="1">
        <f t="array" ref="C24">IFERROR(SUM((Réaliste!$G$4:$G$262='List of materials_Re'!B24)*Réaliste!$J$4:$J$262),0)</f>
        <v>104.58239999999999</v>
      </c>
    </row>
    <row r="25" spans="1:3">
      <c r="A25" s="615" cm="1">
        <f t="array" aca="1" ref="A25" ca="1">IFERROR(SUM((Réaliste!$G$4:$G$262='List of materials_Re'!B25)*Réaliste!$M$4:$M$262),0)</f>
        <v>19.672083030343096</v>
      </c>
      <c r="B25" s="624" t="str" cm="1">
        <f t="array" ref="B25">INDEX(Réaliste!G28:G269,MATCH(0,COUNTIF($B$2:B24,Réaliste!G28:G269),0))</f>
        <v>Protection solaire, stores vénitiens avec moteur 4</v>
      </c>
      <c r="C25" s="422" cm="1">
        <f t="array" ref="C25">IFERROR(SUM((Réaliste!$G$4:$G$262='List of materials_Re'!B25)*Réaliste!$J$4:$J$262),0)</f>
        <v>117.9</v>
      </c>
    </row>
    <row r="26" spans="1:3">
      <c r="A26" s="615" cm="1">
        <f t="array" aca="1" ref="A26" ca="1">IFERROR(SUM((Réaliste!$G$4:$G$262='List of materials_Re'!B26)*Réaliste!$M$4:$M$262),0)</f>
        <v>9.5856279059518297</v>
      </c>
      <c r="B26" s="624" t="str" cm="1">
        <f t="array" ref="B26">INDEX(Réaliste!G29:G270,MATCH(0,COUNTIF($B$2:B25,Réaliste!G29:G270),0))</f>
        <v>Porte intérieure, porte fonctionnelle, bois, cadre en bois</v>
      </c>
      <c r="C26" s="422" cm="1">
        <f t="array" ref="C26">IFERROR(SUM((Réaliste!$G$4:$G$262='List of materials_Re'!B26)*Réaliste!$J$4:$J$262),0)</f>
        <v>78.14</v>
      </c>
    </row>
    <row r="27" spans="1:3">
      <c r="A27" s="615" cm="1">
        <f t="array" aca="1" ref="A27" ca="1">IFERROR(SUM((Réaliste!$G$4:$G$262='List of materials_Re'!B27)*Réaliste!$M$4:$M$262),0)</f>
        <v>5.6508322131876039</v>
      </c>
      <c r="B27" s="624" t="str" cm="1">
        <f t="array" ref="B27">INDEX(Réaliste!G30:G271,MATCH(0,COUNTIF($B$2:B26,Réaliste!G30:G271),0))</f>
        <v>Portes extérieures aluminium, avec panneau</v>
      </c>
      <c r="C27" s="422" cm="1">
        <f t="array" ref="C27">IFERROR(SUM((Réaliste!$G$4:$G$262='List of materials_Re'!B27)*Réaliste!$J$4:$J$262),0)</f>
        <v>11.5</v>
      </c>
    </row>
    <row r="28" spans="1:3">
      <c r="A28" s="615" cm="1">
        <f t="array" aca="1" ref="A28" ca="1">IFERROR(SUM((Réaliste!$G$4:$G$262='List of materials_Re'!B28)*Réaliste!$M$4:$M$262),0)</f>
        <v>17.560431483572422</v>
      </c>
      <c r="B28" s="624" t="str" cm="1">
        <f t="array" ref="B28">INDEX(Réaliste!G31:G272,MATCH(0,COUNTIF($B$2:B27,Réaliste!G31:G272),0))</f>
        <v>Bois lamellé-collé</v>
      </c>
      <c r="C28" s="422" cm="1">
        <f t="array" ref="C28">IFERROR(SUM((Réaliste!$G$4:$G$262='List of materials_Re'!B28)*Réaliste!$J$4:$J$262),0)</f>
        <v>31104.993800000004</v>
      </c>
    </row>
    <row r="29" spans="1:3">
      <c r="A29" s="615" cm="1">
        <f t="array" aca="1" ref="A29" ca="1">IFERROR(SUM((Réaliste!$G$4:$G$262='List of materials_Re'!B29)*Réaliste!$M$4:$M$262),0)</f>
        <v>5.4100350366893633</v>
      </c>
      <c r="B29" s="624" t="str" cm="1">
        <f t="array" ref="B29">INDEX(Réaliste!G32:G273,MATCH(0,COUNTIF($B$2:B28,Réaliste!G32:G273),0))</f>
        <v>Lé d'étanchéité polyoléfine (FPO)</v>
      </c>
      <c r="C29" s="422" cm="1">
        <f t="array" ref="C29">IFERROR(SUM((Réaliste!$G$4:$G$262='List of materials_Re'!B29)*Réaliste!$J$4:$J$262),0)</f>
        <v>380.64</v>
      </c>
    </row>
    <row r="30" spans="1:3">
      <c r="A30" s="615" cm="1">
        <f t="array" aca="1" ref="A30" ca="1">IFERROR(SUM((Réaliste!$G$4:$G$262='List of materials_Re'!B30)*Réaliste!$M$4:$M$262),0)</f>
        <v>2.4493231969326374</v>
      </c>
      <c r="B30" s="624" t="str" cm="1">
        <f t="array" ref="B30">INDEX(Réaliste!G33:G274,MATCH(0,COUNTIF($B$2:B29,Réaliste!G33:G274),0))</f>
        <v>Voile de polyéthylène (PE)</v>
      </c>
      <c r="C30" s="422" cm="1">
        <f t="array" ref="C30">IFERROR(SUM((Réaliste!$G$4:$G$262='List of materials_Re'!B30)*Réaliste!$J$4:$J$262),0)</f>
        <v>158.11200000000002</v>
      </c>
    </row>
    <row r="31" spans="1:3">
      <c r="A31" s="615" cm="1">
        <f t="array" aca="1" ref="A31" ca="1">IFERROR(SUM((Réaliste!$G$4:$G$262='List of materials_Re'!B31)*Réaliste!$M$4:$M$262),0)</f>
        <v>0.16103957823758841</v>
      </c>
      <c r="B31" s="624" t="str" cm="1">
        <f t="array" ref="B31">INDEX(Réaliste!G34:G275,MATCH(0,COUNTIF($B$2:B30,Réaliste!G34:G275),0))</f>
        <v>Émulsion de bitume, 1 couche</v>
      </c>
      <c r="C31" s="422" cm="1">
        <f t="array" ref="C31">IFERROR(SUM((Réaliste!$G$4:$G$262='List of materials_Re'!B31)*Réaliste!$J$4:$J$262),0)</f>
        <v>332.63</v>
      </c>
    </row>
    <row r="32" spans="1:3">
      <c r="A32" s="615" cm="1">
        <f t="array" aca="1" ref="A32" ca="1">IFERROR(SUM((Réaliste!$G$4:$G$262='List of materials_Re'!B32)*Réaliste!$M$4:$M$262),0)</f>
        <v>1.2058952008990549</v>
      </c>
      <c r="B32" s="624" t="str" cm="1">
        <f t="array" ref="B32">INDEX(Réaliste!G35:G276,MATCH(0,COUNTIF($B$2:B31,Réaliste!G35:G276),0))</f>
        <v>Tôle de cuivre, nue</v>
      </c>
      <c r="C32" s="422" cm="1">
        <f t="array" ref="C32">IFERROR(SUM((Réaliste!$G$4:$G$262='List of materials_Re'!B32)*Réaliste!$J$4:$J$262),0)</f>
        <v>222.14400000000001</v>
      </c>
    </row>
    <row r="33" spans="1:3">
      <c r="A33" s="615" cm="1">
        <f t="array" aca="1" ref="A33" ca="1">IFERROR(SUM((Réaliste!$G$4:$G$262='List of materials_Re'!B33)*Réaliste!$M$4:$M$262),0)</f>
        <v>9.9284773618893372</v>
      </c>
      <c r="B33" s="624" t="str" cm="1">
        <f t="array" ref="B33">INDEX(Réaliste!G36:G277,MATCH(0,COUNTIF($B$2:B32,Réaliste!G36:G277),0))</f>
        <v>Tôle d'acier, zinguée</v>
      </c>
      <c r="C33" s="422" cm="1">
        <f t="array" ref="C33">IFERROR(SUM((Réaliste!$G$4:$G$262='List of materials_Re'!B33)*Réaliste!$J$4:$J$262),0)</f>
        <v>839.51009999999997</v>
      </c>
    </row>
    <row r="34" spans="1:3">
      <c r="A34" s="615" cm="1">
        <f t="array" aca="1" ref="A34" ca="1">IFERROR(SUM((Réaliste!$G$4:$G$262='List of materials_Re'!B34)*Réaliste!$M$4:$M$262),0)</f>
        <v>21.970866662259539</v>
      </c>
      <c r="B34" s="624" t="str" cm="1">
        <f t="array" ref="B34">INDEX(Réaliste!G37:G278,MATCH(0,COUNTIF($B$2:B33,Réaliste!G37:G278),0))</f>
        <v>Dalle en céramique/grès, 9 mm</v>
      </c>
      <c r="C34" s="422" cm="1">
        <f t="array" ref="C34">IFERROR(SUM((Réaliste!$G$4:$G$262='List of materials_Re'!B34)*Réaliste!$J$4:$J$262),0)</f>
        <v>423.38</v>
      </c>
    </row>
    <row r="35" spans="1:3">
      <c r="A35" s="615" cm="1">
        <f t="array" aca="1" ref="A35" ca="1">IFERROR(SUM((Réaliste!$G$4:$G$262='List of materials_Re'!B35)*Réaliste!$M$4:$M$262),0)</f>
        <v>2.1639490645865007</v>
      </c>
      <c r="B35" s="624" t="str" cm="1">
        <f t="array" ref="B35">INDEX(Réaliste!G38:G279,MATCH(0,COUNTIF($B$2:B34,Réaliste!G38:G279),0))</f>
        <v>Polystyrène expansé (EPS)</v>
      </c>
      <c r="C35" s="422" cm="1">
        <f t="array" ref="C35">IFERROR(SUM((Réaliste!$G$4:$G$262='List of materials_Re'!B35)*Réaliste!$J$4:$J$262),0)</f>
        <v>114.255</v>
      </c>
    </row>
    <row r="36" spans="1:3">
      <c r="A36" s="615" cm="1">
        <f t="array" aca="1" ref="A36" ca="1">IFERROR(SUM((Réaliste!$G$4:$G$262='List of materials_Re'!B36)*Réaliste!$M$4:$M$262),0)</f>
        <v>2.1413972587646808</v>
      </c>
      <c r="B36" s="624" t="str" cm="1">
        <f t="array" ref="B36">INDEX(Réaliste!G39:G280,MATCH(0,COUNTIF($B$2:B35,Réaliste!G39:G280),0))</f>
        <v>Plaque de plâtre cartonnée</v>
      </c>
      <c r="C36" s="422" cm="1">
        <f t="array" ref="C36">IFERROR(SUM((Réaliste!$G$4:$G$262='List of materials_Re'!B36)*Réaliste!$J$4:$J$262),0)</f>
        <v>2482.85</v>
      </c>
    </row>
    <row r="37" spans="1:3">
      <c r="A37" s="615" cm="1">
        <f t="array" aca="1" ref="A37" ca="1">IFERROR(SUM((Réaliste!$G$4:$G$262='List of materials_Re'!B37)*Réaliste!$M$4:$M$262),0)</f>
        <v>33.183368916506915</v>
      </c>
      <c r="B37" s="624" t="str" cm="1">
        <f t="array" ref="B37">INDEX(Réaliste!G40:G281,MATCH(0,COUNTIF($B$2:B36,Réaliste!G40:G281),0))</f>
        <v>Chape de ciment, 85 mm</v>
      </c>
      <c r="C37" s="422" cm="1">
        <f t="array" ref="C37">IFERROR(SUM((Réaliste!$G$4:$G$262='List of materials_Re'!B37)*Réaliste!$J$4:$J$262),0)</f>
        <v>113140.08</v>
      </c>
    </row>
    <row r="38" spans="1:3">
      <c r="A38" s="615" cm="1">
        <f t="array" aca="1" ref="A38" ca="1">IFERROR(SUM((Réaliste!$G$4:$G$262='List of materials_Re'!B38)*Réaliste!$M$4:$M$262),0)</f>
        <v>4.6339435446552519</v>
      </c>
      <c r="B38" s="624" t="str" cm="1">
        <f t="array" ref="B38">INDEX(Réaliste!G41:G282,MATCH(0,COUNTIF($B$2:B37,Réaliste!G41:G282),0))</f>
        <v>Barrière de vapeur PE</v>
      </c>
      <c r="C38" s="422" cm="1">
        <f t="array" ref="C38">IFERROR(SUM((Réaliste!$G$4:$G$262='List of materials_Re'!B38)*Réaliste!$J$4:$J$262),0)</f>
        <v>317.18399999999997</v>
      </c>
    </row>
    <row r="39" spans="1:3">
      <c r="A39" s="615" cm="1">
        <f t="array" aca="1" ref="A39" ca="1">IFERROR(SUM((Réaliste!$G$4:$G$262='List of materials_Re'!B39)*Réaliste!$M$4:$M$262),0)</f>
        <v>41.513838562685912</v>
      </c>
      <c r="B39" s="624" t="str" cm="1">
        <f t="array" ref="B39">INDEX(Réaliste!G42:G283,MATCH(0,COUNTIF($B$2:B38,Réaliste!G42:G283),0))</f>
        <v>GUTEX Pyroresist</v>
      </c>
      <c r="C39" s="422" cm="1">
        <f t="array" ref="C39">IFERROR(SUM((Réaliste!$G$4:$G$262='List of materials_Re'!B39)*Réaliste!$J$4:$J$262),0)</f>
        <v>9162.902</v>
      </c>
    </row>
    <row r="40" spans="1:3">
      <c r="A40" s="615" cm="1">
        <f t="array" aca="1" ref="A40" ca="1">IFERROR(SUM((Réaliste!$G$4:$G$262='List of materials_Re'!B40)*Réaliste!$M$4:$M$262),0)</f>
        <v>0</v>
      </c>
      <c r="B40" s="624" t="str" cm="1">
        <f t="array" ref="B40">INDEX(Réaliste!G43:G284,MATCH(0,COUNTIF($B$2:B39,Réaliste!G43:G284),0))</f>
        <v>Données écobilans dans la construction</v>
      </c>
      <c r="C40" s="422" cm="1">
        <f t="array" ref="C40">IFERROR(SUM((Réaliste!$G$4:$G$262='List of materials_Re'!B40)*Réaliste!$J$4:$J$262),0)</f>
        <v>0</v>
      </c>
    </row>
    <row r="41" spans="1:3">
      <c r="A41" s="615" cm="1">
        <f t="array" aca="1" ref="A41" ca="1">IFERROR(SUM((Réaliste!$G$4:$G$262='List of materials_Re'!B41)*Réaliste!$M$4:$M$262),0)</f>
        <v>11.556417884136533</v>
      </c>
      <c r="B41" s="624" t="str" cm="1">
        <f t="array" ref="B41">INDEX(Réaliste!G44:G285,MATCH(0,COUNTIF($B$2:B40,Réaliste!G44:G285),0))</f>
        <v>Parquet, 2 plis, vitrifié d'usine, 11 mm</v>
      </c>
      <c r="C41" s="422" cm="1">
        <f t="array" ref="C41">IFERROR(SUM((Réaliste!$G$4:$G$262='List of materials_Re'!B41)*Réaliste!$J$4:$J$262),0)</f>
        <v>551</v>
      </c>
    </row>
    <row r="42" spans="1:3">
      <c r="A42" s="615" cm="1">
        <f t="array" aca="1" ref="A42" ca="1">IFERROR(SUM((Réaliste!$G$4:$G$262='List of materials_Re'!B42)*Réaliste!$M$4:$M$262),0)</f>
        <v>9.7254357550516743E-2</v>
      </c>
      <c r="B42" s="624" t="str" cm="1">
        <f t="array" ref="B42">INDEX(Réaliste!G45:G286,MATCH(0,COUNTIF($B$2:B41,Réaliste!G45:G286),0))</f>
        <v>Moquette en fibres naturelles</v>
      </c>
      <c r="C42" s="422" cm="1">
        <f t="array" ref="C42">IFERROR(SUM((Réaliste!$G$4:$G$262='List of materials_Re'!B42)*Réaliste!$J$4:$J$262),0)</f>
        <v>7</v>
      </c>
    </row>
    <row r="43" spans="1:3">
      <c r="A43" s="615" cm="1">
        <f t="array" aca="1" ref="A43" ca="1">IFERROR(SUM((Réaliste!$G$4:$G$262='List of materials_Re'!B43)*Réaliste!$M$4:$M$262),0)</f>
        <v>6.6374123964619551</v>
      </c>
      <c r="B43" s="624" t="str" cm="1">
        <f t="array" ref="B43">INDEX(Réaliste!G46:G287,MATCH(0,COUNTIF($B$2:B42,Réaliste!G46:G287),0))</f>
        <v>Profil d'aluminium, nu</v>
      </c>
      <c r="C43" s="422" cm="1">
        <f t="array" ref="C43">IFERROR(SUM((Réaliste!$G$4:$G$262='List of materials_Re'!B43)*Réaliste!$J$4:$J$262),0)</f>
        <v>543.85343999999998</v>
      </c>
    </row>
    <row r="44" spans="1:3">
      <c r="A44" s="615" cm="1">
        <f t="array" aca="1" ref="A44" ca="1">IFERROR(SUM((Réaliste!$G$4:$G$262='List of materials_Re'!B44)*Réaliste!$M$4:$M$262),0)</f>
        <v>31.618000000000002</v>
      </c>
      <c r="B44" s="624" t="str" cm="1">
        <f t="array" ref="B44">INDEX(Réaliste!G48:G288,MATCH(0,COUNTIF($B$2:B43,Réaliste!G48:G288),0))</f>
        <v>Installations électriques, habitation</v>
      </c>
      <c r="C44" s="422" cm="1">
        <f t="array" ref="C44">IFERROR(SUM((Réaliste!$G$4:$G$262='List of materials_Re'!B44)*Réaliste!$J$4:$J$262),0)</f>
        <v>907.62</v>
      </c>
    </row>
    <row r="45" spans="1:3">
      <c r="A45" s="615" cm="1">
        <f t="array" aca="1" ref="A45" ca="1">IFERROR(SUM((Réaliste!$G$4:$G$262='List of materials_Re'!B45)*Réaliste!$M$4:$M$262),0)</f>
        <v>58.789757828165982</v>
      </c>
      <c r="B45" s="624" t="str" cm="1">
        <f t="array" ref="B45">INDEX(Réaliste!G49:G289,MATCH(0,COUNTIF($B$2:B44,Réaliste!G49:G289),0))</f>
        <v>Installations photovoltaïques 1</v>
      </c>
      <c r="C45" s="422" cm="1">
        <f t="array" ref="C45">IFERROR(SUM((Réaliste!$G$4:$G$262='List of materials_Re'!B45)*Réaliste!$J$4:$J$262),0)</f>
        <v>19.180000000000003</v>
      </c>
    </row>
    <row r="46" spans="1:3">
      <c r="A46" s="615" cm="1">
        <f t="array" aca="1" ref="A46" ca="1">IFERROR(SUM((Réaliste!$G$4:$G$262='List of materials_Re'!B46)*Réaliste!$M$4:$M$262),0)</f>
        <v>9.2186157202353396</v>
      </c>
      <c r="B46" s="624" t="str" cm="1">
        <f t="array" ref="B46">INDEX(Réaliste!G50:G290,MATCH(0,COUNTIF($B$2:B45,Réaliste!G50:G290),0))</f>
        <v>Pompe à chaleur saumure-eau 7 kW</v>
      </c>
      <c r="C46" s="422" cm="1">
        <f t="array" ref="C46">IFERROR(SUM((Réaliste!$G$4:$G$262='List of materials_Re'!B46)*Réaliste!$J$4:$J$262),0)</f>
        <v>1</v>
      </c>
    </row>
    <row r="47" spans="1:3">
      <c r="A47" s="615" cm="1">
        <f t="array" aca="1" ref="A47" ca="1">IFERROR(SUM((Réaliste!$G$4:$G$262='List of materials_Re'!B47)*Réaliste!$M$4:$M$262),0)</f>
        <v>8.5920000000000005</v>
      </c>
      <c r="B47" s="624" t="str" cm="1">
        <f t="array" ref="B47">INDEX(Réaliste!G51:G291,MATCH(0,COUNTIF($B$2:B46,Réaliste!G51:G291),0))</f>
        <v>Distribution de chaleur, bâtiment d'habitation</v>
      </c>
      <c r="C47" s="422" cm="1">
        <f t="array" ref="C47">IFERROR(SUM((Réaliste!$G$4:$G$262='List of materials_Re'!B47)*Réaliste!$J$4:$J$262),0)</f>
        <v>907.62</v>
      </c>
    </row>
    <row r="48" spans="1:3">
      <c r="A48" s="615" cm="1">
        <f t="array" aca="1" ref="A48" ca="1">IFERROR(SUM((Réaliste!$G$4:$G$262='List of materials_Re'!B48)*Réaliste!$M$4:$M$262),0)</f>
        <v>11.931999999999999</v>
      </c>
      <c r="B48" s="624" t="str" cm="1">
        <f t="array" ref="B48">INDEX(Réaliste!G52:G292,MATCH(0,COUNTIF($B$2:B47,Réaliste!G52:G292),0))</f>
        <v>Diffusion de chaleur par le biais du chauffage au sol</v>
      </c>
      <c r="C48" s="422" cm="1">
        <f t="array" ref="C48">IFERROR(SUM((Réaliste!$G$4:$G$262='List of materials_Re'!B48)*Réaliste!$J$4:$J$262),0)</f>
        <v>907.62</v>
      </c>
    </row>
    <row r="49" spans="1:3">
      <c r="A49" s="615" cm="1">
        <f t="array" aca="1" ref="A49" ca="1">IFERROR(SUM((Réaliste!$G$4:$G$262='List of materials_Re'!B49)*Réaliste!$M$4:$M$262),0)</f>
        <v>29.180934752429433</v>
      </c>
      <c r="B49" s="624" t="str" cm="1">
        <f t="array" ref="B49">INDEX(Réaliste!G53:G293,MATCH(0,COUNTIF($B$2:B48,Réaliste!G53:G293),0))</f>
        <v>Sondes géothermiques, pour la pompe à chaleur saumure-eau</v>
      </c>
      <c r="C49" s="422" cm="1">
        <f t="array" ref="C49">IFERROR(SUM((Réaliste!$G$4:$G$262='List of materials_Re'!B49)*Réaliste!$J$4:$J$262),0)</f>
        <v>560</v>
      </c>
    </row>
    <row r="50" spans="1:3">
      <c r="A50" s="615" cm="1">
        <f t="array" aca="1" ref="A50" ca="1">IFERROR(SUM((Réaliste!$G$4:$G$262='List of materials_Re'!B50)*Réaliste!$M$4:$M$262),0)</f>
        <v>0</v>
      </c>
      <c r="B50" s="624" t="str" cm="1">
        <f t="array" ref="B50">INDEX(Réaliste!G54:G294,MATCH(0,COUNTIF($B$2:B49,Réaliste!G54:G294),0))</f>
        <v>Collecteurs solaires plan, eau chaude immeuble locatif</v>
      </c>
      <c r="C50" s="422" cm="1">
        <f t="array" ref="C50">IFERROR(SUM((Réaliste!$G$4:$G$262='List of materials_Re'!B50)*Réaliste!$J$4:$J$262),0)</f>
        <v>0</v>
      </c>
    </row>
    <row r="51" spans="1:3">
      <c r="A51" s="615" cm="1">
        <f t="array" aca="1" ref="A51" ca="1">IFERROR(SUM((Réaliste!$G$4:$G$262='List of materials_Re'!B51)*Réaliste!$M$4:$M$262),0)</f>
        <v>9.4019999999999992</v>
      </c>
      <c r="B51" s="624" t="str" cm="1">
        <f t="array" ref="B51">INDEX(Réaliste!G55:G295,MATCH(0,COUNTIF($B$2:B50,Réaliste!G55:G295),0))</f>
        <v>Évacuation d'air cuisine et salle de bain</v>
      </c>
      <c r="C51" s="422" cm="1">
        <f t="array" ref="C51">IFERROR(SUM((Réaliste!$G$4:$G$262='List of materials_Re'!B51)*Réaliste!$J$4:$J$262),0)</f>
        <v>907.62</v>
      </c>
    </row>
    <row r="52" spans="1:3">
      <c r="A52" s="615" cm="1">
        <f t="array" aca="1" ref="A52" ca="1">IFERROR(SUM((Réaliste!$G$4:$G$262='List of materials_Re'!B52)*Réaliste!$M$4:$M$262),0)</f>
        <v>36.476000000000006</v>
      </c>
      <c r="B52" s="624" t="str" cm="1">
        <f t="array" ref="B52">INDEX(Réaliste!G56:G296,MATCH(0,COUNTIF($B$2:B51,Réaliste!G56:G296),0))</f>
        <v xml:space="preserve">Ventilation habitation, canaux en tôle, évacuation d'air (cuisine) </v>
      </c>
      <c r="C52" s="422" cm="1">
        <f t="array" ref="C52">IFERROR(SUM((Réaliste!$G$4:$G$262='List of materials_Re'!B52)*Réaliste!$J$4:$J$262),0)</f>
        <v>907.62</v>
      </c>
    </row>
    <row r="53" spans="1:3">
      <c r="A53" s="615" cm="1">
        <f t="array" aca="1" ref="A53" ca="1">IFERROR(SUM((Réaliste!$G$4:$G$262='List of materials_Re'!B53)*Réaliste!$M$4:$M$262),0)</f>
        <v>31.68</v>
      </c>
      <c r="B53" s="624" t="str" cm="1">
        <f t="array" ref="B53">INDEX(Réaliste!G57:G297,MATCH(0,COUNTIF($B$2:B52,Réaliste!G57:G297),0))</f>
        <v>Habitation, appareils et conduites compris</v>
      </c>
      <c r="C53" s="422" cm="1">
        <f t="array" ref="C53">IFERROR(SUM((Réaliste!$G$4:$G$262='List of materials_Re'!B53)*Réaliste!$J$4:$J$262),0)</f>
        <v>907.62</v>
      </c>
    </row>
    <row r="54" spans="1:3">
      <c r="A54" s="615" cm="1">
        <f t="array" ref="A54">IFERROR(SUM((Réaliste!$G$4:$G$262='List of materials_Re'!B54)*Réaliste!$M$4:$M$262),0)</f>
        <v>0</v>
      </c>
      <c r="B54" s="624" t="e" cm="1">
        <f t="array" ref="B54">INDEX(Réaliste!G58:G298,MATCH(0,COUNTIF($B$2:B53,Réaliste!G58:G298),0))</f>
        <v>#N/A</v>
      </c>
      <c r="C54" s="422"/>
    </row>
    <row r="55" spans="1:3">
      <c r="A55" s="615"/>
      <c r="B55" s="1011"/>
      <c r="C55" s="422"/>
    </row>
    <row r="56" spans="1:3">
      <c r="A56" s="615"/>
      <c r="B56" s="1011"/>
      <c r="C56" s="422"/>
    </row>
    <row r="57" spans="1:3">
      <c r="A57" s="615" cm="1">
        <f t="array" aca="1" ref="A57" ca="1">IFERROR(SUM((Réaliste!$AM$4:$AM$262='List of materials_Re'!B57)*Réaliste!$M$4:$M$262),0)</f>
        <v>394.0504911829313</v>
      </c>
      <c r="B57" t="str" cm="1">
        <f t="array" ref="B57">INDEX(Réaliste!AM6:AM262,MATCH(0,COUNTIF($B$55:B56,Réaliste!AM6:AM262),0))</f>
        <v>Structure</v>
      </c>
    </row>
    <row r="58" spans="1:3">
      <c r="A58" s="615"/>
      <c r="B58" cm="1">
        <f t="array" ref="B58">INDEX(Réaliste!AM7:AM263,MATCH(0,COUNTIF($B$55:B57,Réaliste!AM7:AM263),0))</f>
        <v>0</v>
      </c>
    </row>
    <row r="59" spans="1:3">
      <c r="A59" s="615" cm="1">
        <f t="array" aca="1" ref="A59" ca="1">IFERROR(SUM((Réaliste!$AM$4:$AM$262='List of materials_Re'!B59)*Réaliste!$M$4:$M$262),0)</f>
        <v>296.87724735036562</v>
      </c>
      <c r="B59" t="str" cm="1">
        <f t="array" ref="B59">INDEX(Réaliste!AM8:AM264,MATCH(0,COUNTIF($B$55:B58,Réaliste!AM8:AM264),0))</f>
        <v>Revêtement</v>
      </c>
    </row>
    <row r="60" spans="1:3">
      <c r="A60" s="615" cm="1">
        <f t="array" aca="1" ref="A60" ca="1">IFERROR(SUM((Réaliste!$AM$4:$AM$262='List of materials_Re'!B60)*Réaliste!$M$4:$M$262),0)</f>
        <v>142.50406113979963</v>
      </c>
      <c r="B60" t="str" cm="1">
        <f t="array" ref="B60">INDEX(Réaliste!AM9:AM265,MATCH(0,COUNTIF($B$55:B59,Réaliste!AM9:AM265),0))</f>
        <v>Insulation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4C72-6D04-4097-83C0-E49996C7ABD5}">
  <sheetPr>
    <pageSetUpPr autoPageBreaks="0" fitToPage="1"/>
  </sheetPr>
  <dimension ref="A1:BP1053"/>
  <sheetViews>
    <sheetView tabSelected="1" zoomScale="70" zoomScaleNormal="70" zoomScalePageLayoutView="55" workbookViewId="0">
      <pane xSplit="12" ySplit="3" topLeftCell="AA240" activePane="bottomRight" state="frozen"/>
      <selection pane="topRight" activeCell="M1" sqref="M1"/>
      <selection pane="bottomLeft" activeCell="A4" sqref="A4"/>
      <selection pane="bottomRight" activeCell="AE253" sqref="AE253"/>
    </sheetView>
  </sheetViews>
  <sheetFormatPr baseColWidth="10" defaultColWidth="11.25" defaultRowHeight="15.75"/>
  <cols>
    <col min="1" max="1" width="5.75" style="638" customWidth="1"/>
    <col min="2" max="2" width="10.5" style="638" customWidth="1"/>
    <col min="3" max="3" width="8.375" style="638" customWidth="1"/>
    <col min="4" max="4" width="34" style="638" bestFit="1" customWidth="1"/>
    <col min="5" max="5" width="41.375" style="638" hidden="1" customWidth="1"/>
    <col min="6" max="6" width="41.25" style="638" customWidth="1"/>
    <col min="7" max="7" width="43.25" style="638" customWidth="1"/>
    <col min="8" max="8" width="9.75" style="638" customWidth="1"/>
    <col min="9" max="9" width="6.75" style="638" customWidth="1"/>
    <col min="10" max="10" width="11.25" style="638" customWidth="1"/>
    <col min="11" max="11" width="11.25" style="638"/>
    <col min="12" max="12" width="11.125" style="638" bestFit="1" customWidth="1"/>
    <col min="13" max="13" width="11.25" style="638"/>
    <col min="14" max="16" width="11.25" style="638" customWidth="1"/>
    <col min="17" max="18" width="11.375" style="638" customWidth="1"/>
    <col min="19" max="19" width="16" style="638" customWidth="1"/>
    <col min="20" max="20" width="13.125" style="638" customWidth="1"/>
    <col min="21" max="26" width="11.25" style="638" customWidth="1"/>
    <col min="27" max="27" width="34.25" style="647" customWidth="1"/>
    <col min="31" max="32" width="12.5" bestFit="1" customWidth="1"/>
    <col min="33" max="34" width="12.5" customWidth="1"/>
    <col min="35" max="35" width="12.125" style="1091" bestFit="1" customWidth="1"/>
    <col min="36" max="67" width="11.25" style="638" customWidth="1"/>
    <col min="68" max="16384" width="11.25" style="638"/>
  </cols>
  <sheetData>
    <row r="1" spans="1:67" ht="58.5" customHeight="1" thickBot="1">
      <c r="F1" t="s">
        <v>77</v>
      </c>
      <c r="G1" s="841">
        <v>964.84</v>
      </c>
      <c r="I1" s="874" t="s">
        <v>78</v>
      </c>
      <c r="Z1" s="646" t="s">
        <v>92</v>
      </c>
      <c r="AA1" s="647" t="s">
        <v>3469</v>
      </c>
      <c r="AB1" s="1089" t="s">
        <v>3470</v>
      </c>
      <c r="AC1" s="1089" t="s">
        <v>3478</v>
      </c>
      <c r="AD1" s="1089" t="s">
        <v>3471</v>
      </c>
      <c r="AE1" s="1089" t="s">
        <v>3472</v>
      </c>
      <c r="AF1" s="1089" t="s">
        <v>3484</v>
      </c>
      <c r="AG1" s="1089" t="s">
        <v>3473</v>
      </c>
      <c r="AH1" s="1089" t="s">
        <v>3485</v>
      </c>
      <c r="AI1" s="1089" t="s">
        <v>3474</v>
      </c>
    </row>
    <row r="2" spans="1:67">
      <c r="A2" s="656" t="s">
        <v>79</v>
      </c>
      <c r="J2" s="638" t="s">
        <v>80</v>
      </c>
      <c r="L2" s="638">
        <v>60</v>
      </c>
      <c r="P2" s="638" t="s">
        <v>81</v>
      </c>
      <c r="Z2" s="647"/>
      <c r="AB2" s="647"/>
      <c r="AC2" s="647"/>
      <c r="AD2" s="647"/>
      <c r="AE2" s="647" t="s">
        <v>3475</v>
      </c>
      <c r="AF2" s="647" t="s">
        <v>3475</v>
      </c>
      <c r="AG2" s="647" t="s">
        <v>3475</v>
      </c>
      <c r="AH2" s="647" t="s">
        <v>3475</v>
      </c>
      <c r="AI2" s="647" t="s">
        <v>3475</v>
      </c>
      <c r="AN2" s="1046" t="s">
        <v>3407</v>
      </c>
      <c r="AO2" s="1047"/>
      <c r="AP2" s="1047"/>
      <c r="AQ2" s="1047"/>
      <c r="AR2" s="1048"/>
      <c r="AS2" s="1046" t="s">
        <v>3388</v>
      </c>
      <c r="AT2" s="1047"/>
      <c r="AU2" s="1047"/>
      <c r="AV2" s="1047"/>
      <c r="AW2" s="1048"/>
      <c r="AX2" s="1046" t="s">
        <v>3417</v>
      </c>
      <c r="AY2" s="1047"/>
      <c r="AZ2" s="1047"/>
      <c r="BA2" s="1047"/>
      <c r="BB2" s="1048"/>
      <c r="BC2" s="1046" t="s">
        <v>145</v>
      </c>
      <c r="BD2" s="1047"/>
      <c r="BE2" s="1047"/>
      <c r="BF2" s="1048"/>
      <c r="BG2" s="1046" t="s">
        <v>3407</v>
      </c>
      <c r="BH2" s="1047" t="s">
        <v>3388</v>
      </c>
      <c r="BI2" s="1048" t="s">
        <v>3417</v>
      </c>
      <c r="BJ2" s="638" t="s">
        <v>3423</v>
      </c>
      <c r="BK2" s="1046" t="s">
        <v>3407</v>
      </c>
      <c r="BL2" s="1047" t="s">
        <v>3388</v>
      </c>
      <c r="BM2" s="1048" t="s">
        <v>3417</v>
      </c>
    </row>
    <row r="3" spans="1:67" ht="78.75">
      <c r="B3" s="644" t="s">
        <v>82</v>
      </c>
      <c r="C3" s="644" t="s">
        <v>83</v>
      </c>
      <c r="D3" s="639" t="s">
        <v>84</v>
      </c>
      <c r="E3" s="639" t="s">
        <v>85</v>
      </c>
      <c r="F3" s="644" t="s">
        <v>86</v>
      </c>
      <c r="G3" s="639" t="s">
        <v>87</v>
      </c>
      <c r="H3" s="639" t="s">
        <v>88</v>
      </c>
      <c r="I3" s="640" t="s">
        <v>89</v>
      </c>
      <c r="J3" s="644" t="s">
        <v>90</v>
      </c>
      <c r="K3" s="646" t="s">
        <v>91</v>
      </c>
      <c r="L3" s="646" t="s">
        <v>92</v>
      </c>
      <c r="M3" s="646" t="s">
        <v>93</v>
      </c>
      <c r="N3" s="751" t="s">
        <v>2945</v>
      </c>
      <c r="O3" s="751" t="s">
        <v>3481</v>
      </c>
      <c r="P3" s="751" t="s">
        <v>2946</v>
      </c>
      <c r="Q3" s="751" t="s">
        <v>2947</v>
      </c>
      <c r="R3" s="751" t="s">
        <v>3483</v>
      </c>
      <c r="S3" s="751" t="s">
        <v>2948</v>
      </c>
      <c r="T3" s="751" t="s">
        <v>94</v>
      </c>
      <c r="U3" s="638" t="s">
        <v>3334</v>
      </c>
      <c r="V3" s="638" t="s">
        <v>3341</v>
      </c>
      <c r="W3" s="638" t="s">
        <v>3342</v>
      </c>
      <c r="AA3" s="1025"/>
      <c r="AB3" s="1090"/>
      <c r="AC3" s="1090"/>
      <c r="AD3" s="1090"/>
      <c r="AE3" s="1090"/>
      <c r="AF3" s="1090"/>
      <c r="AG3" s="1090"/>
      <c r="AH3" s="1090"/>
      <c r="AI3" s="1090"/>
      <c r="AJ3" s="751" t="s">
        <v>3334</v>
      </c>
      <c r="AK3" s="751" t="s">
        <v>3341</v>
      </c>
      <c r="AL3" s="751" t="s">
        <v>3342</v>
      </c>
      <c r="AM3" s="1079" t="s">
        <v>3425</v>
      </c>
      <c r="AN3" s="1065" t="s">
        <v>2945</v>
      </c>
      <c r="AO3" s="751" t="s">
        <v>2946</v>
      </c>
      <c r="AP3" s="751" t="s">
        <v>2947</v>
      </c>
      <c r="AQ3" s="751" t="s">
        <v>2948</v>
      </c>
      <c r="AR3" s="1066" t="s">
        <v>94</v>
      </c>
      <c r="AS3" s="1065" t="s">
        <v>2945</v>
      </c>
      <c r="AT3" s="751" t="s">
        <v>2946</v>
      </c>
      <c r="AU3" s="751" t="s">
        <v>2947</v>
      </c>
      <c r="AV3" s="751" t="s">
        <v>2948</v>
      </c>
      <c r="AW3" s="1066" t="s">
        <v>94</v>
      </c>
      <c r="AX3" s="1065" t="s">
        <v>2945</v>
      </c>
      <c r="AY3" s="751" t="s">
        <v>2946</v>
      </c>
      <c r="AZ3" s="751" t="s">
        <v>2947</v>
      </c>
      <c r="BA3" s="751" t="s">
        <v>2948</v>
      </c>
      <c r="BB3" s="1066" t="s">
        <v>94</v>
      </c>
      <c r="BC3" s="1065" t="s">
        <v>2945</v>
      </c>
      <c r="BD3" s="751" t="s">
        <v>2946</v>
      </c>
      <c r="BE3" s="751" t="s">
        <v>2947</v>
      </c>
      <c r="BF3" s="1066" t="s">
        <v>2948</v>
      </c>
      <c r="BG3" s="1065"/>
      <c r="BH3" s="751"/>
      <c r="BI3" s="1066"/>
      <c r="BJ3" s="1076" t="s">
        <v>3424</v>
      </c>
      <c r="BK3" s="1065" t="s">
        <v>98</v>
      </c>
      <c r="BL3" s="751"/>
      <c r="BM3" s="1066"/>
      <c r="BN3" s="638">
        <v>2050</v>
      </c>
      <c r="BO3" s="638">
        <v>2020</v>
      </c>
    </row>
    <row r="4" spans="1:67" ht="15.6" customHeight="1">
      <c r="B4" s="1107" t="s">
        <v>95</v>
      </c>
      <c r="C4" s="1097" t="s">
        <v>17</v>
      </c>
      <c r="D4" s="473" t="s">
        <v>96</v>
      </c>
      <c r="E4" s="473"/>
      <c r="F4" s="473"/>
      <c r="G4" s="473"/>
      <c r="H4" s="473"/>
      <c r="I4" s="462"/>
      <c r="J4" s="468"/>
      <c r="K4" s="652"/>
      <c r="L4" s="652"/>
      <c r="M4" s="653">
        <f>SUM(N4:Q4)</f>
        <v>1.759917084697981</v>
      </c>
      <c r="N4" s="653">
        <f>N5+N7+N9</f>
        <v>1.0999481779362381</v>
      </c>
      <c r="O4" s="653">
        <f>O5+O7+O9</f>
        <v>0.65996890676174291</v>
      </c>
      <c r="P4" s="653">
        <f t="shared" ref="P4:Q4" si="0">P5+P7+P9</f>
        <v>0</v>
      </c>
      <c r="Q4" s="653">
        <f t="shared" si="0"/>
        <v>0</v>
      </c>
      <c r="R4" s="653">
        <f t="shared" ref="R4" si="1">R5+R7+R9</f>
        <v>0</v>
      </c>
      <c r="S4" s="653"/>
      <c r="T4" s="666"/>
      <c r="V4" s="638">
        <f>IF(L4=60,0,T4)</f>
        <v>0</v>
      </c>
      <c r="W4" s="638">
        <f>IF(L4=60,0,S4)</f>
        <v>0</v>
      </c>
      <c r="AB4" s="1090"/>
      <c r="AC4" s="1090"/>
      <c r="AD4" s="1090"/>
      <c r="AE4" s="1090"/>
      <c r="AF4" s="1090"/>
      <c r="AG4" s="1090"/>
      <c r="AH4" s="1090"/>
      <c r="AI4" s="1090"/>
      <c r="AJ4" s="666"/>
      <c r="AK4" s="666"/>
      <c r="AL4" s="666"/>
      <c r="AM4" s="666"/>
      <c r="AN4" s="1051"/>
      <c r="AO4" s="666"/>
      <c r="AP4" s="666"/>
      <c r="AQ4" s="666"/>
      <c r="AR4" s="1052"/>
      <c r="AS4" s="1051"/>
      <c r="AT4" s="666"/>
      <c r="AU4" s="666"/>
      <c r="AV4" s="666"/>
      <c r="AW4" s="1052"/>
      <c r="AX4" s="1051"/>
      <c r="AY4" s="666"/>
      <c r="AZ4" s="666"/>
      <c r="BA4" s="666"/>
      <c r="BB4" s="1052"/>
      <c r="BC4" s="1051"/>
      <c r="BD4" s="666"/>
      <c r="BE4" s="666"/>
      <c r="BF4" s="1052"/>
      <c r="BG4" s="1051"/>
      <c r="BH4" s="666"/>
      <c r="BI4" s="1052"/>
      <c r="BJ4" s="666"/>
      <c r="BK4" s="1051"/>
      <c r="BL4" s="666"/>
      <c r="BM4" s="1052"/>
    </row>
    <row r="5" spans="1:67">
      <c r="B5" s="1108"/>
      <c r="C5" s="1099"/>
      <c r="D5" s="478" t="s">
        <v>97</v>
      </c>
      <c r="E5" s="479"/>
      <c r="F5" s="479"/>
      <c r="G5" s="479"/>
      <c r="H5" s="479"/>
      <c r="I5" s="459" t="s">
        <v>98</v>
      </c>
      <c r="J5" s="662"/>
      <c r="K5" s="663"/>
      <c r="L5" s="663"/>
      <c r="M5" s="664">
        <f>SUM(M6)</f>
        <v>1.759917084697981</v>
      </c>
      <c r="N5" s="664">
        <f t="shared" ref="N5:S5" si="2">SUM(N6)</f>
        <v>1.0999481779362381</v>
      </c>
      <c r="O5" s="664">
        <f t="shared" si="2"/>
        <v>0.65996890676174291</v>
      </c>
      <c r="P5" s="664">
        <f t="shared" si="2"/>
        <v>0</v>
      </c>
      <c r="Q5" s="664">
        <f t="shared" si="2"/>
        <v>0</v>
      </c>
      <c r="R5" s="664">
        <f t="shared" si="2"/>
        <v>0</v>
      </c>
      <c r="S5" s="664">
        <f t="shared" si="2"/>
        <v>0</v>
      </c>
      <c r="T5" s="878"/>
      <c r="V5" s="638">
        <f t="shared" ref="V5:V70" si="3">IF(L5=60,0,T5)</f>
        <v>0</v>
      </c>
      <c r="W5" s="638">
        <f t="shared" ref="W5:W70" si="4">IF(L5=60,0,S5)</f>
        <v>0</v>
      </c>
      <c r="AE5" s="1090"/>
      <c r="AF5" s="1090"/>
      <c r="AG5" s="1090"/>
      <c r="AH5" s="1090"/>
      <c r="AJ5" s="878"/>
      <c r="AK5" s="878"/>
      <c r="AL5" s="878"/>
      <c r="AM5" s="878"/>
      <c r="AN5" s="1053"/>
      <c r="AO5" s="878"/>
      <c r="AP5" s="878"/>
      <c r="AQ5" s="878"/>
      <c r="AR5" s="1054"/>
      <c r="AS5" s="1053"/>
      <c r="AT5" s="878"/>
      <c r="AU5" s="878"/>
      <c r="AV5" s="878"/>
      <c r="AW5" s="1054"/>
      <c r="AX5" s="1053"/>
      <c r="AY5" s="878"/>
      <c r="AZ5" s="878"/>
      <c r="BA5" s="878"/>
      <c r="BB5" s="1054"/>
      <c r="BC5" s="1053"/>
      <c r="BD5" s="878"/>
      <c r="BE5" s="878"/>
      <c r="BF5" s="1054"/>
      <c r="BG5" s="1053"/>
      <c r="BH5" s="878"/>
      <c r="BI5" s="1054"/>
      <c r="BJ5" s="878"/>
      <c r="BK5" s="1053"/>
      <c r="BL5" s="878"/>
      <c r="BM5" s="1054"/>
    </row>
    <row r="6" spans="1:67">
      <c r="B6" s="1108"/>
      <c r="C6" s="1099"/>
      <c r="D6" s="478"/>
      <c r="E6" s="478"/>
      <c r="F6" s="728" t="s">
        <v>344</v>
      </c>
      <c r="G6" s="860" t="str">
        <f>'Travaux préparatoires'!C3</f>
        <v>Excavations mécaniques, en moyenne</v>
      </c>
      <c r="H6" s="728" t="str">
        <f>'Travaux préparatoires'!D3</f>
        <v>62.001</v>
      </c>
      <c r="I6" s="888"/>
      <c r="J6" s="889">
        <v>2423</v>
      </c>
      <c r="K6" s="647"/>
      <c r="L6" s="647">
        <v>60</v>
      </c>
      <c r="M6" s="648">
        <f>SUM(N6:Q6)</f>
        <v>1.759917084697981</v>
      </c>
      <c r="N6" s="720">
        <f>IFERROR(($J6*VLOOKUP($H6, 'Transporte Transports'!$A$11:$Z$83, 21,FALSE)),0)/$G$1</f>
        <v>1.0999481779362381</v>
      </c>
      <c r="O6" s="720">
        <f>N6-(40%*N6)</f>
        <v>0.65996890676174291</v>
      </c>
      <c r="P6" s="720">
        <f>(N6+Q6)*($L$2/L6-1)</f>
        <v>0</v>
      </c>
      <c r="Q6" s="720">
        <f>IFERROR(($J6*VLOOKUP($H6, 'Baumaterialien Matériaux'!$A$11:$AH$318, 27,FALSE)),0)/$G$1</f>
        <v>0</v>
      </c>
      <c r="R6" s="720">
        <f>Q6-(40%*Q6)</f>
        <v>0</v>
      </c>
      <c r="S6" s="720"/>
      <c r="T6" s="720"/>
      <c r="V6" s="638">
        <f t="shared" si="3"/>
        <v>0</v>
      </c>
      <c r="W6" s="638">
        <f t="shared" si="4"/>
        <v>0</v>
      </c>
      <c r="X6" s="638" t="str">
        <f>IF(L6=$L$2, "Structure", IF(L6&gt;0,"Revêtement",0))</f>
        <v>Structure</v>
      </c>
      <c r="Z6" s="638">
        <f>L6</f>
        <v>60</v>
      </c>
      <c r="AA6" s="1083" t="s">
        <v>3437</v>
      </c>
      <c r="AB6" t="s">
        <v>3476</v>
      </c>
      <c r="AC6">
        <v>2000</v>
      </c>
      <c r="AD6" s="1112" cm="1">
        <f t="array" ref="AD6">IFERROR(_xlfn.SWITCH(I6,"kg",1,"m3",AC6,AC6)*J6/(_xlfn.XLOOKUP(AA6,Métrés!A:A,Métrés!E:E,0)),0)</f>
        <v>2000</v>
      </c>
      <c r="AE6" s="1092">
        <f>IFERROR(N6*$G$1/(_xlfn.XLOOKUP($AA6,Métrés!$A:$A,Métrés!$E:$E,0)),0)</f>
        <v>0.43800000000000006</v>
      </c>
      <c r="AF6" s="1092">
        <f>IFERROR(O6*$G$1/(_xlfn.XLOOKUP($AA6,Métrés!$A:$A,Métrés!$E:$E,0)),0)</f>
        <v>0.26280000000000003</v>
      </c>
      <c r="AG6" s="1092">
        <f>IFERROR(Q6*$G$1/(_xlfn.XLOOKUP($AA6,Métrés!$A:$A,Métrés!$E:$E,0)),0)</f>
        <v>0</v>
      </c>
      <c r="AH6" s="1092">
        <f>IFERROR(R6*$G$1/(_xlfn.XLOOKUP($AA6,Métrés!$A:$A,Métrés!$E:$E,0)),0)</f>
        <v>0</v>
      </c>
      <c r="AI6" s="1092">
        <f>IFERROR(S6*$G$1/(_xlfn.XLOOKUP($AA6,Métrés!$A:$A,Métrés!$E:$E,0)),0)</f>
        <v>0</v>
      </c>
      <c r="AJ6" s="1022"/>
      <c r="AK6" s="638">
        <f>IF(L6=60,0,T6)</f>
        <v>0</v>
      </c>
      <c r="AL6" s="638">
        <f>IF(L6=60,0,S6)</f>
        <v>0</v>
      </c>
      <c r="AM6" s="638" t="str">
        <f>IF(L6=$L$2, "Structure", IF(L6&gt;0,"Revêtement",0))</f>
        <v>Structure</v>
      </c>
      <c r="AN6" s="1017">
        <f>IF(AM6="Structure",N6,0)</f>
        <v>1.0999481779362381</v>
      </c>
      <c r="AO6" s="638">
        <f>IF(AM6="Structure",P6,0)</f>
        <v>0</v>
      </c>
      <c r="AP6" s="638">
        <f>IF(AM6="Structure",Q6,0)</f>
        <v>0</v>
      </c>
      <c r="AQ6" s="1018">
        <f>IF(AM6="Structure",S6,0)</f>
        <v>0</v>
      </c>
      <c r="AR6" s="1018">
        <f>IF(AM6="Structure",T6,0)</f>
        <v>0</v>
      </c>
      <c r="AS6" s="1017">
        <f>IF(AM6="Insulation",N6,0)</f>
        <v>0</v>
      </c>
      <c r="AT6" s="638">
        <f>IF(AM6="Insulation",P6,0)</f>
        <v>0</v>
      </c>
      <c r="AU6" s="638">
        <f>IF(AM6="Insulation",Q6,0)</f>
        <v>0</v>
      </c>
      <c r="AV6" s="1018">
        <f>IF(AM6="Insulation",S6,0)</f>
        <v>0</v>
      </c>
      <c r="AW6" s="1018">
        <f>IF(AM6="Insulation",T6,0)</f>
        <v>0</v>
      </c>
      <c r="AX6" s="1017">
        <f>IF(AM6="Revêtement",N6,0)</f>
        <v>0</v>
      </c>
      <c r="AY6" s="638">
        <f>IF(AM6="Revêtement",P6,0)</f>
        <v>0</v>
      </c>
      <c r="AZ6" s="638">
        <f>IF(AM6="Revêtement",Q6,0)</f>
        <v>0</v>
      </c>
      <c r="BA6" s="638">
        <f>IF(AM6="Revêtement",S6,0)</f>
        <v>0</v>
      </c>
      <c r="BB6" s="1018">
        <f>IF(AM6="Revêtement",T6,0)</f>
        <v>0</v>
      </c>
      <c r="BC6" s="1017"/>
      <c r="BF6" s="1018"/>
      <c r="BG6" s="1017">
        <f>IF($AM6="Structure", IF($I6="kg",$J6,0), 0)</f>
        <v>0</v>
      </c>
      <c r="BH6" s="638">
        <f>IF($AM6="Insulation", IF($I6="kg",$J6,0), 0)</f>
        <v>0</v>
      </c>
      <c r="BI6" s="1018">
        <f>IF($AM6="Revêtement", IF($I6="kg",$J6,0), 0)</f>
        <v>0</v>
      </c>
      <c r="BJ6" s="638" t="str">
        <f>_xlfn.XLOOKUP(H6, 'Baumaterialien Matériaux'!A:A, 'Baumaterialien Matériaux'!E:E, "-", 0, 1)</f>
        <v>-</v>
      </c>
      <c r="BK6" s="1032">
        <f t="shared" ref="BK6:BK68" si="5">IFERROR(BG6/$BJ6,0)</f>
        <v>0</v>
      </c>
      <c r="BL6" s="1030">
        <f t="shared" ref="BL6:BL68" si="6">IFERROR(BH6/$BJ6,0)</f>
        <v>0</v>
      </c>
      <c r="BM6" s="1033">
        <f t="shared" ref="BM6:BM68" si="7">IFERROR(BI6/$BJ6,0)</f>
        <v>0</v>
      </c>
      <c r="BN6" s="720">
        <f>IFERROR((J6*VLOOKUP(H6, 'Baumaterialien Matériaux'!$A$11:$AH$318, 32,FALSE))*($L$2/L6-1),0)/$G$1</f>
        <v>0</v>
      </c>
      <c r="BO6" s="720">
        <f>IFERROR((N6+Q6)*($L$2/L6-1),0)</f>
        <v>0</v>
      </c>
    </row>
    <row r="7" spans="1:67">
      <c r="B7" s="1108"/>
      <c r="C7" s="1099"/>
      <c r="D7" s="483" t="s">
        <v>99</v>
      </c>
      <c r="E7" s="479" t="str">
        <f>BillQuantities!E5</f>
        <v>Blindage de fouille, paroi berlinoise, étayé</v>
      </c>
      <c r="F7" s="479"/>
      <c r="G7" s="479"/>
      <c r="H7" s="479"/>
      <c r="I7" s="459" t="s">
        <v>39</v>
      </c>
      <c r="J7" s="662"/>
      <c r="K7" s="663"/>
      <c r="L7" s="663"/>
      <c r="M7" s="664">
        <f>SUM(M8)</f>
        <v>0</v>
      </c>
      <c r="N7" s="664">
        <f t="shared" ref="N7:S7" si="8">SUM(N8)</f>
        <v>0</v>
      </c>
      <c r="O7" s="664">
        <f t="shared" si="8"/>
        <v>0</v>
      </c>
      <c r="P7" s="664">
        <f t="shared" si="8"/>
        <v>0</v>
      </c>
      <c r="Q7" s="664">
        <f t="shared" si="8"/>
        <v>0</v>
      </c>
      <c r="R7" s="664">
        <f t="shared" si="8"/>
        <v>0</v>
      </c>
      <c r="S7" s="664">
        <f t="shared" si="8"/>
        <v>0</v>
      </c>
      <c r="T7" s="878"/>
      <c r="V7" s="638">
        <f t="shared" si="3"/>
        <v>0</v>
      </c>
      <c r="W7" s="638">
        <f t="shared" si="4"/>
        <v>0</v>
      </c>
      <c r="X7" s="638">
        <f t="shared" ref="X7:X101" si="9">IF(L7=$L$2, "Structure", IF(L7&gt;0,"Revêtement",0))</f>
        <v>0</v>
      </c>
      <c r="Z7" s="638">
        <f t="shared" ref="Z7:Z72" si="10">L7</f>
        <v>0</v>
      </c>
      <c r="AA7" s="664"/>
      <c r="AB7">
        <f>_xlfn.XLOOKUP($H7,'[1]Baumaterialien Matériaux'!$A:$A,'[1]Baumaterialien Matériaux'!AK:AK,0,0)</f>
        <v>0</v>
      </c>
      <c r="AD7" s="1112" cm="1">
        <f t="array" ref="AD7">IFERROR(_xlfn.SWITCH(I7,"kg",1,"m3",AC7,AC7)*J7/(_xlfn.XLOOKUP(AA7,Métrés!A:A,Métrés!E:E,0)),0)</f>
        <v>0</v>
      </c>
      <c r="AE7" s="1092">
        <f>IFERROR(N7*$G$1/(_xlfn.XLOOKUP($AA7,Métrés!$A:$A,Métrés!$E:$E,0)),0)</f>
        <v>0</v>
      </c>
      <c r="AF7" s="1092">
        <f>IFERROR(O7*$G$1/(_xlfn.XLOOKUP($AA7,Métrés!$A:$A,Métrés!$E:$E,0)),0)</f>
        <v>0</v>
      </c>
      <c r="AG7" s="1092">
        <f>IFERROR(Q7*$G$1/(_xlfn.XLOOKUP($AA7,Métrés!$A:$A,Métrés!$E:$E,0)),0)</f>
        <v>0</v>
      </c>
      <c r="AH7" s="1092">
        <f>IFERROR(R7*$G$1/(_xlfn.XLOOKUP($AA7,Métrés!$A:$A,Métrés!$E:$E,0)),0)</f>
        <v>0</v>
      </c>
      <c r="AI7" s="1092">
        <f>IFERROR(S7*$G$1/(_xlfn.XLOOKUP($AA7,Métrés!$A:$A,Métrés!$E:$E,0)),0)</f>
        <v>0</v>
      </c>
      <c r="AJ7" s="878"/>
      <c r="AK7" s="878"/>
      <c r="AL7" s="878"/>
      <c r="AM7" s="878"/>
      <c r="AN7" s="1053"/>
      <c r="AO7" s="878"/>
      <c r="AP7" s="878"/>
      <c r="AQ7" s="878"/>
      <c r="AR7" s="1054"/>
      <c r="AS7" s="1053"/>
      <c r="AT7" s="878"/>
      <c r="AU7" s="878"/>
      <c r="AV7" s="878"/>
      <c r="AW7" s="1054"/>
      <c r="AX7" s="1053"/>
      <c r="AY7" s="878"/>
      <c r="AZ7" s="878"/>
      <c r="BA7" s="878"/>
      <c r="BB7" s="1054"/>
      <c r="BC7" s="1053"/>
      <c r="BD7" s="878"/>
      <c r="BE7" s="878"/>
      <c r="BF7" s="1054"/>
      <c r="BG7" s="1053"/>
      <c r="BH7" s="878"/>
      <c r="BI7" s="1054"/>
      <c r="BJ7" s="878"/>
      <c r="BK7" s="1053"/>
      <c r="BL7" s="878"/>
      <c r="BM7" s="1054"/>
    </row>
    <row r="8" spans="1:67">
      <c r="B8" s="1108"/>
      <c r="C8" s="1099"/>
      <c r="D8" s="478"/>
      <c r="E8" s="478"/>
      <c r="F8" s="478"/>
      <c r="G8" s="478"/>
      <c r="H8" s="478"/>
      <c r="I8" s="641"/>
      <c r="J8" s="752"/>
      <c r="K8" s="647"/>
      <c r="L8" s="647">
        <v>60</v>
      </c>
      <c r="M8" s="648">
        <f>SUM(N8:Q8)</f>
        <v>0</v>
      </c>
      <c r="N8" s="720">
        <f>IFERROR(($J8*VLOOKUP($H8, 'Baumaterialien Matériaux'!$A$11:$AH$318, 26,FALSE)),0)/$G$1</f>
        <v>0</v>
      </c>
      <c r="O8" s="720">
        <f>N8-(40%*N8)</f>
        <v>0</v>
      </c>
      <c r="P8" s="720">
        <f>(N8+Q8)*($L$2/L8-1)</f>
        <v>0</v>
      </c>
      <c r="Q8" s="720">
        <f>IFERROR(($J8*VLOOKUP($H8, 'Baumaterialien Matériaux'!$A$11:$AH$318, 27,FALSE)),0)/$G$1</f>
        <v>0</v>
      </c>
      <c r="R8" s="720">
        <f>Q8-(40%*Q8)</f>
        <v>0</v>
      </c>
      <c r="S8" s="720"/>
      <c r="T8" s="720"/>
      <c r="V8" s="638">
        <f t="shared" si="3"/>
        <v>0</v>
      </c>
      <c r="W8" s="638">
        <f t="shared" si="4"/>
        <v>0</v>
      </c>
      <c r="X8" s="638" t="str">
        <f t="shared" si="9"/>
        <v>Structure</v>
      </c>
      <c r="Z8" s="638">
        <f t="shared" si="10"/>
        <v>60</v>
      </c>
      <c r="AA8" s="1083" t="s">
        <v>3437</v>
      </c>
      <c r="AB8">
        <f>_xlfn.XLOOKUP($H8,'[1]Baumaterialien Matériaux'!$A:$A,'[1]Baumaterialien Matériaux'!AK:AK,0,0)</f>
        <v>0</v>
      </c>
      <c r="AC8">
        <v>2000</v>
      </c>
      <c r="AD8" s="1112" cm="1">
        <f t="array" ref="AD8">IFERROR(_xlfn.SWITCH(I8,"kg",1,"m3",AC8,AC8)*J8/(_xlfn.XLOOKUP(AA8,Métrés!A:A,Métrés!E:E,0)),0)</f>
        <v>0</v>
      </c>
      <c r="AE8" s="1092">
        <f>IFERROR(N8*$G$1/(_xlfn.XLOOKUP($AA8,Métrés!$A:$A,Métrés!$E:$E,0)),0)</f>
        <v>0</v>
      </c>
      <c r="AF8" s="1092">
        <f>IFERROR(O8*$G$1/(_xlfn.XLOOKUP($AA8,Métrés!$A:$A,Métrés!$E:$E,0)),0)</f>
        <v>0</v>
      </c>
      <c r="AG8" s="1092">
        <f>IFERROR(Q8*$G$1/(_xlfn.XLOOKUP($AA8,Métrés!$A:$A,Métrés!$E:$E,0)),0)</f>
        <v>0</v>
      </c>
      <c r="AH8" s="1092">
        <f>IFERROR(R8*$G$1/(_xlfn.XLOOKUP($AA8,Métrés!$A:$A,Métrés!$E:$E,0)),0)</f>
        <v>0</v>
      </c>
      <c r="AI8" s="1092">
        <f>IFERROR(S8*$G$1/(_xlfn.XLOOKUP($AA8,Métrés!$A:$A,Métrés!$E:$E,0)),0)</f>
        <v>0</v>
      </c>
      <c r="AJ8" s="1022"/>
      <c r="AK8" s="638">
        <f>IF(L8=60,0,T8)</f>
        <v>0</v>
      </c>
      <c r="AL8" s="638">
        <f>IF(L8=60,0,S8)</f>
        <v>0</v>
      </c>
      <c r="AM8" s="638" t="str">
        <f>IF(L8=$L$2, "Structure", IF(L8&gt;0,"Revêtement",0))</f>
        <v>Structure</v>
      </c>
      <c r="AN8" s="1017">
        <f>IF(AM8="Structure",N8,0)</f>
        <v>0</v>
      </c>
      <c r="AO8" s="638">
        <f>IF(AM8="Structure",P8,0)</f>
        <v>0</v>
      </c>
      <c r="AP8" s="638">
        <f>IF(AM8="Structure",Q8,0)</f>
        <v>0</v>
      </c>
      <c r="AQ8" s="1018">
        <f>IF(AM8="Structure",S8,0)</f>
        <v>0</v>
      </c>
      <c r="AR8" s="1018">
        <f>IF(AM8="Structure",T8,0)</f>
        <v>0</v>
      </c>
      <c r="AS8" s="1017">
        <f>IF(AM8="Insulation",N8,0)</f>
        <v>0</v>
      </c>
      <c r="AT8" s="638">
        <f>IF(AM8="Insulation",P8,0)</f>
        <v>0</v>
      </c>
      <c r="AU8" s="638">
        <f>IF(AM8="Insulation",Q8,0)</f>
        <v>0</v>
      </c>
      <c r="AV8" s="1018">
        <f>IF(AM8="Insulation",S8,0)</f>
        <v>0</v>
      </c>
      <c r="AW8" s="1018">
        <f>IF(AM8="Insulation",T8,0)</f>
        <v>0</v>
      </c>
      <c r="AX8" s="1017">
        <f>IF(AM8="Revêtement",N8,0)</f>
        <v>0</v>
      </c>
      <c r="AY8" s="638">
        <f>IF(AM8="Revêtement",P8,0)</f>
        <v>0</v>
      </c>
      <c r="AZ8" s="638">
        <f>IF(AM8="Revêtement",Q8,0)</f>
        <v>0</v>
      </c>
      <c r="BA8" s="638">
        <f>IF(AM8="Revêtement",S8,0)</f>
        <v>0</v>
      </c>
      <c r="BB8" s="1018">
        <f>IF(AM8="Revêtement",T8,0)</f>
        <v>0</v>
      </c>
      <c r="BC8" s="1017"/>
      <c r="BF8" s="1018"/>
      <c r="BG8" s="1017">
        <f>IF($AM8="Structure", IF($I8="kg",$J8,0), 0)</f>
        <v>0</v>
      </c>
      <c r="BH8" s="638">
        <f>IF($AM8="Insulation", IF($I8="kg",$J8,0), 0)</f>
        <v>0</v>
      </c>
      <c r="BI8" s="1018">
        <f>IF($AM8="Revêtement", IF($I8="kg",$J8,0), 0)</f>
        <v>0</v>
      </c>
      <c r="BJ8" s="638">
        <f>_xlfn.XLOOKUP(H8, 'Baumaterialien Matériaux'!A:A, 'Baumaterialien Matériaux'!E:E, "-", 0, 1)</f>
        <v>0</v>
      </c>
      <c r="BK8" s="1032">
        <f t="shared" si="5"/>
        <v>0</v>
      </c>
      <c r="BL8" s="1030">
        <f t="shared" si="6"/>
        <v>0</v>
      </c>
      <c r="BM8" s="1033">
        <f t="shared" si="7"/>
        <v>0</v>
      </c>
      <c r="BN8" s="720">
        <f>IFERROR((J8*VLOOKUP(H8, 'Baumaterialien Matériaux'!$A$11:$AH$318, 32,FALSE))*($L$2/L8-1),0)/$G$1</f>
        <v>0</v>
      </c>
      <c r="BO8" s="720">
        <f>IFERROR((N8+Q8)*($L$2/L8-1),0)</f>
        <v>0</v>
      </c>
    </row>
    <row r="9" spans="1:67">
      <c r="B9" s="1108"/>
      <c r="C9" s="1099"/>
      <c r="D9" s="483" t="s">
        <v>100</v>
      </c>
      <c r="E9" s="479" t="str">
        <f>BillQuantities!E6</f>
        <v>Fondations profondes, pieu en béton préfabriqué</v>
      </c>
      <c r="F9" s="479"/>
      <c r="G9" s="479"/>
      <c r="H9" s="479"/>
      <c r="I9" s="459"/>
      <c r="J9" s="662"/>
      <c r="K9" s="663"/>
      <c r="L9" s="663"/>
      <c r="M9" s="664">
        <f>SUM(M10)</f>
        <v>0</v>
      </c>
      <c r="N9" s="664">
        <f t="shared" ref="N9:S9" si="11">SUM(N10)</f>
        <v>0</v>
      </c>
      <c r="O9" s="664">
        <f t="shared" si="11"/>
        <v>0</v>
      </c>
      <c r="P9" s="664">
        <f t="shared" si="11"/>
        <v>0</v>
      </c>
      <c r="Q9" s="664">
        <f t="shared" si="11"/>
        <v>0</v>
      </c>
      <c r="R9" s="664">
        <f t="shared" si="11"/>
        <v>0</v>
      </c>
      <c r="S9" s="664">
        <f t="shared" si="11"/>
        <v>0</v>
      </c>
      <c r="T9" s="878"/>
      <c r="V9" s="638">
        <f t="shared" si="3"/>
        <v>0</v>
      </c>
      <c r="W9" s="638">
        <f t="shared" si="4"/>
        <v>0</v>
      </c>
      <c r="X9" s="638">
        <f t="shared" si="9"/>
        <v>0</v>
      </c>
      <c r="Z9" s="638">
        <f t="shared" si="10"/>
        <v>0</v>
      </c>
      <c r="AA9" s="664"/>
      <c r="AB9">
        <f>_xlfn.XLOOKUP($H9,'[1]Baumaterialien Matériaux'!$A:$A,'[1]Baumaterialien Matériaux'!AK:AK,0,0)</f>
        <v>0</v>
      </c>
      <c r="AD9" s="1112" cm="1">
        <f t="array" ref="AD9">IFERROR(_xlfn.SWITCH(I9,"kg",1,"m3",AC9,AC9)*J9/(_xlfn.XLOOKUP(AA9,Métrés!A:A,Métrés!E:E,0)),0)</f>
        <v>0</v>
      </c>
      <c r="AE9" s="1092">
        <f>IFERROR(N9*$G$1/(_xlfn.XLOOKUP($AA9,Métrés!$A:$A,Métrés!$E:$E,0)),0)</f>
        <v>0</v>
      </c>
      <c r="AF9" s="1092">
        <f>IFERROR(O9*$G$1/(_xlfn.XLOOKUP($AA9,Métrés!$A:$A,Métrés!$E:$E,0)),0)</f>
        <v>0</v>
      </c>
      <c r="AG9" s="1092">
        <f>IFERROR(Q9*$G$1/(_xlfn.XLOOKUP($AA9,Métrés!$A:$A,Métrés!$E:$E,0)),0)</f>
        <v>0</v>
      </c>
      <c r="AH9" s="1092">
        <f>IFERROR(R9*$G$1/(_xlfn.XLOOKUP($AA9,Métrés!$A:$A,Métrés!$E:$E,0)),0)</f>
        <v>0</v>
      </c>
      <c r="AI9" s="1092">
        <f>IFERROR(S9*$G$1/(_xlfn.XLOOKUP($AA9,Métrés!$A:$A,Métrés!$E:$E,0)),0)</f>
        <v>0</v>
      </c>
      <c r="AJ9" s="878"/>
      <c r="AK9" s="878"/>
      <c r="AL9" s="878"/>
      <c r="AM9" s="878"/>
      <c r="AN9" s="1053"/>
      <c r="AO9" s="878"/>
      <c r="AP9" s="878"/>
      <c r="AQ9" s="878"/>
      <c r="AR9" s="1054"/>
      <c r="AS9" s="1053"/>
      <c r="AT9" s="878"/>
      <c r="AU9" s="878"/>
      <c r="AV9" s="878"/>
      <c r="AW9" s="1054"/>
      <c r="AX9" s="1053"/>
      <c r="AY9" s="878"/>
      <c r="AZ9" s="878"/>
      <c r="BA9" s="878"/>
      <c r="BB9" s="1054"/>
      <c r="BC9" s="1053"/>
      <c r="BD9" s="878"/>
      <c r="BE9" s="878"/>
      <c r="BF9" s="1054"/>
      <c r="BG9" s="1053"/>
      <c r="BH9" s="878"/>
      <c r="BI9" s="1054"/>
      <c r="BJ9" s="878"/>
      <c r="BK9" s="1053"/>
      <c r="BL9" s="878"/>
      <c r="BM9" s="1054"/>
    </row>
    <row r="10" spans="1:67">
      <c r="B10" s="1109"/>
      <c r="C10" s="1099"/>
      <c r="D10" s="478"/>
      <c r="E10" s="478"/>
      <c r="F10" s="478"/>
      <c r="G10" s="478" t="str">
        <f>E9</f>
        <v>Fondations profondes, pieu en béton préfabriqué</v>
      </c>
      <c r="H10" s="478" t="str">
        <f>VLOOKUP($G10, 'Travaux préparatoires'!$C$7:$O$20, 2,FALSE)</f>
        <v>00.020</v>
      </c>
      <c r="I10" s="641" t="str">
        <f>_xlfn.XLOOKUP(H10, 'Baumaterialien Matériaux'!A:A, 'Baumaterialien Matériaux'!F:F, "-", 0, 1)</f>
        <v>m</v>
      </c>
      <c r="J10" s="752"/>
      <c r="K10" s="647"/>
      <c r="L10" s="647">
        <v>60</v>
      </c>
      <c r="M10" s="648">
        <f>SUM(N10:Q10)</f>
        <v>0</v>
      </c>
      <c r="N10" s="720">
        <f>IFERROR(($J10*VLOOKUP($H10, 'Baumaterialien Matériaux'!$A$11:$AH$318, 26,FALSE)),0)/$G$1</f>
        <v>0</v>
      </c>
      <c r="O10" s="720">
        <f>N10-(40%*N10)</f>
        <v>0</v>
      </c>
      <c r="P10" s="720">
        <f>(N10+Q10)*($L$2/L10-1)</f>
        <v>0</v>
      </c>
      <c r="Q10" s="720">
        <f>IFERROR(($J10*VLOOKUP($H10, 'Baumaterialien Matériaux'!$A$11:$AH$318, 27,FALSE)),0)/$G$1</f>
        <v>0</v>
      </c>
      <c r="R10" s="720">
        <f>Q10-(40%*Q10)</f>
        <v>0</v>
      </c>
      <c r="S10" s="720"/>
      <c r="T10" s="720"/>
      <c r="V10" s="638">
        <f t="shared" si="3"/>
        <v>0</v>
      </c>
      <c r="W10" s="638">
        <f t="shared" si="4"/>
        <v>0</v>
      </c>
      <c r="X10" s="638" t="str">
        <f t="shared" si="9"/>
        <v>Structure</v>
      </c>
      <c r="Z10" s="638">
        <f t="shared" si="10"/>
        <v>60</v>
      </c>
      <c r="AA10" s="1083" t="s">
        <v>3441</v>
      </c>
      <c r="AB10" t="str">
        <f>_xlfn.XLOOKUP($H10,'[1]Baumaterialien Matériaux'!$A:$A,'[1]Baumaterialien Matériaux'!AK:AK,0,0)</f>
        <v>concrete</v>
      </c>
      <c r="AC10">
        <v>1</v>
      </c>
      <c r="AD10" s="1112" cm="1">
        <f t="array" ref="AD10">IFERROR(_xlfn.SWITCH(I10,"kg",1,"m3",AC10,AC10)*J10/(_xlfn.XLOOKUP(AA10,Métrés!A:A,Métrés!E:E,0)),0)</f>
        <v>0</v>
      </c>
      <c r="AE10" s="1092">
        <f>IFERROR(N10*$G$1/(_xlfn.XLOOKUP($AA10,Métrés!$A:$A,Métrés!$E:$E,0)),0)</f>
        <v>0</v>
      </c>
      <c r="AF10" s="1092">
        <f>IFERROR(O10*$G$1/(_xlfn.XLOOKUP($AA10,Métrés!$A:$A,Métrés!$E:$E,0)),0)</f>
        <v>0</v>
      </c>
      <c r="AG10" s="1092">
        <f>IFERROR(Q10*$G$1/(_xlfn.XLOOKUP($AA10,Métrés!$A:$A,Métrés!$E:$E,0)),0)</f>
        <v>0</v>
      </c>
      <c r="AH10" s="1092">
        <f>IFERROR(R10*$G$1/(_xlfn.XLOOKUP($AA10,Métrés!$A:$A,Métrés!$E:$E,0)),0)</f>
        <v>0</v>
      </c>
      <c r="AI10" s="1092">
        <f>IFERROR(S10*$G$1/(_xlfn.XLOOKUP($AA10,Métrés!$A:$A,Métrés!$E:$E,0)),0)</f>
        <v>0</v>
      </c>
      <c r="AJ10" s="1022"/>
      <c r="AK10" s="638">
        <f>IF(L10=60,0,T10)</f>
        <v>0</v>
      </c>
      <c r="AL10" s="638">
        <f>IF(L10=60,0,S10)</f>
        <v>0</v>
      </c>
      <c r="AM10" s="638" t="str">
        <f>IF(L10=$L$2, "Structure", IF(L10&gt;0,"Revêtement",0))</f>
        <v>Structure</v>
      </c>
      <c r="AN10" s="1017">
        <f>IF(AM10="Structure",N10,0)</f>
        <v>0</v>
      </c>
      <c r="AO10" s="638">
        <f>IF(AM10="Structure",P10,0)</f>
        <v>0</v>
      </c>
      <c r="AP10" s="638">
        <f>IF(AM10="Structure",Q10,0)</f>
        <v>0</v>
      </c>
      <c r="AQ10" s="1018">
        <f>IF(AM10="Structure",S10,0)</f>
        <v>0</v>
      </c>
      <c r="AR10" s="1018">
        <f>IF(AM10="Structure",T10,0)</f>
        <v>0</v>
      </c>
      <c r="AS10" s="1017">
        <f>IF(AM10="Insulation",N10,0)</f>
        <v>0</v>
      </c>
      <c r="AT10" s="638">
        <f>IF(AM10="Insulation",P10,0)</f>
        <v>0</v>
      </c>
      <c r="AU10" s="638">
        <f>IF(AM10="Insulation",Q10,0)</f>
        <v>0</v>
      </c>
      <c r="AV10" s="1018">
        <f>IF(AM10="Insulation",S10,0)</f>
        <v>0</v>
      </c>
      <c r="AW10" s="1018">
        <f>IF(AM10="Insulation",T10,0)</f>
        <v>0</v>
      </c>
      <c r="AX10" s="1017">
        <f>IF(AM10="Revêtement",N10,0)</f>
        <v>0</v>
      </c>
      <c r="AY10" s="638">
        <f>IF(AM10="Revêtement",P10,0)</f>
        <v>0</v>
      </c>
      <c r="AZ10" s="638">
        <f>IF(AM10="Revêtement",Q10,0)</f>
        <v>0</v>
      </c>
      <c r="BA10" s="638">
        <f>IF(AM10="Revêtement",S10,0)</f>
        <v>0</v>
      </c>
      <c r="BB10" s="1018">
        <f>IF(AM10="Revêtement",T10,0)</f>
        <v>0</v>
      </c>
      <c r="BC10" s="1017"/>
      <c r="BF10" s="1018"/>
      <c r="BG10" s="1017">
        <f>IF($AM10="Structure", IF($I10="kg",$J10,0), 0)</f>
        <v>0</v>
      </c>
      <c r="BH10" s="638">
        <f>IF($AM10="Insulation", IF($I10="kg",$J10,0), 0)</f>
        <v>0</v>
      </c>
      <c r="BI10" s="1018">
        <f>IF($AM10="Revêtement", IF($I10="kg",$J10,0), 0)</f>
        <v>0</v>
      </c>
      <c r="BJ10" s="638" t="str">
        <f>_xlfn.XLOOKUP(H10, 'Baumaterialien Matériaux'!A:A, 'Baumaterialien Matériaux'!E:E, "-", 0, 1)</f>
        <v>-</v>
      </c>
      <c r="BK10" s="1032">
        <f t="shared" si="5"/>
        <v>0</v>
      </c>
      <c r="BL10" s="1030">
        <f t="shared" si="6"/>
        <v>0</v>
      </c>
      <c r="BM10" s="1033">
        <f t="shared" si="7"/>
        <v>0</v>
      </c>
      <c r="BN10" s="720">
        <f>IFERROR((J10*VLOOKUP(H10, 'Baumaterialien Matériaux'!$A$11:$AH$318, 32,FALSE))*($L$2/L10-1),0)/$G$1</f>
        <v>0</v>
      </c>
      <c r="BO10" s="720">
        <f>IFERROR((N10+Q10)*($L$2/L10-1),0)</f>
        <v>0</v>
      </c>
    </row>
    <row r="11" spans="1:67" ht="15.6" customHeight="1">
      <c r="B11" s="1102" t="s">
        <v>101</v>
      </c>
      <c r="C11" s="1097" t="s">
        <v>102</v>
      </c>
      <c r="D11" s="658" t="s">
        <v>103</v>
      </c>
      <c r="E11" s="473"/>
      <c r="F11" s="473"/>
      <c r="G11" s="473"/>
      <c r="H11" s="473"/>
      <c r="I11" s="463"/>
      <c r="J11" s="654"/>
      <c r="K11" s="652"/>
      <c r="L11" s="652"/>
      <c r="M11" s="653">
        <f>M12+M18</f>
        <v>77.120372156005146</v>
      </c>
      <c r="N11" s="653">
        <f t="shared" ref="N11:S11" si="12">N12+N18</f>
        <v>68.741129925168948</v>
      </c>
      <c r="O11" s="653">
        <f t="shared" ref="O11" si="13">O12+O18</f>
        <v>14.577132106359601</v>
      </c>
      <c r="P11" s="653">
        <f t="shared" si="12"/>
        <v>0</v>
      </c>
      <c r="Q11" s="653">
        <f t="shared" si="12"/>
        <v>8.3792422308361996</v>
      </c>
      <c r="R11" s="653">
        <f t="shared" ref="R11" si="14">R12+R18</f>
        <v>1.6512929849508726</v>
      </c>
      <c r="S11" s="653">
        <f t="shared" si="12"/>
        <v>0</v>
      </c>
      <c r="T11" s="653">
        <f t="shared" ref="T11" si="15">T12+T18</f>
        <v>0</v>
      </c>
      <c r="V11" s="638">
        <f t="shared" si="3"/>
        <v>0</v>
      </c>
      <c r="X11" s="638">
        <f t="shared" si="9"/>
        <v>0</v>
      </c>
      <c r="Z11" s="638">
        <f t="shared" si="10"/>
        <v>0</v>
      </c>
      <c r="AA11" s="653"/>
      <c r="AB11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1112" cm="1">
        <f t="array" ref="AD11">IFERROR(_xlfn.SWITCH(I11,"kg",1,"m3",AC11,AC11)*J11/(_xlfn.XLOOKUP(AA11,Métrés!A:A,Métrés!E:E,0)),0)</f>
        <v>0</v>
      </c>
      <c r="AE11" s="1092">
        <f>IFERROR(N11*$G$1/(_xlfn.XLOOKUP($AA11,Métrés!$A:$A,Métrés!$E:$E,0)),0)</f>
        <v>0</v>
      </c>
      <c r="AF11" s="1092">
        <f>IFERROR(O11*$G$1/(_xlfn.XLOOKUP($AA11,Métrés!$A:$A,Métrés!$E:$E,0)),0)</f>
        <v>0</v>
      </c>
      <c r="AG11" s="1092">
        <f>IFERROR(Q11*$G$1/(_xlfn.XLOOKUP($AA11,Métrés!$A:$A,Métrés!$E:$E,0)),0)</f>
        <v>0</v>
      </c>
      <c r="AH11" s="1092">
        <f>IFERROR(R11*$G$1/(_xlfn.XLOOKUP($AA11,Métrés!$A:$A,Métrés!$E:$E,0)),0)</f>
        <v>0</v>
      </c>
      <c r="AI11" s="1092">
        <f>IFERROR(S11*$G$1/(_xlfn.XLOOKUP($AA11,Métrés!$A:$A,Métrés!$E:$E,0)),0)</f>
        <v>0</v>
      </c>
      <c r="AJ11" s="666"/>
      <c r="AK11" s="666"/>
      <c r="AL11" s="666"/>
      <c r="AM11" s="666"/>
      <c r="AN11" s="1051"/>
      <c r="AO11" s="666"/>
      <c r="AP11" s="666"/>
      <c r="AQ11" s="666"/>
      <c r="AR11" s="1052"/>
      <c r="AS11" s="1051"/>
      <c r="AT11" s="666"/>
      <c r="AU11" s="666"/>
      <c r="AV11" s="666"/>
      <c r="AW11" s="1052"/>
      <c r="AX11" s="1051"/>
      <c r="AY11" s="666"/>
      <c r="AZ11" s="666"/>
      <c r="BA11" s="666"/>
      <c r="BB11" s="1052"/>
      <c r="BC11" s="1051"/>
      <c r="BD11" s="666"/>
      <c r="BE11" s="666"/>
      <c r="BF11" s="1052"/>
      <c r="BG11" s="1051"/>
      <c r="BH11" s="666"/>
      <c r="BI11" s="1052"/>
      <c r="BJ11" s="666"/>
      <c r="BK11" s="1051"/>
      <c r="BL11" s="666"/>
      <c r="BM11" s="1052"/>
    </row>
    <row r="12" spans="1:67">
      <c r="B12" s="1103"/>
      <c r="C12" s="1110"/>
      <c r="D12" s="651"/>
      <c r="E12" s="630" t="str">
        <f>BillQuantities!E8</f>
        <v>non-isolés</v>
      </c>
      <c r="F12" s="479" t="s">
        <v>3003</v>
      </c>
      <c r="G12" s="479"/>
      <c r="H12" s="479"/>
      <c r="I12" s="459" t="s">
        <v>39</v>
      </c>
      <c r="J12" s="890">
        <v>548.14</v>
      </c>
      <c r="K12" s="663"/>
      <c r="L12" s="663"/>
      <c r="M12" s="664">
        <f>SUM(M13:M17)</f>
        <v>77.120372156005146</v>
      </c>
      <c r="N12" s="664">
        <f t="shared" ref="N12:S12" si="16">SUM(N13:N17)</f>
        <v>68.741129925168948</v>
      </c>
      <c r="O12" s="664">
        <f t="shared" ref="O12" si="17">SUM(O13:O17)</f>
        <v>14.577132106359601</v>
      </c>
      <c r="P12" s="664">
        <f t="shared" si="16"/>
        <v>0</v>
      </c>
      <c r="Q12" s="664">
        <f t="shared" si="16"/>
        <v>8.3792422308361996</v>
      </c>
      <c r="R12" s="664">
        <f t="shared" ref="R12" si="18">SUM(R13:R17)</f>
        <v>1.6512929849508726</v>
      </c>
      <c r="S12" s="664">
        <f t="shared" si="16"/>
        <v>0</v>
      </c>
      <c r="T12" s="664">
        <f t="shared" ref="T12" si="19">SUM(T13:T17)</f>
        <v>0</v>
      </c>
      <c r="V12" s="638">
        <f t="shared" si="3"/>
        <v>0</v>
      </c>
      <c r="X12" s="638">
        <f t="shared" si="9"/>
        <v>0</v>
      </c>
      <c r="Z12" s="638">
        <f t="shared" si="10"/>
        <v>0</v>
      </c>
      <c r="AA12" s="1083"/>
      <c r="AB12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1112" cm="1">
        <f t="array" ref="AD12">IFERROR(_xlfn.SWITCH(I12,"kg",1,"m3",AC12,AC12)*J12/(_xlfn.XLOOKUP(AA12,Métrés!A:A,Métrés!E:E,0)),0)</f>
        <v>0</v>
      </c>
      <c r="AE12" s="1092">
        <f>IFERROR(N12*$G$1/(_xlfn.XLOOKUP($AA12,Métrés!$A:$A,Métrés!$E:$E,0)),0)</f>
        <v>0</v>
      </c>
      <c r="AF12" s="1092">
        <f>IFERROR(O12*$G$1/(_xlfn.XLOOKUP($AA12,Métrés!$A:$A,Métrés!$E:$E,0)),0)</f>
        <v>0</v>
      </c>
      <c r="AG12" s="1092">
        <f>IFERROR(Q12*$G$1/(_xlfn.XLOOKUP($AA12,Métrés!$A:$A,Métrés!$E:$E,0)),0)</f>
        <v>0</v>
      </c>
      <c r="AH12" s="1092">
        <f>IFERROR(R12*$G$1/(_xlfn.XLOOKUP($AA12,Métrés!$A:$A,Métrés!$E:$E,0)),0)</f>
        <v>0</v>
      </c>
      <c r="AI12" s="1092">
        <f>IFERROR(S12*$G$1/(_xlfn.XLOOKUP($AA12,Métrés!$A:$A,Métrés!$E:$E,0)),0)</f>
        <v>0</v>
      </c>
      <c r="AJ12" s="878"/>
      <c r="AK12" s="878"/>
      <c r="AL12" s="878"/>
      <c r="AM12" s="878"/>
      <c r="AN12" s="1053"/>
      <c r="AO12" s="878"/>
      <c r="AP12" s="878"/>
      <c r="AQ12" s="878"/>
      <c r="AR12" s="1054"/>
      <c r="AS12" s="1053"/>
      <c r="AT12" s="878"/>
      <c r="AU12" s="878"/>
      <c r="AV12" s="878"/>
      <c r="AW12" s="1054"/>
      <c r="AX12" s="1053"/>
      <c r="AY12" s="878"/>
      <c r="AZ12" s="878"/>
      <c r="BA12" s="878"/>
      <c r="BB12" s="1054"/>
      <c r="BC12" s="1053"/>
      <c r="BD12" s="878"/>
      <c r="BE12" s="878"/>
      <c r="BF12" s="1054"/>
      <c r="BG12" s="1053"/>
      <c r="BH12" s="878"/>
      <c r="BI12" s="1054"/>
      <c r="BJ12" s="878"/>
      <c r="BK12" s="1053"/>
      <c r="BL12" s="878"/>
      <c r="BM12" s="1054"/>
    </row>
    <row r="13" spans="1:67">
      <c r="B13" s="1103"/>
      <c r="C13" s="1110"/>
      <c r="D13" s="660"/>
      <c r="E13" s="657"/>
      <c r="F13" s="478" t="s">
        <v>2980</v>
      </c>
      <c r="G13" s="478" t="str">
        <f>_xlfn.XLOOKUP(H13, 'Baumaterialien Matériaux'!A:A, 'Baumaterialien Matériaux'!AD:AD, "-", 0, 1)</f>
        <v>Béton pour bâtiment (sans armature)</v>
      </c>
      <c r="H13" s="891">
        <v>1.0019999999999998</v>
      </c>
      <c r="I13" s="641" t="str">
        <f>_xlfn.XLOOKUP(H13, 'Baumaterialien Matériaux'!A:A, 'Baumaterialien Matériaux'!F:F, "-", 0, 1)</f>
        <v>kg</v>
      </c>
      <c r="J13" s="649">
        <f>$J$12*K13</f>
        <v>315180.5</v>
      </c>
      <c r="K13" s="893">
        <f>0.25*2300</f>
        <v>575</v>
      </c>
      <c r="L13" s="527">
        <v>60</v>
      </c>
      <c r="M13" s="648">
        <f>IFERROR((J13*VLOOKUP(H13, 'Baumaterialien Matériaux'!$A$11:$AD$318, 26,FALSE))+(J13*VLOOKUP(H13, 'Baumaterialien Matériaux'!$A$11:$AD$318, 27,FALSE)),0)/$G$1</f>
        <v>33.156607054019318</v>
      </c>
      <c r="N13" s="720">
        <f>IFERROR(($J13*VLOOKUP($H13, 'Baumaterialien Matériaux'!$A$11:$AH$318, 26,FALSE)),0)/$G$1</f>
        <v>29.007947846275034</v>
      </c>
      <c r="O13" s="720">
        <f>IFERROR(($J13*VLOOKUP($H13, 'Baumaterialien Matériaux'!$A$11:$AH$318, 33,FALSE)),0)/$G$1</f>
        <v>6.7946544504788351</v>
      </c>
      <c r="P13" s="720">
        <f>(N13+Q13)*($L$2/L13-1)</f>
        <v>0</v>
      </c>
      <c r="Q13" s="720">
        <f>IFERROR(($J13*VLOOKUP($H13, 'Baumaterialien Matériaux'!$A$11:$AH$318, 27,FALSE)),0)/$G$1</f>
        <v>4.1486592077442888</v>
      </c>
      <c r="R13" s="720">
        <f>IFERROR(($J13*VLOOKUP($H13, 'Baumaterialien Matériaux'!$A$11:$AH$318, 34,FALSE)),0)/$G$1</f>
        <v>0.87546509265785</v>
      </c>
      <c r="S13" s="720">
        <f>IFERROR((J13*VLOOKUP(H13, 'Baumaterialien Matériaux'!$A$11:$AD$318, 29,FALSE)),0)/$G$1</f>
        <v>0</v>
      </c>
      <c r="T13" s="720">
        <f>S13*AJ13</f>
        <v>0</v>
      </c>
      <c r="V13" s="638">
        <f t="shared" si="3"/>
        <v>0</v>
      </c>
      <c r="W13" s="638">
        <f t="shared" si="4"/>
        <v>0</v>
      </c>
      <c r="X13" s="638" t="str">
        <f t="shared" si="9"/>
        <v>Structure</v>
      </c>
      <c r="Z13" s="638">
        <f t="shared" si="10"/>
        <v>60</v>
      </c>
      <c r="AA13" s="1083" t="s">
        <v>3441</v>
      </c>
      <c r="AB13" t="str">
        <f>_xlfn.XLOOKUP($H13,'[1]Baumaterialien Matériaux'!$A:$A,'[1]Baumaterialien Matériaux'!AK:AK,0,0)</f>
        <v>concrete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1112" cm="1">
        <f t="array" ref="AD13">IFERROR(_xlfn.SWITCH(I13,"kg",1,"m3",AC13,AC13)*J13/(_xlfn.XLOOKUP(AA13,Métrés!A:A,Métrés!E:E,0)),0)</f>
        <v>575</v>
      </c>
      <c r="AE13" s="1092">
        <f>IFERROR(N13*$G$1/(_xlfn.XLOOKUP($AA13,Métrés!$A:$A,Métrés!$E:$E,0)),0)</f>
        <v>51.060000000000009</v>
      </c>
      <c r="AF13" s="1092">
        <f>IFERROR(O13*$G$1/(_xlfn.XLOOKUP($AA13,Métrés!$A:$A,Métrés!$E:$E,0)),0)</f>
        <v>11.959999999999999</v>
      </c>
      <c r="AG13" s="1092">
        <f>IFERROR(Q13*$G$1/(_xlfn.XLOOKUP($AA13,Métrés!$A:$A,Métrés!$E:$E,0)),0)</f>
        <v>7.3024999999999993</v>
      </c>
      <c r="AH13" s="1092">
        <f>IFERROR(R13*$G$1/(_xlfn.XLOOKUP($AA13,Métrés!$A:$A,Métrés!$E:$E,0)),0)</f>
        <v>1.5410000000000001</v>
      </c>
      <c r="AI13" s="1092">
        <f>IFERROR(S13*$G$1/(_xlfn.XLOOKUP($AA13,Métrés!$A:$A,Métrés!$E:$E,0)),0)</f>
        <v>0</v>
      </c>
      <c r="AJ13" s="1022"/>
      <c r="AK13" s="638">
        <f>IF(L13=60,0,T13)</f>
        <v>0</v>
      </c>
      <c r="AL13" s="638">
        <f>IF(L13=60,0,S13)</f>
        <v>0</v>
      </c>
      <c r="AM13" s="638" t="str">
        <f>IF(L13=$L$2, "Structure", IF(L13&gt;0,"Revêtement",0))</f>
        <v>Structure</v>
      </c>
      <c r="AN13" s="1017">
        <f>IF(AM13="Structure",N13,0)</f>
        <v>29.007947846275034</v>
      </c>
      <c r="AO13" s="638">
        <f>IF(AM13="Structure",P13,0)</f>
        <v>0</v>
      </c>
      <c r="AP13" s="638">
        <f>IF(AM13="Structure",Q13,0)</f>
        <v>4.1486592077442888</v>
      </c>
      <c r="AQ13" s="1018">
        <f>IF(AM13="Structure",S13,0)</f>
        <v>0</v>
      </c>
      <c r="AR13" s="1018">
        <f>IF(AM13="Structure",T13,0)</f>
        <v>0</v>
      </c>
      <c r="AS13" s="1017">
        <f>IF(AM13="Insulation",N13,0)</f>
        <v>0</v>
      </c>
      <c r="AT13" s="638">
        <f>IF(AM13="Insulation",P13,0)</f>
        <v>0</v>
      </c>
      <c r="AU13" s="638">
        <f>IF(AM13="Insulation",Q13,0)</f>
        <v>0</v>
      </c>
      <c r="AV13" s="1018">
        <f>IF(AM13="Insulation",S13,0)</f>
        <v>0</v>
      </c>
      <c r="AW13" s="1018">
        <f>IF(AM13="Insulation",T13,0)</f>
        <v>0</v>
      </c>
      <c r="AX13" s="1017">
        <f>IF(AM13="Revêtement",N13,0)</f>
        <v>0</v>
      </c>
      <c r="AY13" s="638">
        <f>IF(AM13="Revêtement",P13,0)</f>
        <v>0</v>
      </c>
      <c r="AZ13" s="638">
        <f>IF(AM13="Revêtement",Q13,0)</f>
        <v>0</v>
      </c>
      <c r="BA13" s="638">
        <f>IF(AM13="Revêtement",S13,0)</f>
        <v>0</v>
      </c>
      <c r="BB13" s="1018">
        <f>IF(AM13="Revêtement",T13,0)</f>
        <v>0</v>
      </c>
      <c r="BC13" s="1017"/>
      <c r="BF13" s="1018"/>
      <c r="BG13" s="1017">
        <f>IF($AM13="Structure", IF($I13="kg",$J13,0), 0)</f>
        <v>315180.5</v>
      </c>
      <c r="BH13" s="638">
        <f>IF($AM13="Insulation", IF($I13="kg",$J13,0), 0)</f>
        <v>0</v>
      </c>
      <c r="BI13" s="1018">
        <f>IF($AM13="Revêtement", IF($I13="kg",$J13,0), 0)</f>
        <v>0</v>
      </c>
      <c r="BJ13" s="638">
        <f>_xlfn.XLOOKUP(H13, 'Baumaterialien Matériaux'!A:A, 'Baumaterialien Matériaux'!E:E, "-", 0, 1)</f>
        <v>2300</v>
      </c>
      <c r="BK13" s="1032">
        <f t="shared" si="5"/>
        <v>137.035</v>
      </c>
      <c r="BL13" s="1030">
        <f t="shared" si="6"/>
        <v>0</v>
      </c>
      <c r="BM13" s="1033">
        <f t="shared" si="7"/>
        <v>0</v>
      </c>
      <c r="BN13" s="720">
        <f>IFERROR((J13*VLOOKUP(H13, 'Baumaterialien Matériaux'!$A$11:$AH$318, 32,FALSE))*($L$2/L13-1),0)/$G$1</f>
        <v>0</v>
      </c>
      <c r="BO13" s="720">
        <f>IFERROR((N13+Q13)*($L$2/L13-1),0)</f>
        <v>0</v>
      </c>
    </row>
    <row r="14" spans="1:67">
      <c r="B14" s="1103"/>
      <c r="C14" s="1110"/>
      <c r="D14" s="660"/>
      <c r="E14" s="657"/>
      <c r="F14" s="478" t="s">
        <v>3004</v>
      </c>
      <c r="G14" s="478" t="str">
        <f>_xlfn.XLOOKUP(H14, 'Baumaterialien Matériaux'!A:A, 'Baumaterialien Matériaux'!AD:AD, "-", 0, 1)</f>
        <v>Acier d'armature</v>
      </c>
      <c r="H14" s="892" t="s">
        <v>497</v>
      </c>
      <c r="I14" s="641" t="str">
        <f>_xlfn.XLOOKUP(H14, 'Baumaterialien Matériaux'!A:A, 'Baumaterialien Matériaux'!F:F, "-", 0, 1)</f>
        <v>kg</v>
      </c>
      <c r="J14" s="649">
        <f t="shared" ref="J14:J16" si="20">$J$12*K14</f>
        <v>20555.25</v>
      </c>
      <c r="K14" s="893">
        <f>0.25*150</f>
        <v>37.5</v>
      </c>
      <c r="L14" s="527">
        <v>60</v>
      </c>
      <c r="M14" s="648">
        <f>IFERROR((J14*VLOOKUP(H14, 'Baumaterialien Matériaux'!$A$11:$AD$318, 26,FALSE))+(J14*VLOOKUP(H14, 'Baumaterialien Matériaux'!$A$11:$AD$318, 27,FALSE)),0)/$G$1</f>
        <v>32.220637722316653</v>
      </c>
      <c r="N14" s="720">
        <f>IFERROR(($J14*VLOOKUP($H14, 'Baumaterialien Matériaux'!$A$11:$AH$318, 26,FALSE)),0)/$G$1</f>
        <v>31.956464284233654</v>
      </c>
      <c r="O14" s="720">
        <f>IFERROR(($J14*VLOOKUP($H14, 'Baumaterialien Matériaux'!$A$11:$AH$318, 33,FALSE)),0)/$G$1</f>
        <v>6.1995540711413284</v>
      </c>
      <c r="P14" s="720">
        <f t="shared" ref="P14:P17" si="21">(N14+Q14)*($L$2/L14-1)</f>
        <v>0</v>
      </c>
      <c r="Q14" s="720">
        <f>IFERROR(($J14*VLOOKUP($H14, 'Baumaterialien Matériaux'!$A$11:$AH$318, 27,FALSE)),0)/$G$1</f>
        <v>0.2641734380829982</v>
      </c>
      <c r="R14" s="720">
        <f>IFERROR(($J14*VLOOKUP($H14, 'Baumaterialien Matériaux'!$A$11:$AH$318, 34,FALSE)),0)/$G$1</f>
        <v>0</v>
      </c>
      <c r="S14" s="720">
        <f>IFERROR((J14*VLOOKUP(H14, 'Baumaterialien Matériaux'!$A$11:$AD$318, 29,FALSE)),0)/$G$1</f>
        <v>0</v>
      </c>
      <c r="T14" s="720">
        <f>S14*AJ14</f>
        <v>0</v>
      </c>
      <c r="V14" s="638">
        <f t="shared" si="3"/>
        <v>0</v>
      </c>
      <c r="W14" s="638">
        <f t="shared" si="4"/>
        <v>0</v>
      </c>
      <c r="X14" s="638" t="str">
        <f t="shared" si="9"/>
        <v>Structure</v>
      </c>
      <c r="Z14" s="638">
        <f t="shared" si="10"/>
        <v>60</v>
      </c>
      <c r="AA14" s="1083" t="s">
        <v>3441</v>
      </c>
      <c r="AB14" t="str">
        <f>_xlfn.XLOOKUP($H14,'[1]Baumaterialien Matériaux'!$A:$A,'[1]Baumaterialien Matériaux'!AK:AK,0,0)</f>
        <v>metal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1112" cm="1">
        <f t="array" ref="AD14">IFERROR(_xlfn.SWITCH(I14,"kg",1,"m3",AC14,AC14)*J14/(_xlfn.XLOOKUP(AA14,Métrés!A:A,Métrés!E:E,0)),0)</f>
        <v>37.5</v>
      </c>
      <c r="AE14" s="1092">
        <f>IFERROR(N14*$G$1/(_xlfn.XLOOKUP($AA14,Métrés!$A:$A,Métrés!$E:$E,0)),0)</f>
        <v>56.25</v>
      </c>
      <c r="AF14" s="1092">
        <f>IFERROR(O14*$G$1/(_xlfn.XLOOKUP($AA14,Métrés!$A:$A,Métrés!$E:$E,0)),0)</f>
        <v>10.9125</v>
      </c>
      <c r="AG14" s="1092">
        <f>IFERROR(Q14*$G$1/(_xlfn.XLOOKUP($AA14,Métrés!$A:$A,Métrés!$E:$E,0)),0)</f>
        <v>0.46500000000000002</v>
      </c>
      <c r="AH14" s="1092">
        <f>IFERROR(R14*$G$1/(_xlfn.XLOOKUP($AA14,Métrés!$A:$A,Métrés!$E:$E,0)),0)</f>
        <v>0</v>
      </c>
      <c r="AI14" s="1092">
        <f>IFERROR(S14*$G$1/(_xlfn.XLOOKUP($AA14,Métrés!$A:$A,Métrés!$E:$E,0)),0)</f>
        <v>0</v>
      </c>
      <c r="AJ14" s="1022"/>
      <c r="AK14" s="638">
        <f>IF(L14=60,0,T14)</f>
        <v>0</v>
      </c>
      <c r="AL14" s="638">
        <f>IF(L14=60,0,S14)</f>
        <v>0</v>
      </c>
      <c r="AM14" s="638" t="str">
        <f>IF(L14=$L$2, "Structure", IF(L14&gt;0,"Revêtement",0))</f>
        <v>Structure</v>
      </c>
      <c r="AN14" s="1017">
        <f>IF(AM14="Structure",N14,0)</f>
        <v>31.956464284233654</v>
      </c>
      <c r="AO14" s="638">
        <f>IF(AM14="Structure",P14,0)</f>
        <v>0</v>
      </c>
      <c r="AP14" s="638">
        <f>IF(AM14="Structure",Q14,0)</f>
        <v>0.2641734380829982</v>
      </c>
      <c r="AQ14" s="1018">
        <f>IF(AM14="Structure",S14,0)</f>
        <v>0</v>
      </c>
      <c r="AR14" s="1018">
        <f>IF(AM14="Structure",T14,0)</f>
        <v>0</v>
      </c>
      <c r="AS14" s="1017">
        <f>IF(AM14="Insulation",N14,0)</f>
        <v>0</v>
      </c>
      <c r="AT14" s="638">
        <f>IF(AM14="Insulation",P14,0)</f>
        <v>0</v>
      </c>
      <c r="AU14" s="638">
        <f>IF(AM14="Insulation",Q14,0)</f>
        <v>0</v>
      </c>
      <c r="AV14" s="1018">
        <f>IF(AM14="Insulation",S14,0)</f>
        <v>0</v>
      </c>
      <c r="AW14" s="1018">
        <f>IF(AM14="Insulation",T14,0)</f>
        <v>0</v>
      </c>
      <c r="AX14" s="1017">
        <f>IF(AM14="Revêtement",N14,0)</f>
        <v>0</v>
      </c>
      <c r="AY14" s="638">
        <f>IF(AM14="Revêtement",P14,0)</f>
        <v>0</v>
      </c>
      <c r="AZ14" s="638">
        <f>IF(AM14="Revêtement",Q14,0)</f>
        <v>0</v>
      </c>
      <c r="BA14" s="638">
        <f>IF(AM14="Revêtement",S14,0)</f>
        <v>0</v>
      </c>
      <c r="BB14" s="1018">
        <f>IF(AM14="Revêtement",T14,0)</f>
        <v>0</v>
      </c>
      <c r="BC14" s="1017"/>
      <c r="BF14" s="1018"/>
      <c r="BG14" s="1017">
        <f>IF($AM14="Structure", IF($I14="kg",$J14,0), 0)</f>
        <v>20555.25</v>
      </c>
      <c r="BH14" s="638">
        <f>IF($AM14="Insulation", IF($I14="kg",$J14,0), 0)</f>
        <v>0</v>
      </c>
      <c r="BI14" s="1018">
        <f>IF($AM14="Revêtement", IF($I14="kg",$J14,0), 0)</f>
        <v>0</v>
      </c>
      <c r="BJ14" s="638">
        <f>_xlfn.XLOOKUP(H14, 'Baumaterialien Matériaux'!A:A, 'Baumaterialien Matériaux'!E:E, "-", 0, 1)</f>
        <v>7850</v>
      </c>
      <c r="BK14" s="1032">
        <f t="shared" si="5"/>
        <v>2.6185031847133757</v>
      </c>
      <c r="BL14" s="1030">
        <f t="shared" si="6"/>
        <v>0</v>
      </c>
      <c r="BM14" s="1033">
        <f t="shared" si="7"/>
        <v>0</v>
      </c>
      <c r="BN14" s="720">
        <f>IFERROR((J14*VLOOKUP(H14, 'Baumaterialien Matériaux'!$A$11:$AH$318, 32,FALSE))*($L$2/L14-1),0)/$G$1</f>
        <v>0</v>
      </c>
      <c r="BO14" s="720">
        <f>IFERROR((N14+Q14)*($L$2/L14-1),0)</f>
        <v>0</v>
      </c>
    </row>
    <row r="15" spans="1:67">
      <c r="B15" s="1103"/>
      <c r="C15" s="1110"/>
      <c r="D15" s="660"/>
      <c r="E15" s="657"/>
      <c r="F15" s="638" t="s">
        <v>3254</v>
      </c>
      <c r="G15" s="478" t="str">
        <f>_xlfn.XLOOKUP(H15, 'Baumaterialien Matériaux'!A:A, 'Baumaterialien Matériaux'!AD:AD, "-", 0, 1)</f>
        <v>Béton maigre (sans armature)</v>
      </c>
      <c r="H15" s="891">
        <v>1.0009999999999999</v>
      </c>
      <c r="I15" s="641" t="str">
        <f>_xlfn.XLOOKUP(H15, 'Baumaterialien Matériaux'!A:A, 'Baumaterialien Matériaux'!F:F, "-", 0, 1)</f>
        <v>kg</v>
      </c>
      <c r="J15" s="649">
        <f t="shared" si="20"/>
        <v>64817.555</v>
      </c>
      <c r="K15" s="893">
        <f>0.055*2150</f>
        <v>118.25</v>
      </c>
      <c r="L15" s="527">
        <v>60</v>
      </c>
      <c r="M15" s="648">
        <f>IFERROR((J15*VLOOKUP(H15, 'Baumaterialien Matériaux'!$A$11:$AD$318, 26,FALSE))+(J15*VLOOKUP(H15, 'Baumaterialien Matériaux'!$A$11:$AD$318, 27,FALSE)),0)/$G$1</f>
        <v>4.2323141298039051</v>
      </c>
      <c r="N15" s="720">
        <f>IFERROR(($J15*VLOOKUP($H15, 'Baumaterialien Matériaux'!$A$11:$AH$318, 26,FALSE)),0)/$G$1</f>
        <v>3.3724153859707307</v>
      </c>
      <c r="O15" s="720">
        <f>IFERROR(($J15*VLOOKUP($H15, 'Baumaterialien Matériaux'!$A$11:$AH$318, 33,FALSE)),0)/$G$1</f>
        <v>0.8128730312797976</v>
      </c>
      <c r="P15" s="720">
        <f t="shared" si="21"/>
        <v>0</v>
      </c>
      <c r="Q15" s="720">
        <f>IFERROR(($J15*VLOOKUP($H15, 'Baumaterialien Matériaux'!$A$11:$AH$318, 27,FALSE)),0)/$G$1</f>
        <v>0.85989874383317444</v>
      </c>
      <c r="R15" s="720">
        <f>IFERROR(($J15*VLOOKUP($H15, 'Baumaterialien Matériaux'!$A$11:$AH$318, 34,FALSE)),0)/$G$1</f>
        <v>0.15585664731976287</v>
      </c>
      <c r="S15" s="720">
        <f>IFERROR((J15*VLOOKUP(H15, 'Baumaterialien Matériaux'!$A$11:$AD$318, 29,FALSE)),0)/$G$1</f>
        <v>0</v>
      </c>
      <c r="T15" s="720">
        <f>S15*AJ15</f>
        <v>0</v>
      </c>
      <c r="V15" s="638">
        <f t="shared" si="3"/>
        <v>0</v>
      </c>
      <c r="W15" s="638">
        <f t="shared" si="4"/>
        <v>0</v>
      </c>
      <c r="X15" s="638" t="str">
        <f t="shared" si="9"/>
        <v>Structure</v>
      </c>
      <c r="Z15" s="638">
        <f t="shared" si="10"/>
        <v>60</v>
      </c>
      <c r="AA15" s="1083" t="s">
        <v>3441</v>
      </c>
      <c r="AB15" t="str">
        <f>_xlfn.XLOOKUP($H15,'[1]Baumaterialien Matériaux'!$A:$A,'[1]Baumaterialien Matériaux'!AK:AK,0,0)</f>
        <v>concrete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1112" cm="1">
        <f t="array" ref="AD15">IFERROR(_xlfn.SWITCH(I15,"kg",1,"m3",AC15,AC15)*J15/(_xlfn.XLOOKUP(AA15,Métrés!A:A,Métrés!E:E,0)),0)</f>
        <v>118.25</v>
      </c>
      <c r="AE15" s="1092">
        <f>IFERROR(N15*$G$1/(_xlfn.XLOOKUP($AA15,Métrés!$A:$A,Métrés!$E:$E,0)),0)</f>
        <v>5.9361500000000005</v>
      </c>
      <c r="AF15" s="1092">
        <f>IFERROR(O15*$G$1/(_xlfn.XLOOKUP($AA15,Métrés!$A:$A,Métrés!$E:$E,0)),0)</f>
        <v>1.430825</v>
      </c>
      <c r="AG15" s="1092">
        <f>IFERROR(Q15*$G$1/(_xlfn.XLOOKUP($AA15,Métrés!$A:$A,Métrés!$E:$E,0)),0)</f>
        <v>1.5136000000000001</v>
      </c>
      <c r="AH15" s="1092">
        <f>IFERROR(R15*$G$1/(_xlfn.XLOOKUP($AA15,Métrés!$A:$A,Métrés!$E:$E,0)),0)</f>
        <v>0.27434000000000003</v>
      </c>
      <c r="AI15" s="1092">
        <f>IFERROR(S15*$G$1/(_xlfn.XLOOKUP($AA15,Métrés!$A:$A,Métrés!$E:$E,0)),0)</f>
        <v>0</v>
      </c>
      <c r="AJ15" s="1022"/>
      <c r="AK15" s="638">
        <f>IF(L15=60,0,T15)</f>
        <v>0</v>
      </c>
      <c r="AL15" s="638">
        <f>IF(L15=60,0,S15)</f>
        <v>0</v>
      </c>
      <c r="AM15" s="638" t="str">
        <f>IF(L15=$L$2, "Structure", IF(L15&gt;0,"Revêtement",0))</f>
        <v>Structure</v>
      </c>
      <c r="AN15" s="1017">
        <f>IF(AM15="Structure",N15,0)</f>
        <v>3.3724153859707307</v>
      </c>
      <c r="AO15" s="638">
        <f>IF(AM15="Structure",P15,0)</f>
        <v>0</v>
      </c>
      <c r="AP15" s="638">
        <f>IF(AM15="Structure",Q15,0)</f>
        <v>0.85989874383317444</v>
      </c>
      <c r="AQ15" s="1018">
        <f>IF(AM15="Structure",S15,0)</f>
        <v>0</v>
      </c>
      <c r="AR15" s="1018">
        <f>IF(AM15="Structure",T15,0)</f>
        <v>0</v>
      </c>
      <c r="AS15" s="1017">
        <f>IF(AM15="Insulation",N15,0)</f>
        <v>0</v>
      </c>
      <c r="AT15" s="638">
        <f>IF(AM15="Insulation",P15,0)</f>
        <v>0</v>
      </c>
      <c r="AU15" s="638">
        <f>IF(AM15="Insulation",Q15,0)</f>
        <v>0</v>
      </c>
      <c r="AV15" s="1018">
        <f>IF(AM15="Insulation",S15,0)</f>
        <v>0</v>
      </c>
      <c r="AW15" s="1018">
        <f>IF(AM15="Insulation",T15,0)</f>
        <v>0</v>
      </c>
      <c r="AX15" s="1017">
        <f>IF(AM15="Revêtement",N15,0)</f>
        <v>0</v>
      </c>
      <c r="AY15" s="638">
        <f>IF(AM15="Revêtement",P15,0)</f>
        <v>0</v>
      </c>
      <c r="AZ15" s="638">
        <f>IF(AM15="Revêtement",Q15,0)</f>
        <v>0</v>
      </c>
      <c r="BA15" s="638">
        <f>IF(AM15="Revêtement",S15,0)</f>
        <v>0</v>
      </c>
      <c r="BB15" s="1018">
        <f>IF(AM15="Revêtement",T15,0)</f>
        <v>0</v>
      </c>
      <c r="BC15" s="1017"/>
      <c r="BF15" s="1018"/>
      <c r="BG15" s="1017">
        <f>IF($AM15="Structure", IF($I15="kg",$J15,0), 0)</f>
        <v>64817.555</v>
      </c>
      <c r="BH15" s="638">
        <f>IF($AM15="Insulation", IF($I15="kg",$J15,0), 0)</f>
        <v>0</v>
      </c>
      <c r="BI15" s="1018">
        <f>IF($AM15="Revêtement", IF($I15="kg",$J15,0), 0)</f>
        <v>0</v>
      </c>
      <c r="BJ15" s="638">
        <f>_xlfn.XLOOKUP(H15, 'Baumaterialien Matériaux'!A:A, 'Baumaterialien Matériaux'!E:E, "-", 0, 1)</f>
        <v>2150</v>
      </c>
      <c r="BK15" s="1032">
        <f t="shared" si="5"/>
        <v>30.1477</v>
      </c>
      <c r="BL15" s="1030">
        <f t="shared" si="6"/>
        <v>0</v>
      </c>
      <c r="BM15" s="1033">
        <f t="shared" si="7"/>
        <v>0</v>
      </c>
      <c r="BN15" s="720">
        <f>IFERROR((J15*VLOOKUP(H15, 'Baumaterialien Matériaux'!$A$11:$AH$318, 32,FALSE))*($L$2/L15-1),0)/$G$1</f>
        <v>0</v>
      </c>
      <c r="BO15" s="720">
        <f>IFERROR((N15+Q15)*($L$2/L15-1),0)</f>
        <v>0</v>
      </c>
    </row>
    <row r="16" spans="1:67">
      <c r="B16" s="1103"/>
      <c r="C16" s="1110"/>
      <c r="D16" s="660"/>
      <c r="E16" s="657"/>
      <c r="F16" s="478" t="s">
        <v>3255</v>
      </c>
      <c r="G16" s="478" t="str">
        <f>_xlfn.XLOOKUP(H16, 'Baumaterialien Matériaux'!A:A, 'Baumaterialien Matériaux'!AD:AD, "-", 0, 1)</f>
        <v>Gravier rond</v>
      </c>
      <c r="H16" s="891" t="s">
        <v>530</v>
      </c>
      <c r="I16" s="641" t="str">
        <f>_xlfn.XLOOKUP(H16, 'Baumaterialien Matériaux'!A:A, 'Baumaterialien Matériaux'!F:F, "-", 0, 1)</f>
        <v>kg</v>
      </c>
      <c r="J16" s="649">
        <f t="shared" si="20"/>
        <v>153479.19999999998</v>
      </c>
      <c r="K16" s="893">
        <f>0.14*2000</f>
        <v>280</v>
      </c>
      <c r="L16" s="527">
        <v>60</v>
      </c>
      <c r="M16" s="648">
        <f>IFERROR((J16*VLOOKUP(H16, 'Baumaterialien Matériaux'!$A$11:$AD$318, 26,FALSE))+(J16*VLOOKUP(H16, 'Baumaterialien Matériaux'!$A$11:$AD$318, 27,FALSE)),0)/$G$1</f>
        <v>2.5260661829940712</v>
      </c>
      <c r="N16" s="720">
        <f>IFERROR(($J16*VLOOKUP($H16, 'Baumaterialien Matériaux'!$A$11:$AH$318, 26,FALSE)),0)/$G$1</f>
        <v>0.48994230753285511</v>
      </c>
      <c r="O16" s="720">
        <f>IFERROR(($J16*VLOOKUP($H16, 'Baumaterialien Matériaux'!$A$11:$AH$318, 33,FALSE)),0)/$G$1</f>
        <v>0.16384434310351975</v>
      </c>
      <c r="P16" s="720">
        <f t="shared" si="21"/>
        <v>0</v>
      </c>
      <c r="Q16" s="720">
        <f>IFERROR(($J16*VLOOKUP($H16, 'Baumaterialien Matériaux'!$A$11:$AH$318, 27,FALSE)),0)/$G$1</f>
        <v>2.0361238754612163</v>
      </c>
      <c r="R16" s="720">
        <f>IFERROR(($J16*VLOOKUP($H16, 'Baumaterialien Matériaux'!$A$11:$AH$318, 34,FALSE)),0)/$G$1</f>
        <v>0.37541033953816172</v>
      </c>
      <c r="S16" s="720">
        <f>IFERROR((J16*VLOOKUP(H16, 'Baumaterialien Matériaux'!$A$11:$AD$318, 29,FALSE)),0)/$G$1</f>
        <v>0</v>
      </c>
      <c r="T16" s="720">
        <f>S16*AJ16</f>
        <v>0</v>
      </c>
      <c r="V16" s="638">
        <f t="shared" si="3"/>
        <v>0</v>
      </c>
      <c r="W16" s="638">
        <f t="shared" si="4"/>
        <v>0</v>
      </c>
      <c r="X16" s="638" t="str">
        <f t="shared" si="9"/>
        <v>Structure</v>
      </c>
      <c r="Z16" s="638">
        <f t="shared" si="10"/>
        <v>60</v>
      </c>
      <c r="AA16" s="1083" t="s">
        <v>3441</v>
      </c>
      <c r="AB16" t="str">
        <f>_xlfn.XLOOKUP($H16,'[1]Baumaterialien Matériaux'!$A:$A,'[1]Baumaterialien Matériaux'!AK:AK,0,0)</f>
        <v>stone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1112" cm="1">
        <f t="array" ref="AD16">IFERROR(_xlfn.SWITCH(I16,"kg",1,"m3",AC16,AC16)*J16/(_xlfn.XLOOKUP(AA16,Métrés!A:A,Métrés!E:E,0)),0)</f>
        <v>280</v>
      </c>
      <c r="AE16" s="1092">
        <f>IFERROR(N16*$G$1/(_xlfn.XLOOKUP($AA16,Métrés!$A:$A,Métrés!$E:$E,0)),0)</f>
        <v>0.86239999999999994</v>
      </c>
      <c r="AF16" s="1092">
        <f>IFERROR(O16*$G$1/(_xlfn.XLOOKUP($AA16,Métrés!$A:$A,Métrés!$E:$E,0)),0)</f>
        <v>0.28839999999999999</v>
      </c>
      <c r="AG16" s="1092">
        <f>IFERROR(Q16*$G$1/(_xlfn.XLOOKUP($AA16,Métrés!$A:$A,Métrés!$E:$E,0)),0)</f>
        <v>3.5840000000000001</v>
      </c>
      <c r="AH16" s="1092">
        <f>IFERROR(R16*$G$1/(_xlfn.XLOOKUP($AA16,Métrés!$A:$A,Métrés!$E:$E,0)),0)</f>
        <v>0.66079999999999994</v>
      </c>
      <c r="AI16" s="1092">
        <f>IFERROR(S16*$G$1/(_xlfn.XLOOKUP($AA16,Métrés!$A:$A,Métrés!$E:$E,0)),0)</f>
        <v>0</v>
      </c>
      <c r="AJ16" s="1022"/>
      <c r="AK16" s="638">
        <f>IF(L16=60,0,T16)</f>
        <v>0</v>
      </c>
      <c r="AL16" s="638">
        <f>IF(L16=60,0,S16)</f>
        <v>0</v>
      </c>
      <c r="AM16" s="638" t="str">
        <f>IF(L16=$L$2, "Structure", IF(L16&gt;0,"Revêtement",0))</f>
        <v>Structure</v>
      </c>
      <c r="AN16" s="1017">
        <f>IF(AM16="Structure",N16,0)</f>
        <v>0.48994230753285511</v>
      </c>
      <c r="AO16" s="638">
        <f>IF(AM16="Structure",P16,0)</f>
        <v>0</v>
      </c>
      <c r="AP16" s="638">
        <f>IF(AM16="Structure",Q16,0)</f>
        <v>2.0361238754612163</v>
      </c>
      <c r="AQ16" s="1018">
        <f>IF(AM16="Structure",S16,0)</f>
        <v>0</v>
      </c>
      <c r="AR16" s="1018">
        <f>IF(AM16="Structure",T16,0)</f>
        <v>0</v>
      </c>
      <c r="AS16" s="1017">
        <f>IF(AM16="Insulation",N16,0)</f>
        <v>0</v>
      </c>
      <c r="AT16" s="638">
        <f>IF(AM16="Insulation",P16,0)</f>
        <v>0</v>
      </c>
      <c r="AU16" s="638">
        <f>IF(AM16="Insulation",Q16,0)</f>
        <v>0</v>
      </c>
      <c r="AV16" s="1018">
        <f>IF(AM16="Insulation",S16,0)</f>
        <v>0</v>
      </c>
      <c r="AW16" s="1018">
        <f>IF(AM16="Insulation",T16,0)</f>
        <v>0</v>
      </c>
      <c r="AX16" s="1017">
        <f>IF(AM16="Revêtement",N16,0)</f>
        <v>0</v>
      </c>
      <c r="AY16" s="638">
        <f>IF(AM16="Revêtement",P16,0)</f>
        <v>0</v>
      </c>
      <c r="AZ16" s="638">
        <f>IF(AM16="Revêtement",Q16,0)</f>
        <v>0</v>
      </c>
      <c r="BA16" s="638">
        <f>IF(AM16="Revêtement",S16,0)</f>
        <v>0</v>
      </c>
      <c r="BB16" s="1018">
        <f>IF(AM16="Revêtement",T16,0)</f>
        <v>0</v>
      </c>
      <c r="BC16" s="1017"/>
      <c r="BF16" s="1018"/>
      <c r="BG16" s="1017">
        <f>IF($AM16="Structure", IF($I16="kg",$J16,0), 0)</f>
        <v>153479.19999999998</v>
      </c>
      <c r="BH16" s="638">
        <f>IF($AM16="Insulation", IF($I16="kg",$J16,0), 0)</f>
        <v>0</v>
      </c>
      <c r="BI16" s="1018">
        <f>IF($AM16="Revêtement", IF($I16="kg",$J16,0), 0)</f>
        <v>0</v>
      </c>
      <c r="BJ16" s="638">
        <f>_xlfn.XLOOKUP(H16, 'Baumaterialien Matériaux'!A:A, 'Baumaterialien Matériaux'!E:E, "-", 0, 1)</f>
        <v>2000</v>
      </c>
      <c r="BK16" s="1032">
        <f t="shared" si="5"/>
        <v>76.739599999999996</v>
      </c>
      <c r="BL16" s="1030">
        <f t="shared" si="6"/>
        <v>0</v>
      </c>
      <c r="BM16" s="1033">
        <f t="shared" si="7"/>
        <v>0</v>
      </c>
      <c r="BN16" s="720">
        <f>IFERROR((J16*VLOOKUP(H16, 'Baumaterialien Matériaux'!$A$11:$AH$318, 32,FALSE))*($L$2/L16-1),0)/$G$1</f>
        <v>0</v>
      </c>
      <c r="BO16" s="720">
        <f>IFERROR((N16+Q16)*($L$2/L16-1),0)</f>
        <v>0</v>
      </c>
    </row>
    <row r="17" spans="2:67">
      <c r="B17" s="1103"/>
      <c r="C17" s="1110"/>
      <c r="D17" s="660"/>
      <c r="E17" s="657"/>
      <c r="F17" s="478" t="s">
        <v>3058</v>
      </c>
      <c r="G17" s="478" t="str">
        <f>_xlfn.XLOOKUP(H17, 'Baumaterialien Matériaux'!A:A, 'Baumaterialien Matériaux'!AD:AD, "-", 0, 1)</f>
        <v>Polystyrène extrudé (XPS)</v>
      </c>
      <c r="H17" s="892" t="s">
        <v>110</v>
      </c>
      <c r="I17" s="641" t="str">
        <f>_xlfn.XLOOKUP(H17, 'Baumaterialien Matériaux'!A:A, 'Baumaterialien Matériaux'!F:F, "-", 0, 1)</f>
        <v>kg</v>
      </c>
      <c r="J17" s="890">
        <f>69.63*K17</f>
        <v>334.22399999999999</v>
      </c>
      <c r="K17" s="893">
        <f>0.16*30</f>
        <v>4.8</v>
      </c>
      <c r="L17" s="527">
        <v>60</v>
      </c>
      <c r="M17" s="648">
        <f>IFERROR((J17*VLOOKUP(H17, 'Baumaterialien Matériaux'!$A$11:$AD$318, 26,FALSE))+(J17*VLOOKUP(H17, 'Baumaterialien Matériaux'!$A$11:$AD$318, 27,FALSE)),0)/$G$1</f>
        <v>4.9847470668711908</v>
      </c>
      <c r="N17" s="720">
        <f>IFERROR(($J17*VLOOKUP($H17, 'Baumaterialien Matériaux'!$A$11:$AH$318, 26,FALSE)),0)/$G$1</f>
        <v>3.9143601011566687</v>
      </c>
      <c r="O17" s="720">
        <f>IFERROR(($J17*VLOOKUP($H17, 'Baumaterialien Matériaux'!$A$11:$AH$318, 33,FALSE)),0)/$G$1</f>
        <v>0.6062062103561211</v>
      </c>
      <c r="P17" s="720">
        <f t="shared" si="21"/>
        <v>0</v>
      </c>
      <c r="Q17" s="720">
        <f>IFERROR(($J17*VLOOKUP($H17, 'Baumaterialien Matériaux'!$A$11:$AH$318, 27,FALSE)),0)/$G$1</f>
        <v>1.0703869657145226</v>
      </c>
      <c r="R17" s="720">
        <f>IFERROR(($J17*VLOOKUP($H17, 'Baumaterialien Matériaux'!$A$11:$AH$318, 34,FALSE)),0)/$G$1</f>
        <v>0.24456090543509801</v>
      </c>
      <c r="S17" s="720">
        <f>IFERROR((J17*VLOOKUP(H17, 'Baumaterialien Matériaux'!$A$11:$AD$318, 29,FALSE)),0)/$G$1</f>
        <v>0</v>
      </c>
      <c r="T17" s="720">
        <f>S17*AJ17</f>
        <v>0</v>
      </c>
      <c r="V17" s="638">
        <f t="shared" si="3"/>
        <v>0</v>
      </c>
      <c r="W17" s="638">
        <f t="shared" si="4"/>
        <v>0</v>
      </c>
      <c r="X17" s="638" t="str">
        <f t="shared" si="9"/>
        <v>Structure</v>
      </c>
      <c r="Z17" s="638">
        <f t="shared" si="10"/>
        <v>60</v>
      </c>
      <c r="AA17" s="1083" t="s">
        <v>3441</v>
      </c>
      <c r="AB17" t="str">
        <f>_xlfn.XLOOKUP($H17,'[1]Baumaterialien Matériaux'!$A:$A,'[1]Baumaterialien Matériaux'!AK:AK,0,0)</f>
        <v>oil_product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1112" cm="1">
        <f t="array" ref="AD17">IFERROR(_xlfn.SWITCH(I17,"kg",1,"m3",AC17,AC17)*J17/(_xlfn.XLOOKUP(AA17,Métrés!A:A,Métrés!E:E,0)),0)</f>
        <v>0.60974203670595106</v>
      </c>
      <c r="AE17" s="1092">
        <f>IFERROR(N17*$G$1/(_xlfn.XLOOKUP($AA17,Métrés!$A:$A,Métrés!$E:$E,0)),0)</f>
        <v>6.890085014777247</v>
      </c>
      <c r="AF17" s="1092">
        <f>IFERROR(O17*$G$1/(_xlfn.XLOOKUP($AA17,Métrés!$A:$A,Métrés!$E:$E,0)),0)</f>
        <v>1.0670485642354142</v>
      </c>
      <c r="AG17" s="1092">
        <f>IFERROR(Q17*$G$1/(_xlfn.XLOOKUP($AA17,Métrés!$A:$A,Métrés!$E:$E,0)),0)</f>
        <v>1.8841028934213888</v>
      </c>
      <c r="AH17" s="1092">
        <f>IFERROR(R17*$G$1/(_xlfn.XLOOKUP($AA17,Métrés!$A:$A,Métrés!$E:$E,0)),0)</f>
        <v>0.4304778779144014</v>
      </c>
      <c r="AI17" s="1092">
        <f>IFERROR(S17*$G$1/(_xlfn.XLOOKUP($AA17,Métrés!$A:$A,Métrés!$E:$E,0)),0)</f>
        <v>0</v>
      </c>
      <c r="AJ17" s="1022"/>
      <c r="AK17" s="638">
        <f>IF(L17=60,0,T17)</f>
        <v>0</v>
      </c>
      <c r="AL17" s="638">
        <f>IF(L17=60,0,S17)</f>
        <v>0</v>
      </c>
      <c r="AM17" s="638" t="str">
        <f>IF(L17=$L$2, "Structure", IF(L17&gt;0,"Revêtement",0))</f>
        <v>Structure</v>
      </c>
      <c r="AN17" s="1017">
        <f>IF(AM17="Structure",N17,0)</f>
        <v>3.9143601011566687</v>
      </c>
      <c r="AO17" s="638">
        <f>IF(AM17="Structure",P17,0)</f>
        <v>0</v>
      </c>
      <c r="AP17" s="638">
        <f>IF(AM17="Structure",Q17,0)</f>
        <v>1.0703869657145226</v>
      </c>
      <c r="AQ17" s="1018">
        <f>IF(AM17="Structure",S17,0)</f>
        <v>0</v>
      </c>
      <c r="AR17" s="1018">
        <f>IF(AM17="Structure",T17,0)</f>
        <v>0</v>
      </c>
      <c r="AS17" s="1017">
        <f>IF(AM17="Insulation",N17,0)</f>
        <v>0</v>
      </c>
      <c r="AT17" s="638">
        <f>IF(AM17="Insulation",P17,0)</f>
        <v>0</v>
      </c>
      <c r="AU17" s="638">
        <f>IF(AM17="Insulation",Q17,0)</f>
        <v>0</v>
      </c>
      <c r="AV17" s="1018">
        <f>IF(AM17="Insulation",S17,0)</f>
        <v>0</v>
      </c>
      <c r="AW17" s="1018">
        <f>IF(AM17="Insulation",T17,0)</f>
        <v>0</v>
      </c>
      <c r="AX17" s="1017">
        <f>IF(AM17="Revêtement",N17,0)</f>
        <v>0</v>
      </c>
      <c r="AY17" s="638">
        <f>IF(AM17="Revêtement",P17,0)</f>
        <v>0</v>
      </c>
      <c r="AZ17" s="638">
        <f>IF(AM17="Revêtement",Q17,0)</f>
        <v>0</v>
      </c>
      <c r="BA17" s="638">
        <f>IF(AM17="Revêtement",S17,0)</f>
        <v>0</v>
      </c>
      <c r="BB17" s="1018">
        <f>IF(AM17="Revêtement",T17,0)</f>
        <v>0</v>
      </c>
      <c r="BC17" s="1017"/>
      <c r="BF17" s="1018"/>
      <c r="BG17" s="1017">
        <f>IF($AM17="Structure", IF($I17="kg",$J17,0), 0)</f>
        <v>334.22399999999999</v>
      </c>
      <c r="BH17" s="638">
        <f>IF($AM17="Insulation", IF($I17="kg",$J17,0), 0)</f>
        <v>0</v>
      </c>
      <c r="BI17" s="1018">
        <f>IF($AM17="Revêtement", IF($I17="kg",$J17,0), 0)</f>
        <v>0</v>
      </c>
      <c r="BJ17" s="638">
        <v>30</v>
      </c>
      <c r="BK17" s="1032">
        <f t="shared" si="5"/>
        <v>11.1408</v>
      </c>
      <c r="BL17" s="1030">
        <f t="shared" si="6"/>
        <v>0</v>
      </c>
      <c r="BM17" s="1033">
        <f t="shared" si="7"/>
        <v>0</v>
      </c>
    </row>
    <row r="18" spans="2:67">
      <c r="B18" s="1103"/>
      <c r="C18" s="1110"/>
      <c r="D18" s="660"/>
      <c r="E18" s="657"/>
      <c r="F18" s="479"/>
      <c r="G18" s="479"/>
      <c r="H18" s="479"/>
      <c r="I18" s="459"/>
      <c r="J18" s="662"/>
      <c r="K18" s="663"/>
      <c r="L18" s="663"/>
      <c r="M18" s="664"/>
      <c r="N18" s="664"/>
      <c r="O18" s="664"/>
      <c r="P18" s="664"/>
      <c r="Q18" s="664"/>
      <c r="R18" s="664"/>
      <c r="S18" s="664"/>
      <c r="T18" s="664"/>
      <c r="V18" s="638">
        <f t="shared" si="3"/>
        <v>0</v>
      </c>
      <c r="W18" s="638">
        <f t="shared" si="4"/>
        <v>0</v>
      </c>
      <c r="X18" s="638">
        <f t="shared" si="9"/>
        <v>0</v>
      </c>
      <c r="Z18" s="638">
        <f t="shared" si="10"/>
        <v>0</v>
      </c>
      <c r="AA18" s="1083" t="s">
        <v>3441</v>
      </c>
      <c r="AB18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1112" cm="1">
        <f t="array" ref="AD18">IFERROR(_xlfn.SWITCH(I18,"kg",1,"m3",AC18,AC18)*J18/(_xlfn.XLOOKUP(AA18,Métrés!A:A,Métrés!E:E,0)),0)</f>
        <v>0</v>
      </c>
      <c r="AE18" s="1092">
        <f>IFERROR(N18*$G$1/(_xlfn.XLOOKUP($AA18,Métrés!$A:$A,Métrés!$E:$E,0)),0)</f>
        <v>0</v>
      </c>
      <c r="AF18" s="1092">
        <f>IFERROR(O18*$G$1/(_xlfn.XLOOKUP($AA18,Métrés!$A:$A,Métrés!$E:$E,0)),0)</f>
        <v>0</v>
      </c>
      <c r="AG18" s="1092">
        <f>IFERROR(Q18*$G$1/(_xlfn.XLOOKUP($AA18,Métrés!$A:$A,Métrés!$E:$E,0)),0)</f>
        <v>0</v>
      </c>
      <c r="AH18" s="1092">
        <f>IFERROR(R18*$G$1/(_xlfn.XLOOKUP($AA18,Métrés!$A:$A,Métrés!$E:$E,0)),0)</f>
        <v>0</v>
      </c>
      <c r="AI18" s="1092">
        <f>IFERROR(S18*$G$1/(_xlfn.XLOOKUP($AA18,Métrés!$A:$A,Métrés!$E:$E,0)),0)</f>
        <v>0</v>
      </c>
      <c r="AJ18" s="878"/>
      <c r="AK18" s="878"/>
      <c r="AL18" s="878"/>
      <c r="AM18" s="878"/>
      <c r="AN18" s="1053"/>
      <c r="AO18" s="878"/>
      <c r="AP18" s="878"/>
      <c r="AQ18" s="878"/>
      <c r="AR18" s="1054"/>
      <c r="AS18" s="1053"/>
      <c r="AT18" s="878"/>
      <c r="AU18" s="878"/>
      <c r="AV18" s="878"/>
      <c r="AW18" s="1054"/>
      <c r="AX18" s="1053"/>
      <c r="AY18" s="878"/>
      <c r="AZ18" s="878"/>
      <c r="BA18" s="878"/>
      <c r="BB18" s="1054"/>
      <c r="BC18" s="1053"/>
      <c r="BD18" s="878"/>
      <c r="BE18" s="878"/>
      <c r="BF18" s="1054"/>
      <c r="BG18" s="1053"/>
      <c r="BH18" s="878"/>
      <c r="BI18" s="1054"/>
      <c r="BJ18" s="878"/>
      <c r="BK18" s="1053"/>
      <c r="BL18" s="878"/>
      <c r="BM18" s="1054"/>
    </row>
    <row r="19" spans="2:67">
      <c r="B19" s="1103"/>
      <c r="C19" s="1110"/>
      <c r="D19" s="660"/>
      <c r="E19" s="657"/>
      <c r="F19" s="478"/>
      <c r="G19" s="478"/>
      <c r="H19" s="892"/>
      <c r="I19" s="641"/>
      <c r="J19" s="649"/>
      <c r="K19" s="893"/>
      <c r="L19" s="478"/>
      <c r="M19" s="648"/>
      <c r="N19" s="720"/>
      <c r="O19" s="720"/>
      <c r="P19" s="720"/>
      <c r="Q19" s="720"/>
      <c r="R19" s="720"/>
      <c r="S19" s="720"/>
      <c r="T19" s="720">
        <f>S19*AJ19</f>
        <v>0</v>
      </c>
      <c r="V19" s="638">
        <f t="shared" si="3"/>
        <v>0</v>
      </c>
      <c r="W19" s="638">
        <f t="shared" si="4"/>
        <v>0</v>
      </c>
      <c r="X19" s="638">
        <f t="shared" si="9"/>
        <v>0</v>
      </c>
      <c r="Z19" s="638">
        <f t="shared" si="10"/>
        <v>0</v>
      </c>
      <c r="AA19" s="1083" t="s">
        <v>3441</v>
      </c>
      <c r="AB19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1112" cm="1">
        <f t="array" ref="AD19">IFERROR(_xlfn.SWITCH(I19,"kg",1,"m3",AC19,AC19)*J19/(_xlfn.XLOOKUP(AA19,Métrés!A:A,Métrés!E:E,0)),0)</f>
        <v>0</v>
      </c>
      <c r="AE19" s="1092">
        <f>IFERROR(N19*$G$1/(_xlfn.XLOOKUP($AA19,Métrés!$A:$A,Métrés!$E:$E,0)),0)</f>
        <v>0</v>
      </c>
      <c r="AF19" s="1092">
        <f>IFERROR(O19*$G$1/(_xlfn.XLOOKUP($AA19,Métrés!$A:$A,Métrés!$E:$E,0)),0)</f>
        <v>0</v>
      </c>
      <c r="AG19" s="1092">
        <f>IFERROR(Q19*$G$1/(_xlfn.XLOOKUP($AA19,Métrés!$A:$A,Métrés!$E:$E,0)),0)</f>
        <v>0</v>
      </c>
      <c r="AH19" s="1092">
        <f>IFERROR(R19*$G$1/(_xlfn.XLOOKUP($AA19,Métrés!$A:$A,Métrés!$E:$E,0)),0)</f>
        <v>0</v>
      </c>
      <c r="AI19" s="1092">
        <f>IFERROR(S19*$G$1/(_xlfn.XLOOKUP($AA19,Métrés!$A:$A,Métrés!$E:$E,0)),0)</f>
        <v>0</v>
      </c>
      <c r="AJ19" s="1022"/>
      <c r="AK19" s="638">
        <f>IF(L19=60,0,T19)</f>
        <v>0</v>
      </c>
      <c r="AL19" s="638">
        <f>IF(L19=60,0,S19)</f>
        <v>0</v>
      </c>
      <c r="AM19" s="638">
        <f>IF(L19=$L$2, "Structure", IF(L19&gt;0,"Revêtement",0))</f>
        <v>0</v>
      </c>
      <c r="AN19" s="1017">
        <f>IF(AM19="Structure",N19,0)</f>
        <v>0</v>
      </c>
      <c r="AO19" s="638">
        <f>IF(AM19="Structure",P19,0)</f>
        <v>0</v>
      </c>
      <c r="AP19" s="638">
        <f>IF(AM19="Structure",Q19,0)</f>
        <v>0</v>
      </c>
      <c r="AQ19" s="1018">
        <f>IF(AM19="Structure",S19,0)</f>
        <v>0</v>
      </c>
      <c r="AR19" s="1018">
        <f>IF(AM19="Structure",T19,0)</f>
        <v>0</v>
      </c>
      <c r="AS19" s="1017">
        <f>IF(AM19="Insulation",N19,0)</f>
        <v>0</v>
      </c>
      <c r="AT19" s="638">
        <f>IF(AM19="Insulation",P19,0)</f>
        <v>0</v>
      </c>
      <c r="AU19" s="638">
        <f>IF(AM19="Insulation",Q19,0)</f>
        <v>0</v>
      </c>
      <c r="AV19" s="1018">
        <f>IF(AM19="Insulation",S19,0)</f>
        <v>0</v>
      </c>
      <c r="AW19" s="1018">
        <f>IF(AM19="Insulation",T19,0)</f>
        <v>0</v>
      </c>
      <c r="AX19" s="1017">
        <f>IF(AM19="Revêtement",N19,0)</f>
        <v>0</v>
      </c>
      <c r="AY19" s="638">
        <f>IF(AM19="Revêtement",P19,0)</f>
        <v>0</v>
      </c>
      <c r="AZ19" s="638">
        <f>IF(AM19="Revêtement",Q19,0)</f>
        <v>0</v>
      </c>
      <c r="BA19" s="638">
        <f>IF(AM19="Revêtement",S19,0)</f>
        <v>0</v>
      </c>
      <c r="BB19" s="1018">
        <f>IF(AM19="Revêtement",T19,0)</f>
        <v>0</v>
      </c>
      <c r="BC19" s="1017"/>
      <c r="BF19" s="1018"/>
      <c r="BG19" s="1017">
        <f>IF($AM19="Structure", IF($I19="kg",$J19,0), 0)</f>
        <v>0</v>
      </c>
      <c r="BH19" s="638">
        <f>IF($AM19="Insulation", IF($I19="kg",$J19,0), 0)</f>
        <v>0</v>
      </c>
      <c r="BI19" s="1018">
        <f>IF($AM19="Revêtement", IF($I19="kg",$J19,0), 0)</f>
        <v>0</v>
      </c>
      <c r="BJ19" s="638">
        <f>_xlfn.XLOOKUP(H19, 'Baumaterialien Matériaux'!A:A, 'Baumaterialien Matériaux'!E:E, "-", 0, 1)</f>
        <v>0</v>
      </c>
      <c r="BK19" s="1032">
        <f t="shared" si="5"/>
        <v>0</v>
      </c>
      <c r="BL19" s="1030">
        <f t="shared" si="6"/>
        <v>0</v>
      </c>
      <c r="BM19" s="1033">
        <f t="shared" si="7"/>
        <v>0</v>
      </c>
    </row>
    <row r="20" spans="2:67">
      <c r="B20" s="1103"/>
      <c r="C20" s="1110"/>
      <c r="D20" s="660"/>
      <c r="E20" s="657"/>
      <c r="F20" s="478"/>
      <c r="G20" s="478"/>
      <c r="H20" s="891"/>
      <c r="I20" s="641"/>
      <c r="J20" s="649"/>
      <c r="K20" s="728"/>
      <c r="L20" s="478"/>
      <c r="M20" s="648"/>
      <c r="N20" s="720"/>
      <c r="O20" s="720"/>
      <c r="P20" s="720"/>
      <c r="Q20" s="720"/>
      <c r="R20" s="720"/>
      <c r="S20" s="720"/>
      <c r="T20" s="720">
        <f>S20*AJ20</f>
        <v>0</v>
      </c>
      <c r="AA20" s="1083"/>
      <c r="AB20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1112" cm="1">
        <f t="array" ref="AD20">IFERROR(_xlfn.SWITCH(I20,"kg",1,"m3",AC20,AC20)*J20/(_xlfn.XLOOKUP(AA20,Métrés!A:A,Métrés!E:E,0)),0)</f>
        <v>0</v>
      </c>
      <c r="AE20" s="1092"/>
      <c r="AF20" s="1092"/>
      <c r="AG20" s="1092"/>
      <c r="AH20" s="1092"/>
      <c r="AI20" s="1092"/>
      <c r="AJ20" s="1022"/>
      <c r="AK20" s="638">
        <f>IF(L20=60,0,T20)</f>
        <v>0</v>
      </c>
      <c r="AL20" s="638">
        <f>IF(L20=60,0,S20)</f>
        <v>0</v>
      </c>
      <c r="AM20" s="638">
        <f>IF(L20=$L$2, "Structure", IF(L20&gt;0,"Revêtement",0))</f>
        <v>0</v>
      </c>
      <c r="AN20" s="1017">
        <f>IF(AM20="Structure",N20,0)</f>
        <v>0</v>
      </c>
      <c r="AO20" s="638">
        <f>IF(AM20="Structure",P20,0)</f>
        <v>0</v>
      </c>
      <c r="AP20" s="638">
        <f>IF(AM20="Structure",Q20,0)</f>
        <v>0</v>
      </c>
      <c r="AQ20" s="1018">
        <f>IF(AM20="Structure",S20,0)</f>
        <v>0</v>
      </c>
      <c r="AR20" s="1018">
        <f>IF(AM20="Structure",T20,0)</f>
        <v>0</v>
      </c>
      <c r="AS20" s="1017">
        <f>IF(AM20="Insulation",N20,0)</f>
        <v>0</v>
      </c>
      <c r="AT20" s="638">
        <f>IF(AM20="Insulation",P20,0)</f>
        <v>0</v>
      </c>
      <c r="AU20" s="638">
        <f>IF(AM20="Insulation",Q20,0)</f>
        <v>0</v>
      </c>
      <c r="AV20" s="1018">
        <f>IF(AM20="Insulation",S20,0)</f>
        <v>0</v>
      </c>
      <c r="AW20" s="1018">
        <f>IF(AM20="Insulation",T20,0)</f>
        <v>0</v>
      </c>
      <c r="AX20" s="1017">
        <f>IF(AM20="Revêtement",N20,0)</f>
        <v>0</v>
      </c>
      <c r="AY20" s="638">
        <f>IF(AM20="Revêtement",P20,0)</f>
        <v>0</v>
      </c>
      <c r="AZ20" s="638">
        <f>IF(AM20="Revêtement",Q20,0)</f>
        <v>0</v>
      </c>
      <c r="BA20" s="638">
        <f>IF(AM20="Revêtement",S20,0)</f>
        <v>0</v>
      </c>
      <c r="BB20" s="1018">
        <f>IF(AM20="Revêtement",T20,0)</f>
        <v>0</v>
      </c>
      <c r="BC20" s="1017"/>
      <c r="BF20" s="1018"/>
      <c r="BG20" s="1017">
        <f>IF($AM20="Structure", IF($I20="kg",$J20,0), 0)</f>
        <v>0</v>
      </c>
      <c r="BH20" s="638">
        <f>IF($AM20="Insulation", IF($I20="kg",$J20,0), 0)</f>
        <v>0</v>
      </c>
      <c r="BI20" s="1018">
        <f>IF($AM20="Revêtement", IF($I20="kg",$J20,0), 0)</f>
        <v>0</v>
      </c>
      <c r="BJ20" s="638">
        <f>_xlfn.XLOOKUP(H20, 'Baumaterialien Matériaux'!A:A, 'Baumaterialien Matériaux'!E:E, "-", 0, 1)</f>
        <v>0</v>
      </c>
      <c r="BK20" s="1032">
        <f t="shared" si="5"/>
        <v>0</v>
      </c>
      <c r="BL20" s="1030">
        <f t="shared" si="6"/>
        <v>0</v>
      </c>
      <c r="BM20" s="1033">
        <f t="shared" si="7"/>
        <v>0</v>
      </c>
    </row>
    <row r="21" spans="2:67">
      <c r="B21" s="1103"/>
      <c r="C21" s="1111"/>
      <c r="D21" s="661"/>
      <c r="E21" s="657"/>
      <c r="F21" s="478"/>
      <c r="G21" s="478"/>
      <c r="H21" s="892"/>
      <c r="I21" s="641"/>
      <c r="J21" s="649"/>
      <c r="K21" s="728"/>
      <c r="L21" s="478"/>
      <c r="M21" s="648"/>
      <c r="N21" s="720"/>
      <c r="O21" s="720"/>
      <c r="P21" s="720"/>
      <c r="Q21" s="720"/>
      <c r="R21" s="720"/>
      <c r="S21" s="720"/>
      <c r="T21" s="720">
        <f>S21*AJ21</f>
        <v>0</v>
      </c>
      <c r="V21" s="638">
        <f t="shared" si="3"/>
        <v>0</v>
      </c>
      <c r="W21" s="638">
        <f t="shared" si="4"/>
        <v>0</v>
      </c>
      <c r="X21" s="638">
        <f t="shared" si="9"/>
        <v>0</v>
      </c>
      <c r="Z21" s="638">
        <f t="shared" si="10"/>
        <v>0</v>
      </c>
      <c r="AA21" s="1083" t="s">
        <v>3441</v>
      </c>
      <c r="AB21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1112" cm="1">
        <f t="array" ref="AD21">IFERROR(_xlfn.SWITCH(I21,"kg",1,"m3",AC21,AC21)*J21/(_xlfn.XLOOKUP(AA21,Métrés!A:A,Métrés!E:E,0)),0)</f>
        <v>0</v>
      </c>
      <c r="AE21" s="1092">
        <f>IFERROR(N21*$G$1/(_xlfn.XLOOKUP($AA21,Métrés!$A:$A,Métrés!$E:$E,0)),0)</f>
        <v>0</v>
      </c>
      <c r="AF21" s="1092">
        <f>IFERROR(O21*$G$1/(_xlfn.XLOOKUP($AA21,Métrés!$A:$A,Métrés!$E:$E,0)),0)</f>
        <v>0</v>
      </c>
      <c r="AG21" s="1092">
        <f>IFERROR(Q21*$G$1/(_xlfn.XLOOKUP($AA21,Métrés!$A:$A,Métrés!$E:$E,0)),0)</f>
        <v>0</v>
      </c>
      <c r="AH21" s="1092">
        <f>IFERROR(R21*$G$1/(_xlfn.XLOOKUP($AA21,Métrés!$A:$A,Métrés!$E:$E,0)),0)</f>
        <v>0</v>
      </c>
      <c r="AI21" s="1092">
        <f>IFERROR(S21*$G$1/(_xlfn.XLOOKUP($AA21,Métrés!$A:$A,Métrés!$E:$E,0)),0)</f>
        <v>0</v>
      </c>
      <c r="AJ21" s="1022"/>
      <c r="AK21" s="638">
        <f>IF(L21=60,0,T21)</f>
        <v>0</v>
      </c>
      <c r="AL21" s="638">
        <f>IF(L21=60,0,S21)</f>
        <v>0</v>
      </c>
      <c r="AM21" s="638">
        <f>IF(L21=$L$2, "Structure", IF(L21&gt;0,"Revêtement",0))</f>
        <v>0</v>
      </c>
      <c r="AN21" s="1017">
        <f>IF(AM21="Structure",N21,0)</f>
        <v>0</v>
      </c>
      <c r="AO21" s="638">
        <f>IF(AM21="Structure",P21,0)</f>
        <v>0</v>
      </c>
      <c r="AP21" s="638">
        <f>IF(AM21="Structure",Q21,0)</f>
        <v>0</v>
      </c>
      <c r="AQ21" s="1018">
        <f>IF(AM21="Structure",S21,0)</f>
        <v>0</v>
      </c>
      <c r="AR21" s="1018">
        <f>IF(AM21="Structure",T21,0)</f>
        <v>0</v>
      </c>
      <c r="AS21" s="1017">
        <f>IF(AM21="Insulation",N21,0)</f>
        <v>0</v>
      </c>
      <c r="AT21" s="638">
        <f>IF(AM21="Insulation",P21,0)</f>
        <v>0</v>
      </c>
      <c r="AU21" s="638">
        <f>IF(AM21="Insulation",Q21,0)</f>
        <v>0</v>
      </c>
      <c r="AV21" s="1018">
        <f>IF(AM21="Insulation",S21,0)</f>
        <v>0</v>
      </c>
      <c r="AW21" s="1018">
        <f>IF(AM21="Insulation",T21,0)</f>
        <v>0</v>
      </c>
      <c r="AX21" s="1017">
        <f>IF(AM21="Revêtement",N21,0)</f>
        <v>0</v>
      </c>
      <c r="AY21" s="638">
        <f>IF(AM21="Revêtement",P21,0)</f>
        <v>0</v>
      </c>
      <c r="AZ21" s="638">
        <f>IF(AM21="Revêtement",Q21,0)</f>
        <v>0</v>
      </c>
      <c r="BA21" s="638">
        <f>IF(AM21="Revêtement",S21,0)</f>
        <v>0</v>
      </c>
      <c r="BB21" s="1018">
        <f>IF(AM21="Revêtement",T21,0)</f>
        <v>0</v>
      </c>
      <c r="BC21" s="1017"/>
      <c r="BF21" s="1018"/>
      <c r="BG21" s="1017">
        <f>IF($AM21="Structure", IF($I21="kg",$J21,0), 0)</f>
        <v>0</v>
      </c>
      <c r="BH21" s="638">
        <f>IF($AM21="Insulation", IF($I21="kg",$J21,0), 0)</f>
        <v>0</v>
      </c>
      <c r="BI21" s="1018">
        <f>IF($AM21="Revêtement", IF($I21="kg",$J21,0), 0)</f>
        <v>0</v>
      </c>
      <c r="BJ21" s="638">
        <f>_xlfn.XLOOKUP(H21, 'Baumaterialien Matériaux'!A:A, 'Baumaterialien Matériaux'!E:E, "-", 0, 1)</f>
        <v>0</v>
      </c>
      <c r="BK21" s="1032">
        <f t="shared" si="5"/>
        <v>0</v>
      </c>
      <c r="BL21" s="1030">
        <f t="shared" si="6"/>
        <v>0</v>
      </c>
      <c r="BM21" s="1033">
        <f t="shared" si="7"/>
        <v>0</v>
      </c>
    </row>
    <row r="22" spans="2:67" ht="15.75" customHeight="1">
      <c r="B22" s="1103"/>
      <c r="C22" s="1097" t="s">
        <v>108</v>
      </c>
      <c r="D22" s="659" t="s">
        <v>109</v>
      </c>
      <c r="E22" s="473"/>
      <c r="F22" s="473"/>
      <c r="G22" s="473"/>
      <c r="H22" s="473"/>
      <c r="I22" s="463"/>
      <c r="J22" s="654"/>
      <c r="K22" s="652"/>
      <c r="L22" s="652"/>
      <c r="M22" s="653">
        <f>M23+M27+M34</f>
        <v>32.431502110194437</v>
      </c>
      <c r="N22" s="653">
        <f t="shared" ref="N22:S22" si="22">N23+N27+N34</f>
        <v>29.817624538783637</v>
      </c>
      <c r="O22" s="653">
        <f t="shared" ref="O22" si="23">O23+O27+O34</f>
        <v>6.6935587413457149</v>
      </c>
      <c r="P22" s="653">
        <f t="shared" si="22"/>
        <v>0</v>
      </c>
      <c r="Q22" s="653">
        <f t="shared" si="22"/>
        <v>2.6138775714108036</v>
      </c>
      <c r="R22" s="653">
        <f t="shared" ref="R22" si="24">R23+R27+R34</f>
        <v>0.89473700509929111</v>
      </c>
      <c r="S22" s="653">
        <f t="shared" si="22"/>
        <v>0</v>
      </c>
      <c r="T22" s="653">
        <f t="shared" ref="T22" si="25">T23+T27+T34</f>
        <v>0</v>
      </c>
      <c r="V22" s="638">
        <f t="shared" si="3"/>
        <v>0</v>
      </c>
      <c r="W22" s="638">
        <f t="shared" si="4"/>
        <v>0</v>
      </c>
      <c r="X22" s="638">
        <f t="shared" si="9"/>
        <v>0</v>
      </c>
      <c r="Z22" s="638">
        <f t="shared" si="10"/>
        <v>0</v>
      </c>
      <c r="AA22" s="653"/>
      <c r="AB22">
        <f>_xlfn.XLOOKUP($H22,'[1]Baumaterialien Matériaux'!$A:$A,'[1]Baumaterialien Matériaux'!AK:AK,0,0)</f>
        <v>0</v>
      </c>
      <c r="AC22" t="str" cm="1">
        <f t="array" ref="AC22">_xlfn.SWITCH(I22,"kg"," ",0," ",_xlfn.XLOOKUP(H22, '[1]Baumaterialien Matériaux'!$A:$A, '[1]Baumaterialien Matériaux'!$AL:$AL, "-", 0, 1))</f>
        <v xml:space="preserve"> </v>
      </c>
      <c r="AD22" s="1112" cm="1">
        <f t="array" ref="AD22">IFERROR(_xlfn.SWITCH(I22,"kg",1,"m3",AC22,AC22)*J22/(_xlfn.XLOOKUP(AA22,Métrés!A:A,Métrés!E:E,0)),0)</f>
        <v>0</v>
      </c>
      <c r="AE22" s="1092">
        <f>IFERROR(N22*$G$1/(_xlfn.XLOOKUP($AA22,Métrés!$A:$A,Métrés!$E:$E,0)),0)</f>
        <v>0</v>
      </c>
      <c r="AF22" s="1092">
        <f>IFERROR(O22*$G$1/(_xlfn.XLOOKUP($AA22,Métrés!$A:$A,Métrés!$E:$E,0)),0)</f>
        <v>0</v>
      </c>
      <c r="AG22" s="1092">
        <f>IFERROR(Q22*$G$1/(_xlfn.XLOOKUP($AA22,Métrés!$A:$A,Métrés!$E:$E,0)),0)</f>
        <v>0</v>
      </c>
      <c r="AH22" s="1092">
        <f>IFERROR(R22*$G$1/(_xlfn.XLOOKUP($AA22,Métrés!$A:$A,Métrés!$E:$E,0)),0)</f>
        <v>0</v>
      </c>
      <c r="AI22" s="1092">
        <f>IFERROR(S22*$G$1/(_xlfn.XLOOKUP($AA22,Métrés!$A:$A,Métrés!$E:$E,0)),0)</f>
        <v>0</v>
      </c>
      <c r="AJ22" s="666"/>
      <c r="AK22" s="666"/>
      <c r="AL22" s="666"/>
      <c r="AM22" s="666"/>
      <c r="AN22" s="1051"/>
      <c r="AO22" s="666"/>
      <c r="AP22" s="666"/>
      <c r="AQ22" s="666"/>
      <c r="AR22" s="1052"/>
      <c r="AS22" s="1051"/>
      <c r="AT22" s="666"/>
      <c r="AU22" s="666"/>
      <c r="AV22" s="666"/>
      <c r="AW22" s="1052"/>
      <c r="AX22" s="1051"/>
      <c r="AY22" s="666"/>
      <c r="AZ22" s="666"/>
      <c r="BA22" s="666"/>
      <c r="BB22" s="1052"/>
      <c r="BC22" s="1051"/>
      <c r="BD22" s="666"/>
      <c r="BE22" s="666"/>
      <c r="BF22" s="1052"/>
      <c r="BG22" s="1051"/>
      <c r="BH22" s="666"/>
      <c r="BI22" s="1052"/>
      <c r="BJ22" s="666"/>
      <c r="BK22" s="1051"/>
      <c r="BL22" s="666"/>
      <c r="BM22" s="1052"/>
    </row>
    <row r="23" spans="2:67">
      <c r="B23" s="1103"/>
      <c r="C23" s="1098"/>
      <c r="D23" s="478"/>
      <c r="E23" s="479" t="str">
        <f>BillQuantities!E10</f>
        <v>non-isolés</v>
      </c>
      <c r="F23" s="479" t="s">
        <v>3035</v>
      </c>
      <c r="G23" s="479"/>
      <c r="H23" s="479"/>
      <c r="I23" s="459" t="s">
        <v>39</v>
      </c>
      <c r="J23" s="662">
        <v>329.42</v>
      </c>
      <c r="K23" s="663"/>
      <c r="L23" s="663"/>
      <c r="M23" s="664">
        <f>SUM(M24:M26)</f>
        <v>32.431502110194437</v>
      </c>
      <c r="N23" s="664">
        <f t="shared" ref="N23:S23" si="26">SUM(N24:N26)</f>
        <v>29.817624538783637</v>
      </c>
      <c r="O23" s="664">
        <f t="shared" ref="O23" si="27">SUM(O24:O26)</f>
        <v>6.6935587413457149</v>
      </c>
      <c r="P23" s="664">
        <f t="shared" si="26"/>
        <v>0</v>
      </c>
      <c r="Q23" s="664">
        <f t="shared" si="26"/>
        <v>2.6138775714108036</v>
      </c>
      <c r="R23" s="664">
        <f t="shared" ref="R23" si="28">SUM(R24:R26)</f>
        <v>0.89473700509929111</v>
      </c>
      <c r="S23" s="664">
        <f t="shared" si="26"/>
        <v>0</v>
      </c>
      <c r="T23" s="664">
        <f t="shared" ref="T23" si="29">SUM(T24:T26)</f>
        <v>0</v>
      </c>
      <c r="V23" s="638">
        <f t="shared" si="3"/>
        <v>0</v>
      </c>
      <c r="W23" s="638">
        <f t="shared" si="4"/>
        <v>0</v>
      </c>
      <c r="X23" s="638">
        <f t="shared" si="9"/>
        <v>0</v>
      </c>
      <c r="Z23" s="638">
        <f t="shared" si="10"/>
        <v>0</v>
      </c>
      <c r="AA23" s="527" t="s">
        <v>3439</v>
      </c>
      <c r="AB23">
        <f>_xlfn.XLOOKUP($H23,'[1]Baumaterialien Matériaux'!$A:$A,'[1]Baumaterialien Matériaux'!AK:AK,0,0)</f>
        <v>0</v>
      </c>
      <c r="AC23" cm="1">
        <f t="array" ref="AC23">_xlfn.SWITCH(I23,"kg"," ",0," ",_xlfn.XLOOKUP(H23, '[1]Baumaterialien Matériaux'!$A:$A, '[1]Baumaterialien Matériaux'!$AL:$AL, "-", 0, 1))</f>
        <v>0</v>
      </c>
      <c r="AD23" s="1112" cm="1">
        <f t="array" ref="AD23">IFERROR(_xlfn.SWITCH(I23,"kg",1,"m3",AC23,AC23)*J23/(_xlfn.XLOOKUP(AA23,Métrés!A:A,Métrés!E:E,0)),0)</f>
        <v>0</v>
      </c>
      <c r="AE23" s="1092">
        <f>IFERROR(N23*$G$1/(_xlfn.XLOOKUP($AA23,Métrés!$A:$A,Métrés!$E:$E,0)),0)</f>
        <v>87.333000000000013</v>
      </c>
      <c r="AF23" s="1092">
        <f>IFERROR(O23*$G$1/(_xlfn.XLOOKUP($AA23,Métrés!$A:$A,Métrés!$E:$E,0)),0)</f>
        <v>19.604800000000001</v>
      </c>
      <c r="AG23" s="1092">
        <f>IFERROR(Q23*$G$1/(_xlfn.XLOOKUP($AA23,Métrés!$A:$A,Métrés!$E:$E,0)),0)</f>
        <v>7.6557999999999984</v>
      </c>
      <c r="AH23" s="1092">
        <f>IFERROR(R23*$G$1/(_xlfn.XLOOKUP($AA23,Métrés!$A:$A,Métrés!$E:$E,0)),0)</f>
        <v>2.6206</v>
      </c>
      <c r="AI23" s="1092">
        <f>IFERROR(S23*$G$1/(_xlfn.XLOOKUP($AA23,Métrés!$A:$A,Métrés!$E:$E,0)),0)</f>
        <v>0</v>
      </c>
      <c r="AJ23" s="878"/>
      <c r="AK23" s="878"/>
      <c r="AL23" s="878"/>
      <c r="AM23" s="878"/>
      <c r="AN23" s="1053"/>
      <c r="AO23" s="878"/>
      <c r="AP23" s="878"/>
      <c r="AQ23" s="878"/>
      <c r="AR23" s="1054"/>
      <c r="AS23" s="1053"/>
      <c r="AT23" s="878"/>
      <c r="AU23" s="878"/>
      <c r="AV23" s="878"/>
      <c r="AW23" s="1054"/>
      <c r="AX23" s="1053"/>
      <c r="AY23" s="878"/>
      <c r="AZ23" s="878"/>
      <c r="BA23" s="878"/>
      <c r="BB23" s="1054"/>
      <c r="BC23" s="1053"/>
      <c r="BD23" s="878"/>
      <c r="BE23" s="878"/>
      <c r="BF23" s="1054"/>
      <c r="BG23" s="1053"/>
      <c r="BH23" s="878"/>
      <c r="BI23" s="1054"/>
      <c r="BJ23" s="878"/>
      <c r="BK23" s="1053"/>
      <c r="BL23" s="878"/>
      <c r="BM23" s="1054"/>
    </row>
    <row r="24" spans="2:67">
      <c r="B24" s="1103"/>
      <c r="C24" s="1099"/>
      <c r="D24" s="478"/>
      <c r="E24" s="478"/>
      <c r="F24" s="638" t="s">
        <v>2981</v>
      </c>
      <c r="G24" s="478" t="str">
        <f>_xlfn.XLOOKUP(H24, 'Baumaterialien Matériaux'!A:A, 'Baumaterialien Matériaux'!AD:AD, "-", 0, 1)</f>
        <v>Béton pour bâtiment (sans armature)</v>
      </c>
      <c r="H24" s="891">
        <v>1.0019999999999998</v>
      </c>
      <c r="I24" s="641" t="str">
        <f>_xlfn.XLOOKUP(H24, 'Baumaterialien Matériaux'!A:A, 'Baumaterialien Matériaux'!F:F, "-", 0, 1)</f>
        <v>kg</v>
      </c>
      <c r="J24" s="649">
        <f>$J$23*K24</f>
        <v>151533.20000000001</v>
      </c>
      <c r="K24" s="893">
        <f>0.2*2300</f>
        <v>460</v>
      </c>
      <c r="L24" s="647">
        <v>60</v>
      </c>
      <c r="M24" s="648">
        <f>IFERROR((J24*VLOOKUP(H24, 'Baumaterialien Matériaux'!$A$11:$AD$318, 26,FALSE))+(J24*VLOOKUP(H24, 'Baumaterialien Matériaux'!$A$11:$AD$318, 27,FALSE)),0)/$G$1</f>
        <v>15.941109199452761</v>
      </c>
      <c r="N24" s="720">
        <f>IFERROR(($J24*VLOOKUP($H24, 'Baumaterialien Matériaux'!$A$11:$AH$318, 26,FALSE)),0)/$G$1</f>
        <v>13.946507358733056</v>
      </c>
      <c r="O24" s="720">
        <f>IFERROR(($J24*VLOOKUP($H24, 'Baumaterialien Matériaux'!$A$11:$AH$318, 33,FALSE)),0)/$G$1</f>
        <v>3.2667494714149496</v>
      </c>
      <c r="P24" s="720">
        <f>(N24+Q24)*($L$2/L24-1)</f>
        <v>0</v>
      </c>
      <c r="Q24" s="720">
        <f>IFERROR(($J24*VLOOKUP($H24, 'Baumaterialien Matériaux'!$A$11:$AH$318, 27,FALSE)),0)/$G$1</f>
        <v>1.9946018407197048</v>
      </c>
      <c r="R24" s="720">
        <f>IFERROR(($J24*VLOOKUP($H24, 'Baumaterialien Matériaux'!$A$11:$AH$318, 34,FALSE)),0)/$G$1</f>
        <v>0.42090810497077241</v>
      </c>
      <c r="S24" s="720">
        <f>IFERROR((J24*VLOOKUP(H24, 'Baumaterialien Matériaux'!$A$11:$AD$318, 29,FALSE)),0)/$G$1</f>
        <v>0</v>
      </c>
      <c r="T24" s="720">
        <f>S24*AJ24</f>
        <v>0</v>
      </c>
      <c r="V24" s="638">
        <f t="shared" si="3"/>
        <v>0</v>
      </c>
      <c r="W24" s="638">
        <f t="shared" si="4"/>
        <v>0</v>
      </c>
      <c r="X24" s="638" t="str">
        <f t="shared" si="9"/>
        <v>Structure</v>
      </c>
      <c r="Z24" s="638">
        <f t="shared" si="10"/>
        <v>60</v>
      </c>
      <c r="AA24" s="527" t="s">
        <v>3439</v>
      </c>
      <c r="AB24" t="str">
        <f>_xlfn.XLOOKUP($H24,'[1]Baumaterialien Matériaux'!$A:$A,'[1]Baumaterialien Matériaux'!AK:AK,0,0)</f>
        <v>concrete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1112" cm="1">
        <f t="array" ref="AD24">IFERROR(_xlfn.SWITCH(I24,"kg",1,"m3",AC24,AC24)*J24/(_xlfn.XLOOKUP(AA24,Métrés!A:A,Métrés!E:E,0)),0)</f>
        <v>460</v>
      </c>
      <c r="AE24" s="1092">
        <f>IFERROR(N24*$G$1/(_xlfn.XLOOKUP($AA24,Métrés!$A:$A,Métrés!$E:$E,0)),0)</f>
        <v>40.848000000000006</v>
      </c>
      <c r="AF24" s="1092">
        <f>IFERROR(O24*$G$1/(_xlfn.XLOOKUP($AA24,Métrés!$A:$A,Métrés!$E:$E,0)),0)</f>
        <v>9.5679999999999996</v>
      </c>
      <c r="AG24" s="1092">
        <f>IFERROR(Q24*$G$1/(_xlfn.XLOOKUP($AA24,Métrés!$A:$A,Métrés!$E:$E,0)),0)</f>
        <v>5.8419999999999996</v>
      </c>
      <c r="AH24" s="1092">
        <f>IFERROR(R24*$G$1/(_xlfn.XLOOKUP($AA24,Métrés!$A:$A,Métrés!$E:$E,0)),0)</f>
        <v>1.2328000000000001</v>
      </c>
      <c r="AI24" s="1092">
        <f>IFERROR(S24*$G$1/(_xlfn.XLOOKUP($AA24,Métrés!$A:$A,Métrés!$E:$E,0)),0)</f>
        <v>0</v>
      </c>
      <c r="AJ24" s="1022"/>
      <c r="AK24" s="638">
        <f>IF(L24=60,0,T24)</f>
        <v>0</v>
      </c>
      <c r="AL24" s="638">
        <f>IF(L24=60,0,S24)</f>
        <v>0</v>
      </c>
      <c r="AM24" s="638" t="str">
        <f>IF(L24=$L$2, "Structure", IF(L24&gt;0,"Revêtement",0))</f>
        <v>Structure</v>
      </c>
      <c r="AN24" s="1017">
        <f>IF(AM24="Structure",N24,0)</f>
        <v>13.946507358733056</v>
      </c>
      <c r="AO24" s="638">
        <f>IF(AM24="Structure",P24,0)</f>
        <v>0</v>
      </c>
      <c r="AP24" s="638">
        <f>IF(AM24="Structure",Q24,0)</f>
        <v>1.9946018407197048</v>
      </c>
      <c r="AQ24" s="1018">
        <f>IF(AM24="Structure",S24,0)</f>
        <v>0</v>
      </c>
      <c r="AR24" s="1018">
        <f>IF(AM24="Structure",T24,0)</f>
        <v>0</v>
      </c>
      <c r="AS24" s="1017">
        <f>IF(AM24="Insulation",N24,0)</f>
        <v>0</v>
      </c>
      <c r="AT24" s="638">
        <f>IF(AM24="Insulation",P24,0)</f>
        <v>0</v>
      </c>
      <c r="AU24" s="638">
        <f>IF(AM24="Insulation",Q24,0)</f>
        <v>0</v>
      </c>
      <c r="AV24" s="1018">
        <f>IF(AM24="Insulation",S24,0)</f>
        <v>0</v>
      </c>
      <c r="AW24" s="1018">
        <f>IF(AM24="Insulation",T24,0)</f>
        <v>0</v>
      </c>
      <c r="AX24" s="1017">
        <f>IF(AM24="Revêtement",N24,0)</f>
        <v>0</v>
      </c>
      <c r="AY24" s="638">
        <f>IF(AM24="Revêtement",P24,0)</f>
        <v>0</v>
      </c>
      <c r="AZ24" s="638">
        <f>IF(AM24="Revêtement",Q24,0)</f>
        <v>0</v>
      </c>
      <c r="BA24" s="638">
        <f>IF(AM24="Revêtement",S24,0)</f>
        <v>0</v>
      </c>
      <c r="BB24" s="1018">
        <f>IF(AM24="Revêtement",T24,0)</f>
        <v>0</v>
      </c>
      <c r="BC24" s="1017"/>
      <c r="BF24" s="1018"/>
      <c r="BG24" s="1017">
        <f>IF($AM24="Structure", IF($I24="kg",$J24,0), 0)</f>
        <v>151533.20000000001</v>
      </c>
      <c r="BH24" s="638">
        <f>IF($AM24="Insulation", IF($I24="kg",$J24,0), 0)</f>
        <v>0</v>
      </c>
      <c r="BI24" s="1018">
        <f>IF($AM24="Revêtement", IF($I24="kg",$J24,0), 0)</f>
        <v>0</v>
      </c>
      <c r="BJ24" s="638">
        <f>_xlfn.XLOOKUP(H24, 'Baumaterialien Matériaux'!A:A, 'Baumaterialien Matériaux'!E:E, "-", 0, 1)</f>
        <v>2300</v>
      </c>
      <c r="BK24" s="1032">
        <f t="shared" si="5"/>
        <v>65.884</v>
      </c>
      <c r="BL24" s="1030">
        <f t="shared" si="6"/>
        <v>0</v>
      </c>
      <c r="BM24" s="1033">
        <f t="shared" si="7"/>
        <v>0</v>
      </c>
      <c r="BN24" s="720">
        <f>IFERROR((J24*VLOOKUP(H24, 'Baumaterialien Matériaux'!$A$11:$AH$318, 32,FALSE))*($L$2/L24-1),0)/$G$1</f>
        <v>0</v>
      </c>
      <c r="BO24" s="720">
        <f>IFERROR((N24+Q24)*($L$2/L24-1),0)</f>
        <v>0</v>
      </c>
    </row>
    <row r="25" spans="2:67">
      <c r="B25" s="1103"/>
      <c r="C25" s="1099"/>
      <c r="D25" s="478"/>
      <c r="E25" s="478"/>
      <c r="F25" s="483" t="s">
        <v>3008</v>
      </c>
      <c r="G25" s="478" t="str">
        <f>_xlfn.XLOOKUP(H25, 'Baumaterialien Matériaux'!A:A, 'Baumaterialien Matériaux'!AD:AD, "-", 0, 1)</f>
        <v>Acier d'armature</v>
      </c>
      <c r="H25" s="892" t="s">
        <v>497</v>
      </c>
      <c r="I25" s="641" t="str">
        <f>_xlfn.XLOOKUP(H25, 'Baumaterialien Matériaux'!A:A, 'Baumaterialien Matériaux'!F:F, "-", 0, 1)</f>
        <v>kg</v>
      </c>
      <c r="J25" s="649">
        <f t="shared" ref="J25" si="30">$J$23*K25</f>
        <v>9882.6</v>
      </c>
      <c r="K25" s="893">
        <f>0.2*150</f>
        <v>30</v>
      </c>
      <c r="L25" s="647">
        <v>60</v>
      </c>
      <c r="M25" s="648">
        <f>IFERROR((J25*VLOOKUP(H25, 'Baumaterialien Matériaux'!$A$11:$AD$318, 26,FALSE))+(J25*VLOOKUP(H25, 'Baumaterialien Matériaux'!$A$11:$AD$318, 27,FALSE)),0)/$G$1</f>
        <v>15.491111728369471</v>
      </c>
      <c r="N25" s="720">
        <f>IFERROR(($J25*VLOOKUP($H25, 'Baumaterialien Matériaux'!$A$11:$AH$318, 26,FALSE)),0)/$G$1</f>
        <v>15.36410181999088</v>
      </c>
      <c r="O25" s="720">
        <f>IFERROR(($J25*VLOOKUP($H25, 'Baumaterialien Matériaux'!$A$11:$AH$318, 33,FALSE)),0)/$G$1</f>
        <v>2.9806357530782304</v>
      </c>
      <c r="P25" s="720">
        <f t="shared" ref="P25:P26" si="31">(N25+Q25)*($L$2/L25-1)</f>
        <v>0</v>
      </c>
      <c r="Q25" s="720">
        <f>IFERROR(($J25*VLOOKUP($H25, 'Baumaterialien Matériaux'!$A$11:$AH$318, 27,FALSE)),0)/$G$1</f>
        <v>0.12700990837859127</v>
      </c>
      <c r="R25" s="720">
        <f>IFERROR(($J25*VLOOKUP($H25, 'Baumaterialien Matériaux'!$A$11:$AH$318, 34,FALSE)),0)/$G$1</f>
        <v>0</v>
      </c>
      <c r="S25" s="720">
        <f>IFERROR((J25*VLOOKUP(H25, 'Baumaterialien Matériaux'!$A$11:$AD$318, 29,FALSE)),0)/$G$1</f>
        <v>0</v>
      </c>
      <c r="T25" s="720">
        <f>S25*AJ25</f>
        <v>0</v>
      </c>
      <c r="V25" s="638">
        <f t="shared" si="3"/>
        <v>0</v>
      </c>
      <c r="W25" s="638">
        <f t="shared" si="4"/>
        <v>0</v>
      </c>
      <c r="X25" s="638" t="str">
        <f t="shared" si="9"/>
        <v>Structure</v>
      </c>
      <c r="Z25" s="638">
        <f t="shared" si="10"/>
        <v>60</v>
      </c>
      <c r="AA25" s="527" t="s">
        <v>3439</v>
      </c>
      <c r="AB25" t="str">
        <f>_xlfn.XLOOKUP($H25,'[1]Baumaterialien Matériaux'!$A:$A,'[1]Baumaterialien Matériaux'!AK:AK,0,0)</f>
        <v>metal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1112" cm="1">
        <f t="array" ref="AD25">IFERROR(_xlfn.SWITCH(I25,"kg",1,"m3",AC25,AC25)*J25/(_xlfn.XLOOKUP(AA25,Métrés!A:A,Métrés!E:E,0)),0)</f>
        <v>30</v>
      </c>
      <c r="AE25" s="1092">
        <f>IFERROR(N25*$G$1/(_xlfn.XLOOKUP($AA25,Métrés!$A:$A,Métrés!$E:$E,0)),0)</f>
        <v>45</v>
      </c>
      <c r="AF25" s="1092">
        <f>IFERROR(O25*$G$1/(_xlfn.XLOOKUP($AA25,Métrés!$A:$A,Métrés!$E:$E,0)),0)</f>
        <v>8.73</v>
      </c>
      <c r="AG25" s="1092">
        <f>IFERROR(Q25*$G$1/(_xlfn.XLOOKUP($AA25,Métrés!$A:$A,Métrés!$E:$E,0)),0)</f>
        <v>0.372</v>
      </c>
      <c r="AH25" s="1092">
        <f>IFERROR(R25*$G$1/(_xlfn.XLOOKUP($AA25,Métrés!$A:$A,Métrés!$E:$E,0)),0)</f>
        <v>0</v>
      </c>
      <c r="AI25" s="1092">
        <f>IFERROR(S25*$G$1/(_xlfn.XLOOKUP($AA25,Métrés!$A:$A,Métrés!$E:$E,0)),0)</f>
        <v>0</v>
      </c>
      <c r="AJ25" s="1022"/>
      <c r="AK25" s="638">
        <f>IF(L25=60,0,T25)</f>
        <v>0</v>
      </c>
      <c r="AL25" s="638">
        <f>IF(L25=60,0,S25)</f>
        <v>0</v>
      </c>
      <c r="AM25" s="638" t="str">
        <f>IF(L25=$L$2, "Structure", IF(L25&gt;0,"Revêtement",0))</f>
        <v>Structure</v>
      </c>
      <c r="AN25" s="1017">
        <f>IF(AM25="Structure",N25,0)</f>
        <v>15.36410181999088</v>
      </c>
      <c r="AO25" s="638">
        <f>IF(AM25="Structure",P25,0)</f>
        <v>0</v>
      </c>
      <c r="AP25" s="638">
        <f>IF(AM25="Structure",Q25,0)</f>
        <v>0.12700990837859127</v>
      </c>
      <c r="AQ25" s="1018">
        <f>IF(AM25="Structure",S25,0)</f>
        <v>0</v>
      </c>
      <c r="AR25" s="1018">
        <f>IF(AM25="Structure",T25,0)</f>
        <v>0</v>
      </c>
      <c r="AS25" s="1017">
        <f>IF(AM25="Insulation",N25,0)</f>
        <v>0</v>
      </c>
      <c r="AT25" s="638">
        <f>IF(AM25="Insulation",P25,0)</f>
        <v>0</v>
      </c>
      <c r="AU25" s="638">
        <f>IF(AM25="Insulation",Q25,0)</f>
        <v>0</v>
      </c>
      <c r="AV25" s="1018">
        <f>IF(AM25="Insulation",S25,0)</f>
        <v>0</v>
      </c>
      <c r="AW25" s="1018">
        <f>IF(AM25="Insulation",T25,0)</f>
        <v>0</v>
      </c>
      <c r="AX25" s="1017">
        <f>IF(AM25="Revêtement",N25,0)</f>
        <v>0</v>
      </c>
      <c r="AY25" s="638">
        <f>IF(AM25="Revêtement",P25,0)</f>
        <v>0</v>
      </c>
      <c r="AZ25" s="638">
        <f>IF(AM25="Revêtement",Q25,0)</f>
        <v>0</v>
      </c>
      <c r="BA25" s="638">
        <f>IF(AM25="Revêtement",S25,0)</f>
        <v>0</v>
      </c>
      <c r="BB25" s="1018">
        <f>IF(AM25="Revêtement",T25,0)</f>
        <v>0</v>
      </c>
      <c r="BC25" s="1017"/>
      <c r="BF25" s="1018"/>
      <c r="BG25" s="1017">
        <f>IF($AM25="Structure", IF($I25="kg",$J25,0), 0)</f>
        <v>9882.6</v>
      </c>
      <c r="BH25" s="638">
        <f>IF($AM25="Insulation", IF($I25="kg",$J25,0), 0)</f>
        <v>0</v>
      </c>
      <c r="BI25" s="1018">
        <f>IF($AM25="Revêtement", IF($I25="kg",$J25,0), 0)</f>
        <v>0</v>
      </c>
      <c r="BJ25" s="638">
        <f>_xlfn.XLOOKUP(H25, 'Baumaterialien Matériaux'!A:A, 'Baumaterialien Matériaux'!E:E, "-", 0, 1)</f>
        <v>7850</v>
      </c>
      <c r="BK25" s="1032">
        <f t="shared" si="5"/>
        <v>1.2589299363057325</v>
      </c>
      <c r="BL25" s="1030">
        <f t="shared" si="6"/>
        <v>0</v>
      </c>
      <c r="BM25" s="1033">
        <f t="shared" si="7"/>
        <v>0</v>
      </c>
      <c r="BN25" s="720">
        <f>IFERROR((J25*VLOOKUP(H25, 'Baumaterialien Matériaux'!$A$11:$AH$318, 32,FALSE))*($L$2/L25-1),0)/$G$1</f>
        <v>0</v>
      </c>
      <c r="BO25" s="720">
        <f>IFERROR((N25+Q25)*($L$2/L25-1),0)</f>
        <v>0</v>
      </c>
    </row>
    <row r="26" spans="2:67">
      <c r="B26" s="1103"/>
      <c r="C26" s="1099"/>
      <c r="D26" s="478"/>
      <c r="E26" s="478"/>
      <c r="F26" s="638" t="s">
        <v>3291</v>
      </c>
      <c r="G26" s="478" t="str">
        <f>_xlfn.XLOOKUP(H26, 'Baumaterialien Matériaux'!A:A, 'Baumaterialien Matériaux'!AD:AD, "-", 0, 1)</f>
        <v>Feuille de polyéthylène (PE)</v>
      </c>
      <c r="H26" s="892" t="s">
        <v>716</v>
      </c>
      <c r="I26" s="641" t="str">
        <f>_xlfn.XLOOKUP(H26, 'Baumaterialien Matériaux'!A:A, 'Baumaterialien Matériaux'!F:F, "-", 0, 1)</f>
        <v>kg</v>
      </c>
      <c r="J26" s="890">
        <f>($J$23)*K26</f>
        <v>177.88680000000002</v>
      </c>
      <c r="K26" s="894">
        <v>0.54</v>
      </c>
      <c r="L26" s="647">
        <v>60</v>
      </c>
      <c r="M26" s="648">
        <f>IFERROR((J26*VLOOKUP(H26, 'Baumaterialien Matériaux'!$A$11:$AD$318, 26,FALSE))+(J26*VLOOKUP(H26, 'Baumaterialien Matériaux'!$A$11:$AD$318, 27,FALSE)),0)/$G$1</f>
        <v>0.99928118237220698</v>
      </c>
      <c r="N26" s="720">
        <f>IFERROR(($J26*VLOOKUP($H26, 'Baumaterialien Matériaux'!$A$11:$AH$318, 26,FALSE)),0)/$G$1</f>
        <v>0.50701536005969905</v>
      </c>
      <c r="O26" s="720">
        <f>IFERROR(($J26*VLOOKUP($H26, 'Baumaterialien Matériaux'!$A$11:$AH$318, 33,FALSE)),0)/$G$1</f>
        <v>0.44617351685253515</v>
      </c>
      <c r="P26" s="720">
        <f t="shared" si="31"/>
        <v>0</v>
      </c>
      <c r="Q26" s="720">
        <f>IFERROR(($J26*VLOOKUP($H26, 'Baumaterialien Matériaux'!$A$11:$AH$318, 27,FALSE)),0)/$G$1</f>
        <v>0.49226582231250782</v>
      </c>
      <c r="R26" s="720">
        <f>IFERROR(($J26*VLOOKUP($H26, 'Baumaterialien Matériaux'!$A$11:$AH$318, 34,FALSE)),0)/$G$1</f>
        <v>0.47382890012851875</v>
      </c>
      <c r="S26" s="720">
        <f>IFERROR((J26*VLOOKUP(H26, 'Baumaterialien Matériaux'!$A$11:$AD$318, 29,FALSE)),0)/$G$1</f>
        <v>0</v>
      </c>
      <c r="T26" s="720">
        <f>S26*AJ26</f>
        <v>0</v>
      </c>
      <c r="V26" s="638">
        <f t="shared" si="3"/>
        <v>0</v>
      </c>
      <c r="W26" s="638">
        <f t="shared" si="4"/>
        <v>0</v>
      </c>
      <c r="Z26" s="638">
        <f t="shared" si="10"/>
        <v>60</v>
      </c>
      <c r="AA26" s="527" t="s">
        <v>3439</v>
      </c>
      <c r="AB26" t="str">
        <f>_xlfn.XLOOKUP($H26,'[1]Baumaterialien Matériaux'!$A:$A,'[1]Baumaterialien Matériaux'!AK:AK,0,0)</f>
        <v>oil_product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1112" cm="1">
        <f t="array" ref="AD26">IFERROR(_xlfn.SWITCH(I26,"kg",1,"m3",AC26,AC26)*J26/(_xlfn.XLOOKUP(AA26,Métrés!A:A,Métrés!E:E,0)),0)</f>
        <v>0.54</v>
      </c>
      <c r="AE26" s="1092">
        <f>IFERROR(N26*$G$1/(_xlfn.XLOOKUP($AA26,Métrés!$A:$A,Métrés!$E:$E,0)),0)</f>
        <v>1.4850000000000001</v>
      </c>
      <c r="AF26" s="1092">
        <f>IFERROR(O26*$G$1/(_xlfn.XLOOKUP($AA26,Métrés!$A:$A,Métrés!$E:$E,0)),0)</f>
        <v>1.3068</v>
      </c>
      <c r="AG26" s="1092">
        <f>IFERROR(Q26*$G$1/(_xlfn.XLOOKUP($AA26,Métrés!$A:$A,Métrés!$E:$E,0)),0)</f>
        <v>1.4418000000000002</v>
      </c>
      <c r="AH26" s="1092">
        <f>IFERROR(R26*$G$1/(_xlfn.XLOOKUP($AA26,Métrés!$A:$A,Métrés!$E:$E,0)),0)</f>
        <v>1.3877999999999999</v>
      </c>
      <c r="AI26" s="1092">
        <f>IFERROR(S26*$G$1/(_xlfn.XLOOKUP($AA26,Métrés!$A:$A,Métrés!$E:$E,0)),0)</f>
        <v>0</v>
      </c>
      <c r="AJ26" s="1022"/>
      <c r="AK26" s="638">
        <f>IF(L26=60,0,T26)</f>
        <v>0</v>
      </c>
      <c r="AL26" s="638">
        <f>IF(L26=60,0,S26)</f>
        <v>0</v>
      </c>
      <c r="AM26" s="638" t="str">
        <f>IF(L26=$L$2, "Structure", IF(L26&gt;0,"Revêtement",0))</f>
        <v>Structure</v>
      </c>
      <c r="AN26" s="1017">
        <f>IF(AM26="Structure",N26,0)</f>
        <v>0.50701536005969905</v>
      </c>
      <c r="AO26" s="638">
        <f>IF(AM26="Structure",P26,0)</f>
        <v>0</v>
      </c>
      <c r="AP26" s="638">
        <f>IF(AM26="Structure",Q26,0)</f>
        <v>0.49226582231250782</v>
      </c>
      <c r="AQ26" s="1018">
        <f>IF(AM26="Structure",S26,0)</f>
        <v>0</v>
      </c>
      <c r="AR26" s="1018">
        <f>IF(AM26="Structure",T26,0)</f>
        <v>0</v>
      </c>
      <c r="AS26" s="1017">
        <f>IF(AM26="Insulation",N26,0)</f>
        <v>0</v>
      </c>
      <c r="AT26" s="638">
        <f>IF(AM26="Insulation",P26,0)</f>
        <v>0</v>
      </c>
      <c r="AU26" s="638">
        <f>IF(AM26="Insulation",Q26,0)</f>
        <v>0</v>
      </c>
      <c r="AV26" s="1018">
        <f>IF(AM26="Insulation",S26,0)</f>
        <v>0</v>
      </c>
      <c r="AW26" s="1018">
        <f>IF(AM26="Insulation",T26,0)</f>
        <v>0</v>
      </c>
      <c r="AX26" s="1017">
        <f>IF(AM26="Revêtement",N26,0)</f>
        <v>0</v>
      </c>
      <c r="AY26" s="638">
        <f>IF(AM26="Revêtement",P26,0)</f>
        <v>0</v>
      </c>
      <c r="AZ26" s="638">
        <f>IF(AM26="Revêtement",Q26,0)</f>
        <v>0</v>
      </c>
      <c r="BA26" s="638">
        <f>IF(AM26="Revêtement",S26,0)</f>
        <v>0</v>
      </c>
      <c r="BB26" s="1018">
        <f>IF(AM26="Revêtement",T26,0)</f>
        <v>0</v>
      </c>
      <c r="BC26" s="1017"/>
      <c r="BF26" s="1018"/>
      <c r="BG26" s="1017">
        <f>IF($AM26="Structure", IF($I26="kg",$J26,0), 0)</f>
        <v>177.88680000000002</v>
      </c>
      <c r="BH26" s="638">
        <f>IF($AM26="Insulation", IF($I26="kg",$J26,0), 0)</f>
        <v>0</v>
      </c>
      <c r="BI26" s="1018">
        <f>IF($AM26="Revêtement", IF($I26="kg",$J26,0), 0)</f>
        <v>0</v>
      </c>
      <c r="BJ26" s="638">
        <f>_xlfn.XLOOKUP(H26, 'Baumaterialien Matériaux'!A:A, 'Baumaterialien Matériaux'!E:E, "-", 0, 1)</f>
        <v>920</v>
      </c>
      <c r="BK26" s="1032">
        <f t="shared" si="5"/>
        <v>0.19335521739130437</v>
      </c>
      <c r="BL26" s="1030">
        <f t="shared" si="6"/>
        <v>0</v>
      </c>
      <c r="BM26" s="1033">
        <f t="shared" si="7"/>
        <v>0</v>
      </c>
      <c r="BN26" s="720"/>
      <c r="BO26" s="720"/>
    </row>
    <row r="27" spans="2:67">
      <c r="B27" s="1103"/>
      <c r="C27" s="1099"/>
      <c r="D27" s="478"/>
      <c r="E27" s="478"/>
      <c r="F27" s="479"/>
      <c r="G27" s="479"/>
      <c r="H27" s="479"/>
      <c r="I27" s="459" t="s">
        <v>39</v>
      </c>
      <c r="J27" s="662">
        <v>0</v>
      </c>
      <c r="K27" s="663"/>
      <c r="L27" s="663"/>
      <c r="M27" s="664">
        <f>SUM(M28:M33)</f>
        <v>0</v>
      </c>
      <c r="N27" s="664">
        <f t="shared" ref="N27:T27" si="32">SUM(N28:N33)</f>
        <v>0</v>
      </c>
      <c r="O27" s="664">
        <f t="shared" ref="O27" si="33">SUM(O28:O33)</f>
        <v>0</v>
      </c>
      <c r="P27" s="664">
        <f t="shared" si="32"/>
        <v>0</v>
      </c>
      <c r="Q27" s="664">
        <f t="shared" si="32"/>
        <v>0</v>
      </c>
      <c r="R27" s="664">
        <f t="shared" ref="R27" si="34">SUM(R28:R33)</f>
        <v>0</v>
      </c>
      <c r="S27" s="664">
        <f t="shared" si="32"/>
        <v>0</v>
      </c>
      <c r="T27" s="664">
        <f t="shared" si="32"/>
        <v>0</v>
      </c>
      <c r="V27" s="638">
        <f t="shared" si="3"/>
        <v>0</v>
      </c>
      <c r="W27" s="638">
        <f t="shared" si="4"/>
        <v>0</v>
      </c>
      <c r="X27" s="638">
        <f t="shared" si="9"/>
        <v>0</v>
      </c>
      <c r="Z27" s="638">
        <f t="shared" si="10"/>
        <v>0</v>
      </c>
      <c r="AA27" s="527" t="s">
        <v>3439</v>
      </c>
      <c r="AB27">
        <f>_xlfn.XLOOKUP($H27,'[1]Baumaterialien Matériaux'!$A:$A,'[1]Baumaterialien Matériaux'!AK:AK,0,0)</f>
        <v>0</v>
      </c>
      <c r="AC27" cm="1">
        <f t="array" ref="AC27">_xlfn.SWITCH(I27,"kg"," ",0," ",_xlfn.XLOOKUP(H27, '[1]Baumaterialien Matériaux'!$A:$A, '[1]Baumaterialien Matériaux'!$AL:$AL, "-", 0, 1))</f>
        <v>0</v>
      </c>
      <c r="AD27" s="1112" cm="1">
        <f t="array" ref="AD27">IFERROR(_xlfn.SWITCH(I27,"kg",1,"m3",AC27,AC27)*J27/(_xlfn.XLOOKUP(AA27,Métrés!A:A,Métrés!E:E,0)),0)</f>
        <v>0</v>
      </c>
      <c r="AE27" s="1092">
        <f>IFERROR(N27*$G$1/(_xlfn.XLOOKUP($AA27,Métrés!$A:$A,Métrés!$E:$E,0)),0)</f>
        <v>0</v>
      </c>
      <c r="AF27" s="1092">
        <f>IFERROR(O27*$G$1/(_xlfn.XLOOKUP($AA27,Métrés!$A:$A,Métrés!$E:$E,0)),0)</f>
        <v>0</v>
      </c>
      <c r="AG27" s="1092">
        <f>IFERROR(Q27*$G$1/(_xlfn.XLOOKUP($AA27,Métrés!$A:$A,Métrés!$E:$E,0)),0)</f>
        <v>0</v>
      </c>
      <c r="AH27" s="1092">
        <f>IFERROR(R27*$G$1/(_xlfn.XLOOKUP($AA27,Métrés!$A:$A,Métrés!$E:$E,0)),0)</f>
        <v>0</v>
      </c>
      <c r="AI27" s="1092">
        <f>IFERROR(S27*$G$1/(_xlfn.XLOOKUP($AA27,Métrés!$A:$A,Métrés!$E:$E,0)),0)</f>
        <v>0</v>
      </c>
      <c r="AJ27" s="878"/>
      <c r="AK27" s="878"/>
      <c r="AL27" s="878"/>
      <c r="AM27" s="878"/>
      <c r="AN27" s="1053"/>
      <c r="AO27" s="878"/>
      <c r="AP27" s="878"/>
      <c r="AQ27" s="878"/>
      <c r="AR27" s="1054"/>
      <c r="AS27" s="1053"/>
      <c r="AT27" s="878"/>
      <c r="AU27" s="878"/>
      <c r="AV27" s="878"/>
      <c r="AW27" s="1054"/>
      <c r="AX27" s="1053"/>
      <c r="AY27" s="878"/>
      <c r="AZ27" s="878"/>
      <c r="BA27" s="878"/>
      <c r="BB27" s="1054"/>
      <c r="BC27" s="1053"/>
      <c r="BD27" s="878"/>
      <c r="BE27" s="878"/>
      <c r="BF27" s="1054"/>
      <c r="BG27" s="1053"/>
      <c r="BH27" s="878"/>
      <c r="BI27" s="1054"/>
      <c r="BJ27" s="878"/>
      <c r="BK27" s="1053"/>
      <c r="BL27" s="878"/>
      <c r="BM27" s="1054"/>
      <c r="BN27" s="720">
        <f>IFERROR((J27*VLOOKUP(H27, 'Baumaterialien Matériaux'!$A$11:$AH$318, 32,FALSE))*($L$2/L27-1),0)/$G$1</f>
        <v>0</v>
      </c>
      <c r="BO27" s="720">
        <f>IFERROR((N27+Q27)*($L$2/L27-1),0)</f>
        <v>0</v>
      </c>
    </row>
    <row r="28" spans="2:67">
      <c r="B28" s="1103"/>
      <c r="C28" s="1099"/>
      <c r="D28" s="478"/>
      <c r="E28" s="478"/>
      <c r="F28" s="483"/>
      <c r="G28" s="478"/>
      <c r="H28" s="875"/>
      <c r="I28" s="641"/>
      <c r="J28" s="649"/>
      <c r="K28" s="528"/>
      <c r="L28" s="647"/>
      <c r="M28" s="648"/>
      <c r="N28" s="720"/>
      <c r="O28" s="720"/>
      <c r="P28" s="720"/>
      <c r="Q28" s="720"/>
      <c r="R28" s="720"/>
      <c r="S28" s="720"/>
      <c r="T28" s="720">
        <f t="shared" ref="T28:T33" si="35">S28*AJ28</f>
        <v>0</v>
      </c>
      <c r="V28" s="638">
        <f t="shared" si="3"/>
        <v>0</v>
      </c>
      <c r="W28" s="638">
        <f t="shared" si="4"/>
        <v>0</v>
      </c>
      <c r="X28" s="638">
        <f t="shared" si="9"/>
        <v>0</v>
      </c>
      <c r="Z28" s="638">
        <f t="shared" si="10"/>
        <v>0</v>
      </c>
      <c r="AA28" s="527" t="s">
        <v>3439</v>
      </c>
      <c r="AB28">
        <f>_xlfn.XLOOKUP($H28,'[1]Baumaterialien Matériaux'!$A:$A,'[1]Baumaterialien Matériaux'!AK:AK,0,0)</f>
        <v>0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1112" cm="1">
        <f t="array" ref="AD28">IFERROR(_xlfn.SWITCH(I28,"kg",1,"m3",AC28,AC28)*J28/(_xlfn.XLOOKUP(AA28,Métrés!A:A,Métrés!E:E,0)),0)</f>
        <v>0</v>
      </c>
      <c r="AE28" s="1092">
        <f>IFERROR(N28*$G$1/(_xlfn.XLOOKUP($AA28,Métrés!$A:$A,Métrés!$E:$E,0)),0)</f>
        <v>0</v>
      </c>
      <c r="AF28" s="1092">
        <f>IFERROR(O28*$G$1/(_xlfn.XLOOKUP($AA28,Métrés!$A:$A,Métrés!$E:$E,0)),0)</f>
        <v>0</v>
      </c>
      <c r="AG28" s="1092">
        <f>IFERROR(Q28*$G$1/(_xlfn.XLOOKUP($AA28,Métrés!$A:$A,Métrés!$E:$E,0)),0)</f>
        <v>0</v>
      </c>
      <c r="AH28" s="1092">
        <f>IFERROR(R28*$G$1/(_xlfn.XLOOKUP($AA28,Métrés!$A:$A,Métrés!$E:$E,0)),0)</f>
        <v>0</v>
      </c>
      <c r="AI28" s="1092">
        <f>IFERROR(S28*$G$1/(_xlfn.XLOOKUP($AA28,Métrés!$A:$A,Métrés!$E:$E,0)),0)</f>
        <v>0</v>
      </c>
      <c r="AJ28" s="1022"/>
      <c r="AK28" s="638">
        <f t="shared" ref="AK28:AK33" si="36">IF(L28=60,0,T28)</f>
        <v>0</v>
      </c>
      <c r="AL28" s="638">
        <f t="shared" ref="AL28:AL33" si="37">IF(L28=60,0,S28)</f>
        <v>0</v>
      </c>
      <c r="AM28" s="638">
        <f t="shared" ref="AM28:AM33" si="38">IF(L28=$L$2, "Structure", IF(L28&gt;0,"Revêtement",0))</f>
        <v>0</v>
      </c>
      <c r="AN28" s="1017">
        <f t="shared" ref="AN28:AN33" si="39">IF(AM28="Structure",N28,0)</f>
        <v>0</v>
      </c>
      <c r="AO28" s="638">
        <f t="shared" ref="AO28:AO33" si="40">IF(AM28="Structure",P28,0)</f>
        <v>0</v>
      </c>
      <c r="AP28" s="638">
        <f t="shared" ref="AP28:AP33" si="41">IF(AM28="Structure",Q28,0)</f>
        <v>0</v>
      </c>
      <c r="AQ28" s="1018">
        <f t="shared" ref="AQ28:AQ33" si="42">IF(AM28="Structure",S28,0)</f>
        <v>0</v>
      </c>
      <c r="AR28" s="1018">
        <f t="shared" ref="AR28:AR33" si="43">IF(AM28="Structure",T28,0)</f>
        <v>0</v>
      </c>
      <c r="AS28" s="1017">
        <f t="shared" ref="AS28:AS33" si="44">IF(AM28="Insulation",N28,0)</f>
        <v>0</v>
      </c>
      <c r="AT28" s="638">
        <f t="shared" ref="AT28:AT33" si="45">IF(AM28="Insulation",P28,0)</f>
        <v>0</v>
      </c>
      <c r="AU28" s="638">
        <f t="shared" ref="AU28:AU33" si="46">IF(AM28="Insulation",Q28,0)</f>
        <v>0</v>
      </c>
      <c r="AV28" s="1018">
        <f t="shared" ref="AV28:AV33" si="47">IF(AM28="Insulation",S28,0)</f>
        <v>0</v>
      </c>
      <c r="AW28" s="1018">
        <f t="shared" ref="AW28:AW33" si="48">IF(AM28="Insulation",T28,0)</f>
        <v>0</v>
      </c>
      <c r="AX28" s="1017">
        <f t="shared" ref="AX28:AX33" si="49">IF(AM28="Revêtement",N28,0)</f>
        <v>0</v>
      </c>
      <c r="AY28" s="638">
        <f t="shared" ref="AY28:AY33" si="50">IF(AM28="Revêtement",P28,0)</f>
        <v>0</v>
      </c>
      <c r="AZ28" s="638">
        <f t="shared" ref="AZ28:AZ33" si="51">IF(AM28="Revêtement",Q28,0)</f>
        <v>0</v>
      </c>
      <c r="BA28" s="638">
        <f t="shared" ref="BA28:BA33" si="52">IF(AM28="Revêtement",S28,0)</f>
        <v>0</v>
      </c>
      <c r="BB28" s="1018">
        <f t="shared" ref="BB28:BB33" si="53">IF(AM28="Revêtement",T28,0)</f>
        <v>0</v>
      </c>
      <c r="BC28" s="1017"/>
      <c r="BF28" s="1018"/>
      <c r="BG28" s="1017">
        <f t="shared" ref="BG28:BG33" si="54">IF($AM28="Structure", IF($I28="kg",$J28,0), 0)</f>
        <v>0</v>
      </c>
      <c r="BH28" s="638">
        <f t="shared" ref="BH28:BH33" si="55">IF($AM28="Insulation", IF($I28="kg",$J28,0), 0)</f>
        <v>0</v>
      </c>
      <c r="BI28" s="1018">
        <f t="shared" ref="BI28:BI33" si="56">IF($AM28="Revêtement", IF($I28="kg",$J28,0), 0)</f>
        <v>0</v>
      </c>
      <c r="BJ28" s="638">
        <f>_xlfn.XLOOKUP(H28, 'Baumaterialien Matériaux'!A:A, 'Baumaterialien Matériaux'!E:E, "-", 0, 1)</f>
        <v>0</v>
      </c>
      <c r="BK28" s="1032">
        <f t="shared" si="5"/>
        <v>0</v>
      </c>
      <c r="BL28" s="1030">
        <f t="shared" si="6"/>
        <v>0</v>
      </c>
      <c r="BM28" s="1033">
        <f t="shared" si="7"/>
        <v>0</v>
      </c>
      <c r="BN28" s="720">
        <f>IFERROR((J28*VLOOKUP(H28, 'Baumaterialien Matériaux'!$A$11:$AH$318, 32,FALSE))*($L$2/L28-1),0)/$G$1</f>
        <v>0</v>
      </c>
      <c r="BO28" s="720">
        <f>IFERROR((N28+Q28)*($L$2/L28-1),0)</f>
        <v>0</v>
      </c>
    </row>
    <row r="29" spans="2:67">
      <c r="B29" s="1103"/>
      <c r="C29" s="1099"/>
      <c r="D29" s="478"/>
      <c r="E29" s="478"/>
      <c r="F29" s="483"/>
      <c r="G29" s="478"/>
      <c r="H29" s="875"/>
      <c r="I29" s="641"/>
      <c r="J29" s="649"/>
      <c r="K29" s="528"/>
      <c r="L29" s="647"/>
      <c r="M29" s="648"/>
      <c r="N29" s="720"/>
      <c r="O29" s="720"/>
      <c r="P29" s="720"/>
      <c r="Q29" s="720"/>
      <c r="R29" s="720"/>
      <c r="S29" s="720"/>
      <c r="T29" s="720">
        <f t="shared" si="35"/>
        <v>0</v>
      </c>
      <c r="V29" s="638">
        <f t="shared" si="3"/>
        <v>0</v>
      </c>
      <c r="W29" s="638">
        <f t="shared" si="4"/>
        <v>0</v>
      </c>
      <c r="Z29" s="638">
        <f t="shared" si="10"/>
        <v>0</v>
      </c>
      <c r="AA29" s="527" t="s">
        <v>3439</v>
      </c>
      <c r="AB29">
        <f>_xlfn.XLOOKUP($H29,'[1]Baumaterialien Matériaux'!$A:$A,'[1]Baumaterialien Matériaux'!AK:AK,0,0)</f>
        <v>0</v>
      </c>
      <c r="AC29" t="str" cm="1">
        <f t="array" ref="AC29">_xlfn.SWITCH(I29,"kg"," ",0," ",_xlfn.XLOOKUP(H29, '[1]Baumaterialien Matériaux'!$A:$A, '[1]Baumaterialien Matériaux'!$AL:$AL, "-", 0, 1))</f>
        <v xml:space="preserve"> </v>
      </c>
      <c r="AD29" s="1112" cm="1">
        <f t="array" ref="AD29">IFERROR(_xlfn.SWITCH(I29,"kg",1,"m3",AC29,AC29)*J29/(_xlfn.XLOOKUP(AA29,Métrés!A:A,Métrés!E:E,0)),0)</f>
        <v>0</v>
      </c>
      <c r="AE29" s="1092">
        <f>IFERROR(N29*$G$1/(_xlfn.XLOOKUP($AA29,Métrés!$A:$A,Métrés!$E:$E,0)),0)</f>
        <v>0</v>
      </c>
      <c r="AF29" s="1092">
        <f>IFERROR(O29*$G$1/(_xlfn.XLOOKUP($AA29,Métrés!$A:$A,Métrés!$E:$E,0)),0)</f>
        <v>0</v>
      </c>
      <c r="AG29" s="1092">
        <f>IFERROR(Q29*$G$1/(_xlfn.XLOOKUP($AA29,Métrés!$A:$A,Métrés!$E:$E,0)),0)</f>
        <v>0</v>
      </c>
      <c r="AH29" s="1092">
        <f>IFERROR(R29*$G$1/(_xlfn.XLOOKUP($AA29,Métrés!$A:$A,Métrés!$E:$E,0)),0)</f>
        <v>0</v>
      </c>
      <c r="AI29" s="1092">
        <f>IFERROR(S29*$G$1/(_xlfn.XLOOKUP($AA29,Métrés!$A:$A,Métrés!$E:$E,0)),0)</f>
        <v>0</v>
      </c>
      <c r="AJ29" s="1022"/>
      <c r="AK29" s="638">
        <f t="shared" si="36"/>
        <v>0</v>
      </c>
      <c r="AL29" s="638">
        <f t="shared" si="37"/>
        <v>0</v>
      </c>
      <c r="AM29" s="638">
        <f t="shared" si="38"/>
        <v>0</v>
      </c>
      <c r="AN29" s="1017">
        <f t="shared" si="39"/>
        <v>0</v>
      </c>
      <c r="AO29" s="638">
        <f t="shared" si="40"/>
        <v>0</v>
      </c>
      <c r="AP29" s="638">
        <f t="shared" si="41"/>
        <v>0</v>
      </c>
      <c r="AQ29" s="1018">
        <f t="shared" si="42"/>
        <v>0</v>
      </c>
      <c r="AR29" s="1018">
        <f t="shared" si="43"/>
        <v>0</v>
      </c>
      <c r="AS29" s="1017">
        <f t="shared" si="44"/>
        <v>0</v>
      </c>
      <c r="AT29" s="638">
        <f t="shared" si="45"/>
        <v>0</v>
      </c>
      <c r="AU29" s="638">
        <f t="shared" si="46"/>
        <v>0</v>
      </c>
      <c r="AV29" s="1018">
        <f t="shared" si="47"/>
        <v>0</v>
      </c>
      <c r="AW29" s="1018">
        <f t="shared" si="48"/>
        <v>0</v>
      </c>
      <c r="AX29" s="1017">
        <f t="shared" si="49"/>
        <v>0</v>
      </c>
      <c r="AY29" s="638">
        <f t="shared" si="50"/>
        <v>0</v>
      </c>
      <c r="AZ29" s="638">
        <f t="shared" si="51"/>
        <v>0</v>
      </c>
      <c r="BA29" s="638">
        <f t="shared" si="52"/>
        <v>0</v>
      </c>
      <c r="BB29" s="1018">
        <f t="shared" si="53"/>
        <v>0</v>
      </c>
      <c r="BC29" s="1017"/>
      <c r="BF29" s="1018"/>
      <c r="BG29" s="1017">
        <f t="shared" si="54"/>
        <v>0</v>
      </c>
      <c r="BH29" s="638">
        <f t="shared" si="55"/>
        <v>0</v>
      </c>
      <c r="BI29" s="1018">
        <f t="shared" si="56"/>
        <v>0</v>
      </c>
      <c r="BJ29" s="638">
        <f>_xlfn.XLOOKUP(H29, 'Baumaterialien Matériaux'!A:A, 'Baumaterialien Matériaux'!E:E, "-", 0, 1)</f>
        <v>0</v>
      </c>
      <c r="BK29" s="1032">
        <f t="shared" si="5"/>
        <v>0</v>
      </c>
      <c r="BL29" s="1030">
        <f t="shared" si="6"/>
        <v>0</v>
      </c>
      <c r="BM29" s="1033">
        <f t="shared" si="7"/>
        <v>0</v>
      </c>
      <c r="BN29" s="720"/>
      <c r="BO29" s="720"/>
    </row>
    <row r="30" spans="2:67">
      <c r="B30" s="1103"/>
      <c r="C30" s="1099"/>
      <c r="D30" s="478"/>
      <c r="E30" s="478"/>
      <c r="F30" s="483"/>
      <c r="G30" s="478"/>
      <c r="H30" s="875"/>
      <c r="I30" s="641"/>
      <c r="J30" s="649"/>
      <c r="K30" s="528"/>
      <c r="L30" s="647"/>
      <c r="M30" s="648"/>
      <c r="N30" s="720"/>
      <c r="O30" s="720"/>
      <c r="P30" s="720"/>
      <c r="Q30" s="720"/>
      <c r="R30" s="720"/>
      <c r="S30" s="720"/>
      <c r="T30" s="720">
        <f t="shared" si="35"/>
        <v>0</v>
      </c>
      <c r="V30" s="638">
        <f t="shared" si="3"/>
        <v>0</v>
      </c>
      <c r="W30" s="638">
        <f t="shared" si="4"/>
        <v>0</v>
      </c>
      <c r="Z30" s="638">
        <f t="shared" si="10"/>
        <v>0</v>
      </c>
      <c r="AA30" s="527" t="s">
        <v>3439</v>
      </c>
      <c r="AB30">
        <f>_xlfn.XLOOKUP($H30,'[1]Baumaterialien Matériaux'!$A:$A,'[1]Baumaterialien Matériaux'!AK:AK,0,0)</f>
        <v>0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1112" cm="1">
        <f t="array" ref="AD30">IFERROR(_xlfn.SWITCH(I30,"kg",1,"m3",AC30,AC30)*J30/(_xlfn.XLOOKUP(AA30,Métrés!A:A,Métrés!E:E,0)),0)</f>
        <v>0</v>
      </c>
      <c r="AE30" s="1092">
        <f>IFERROR(N30*$G$1/(_xlfn.XLOOKUP($AA30,Métrés!$A:$A,Métrés!$E:$E,0)),0)</f>
        <v>0</v>
      </c>
      <c r="AF30" s="1092">
        <f>IFERROR(O30*$G$1/(_xlfn.XLOOKUP($AA30,Métrés!$A:$A,Métrés!$E:$E,0)),0)</f>
        <v>0</v>
      </c>
      <c r="AG30" s="1092">
        <f>IFERROR(Q30*$G$1/(_xlfn.XLOOKUP($AA30,Métrés!$A:$A,Métrés!$E:$E,0)),0)</f>
        <v>0</v>
      </c>
      <c r="AH30" s="1092">
        <f>IFERROR(R30*$G$1/(_xlfn.XLOOKUP($AA30,Métrés!$A:$A,Métrés!$E:$E,0)),0)</f>
        <v>0</v>
      </c>
      <c r="AI30" s="1092">
        <f>IFERROR(S30*$G$1/(_xlfn.XLOOKUP($AA30,Métrés!$A:$A,Métrés!$E:$E,0)),0)</f>
        <v>0</v>
      </c>
      <c r="AJ30" s="1022"/>
      <c r="AK30" s="638">
        <f t="shared" si="36"/>
        <v>0</v>
      </c>
      <c r="AL30" s="638">
        <f t="shared" si="37"/>
        <v>0</v>
      </c>
      <c r="AM30" s="638">
        <f t="shared" si="38"/>
        <v>0</v>
      </c>
      <c r="AN30" s="1017">
        <f t="shared" si="39"/>
        <v>0</v>
      </c>
      <c r="AO30" s="638">
        <f t="shared" si="40"/>
        <v>0</v>
      </c>
      <c r="AP30" s="638">
        <f t="shared" si="41"/>
        <v>0</v>
      </c>
      <c r="AQ30" s="1018">
        <f t="shared" si="42"/>
        <v>0</v>
      </c>
      <c r="AR30" s="1018">
        <f t="shared" si="43"/>
        <v>0</v>
      </c>
      <c r="AS30" s="1017">
        <f t="shared" si="44"/>
        <v>0</v>
      </c>
      <c r="AT30" s="638">
        <f t="shared" si="45"/>
        <v>0</v>
      </c>
      <c r="AU30" s="638">
        <f t="shared" si="46"/>
        <v>0</v>
      </c>
      <c r="AV30" s="1018">
        <f t="shared" si="47"/>
        <v>0</v>
      </c>
      <c r="AW30" s="1018">
        <f t="shared" si="48"/>
        <v>0</v>
      </c>
      <c r="AX30" s="1017">
        <f t="shared" si="49"/>
        <v>0</v>
      </c>
      <c r="AY30" s="638">
        <f t="shared" si="50"/>
        <v>0</v>
      </c>
      <c r="AZ30" s="638">
        <f t="shared" si="51"/>
        <v>0</v>
      </c>
      <c r="BA30" s="638">
        <f t="shared" si="52"/>
        <v>0</v>
      </c>
      <c r="BB30" s="1018">
        <f t="shared" si="53"/>
        <v>0</v>
      </c>
      <c r="BC30" s="1017"/>
      <c r="BF30" s="1018"/>
      <c r="BG30" s="1017">
        <f t="shared" si="54"/>
        <v>0</v>
      </c>
      <c r="BH30" s="638">
        <f t="shared" si="55"/>
        <v>0</v>
      </c>
      <c r="BI30" s="1018">
        <f t="shared" si="56"/>
        <v>0</v>
      </c>
      <c r="BJ30" s="638">
        <f>_xlfn.XLOOKUP(H30, 'Baumaterialien Matériaux'!A:A, 'Baumaterialien Matériaux'!E:E, "-", 0, 1)</f>
        <v>0</v>
      </c>
      <c r="BK30" s="1032">
        <f t="shared" si="5"/>
        <v>0</v>
      </c>
      <c r="BL30" s="1030">
        <f t="shared" si="6"/>
        <v>0</v>
      </c>
      <c r="BM30" s="1033">
        <f t="shared" si="7"/>
        <v>0</v>
      </c>
      <c r="BN30" s="720"/>
      <c r="BO30" s="720"/>
    </row>
    <row r="31" spans="2:67">
      <c r="B31" s="1103"/>
      <c r="C31" s="1099"/>
      <c r="D31" s="478"/>
      <c r="E31" s="478"/>
      <c r="F31" s="483"/>
      <c r="G31" s="478"/>
      <c r="H31" s="885"/>
      <c r="I31" s="641"/>
      <c r="J31" s="649"/>
      <c r="K31" s="528"/>
      <c r="L31" s="647"/>
      <c r="M31" s="648"/>
      <c r="N31" s="720"/>
      <c r="O31" s="720"/>
      <c r="P31" s="720"/>
      <c r="Q31" s="720"/>
      <c r="R31" s="720"/>
      <c r="S31" s="720"/>
      <c r="T31" s="720">
        <f t="shared" si="35"/>
        <v>0</v>
      </c>
      <c r="V31" s="638">
        <f t="shared" si="3"/>
        <v>0</v>
      </c>
      <c r="W31" s="638">
        <f t="shared" si="4"/>
        <v>0</v>
      </c>
      <c r="Z31" s="638">
        <f t="shared" si="10"/>
        <v>0</v>
      </c>
      <c r="AA31" s="527" t="s">
        <v>3439</v>
      </c>
      <c r="AB31">
        <f>_xlfn.XLOOKUP($H31,'[1]Baumaterialien Matériaux'!$A:$A,'[1]Baumaterialien Matériaux'!AK:AK,0,0)</f>
        <v>0</v>
      </c>
      <c r="AC31" t="str" cm="1">
        <f t="array" ref="AC31">_xlfn.SWITCH(I31,"kg"," ",0," ",_xlfn.XLOOKUP(H31, '[1]Baumaterialien Matériaux'!$A:$A, '[1]Baumaterialien Matériaux'!$AL:$AL, "-", 0, 1))</f>
        <v xml:space="preserve"> </v>
      </c>
      <c r="AD31" s="1112" cm="1">
        <f t="array" ref="AD31">IFERROR(_xlfn.SWITCH(I31,"kg",1,"m3",AC31,AC31)*J31/(_xlfn.XLOOKUP(AA31,Métrés!A:A,Métrés!E:E,0)),0)</f>
        <v>0</v>
      </c>
      <c r="AE31" s="1092">
        <f>IFERROR(N31*$G$1/(_xlfn.XLOOKUP($AA31,Métrés!$A:$A,Métrés!$E:$E,0)),0)</f>
        <v>0</v>
      </c>
      <c r="AF31" s="1092">
        <f>IFERROR(O31*$G$1/(_xlfn.XLOOKUP($AA31,Métrés!$A:$A,Métrés!$E:$E,0)),0)</f>
        <v>0</v>
      </c>
      <c r="AG31" s="1092">
        <f>IFERROR(Q31*$G$1/(_xlfn.XLOOKUP($AA31,Métrés!$A:$A,Métrés!$E:$E,0)),0)</f>
        <v>0</v>
      </c>
      <c r="AH31" s="1092">
        <f>IFERROR(R31*$G$1/(_xlfn.XLOOKUP($AA31,Métrés!$A:$A,Métrés!$E:$E,0)),0)</f>
        <v>0</v>
      </c>
      <c r="AI31" s="1092">
        <f>IFERROR(S31*$G$1/(_xlfn.XLOOKUP($AA31,Métrés!$A:$A,Métrés!$E:$E,0)),0)</f>
        <v>0</v>
      </c>
      <c r="AJ31" s="1022"/>
      <c r="AK31" s="638">
        <f t="shared" si="36"/>
        <v>0</v>
      </c>
      <c r="AL31" s="638">
        <f t="shared" si="37"/>
        <v>0</v>
      </c>
      <c r="AM31" s="638">
        <f t="shared" si="38"/>
        <v>0</v>
      </c>
      <c r="AN31" s="1017">
        <f t="shared" si="39"/>
        <v>0</v>
      </c>
      <c r="AO31" s="638">
        <f t="shared" si="40"/>
        <v>0</v>
      </c>
      <c r="AP31" s="638">
        <f t="shared" si="41"/>
        <v>0</v>
      </c>
      <c r="AQ31" s="1018">
        <f t="shared" si="42"/>
        <v>0</v>
      </c>
      <c r="AR31" s="1018">
        <f t="shared" si="43"/>
        <v>0</v>
      </c>
      <c r="AS31" s="1017">
        <f t="shared" si="44"/>
        <v>0</v>
      </c>
      <c r="AT31" s="638">
        <f t="shared" si="45"/>
        <v>0</v>
      </c>
      <c r="AU31" s="638">
        <f t="shared" si="46"/>
        <v>0</v>
      </c>
      <c r="AV31" s="1018">
        <f t="shared" si="47"/>
        <v>0</v>
      </c>
      <c r="AW31" s="1018">
        <f t="shared" si="48"/>
        <v>0</v>
      </c>
      <c r="AX31" s="1017">
        <f t="shared" si="49"/>
        <v>0</v>
      </c>
      <c r="AY31" s="638">
        <f t="shared" si="50"/>
        <v>0</v>
      </c>
      <c r="AZ31" s="638">
        <f t="shared" si="51"/>
        <v>0</v>
      </c>
      <c r="BA31" s="638">
        <f t="shared" si="52"/>
        <v>0</v>
      </c>
      <c r="BB31" s="1018">
        <f t="shared" si="53"/>
        <v>0</v>
      </c>
      <c r="BC31" s="1017"/>
      <c r="BF31" s="1018"/>
      <c r="BG31" s="1017">
        <f t="shared" si="54"/>
        <v>0</v>
      </c>
      <c r="BH31" s="638">
        <f t="shared" si="55"/>
        <v>0</v>
      </c>
      <c r="BI31" s="1018">
        <f t="shared" si="56"/>
        <v>0</v>
      </c>
      <c r="BJ31" s="638">
        <f>_xlfn.XLOOKUP(H31, 'Baumaterialien Matériaux'!A:A, 'Baumaterialien Matériaux'!E:E, "-", 0, 1)</f>
        <v>0</v>
      </c>
      <c r="BK31" s="1032">
        <f t="shared" si="5"/>
        <v>0</v>
      </c>
      <c r="BL31" s="1030">
        <f t="shared" si="6"/>
        <v>0</v>
      </c>
      <c r="BM31" s="1033">
        <f t="shared" si="7"/>
        <v>0</v>
      </c>
      <c r="BN31" s="720"/>
      <c r="BO31" s="720"/>
    </row>
    <row r="32" spans="2:67">
      <c r="B32" s="1103"/>
      <c r="C32" s="1099"/>
      <c r="D32" s="478"/>
      <c r="E32" s="478"/>
      <c r="F32" s="483"/>
      <c r="G32" s="478"/>
      <c r="H32" s="875"/>
      <c r="I32" s="641"/>
      <c r="J32" s="649"/>
      <c r="K32" s="528"/>
      <c r="L32" s="647"/>
      <c r="M32" s="648"/>
      <c r="N32" s="720"/>
      <c r="O32" s="720"/>
      <c r="P32" s="720"/>
      <c r="Q32" s="720"/>
      <c r="R32" s="720"/>
      <c r="S32" s="720"/>
      <c r="T32" s="720">
        <f t="shared" si="35"/>
        <v>0</v>
      </c>
      <c r="V32" s="638">
        <f t="shared" si="3"/>
        <v>0</v>
      </c>
      <c r="W32" s="638">
        <f t="shared" si="4"/>
        <v>0</v>
      </c>
      <c r="Z32" s="638">
        <f t="shared" si="10"/>
        <v>0</v>
      </c>
      <c r="AA32" s="527" t="s">
        <v>3439</v>
      </c>
      <c r="AB32">
        <f>_xlfn.XLOOKUP($H32,'[1]Baumaterialien Matériaux'!$A:$A,'[1]Baumaterialien Matériaux'!AK:AK,0,0)</f>
        <v>0</v>
      </c>
      <c r="AC32" t="str" cm="1">
        <f t="array" ref="AC32">_xlfn.SWITCH(I32,"kg"," ",0," ",_xlfn.XLOOKUP(H32, '[1]Baumaterialien Matériaux'!$A:$A, '[1]Baumaterialien Matériaux'!$AL:$AL, "-", 0, 1))</f>
        <v xml:space="preserve"> </v>
      </c>
      <c r="AD32" s="1112" cm="1">
        <f t="array" ref="AD32">IFERROR(_xlfn.SWITCH(I32,"kg",1,"m3",AC32,AC32)*J32/(_xlfn.XLOOKUP(AA32,Métrés!A:A,Métrés!E:E,0)),0)</f>
        <v>0</v>
      </c>
      <c r="AE32" s="1092">
        <f>IFERROR(N32*$G$1/(_xlfn.XLOOKUP($AA32,Métrés!$A:$A,Métrés!$E:$E,0)),0)</f>
        <v>0</v>
      </c>
      <c r="AF32" s="1092">
        <f>IFERROR(O32*$G$1/(_xlfn.XLOOKUP($AA32,Métrés!$A:$A,Métrés!$E:$E,0)),0)</f>
        <v>0</v>
      </c>
      <c r="AG32" s="1092">
        <f>IFERROR(Q32*$G$1/(_xlfn.XLOOKUP($AA32,Métrés!$A:$A,Métrés!$E:$E,0)),0)</f>
        <v>0</v>
      </c>
      <c r="AH32" s="1092">
        <f>IFERROR(R32*$G$1/(_xlfn.XLOOKUP($AA32,Métrés!$A:$A,Métrés!$E:$E,0)),0)</f>
        <v>0</v>
      </c>
      <c r="AI32" s="1092">
        <f>IFERROR(S32*$G$1/(_xlfn.XLOOKUP($AA32,Métrés!$A:$A,Métrés!$E:$E,0)),0)</f>
        <v>0</v>
      </c>
      <c r="AJ32" s="1022"/>
      <c r="AK32" s="638">
        <f t="shared" si="36"/>
        <v>0</v>
      </c>
      <c r="AL32" s="638">
        <f t="shared" si="37"/>
        <v>0</v>
      </c>
      <c r="AM32" s="638">
        <f t="shared" si="38"/>
        <v>0</v>
      </c>
      <c r="AN32" s="1017">
        <f t="shared" si="39"/>
        <v>0</v>
      </c>
      <c r="AO32" s="638">
        <f t="shared" si="40"/>
        <v>0</v>
      </c>
      <c r="AP32" s="638">
        <f t="shared" si="41"/>
        <v>0</v>
      </c>
      <c r="AQ32" s="1018">
        <f t="shared" si="42"/>
        <v>0</v>
      </c>
      <c r="AR32" s="1018">
        <f t="shared" si="43"/>
        <v>0</v>
      </c>
      <c r="AS32" s="1017">
        <f t="shared" si="44"/>
        <v>0</v>
      </c>
      <c r="AT32" s="638">
        <f t="shared" si="45"/>
        <v>0</v>
      </c>
      <c r="AU32" s="638">
        <f t="shared" si="46"/>
        <v>0</v>
      </c>
      <c r="AV32" s="1018">
        <f t="shared" si="47"/>
        <v>0</v>
      </c>
      <c r="AW32" s="1018">
        <f t="shared" si="48"/>
        <v>0</v>
      </c>
      <c r="AX32" s="1017">
        <f t="shared" si="49"/>
        <v>0</v>
      </c>
      <c r="AY32" s="638">
        <f t="shared" si="50"/>
        <v>0</v>
      </c>
      <c r="AZ32" s="638">
        <f t="shared" si="51"/>
        <v>0</v>
      </c>
      <c r="BA32" s="638">
        <f t="shared" si="52"/>
        <v>0</v>
      </c>
      <c r="BB32" s="1018">
        <f t="shared" si="53"/>
        <v>0</v>
      </c>
      <c r="BC32" s="1017"/>
      <c r="BF32" s="1018"/>
      <c r="BG32" s="1017">
        <f t="shared" si="54"/>
        <v>0</v>
      </c>
      <c r="BH32" s="638">
        <f t="shared" si="55"/>
        <v>0</v>
      </c>
      <c r="BI32" s="1018">
        <f t="shared" si="56"/>
        <v>0</v>
      </c>
      <c r="BJ32" s="638">
        <f>_xlfn.XLOOKUP(H32, 'Baumaterialien Matériaux'!A:A, 'Baumaterialien Matériaux'!E:E, "-", 0, 1)</f>
        <v>0</v>
      </c>
      <c r="BK32" s="1032">
        <f t="shared" si="5"/>
        <v>0</v>
      </c>
      <c r="BL32" s="1030">
        <f t="shared" si="6"/>
        <v>0</v>
      </c>
      <c r="BM32" s="1033">
        <f t="shared" si="7"/>
        <v>0</v>
      </c>
      <c r="BN32" s="720"/>
      <c r="BO32" s="720"/>
    </row>
    <row r="33" spans="2:67">
      <c r="B33" s="1103"/>
      <c r="C33" s="1099"/>
      <c r="D33" s="478"/>
      <c r="E33" s="478"/>
      <c r="F33" s="483"/>
      <c r="G33" s="478"/>
      <c r="H33" s="875"/>
      <c r="I33" s="641"/>
      <c r="J33" s="649"/>
      <c r="K33" s="528"/>
      <c r="L33" s="647"/>
      <c r="M33" s="648"/>
      <c r="N33" s="720"/>
      <c r="O33" s="720"/>
      <c r="P33" s="720"/>
      <c r="Q33" s="720"/>
      <c r="R33" s="720"/>
      <c r="S33" s="720"/>
      <c r="T33" s="720">
        <f t="shared" si="35"/>
        <v>0</v>
      </c>
      <c r="V33" s="638">
        <f t="shared" si="3"/>
        <v>0</v>
      </c>
      <c r="W33" s="638">
        <f t="shared" si="4"/>
        <v>0</v>
      </c>
      <c r="Z33" s="638">
        <f t="shared" si="10"/>
        <v>0</v>
      </c>
      <c r="AA33" s="527" t="s">
        <v>3439</v>
      </c>
      <c r="AB33">
        <f>_xlfn.XLOOKUP($H33,'[1]Baumaterialien Matériaux'!$A:$A,'[1]Baumaterialien Matériaux'!AK:AK,0,0)</f>
        <v>0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1112" cm="1">
        <f t="array" ref="AD33">IFERROR(_xlfn.SWITCH(I33,"kg",1,"m3",AC33,AC33)*J33/(_xlfn.XLOOKUP(AA33,Métrés!A:A,Métrés!E:E,0)),0)</f>
        <v>0</v>
      </c>
      <c r="AE33" s="1092">
        <f>IFERROR(N33*$G$1/(_xlfn.XLOOKUP($AA33,Métrés!$A:$A,Métrés!$E:$E,0)),0)</f>
        <v>0</v>
      </c>
      <c r="AF33" s="1092">
        <f>IFERROR(O33*$G$1/(_xlfn.XLOOKUP($AA33,Métrés!$A:$A,Métrés!$E:$E,0)),0)</f>
        <v>0</v>
      </c>
      <c r="AG33" s="1092">
        <f>IFERROR(Q33*$G$1/(_xlfn.XLOOKUP($AA33,Métrés!$A:$A,Métrés!$E:$E,0)),0)</f>
        <v>0</v>
      </c>
      <c r="AH33" s="1092">
        <f>IFERROR(R33*$G$1/(_xlfn.XLOOKUP($AA33,Métrés!$A:$A,Métrés!$E:$E,0)),0)</f>
        <v>0</v>
      </c>
      <c r="AI33" s="1092">
        <f>IFERROR(S33*$G$1/(_xlfn.XLOOKUP($AA33,Métrés!$A:$A,Métrés!$E:$E,0)),0)</f>
        <v>0</v>
      </c>
      <c r="AJ33" s="1022"/>
      <c r="AK33" s="638">
        <f t="shared" si="36"/>
        <v>0</v>
      </c>
      <c r="AL33" s="638">
        <f t="shared" si="37"/>
        <v>0</v>
      </c>
      <c r="AM33" s="638">
        <f t="shared" si="38"/>
        <v>0</v>
      </c>
      <c r="AN33" s="1017">
        <f t="shared" si="39"/>
        <v>0</v>
      </c>
      <c r="AO33" s="638">
        <f t="shared" si="40"/>
        <v>0</v>
      </c>
      <c r="AP33" s="638">
        <f t="shared" si="41"/>
        <v>0</v>
      </c>
      <c r="AQ33" s="1018">
        <f t="shared" si="42"/>
        <v>0</v>
      </c>
      <c r="AR33" s="1018">
        <f t="shared" si="43"/>
        <v>0</v>
      </c>
      <c r="AS33" s="1017">
        <f t="shared" si="44"/>
        <v>0</v>
      </c>
      <c r="AT33" s="638">
        <f t="shared" si="45"/>
        <v>0</v>
      </c>
      <c r="AU33" s="638">
        <f t="shared" si="46"/>
        <v>0</v>
      </c>
      <c r="AV33" s="1018">
        <f t="shared" si="47"/>
        <v>0</v>
      </c>
      <c r="AW33" s="1018">
        <f t="shared" si="48"/>
        <v>0</v>
      </c>
      <c r="AX33" s="1017">
        <f t="shared" si="49"/>
        <v>0</v>
      </c>
      <c r="AY33" s="638">
        <f t="shared" si="50"/>
        <v>0</v>
      </c>
      <c r="AZ33" s="638">
        <f t="shared" si="51"/>
        <v>0</v>
      </c>
      <c r="BA33" s="638">
        <f t="shared" si="52"/>
        <v>0</v>
      </c>
      <c r="BB33" s="1018">
        <f t="shared" si="53"/>
        <v>0</v>
      </c>
      <c r="BC33" s="1017"/>
      <c r="BF33" s="1018"/>
      <c r="BG33" s="1017">
        <f t="shared" si="54"/>
        <v>0</v>
      </c>
      <c r="BH33" s="638">
        <f t="shared" si="55"/>
        <v>0</v>
      </c>
      <c r="BI33" s="1018">
        <f t="shared" si="56"/>
        <v>0</v>
      </c>
      <c r="BJ33" s="638">
        <f>_xlfn.XLOOKUP(H33, 'Baumaterialien Matériaux'!A:A, 'Baumaterialien Matériaux'!E:E, "-", 0, 1)</f>
        <v>0</v>
      </c>
      <c r="BK33" s="1032">
        <f t="shared" si="5"/>
        <v>0</v>
      </c>
      <c r="BL33" s="1030">
        <f t="shared" si="6"/>
        <v>0</v>
      </c>
      <c r="BM33" s="1033">
        <f t="shared" si="7"/>
        <v>0</v>
      </c>
      <c r="BN33" s="720"/>
      <c r="BO33" s="720"/>
    </row>
    <row r="34" spans="2:67">
      <c r="B34" s="1103"/>
      <c r="C34" s="1099"/>
      <c r="D34" s="483"/>
      <c r="E34" s="478"/>
      <c r="F34" s="479"/>
      <c r="G34" s="479"/>
      <c r="H34" s="479"/>
      <c r="I34" s="459" t="s">
        <v>39</v>
      </c>
      <c r="J34" s="662">
        <v>0</v>
      </c>
      <c r="K34" s="663"/>
      <c r="L34" s="663"/>
      <c r="M34" s="664">
        <f>SUM(M35:M37)</f>
        <v>0</v>
      </c>
      <c r="N34" s="664">
        <f t="shared" ref="N34:T34" si="57">SUM(N35:N37)</f>
        <v>0</v>
      </c>
      <c r="O34" s="664">
        <f t="shared" ref="O34" si="58">SUM(O35:O37)</f>
        <v>0</v>
      </c>
      <c r="P34" s="664">
        <f t="shared" si="57"/>
        <v>0</v>
      </c>
      <c r="Q34" s="664">
        <f t="shared" si="57"/>
        <v>0</v>
      </c>
      <c r="R34" s="664">
        <f t="shared" ref="R34" si="59">SUM(R35:R37)</f>
        <v>0</v>
      </c>
      <c r="S34" s="664">
        <f t="shared" si="57"/>
        <v>0</v>
      </c>
      <c r="T34" s="664">
        <f t="shared" si="57"/>
        <v>0</v>
      </c>
      <c r="V34" s="638">
        <f t="shared" si="3"/>
        <v>0</v>
      </c>
      <c r="W34" s="638">
        <f t="shared" si="4"/>
        <v>0</v>
      </c>
      <c r="X34" s="638">
        <f t="shared" si="9"/>
        <v>0</v>
      </c>
      <c r="Z34" s="638">
        <f t="shared" si="10"/>
        <v>0</v>
      </c>
      <c r="AA34" s="527" t="s">
        <v>3439</v>
      </c>
      <c r="AB34">
        <f>_xlfn.XLOOKUP($H34,'[1]Baumaterialien Matériaux'!$A:$A,'[1]Baumaterialien Matériaux'!AK:AK,0,0)</f>
        <v>0</v>
      </c>
      <c r="AC34" cm="1">
        <f t="array" ref="AC34">_xlfn.SWITCH(I34,"kg"," ",0," ",_xlfn.XLOOKUP(H34, '[1]Baumaterialien Matériaux'!$A:$A, '[1]Baumaterialien Matériaux'!$AL:$AL, "-", 0, 1))</f>
        <v>0</v>
      </c>
      <c r="AD34" s="1112" cm="1">
        <f t="array" ref="AD34">IFERROR(_xlfn.SWITCH(I34,"kg",1,"m3",AC34,AC34)*J34/(_xlfn.XLOOKUP(AA34,Métrés!A:A,Métrés!E:E,0)),0)</f>
        <v>0</v>
      </c>
      <c r="AE34" s="1092">
        <f>IFERROR(N34*$G$1/(_xlfn.XLOOKUP($AA34,Métrés!$A:$A,Métrés!$E:$E,0)),0)</f>
        <v>0</v>
      </c>
      <c r="AF34" s="1092">
        <f>IFERROR(O34*$G$1/(_xlfn.XLOOKUP($AA34,Métrés!$A:$A,Métrés!$E:$E,0)),0)</f>
        <v>0</v>
      </c>
      <c r="AG34" s="1092">
        <f>IFERROR(Q34*$G$1/(_xlfn.XLOOKUP($AA34,Métrés!$A:$A,Métrés!$E:$E,0)),0)</f>
        <v>0</v>
      </c>
      <c r="AH34" s="1092">
        <f>IFERROR(R34*$G$1/(_xlfn.XLOOKUP($AA34,Métrés!$A:$A,Métrés!$E:$E,0)),0)</f>
        <v>0</v>
      </c>
      <c r="AI34" s="1092">
        <f>IFERROR(S34*$G$1/(_xlfn.XLOOKUP($AA34,Métrés!$A:$A,Métrés!$E:$E,0)),0)</f>
        <v>0</v>
      </c>
      <c r="AJ34" s="878"/>
      <c r="AK34" s="878"/>
      <c r="AL34" s="878"/>
      <c r="AM34" s="878"/>
      <c r="AN34" s="1053"/>
      <c r="AO34" s="878"/>
      <c r="AP34" s="878"/>
      <c r="AQ34" s="878"/>
      <c r="AR34" s="1054"/>
      <c r="AS34" s="1053"/>
      <c r="AT34" s="878"/>
      <c r="AU34" s="878"/>
      <c r="AV34" s="878"/>
      <c r="AW34" s="1054"/>
      <c r="AX34" s="1053"/>
      <c r="AY34" s="878"/>
      <c r="AZ34" s="878"/>
      <c r="BA34" s="878"/>
      <c r="BB34" s="1054"/>
      <c r="BC34" s="1053"/>
      <c r="BD34" s="878"/>
      <c r="BE34" s="878"/>
      <c r="BF34" s="1054"/>
      <c r="BG34" s="1053"/>
      <c r="BH34" s="878"/>
      <c r="BI34" s="1054"/>
      <c r="BJ34" s="878"/>
      <c r="BK34" s="1053"/>
      <c r="BL34" s="878"/>
      <c r="BM34" s="1054"/>
      <c r="BN34" s="720">
        <f>IFERROR((J34*VLOOKUP(H34, 'Baumaterialien Matériaux'!$A$11:$AH$318, 32,FALSE))*($L$2/L34-1),0)/$G$1</f>
        <v>0</v>
      </c>
      <c r="BO34" s="720">
        <f>IFERROR((N34+Q34)*($L$2/L34-1),0)</f>
        <v>0</v>
      </c>
    </row>
    <row r="35" spans="2:67">
      <c r="B35" s="1103"/>
      <c r="C35" s="1099"/>
      <c r="D35" s="478"/>
      <c r="E35" s="478"/>
      <c r="F35" s="483"/>
      <c r="G35" s="478"/>
      <c r="H35" s="875"/>
      <c r="I35" s="641"/>
      <c r="J35" s="649"/>
      <c r="K35" s="650"/>
      <c r="L35" s="647"/>
      <c r="M35" s="648"/>
      <c r="N35" s="720"/>
      <c r="O35" s="720"/>
      <c r="P35" s="720"/>
      <c r="Q35" s="720"/>
      <c r="R35" s="720"/>
      <c r="S35" s="720"/>
      <c r="T35" s="720">
        <f>S35*AJ35</f>
        <v>0</v>
      </c>
      <c r="V35" s="638">
        <f t="shared" si="3"/>
        <v>0</v>
      </c>
      <c r="W35" s="638">
        <f t="shared" si="4"/>
        <v>0</v>
      </c>
      <c r="X35" s="638">
        <f t="shared" si="9"/>
        <v>0</v>
      </c>
      <c r="Z35" s="638">
        <f t="shared" si="10"/>
        <v>0</v>
      </c>
      <c r="AA35" s="527" t="s">
        <v>3439</v>
      </c>
      <c r="AB35">
        <f>_xlfn.XLOOKUP($H35,'[1]Baumaterialien Matériaux'!$A:$A,'[1]Baumaterialien Matériaux'!AK:AK,0,0)</f>
        <v>0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1112" cm="1">
        <f t="array" ref="AD35">IFERROR(_xlfn.SWITCH(I35,"kg",1,"m3",AC35,AC35)*J35/(_xlfn.XLOOKUP(AA35,Métrés!A:A,Métrés!E:E,0)),0)</f>
        <v>0</v>
      </c>
      <c r="AE35" s="1092">
        <f>IFERROR(N35*$G$1/(_xlfn.XLOOKUP($AA35,Métrés!$A:$A,Métrés!$E:$E,0)),0)</f>
        <v>0</v>
      </c>
      <c r="AF35" s="1092">
        <f>IFERROR(O35*$G$1/(_xlfn.XLOOKUP($AA35,Métrés!$A:$A,Métrés!$E:$E,0)),0)</f>
        <v>0</v>
      </c>
      <c r="AG35" s="1092">
        <f>IFERROR(Q35*$G$1/(_xlfn.XLOOKUP($AA35,Métrés!$A:$A,Métrés!$E:$E,0)),0)</f>
        <v>0</v>
      </c>
      <c r="AH35" s="1092">
        <f>IFERROR(R35*$G$1/(_xlfn.XLOOKUP($AA35,Métrés!$A:$A,Métrés!$E:$E,0)),0)</f>
        <v>0</v>
      </c>
      <c r="AI35" s="1092">
        <f>IFERROR(S35*$G$1/(_xlfn.XLOOKUP($AA35,Métrés!$A:$A,Métrés!$E:$E,0)),0)</f>
        <v>0</v>
      </c>
      <c r="AJ35" s="1022"/>
      <c r="AK35" s="638">
        <f>IF(L35=60,0,T35)</f>
        <v>0</v>
      </c>
      <c r="AL35" s="638">
        <f>IF(L35=60,0,S35)</f>
        <v>0</v>
      </c>
      <c r="AM35" s="638">
        <f>IF(L35=$L$2, "Structure", IF(L35&gt;0,"Revêtement",0))</f>
        <v>0</v>
      </c>
      <c r="AN35" s="1017">
        <f>IF(AM35="Structure",N35,0)</f>
        <v>0</v>
      </c>
      <c r="AO35" s="638">
        <f>IF(AM35="Structure",P35,0)</f>
        <v>0</v>
      </c>
      <c r="AP35" s="638">
        <f>IF(AM35="Structure",Q35,0)</f>
        <v>0</v>
      </c>
      <c r="AQ35" s="1018">
        <f>IF(AM35="Structure",S35,0)</f>
        <v>0</v>
      </c>
      <c r="AR35" s="1018">
        <f>IF(AM35="Structure",T35,0)</f>
        <v>0</v>
      </c>
      <c r="AS35" s="1017">
        <f>IF(AM35="Insulation",N35,0)</f>
        <v>0</v>
      </c>
      <c r="AT35" s="638">
        <f>IF(AM35="Insulation",P35,0)</f>
        <v>0</v>
      </c>
      <c r="AU35" s="638">
        <f>IF(AM35="Insulation",Q35,0)</f>
        <v>0</v>
      </c>
      <c r="AV35" s="1018">
        <f>IF(AM35="Insulation",S35,0)</f>
        <v>0</v>
      </c>
      <c r="AW35" s="1018">
        <f>IF(AM35="Insulation",T35,0)</f>
        <v>0</v>
      </c>
      <c r="AX35" s="1017">
        <f>IF(AM35="Revêtement",N35,0)</f>
        <v>0</v>
      </c>
      <c r="AY35" s="638">
        <f>IF(AM35="Revêtement",P35,0)</f>
        <v>0</v>
      </c>
      <c r="AZ35" s="638">
        <f>IF(AM35="Revêtement",Q35,0)</f>
        <v>0</v>
      </c>
      <c r="BA35" s="638">
        <f>IF(AM35="Revêtement",S35,0)</f>
        <v>0</v>
      </c>
      <c r="BB35" s="1018">
        <f>IF(AM35="Revêtement",T35,0)</f>
        <v>0</v>
      </c>
      <c r="BC35" s="1017"/>
      <c r="BF35" s="1018"/>
      <c r="BG35" s="1017">
        <f>IF($AM35="Structure", IF($I35="kg",$J35,0), 0)</f>
        <v>0</v>
      </c>
      <c r="BH35" s="638">
        <f>IF($AM35="Insulation", IF($I35="kg",$J35,0), 0)</f>
        <v>0</v>
      </c>
      <c r="BI35" s="1018">
        <f>IF($AM35="Revêtement", IF($I35="kg",$J35,0), 0)</f>
        <v>0</v>
      </c>
      <c r="BJ35" s="638">
        <f>_xlfn.XLOOKUP(H35, 'Baumaterialien Matériaux'!A:A, 'Baumaterialien Matériaux'!E:E, "-", 0, 1)</f>
        <v>0</v>
      </c>
      <c r="BK35" s="1032">
        <f t="shared" si="5"/>
        <v>0</v>
      </c>
      <c r="BL35" s="1030">
        <f t="shared" si="6"/>
        <v>0</v>
      </c>
      <c r="BM35" s="1033">
        <f t="shared" si="7"/>
        <v>0</v>
      </c>
      <c r="BN35" s="720">
        <f>IFERROR((J35*VLOOKUP(H35, 'Baumaterialien Matériaux'!$A$11:$AH$318, 32,FALSE))*($L$2/L35-1),0)/$G$1</f>
        <v>0</v>
      </c>
      <c r="BO35" s="720">
        <f>IFERROR((N35+Q35)*($L$2/L35-1),0)</f>
        <v>0</v>
      </c>
    </row>
    <row r="36" spans="2:67">
      <c r="B36" s="1103"/>
      <c r="C36" s="1099"/>
      <c r="D36" s="478"/>
      <c r="E36" s="478"/>
      <c r="F36" s="483"/>
      <c r="G36" s="478"/>
      <c r="H36" s="875"/>
      <c r="I36" s="641"/>
      <c r="J36" s="649"/>
      <c r="K36" s="649"/>
      <c r="M36" s="648"/>
      <c r="N36" s="720"/>
      <c r="O36" s="720"/>
      <c r="P36" s="720"/>
      <c r="Q36" s="720"/>
      <c r="R36" s="720"/>
      <c r="S36" s="720"/>
      <c r="T36" s="720">
        <f>S36*AJ36</f>
        <v>0</v>
      </c>
      <c r="V36" s="638">
        <f t="shared" si="3"/>
        <v>0</v>
      </c>
      <c r="W36" s="638">
        <f t="shared" si="4"/>
        <v>0</v>
      </c>
      <c r="X36" s="638">
        <f t="shared" si="9"/>
        <v>0</v>
      </c>
      <c r="Z36" s="638">
        <f t="shared" si="10"/>
        <v>0</v>
      </c>
      <c r="AA36" s="527" t="s">
        <v>3439</v>
      </c>
      <c r="AB36">
        <f>_xlfn.XLOOKUP($H36,'[1]Baumaterialien Matériaux'!$A:$A,'[1]Baumaterialien Matériaux'!AK:AK,0,0)</f>
        <v>0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1112" cm="1">
        <f t="array" ref="AD36">IFERROR(_xlfn.SWITCH(I36,"kg",1,"m3",AC36,AC36)*J36/(_xlfn.XLOOKUP(AA36,Métrés!A:A,Métrés!E:E,0)),0)</f>
        <v>0</v>
      </c>
      <c r="AE36" s="1092">
        <f>IFERROR(N36*$G$1/(_xlfn.XLOOKUP($AA36,Métrés!$A:$A,Métrés!$E:$E,0)),0)</f>
        <v>0</v>
      </c>
      <c r="AF36" s="1092">
        <f>IFERROR(O36*$G$1/(_xlfn.XLOOKUP($AA36,Métrés!$A:$A,Métrés!$E:$E,0)),0)</f>
        <v>0</v>
      </c>
      <c r="AG36" s="1092">
        <f>IFERROR(Q36*$G$1/(_xlfn.XLOOKUP($AA36,Métrés!$A:$A,Métrés!$E:$E,0)),0)</f>
        <v>0</v>
      </c>
      <c r="AH36" s="1092">
        <f>IFERROR(R36*$G$1/(_xlfn.XLOOKUP($AA36,Métrés!$A:$A,Métrés!$E:$E,0)),0)</f>
        <v>0</v>
      </c>
      <c r="AI36" s="1092">
        <f>IFERROR(S36*$G$1/(_xlfn.XLOOKUP($AA36,Métrés!$A:$A,Métrés!$E:$E,0)),0)</f>
        <v>0</v>
      </c>
      <c r="AJ36" s="1022"/>
      <c r="AK36" s="638">
        <f>IF(L36=60,0,T36)</f>
        <v>0</v>
      </c>
      <c r="AL36" s="638">
        <f>IF(L36=60,0,S36)</f>
        <v>0</v>
      </c>
      <c r="AM36" s="638">
        <f>IF(L36=$L$2, "Structure", IF(L36&gt;0,"Revêtement",0))</f>
        <v>0</v>
      </c>
      <c r="AN36" s="1017">
        <f>IF(AM36="Structure",N36,0)</f>
        <v>0</v>
      </c>
      <c r="AO36" s="638">
        <f>IF(AM36="Structure",P36,0)</f>
        <v>0</v>
      </c>
      <c r="AP36" s="638">
        <f>IF(AM36="Structure",Q36,0)</f>
        <v>0</v>
      </c>
      <c r="AQ36" s="1018">
        <f>IF(AM36="Structure",S36,0)</f>
        <v>0</v>
      </c>
      <c r="AR36" s="1018">
        <f>IF(AM36="Structure",T36,0)</f>
        <v>0</v>
      </c>
      <c r="AS36" s="1017">
        <f>IF(AM36="Insulation",N36,0)</f>
        <v>0</v>
      </c>
      <c r="AT36" s="638">
        <f>IF(AM36="Insulation",P36,0)</f>
        <v>0</v>
      </c>
      <c r="AU36" s="638">
        <f>IF(AM36="Insulation",Q36,0)</f>
        <v>0</v>
      </c>
      <c r="AV36" s="1018">
        <f>IF(AM36="Insulation",S36,0)</f>
        <v>0</v>
      </c>
      <c r="AW36" s="1018">
        <f>IF(AM36="Insulation",T36,0)</f>
        <v>0</v>
      </c>
      <c r="AX36" s="1017">
        <f>IF(AM36="Revêtement",N36,0)</f>
        <v>0</v>
      </c>
      <c r="AY36" s="638">
        <f>IF(AM36="Revêtement",P36,0)</f>
        <v>0</v>
      </c>
      <c r="AZ36" s="638">
        <f>IF(AM36="Revêtement",Q36,0)</f>
        <v>0</v>
      </c>
      <c r="BA36" s="638">
        <f>IF(AM36="Revêtement",S36,0)</f>
        <v>0</v>
      </c>
      <c r="BB36" s="1018">
        <f>IF(AM36="Revêtement",T36,0)</f>
        <v>0</v>
      </c>
      <c r="BC36" s="1017"/>
      <c r="BF36" s="1018"/>
      <c r="BG36" s="1017">
        <f>IF($AM36="Structure", IF($I36="kg",$J36,0), 0)</f>
        <v>0</v>
      </c>
      <c r="BH36" s="638">
        <f>IF($AM36="Insulation", IF($I36="kg",$J36,0), 0)</f>
        <v>0</v>
      </c>
      <c r="BI36" s="1018">
        <f>IF($AM36="Revêtement", IF($I36="kg",$J36,0), 0)</f>
        <v>0</v>
      </c>
      <c r="BJ36" s="638">
        <f>_xlfn.XLOOKUP(H36, 'Baumaterialien Matériaux'!A:A, 'Baumaterialien Matériaux'!E:E, "-", 0, 1)</f>
        <v>0</v>
      </c>
      <c r="BK36" s="1032">
        <f t="shared" si="5"/>
        <v>0</v>
      </c>
      <c r="BL36" s="1030">
        <f t="shared" si="6"/>
        <v>0</v>
      </c>
      <c r="BM36" s="1033">
        <f t="shared" si="7"/>
        <v>0</v>
      </c>
    </row>
    <row r="37" spans="2:67">
      <c r="B37" s="1103"/>
      <c r="C37" s="1099"/>
      <c r="D37" s="478"/>
      <c r="E37" s="478"/>
      <c r="F37" s="478"/>
      <c r="G37" s="478"/>
      <c r="H37" s="478"/>
      <c r="I37" s="641"/>
      <c r="J37" s="649"/>
      <c r="K37" s="647"/>
      <c r="L37" s="647"/>
      <c r="M37" s="648"/>
      <c r="T37" s="720">
        <f>S37*AJ37</f>
        <v>0</v>
      </c>
      <c r="V37" s="638">
        <f t="shared" si="3"/>
        <v>0</v>
      </c>
      <c r="W37" s="638">
        <f t="shared" si="4"/>
        <v>0</v>
      </c>
      <c r="X37" s="638">
        <f t="shared" si="9"/>
        <v>0</v>
      </c>
      <c r="Z37" s="638">
        <f t="shared" si="10"/>
        <v>0</v>
      </c>
      <c r="AA37" s="527" t="s">
        <v>3439</v>
      </c>
      <c r="AB37">
        <f>_xlfn.XLOOKUP($H37,'[1]Baumaterialien Matériaux'!$A:$A,'[1]Baumaterialien Matériaux'!AK:AK,0,0)</f>
        <v>0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1112" cm="1">
        <f t="array" ref="AD37">IFERROR(_xlfn.SWITCH(I37,"kg",1,"m3",AC37,AC37)*J37/(_xlfn.XLOOKUP(AA37,Métrés!A:A,Métrés!E:E,0)),0)</f>
        <v>0</v>
      </c>
      <c r="AE37" s="1092">
        <f>IFERROR(N37*$G$1/(_xlfn.XLOOKUP($AA37,Métrés!$A:$A,Métrés!$E:$E,0)),0)</f>
        <v>0</v>
      </c>
      <c r="AF37" s="1092">
        <f>IFERROR(O37*$G$1/(_xlfn.XLOOKUP($AA37,Métrés!$A:$A,Métrés!$E:$E,0)),0)</f>
        <v>0</v>
      </c>
      <c r="AG37" s="1092">
        <f>IFERROR(Q37*$G$1/(_xlfn.XLOOKUP($AA37,Métrés!$A:$A,Métrés!$E:$E,0)),0)</f>
        <v>0</v>
      </c>
      <c r="AH37" s="1092">
        <f>IFERROR(R37*$G$1/(_xlfn.XLOOKUP($AA37,Métrés!$A:$A,Métrés!$E:$E,0)),0)</f>
        <v>0</v>
      </c>
      <c r="AI37" s="1092">
        <f>IFERROR(S37*$G$1/(_xlfn.XLOOKUP($AA37,Métrés!$A:$A,Métrés!$E:$E,0)),0)</f>
        <v>0</v>
      </c>
      <c r="AJ37" s="1022"/>
      <c r="AK37" s="638">
        <f>IF(L37=60,0,T37)</f>
        <v>0</v>
      </c>
      <c r="AL37" s="638">
        <f>IF(L37=60,0,S37)</f>
        <v>0</v>
      </c>
      <c r="AM37" s="638">
        <f>IF(L37=$L$2, "Structure", IF(L37&gt;0,"Revêtement",0))</f>
        <v>0</v>
      </c>
      <c r="AN37" s="1017">
        <f>IF(AM37="Structure",N37,0)</f>
        <v>0</v>
      </c>
      <c r="AO37" s="638">
        <f>IF(AM37="Structure",P37,0)</f>
        <v>0</v>
      </c>
      <c r="AP37" s="638">
        <f>IF(AM37="Structure",Q37,0)</f>
        <v>0</v>
      </c>
      <c r="AQ37" s="1018">
        <f>IF(AM37="Structure",S37,0)</f>
        <v>0</v>
      </c>
      <c r="AR37" s="1018">
        <f>IF(AM37="Structure",T37,0)</f>
        <v>0</v>
      </c>
      <c r="AS37" s="1017">
        <f>IF(AM37="Insulation",N37,0)</f>
        <v>0</v>
      </c>
      <c r="AT37" s="638">
        <f>IF(AM37="Insulation",P37,0)</f>
        <v>0</v>
      </c>
      <c r="AU37" s="638">
        <f>IF(AM37="Insulation",Q37,0)</f>
        <v>0</v>
      </c>
      <c r="AV37" s="1018">
        <f>IF(AM37="Insulation",S37,0)</f>
        <v>0</v>
      </c>
      <c r="AW37" s="1018">
        <f>IF(AM37="Insulation",T37,0)</f>
        <v>0</v>
      </c>
      <c r="AX37" s="1017">
        <f>IF(AM37="Revêtement",N37,0)</f>
        <v>0</v>
      </c>
      <c r="AY37" s="638">
        <f>IF(AM37="Revêtement",P37,0)</f>
        <v>0</v>
      </c>
      <c r="AZ37" s="638">
        <f>IF(AM37="Revêtement",Q37,0)</f>
        <v>0</v>
      </c>
      <c r="BA37" s="638">
        <f>IF(AM37="Revêtement",S37,0)</f>
        <v>0</v>
      </c>
      <c r="BB37" s="1018">
        <f>IF(AM37="Revêtement",T37,0)</f>
        <v>0</v>
      </c>
      <c r="BC37" s="1017"/>
      <c r="BF37" s="1018"/>
      <c r="BG37" s="1017">
        <f>IF($AM37="Structure", IF($I37="kg",$J37,0), 0)</f>
        <v>0</v>
      </c>
      <c r="BH37" s="638">
        <f>IF($AM37="Insulation", IF($I37="kg",$J37,0), 0)</f>
        <v>0</v>
      </c>
      <c r="BI37" s="1018">
        <f>IF($AM37="Revêtement", IF($I37="kg",$J37,0), 0)</f>
        <v>0</v>
      </c>
      <c r="BJ37" s="638">
        <f>_xlfn.XLOOKUP(H37, 'Baumaterialien Matériaux'!A:A, 'Baumaterialien Matériaux'!E:E, "-", 0, 1)</f>
        <v>0</v>
      </c>
      <c r="BK37" s="1032">
        <f t="shared" si="5"/>
        <v>0</v>
      </c>
      <c r="BL37" s="1030">
        <f t="shared" si="6"/>
        <v>0</v>
      </c>
      <c r="BM37" s="1033">
        <f t="shared" si="7"/>
        <v>0</v>
      </c>
    </row>
    <row r="38" spans="2:67" ht="15.6" customHeight="1">
      <c r="B38" s="1103"/>
      <c r="C38" s="1097" t="s">
        <v>111</v>
      </c>
      <c r="D38" s="473" t="s">
        <v>112</v>
      </c>
      <c r="E38" s="473"/>
      <c r="F38" s="473"/>
      <c r="G38" s="473"/>
      <c r="H38" s="473"/>
      <c r="I38" s="463"/>
      <c r="J38" s="654"/>
      <c r="K38" s="652"/>
      <c r="L38" s="652"/>
      <c r="M38" s="653">
        <f>M39+M46</f>
        <v>47.914451842378014</v>
      </c>
      <c r="N38" s="653">
        <f t="shared" ref="N38:S38" si="60">N39+N46</f>
        <v>37.899545445877031</v>
      </c>
      <c r="O38" s="653">
        <f t="shared" ref="O38" si="61">O39+O46</f>
        <v>8.7112229679532334</v>
      </c>
      <c r="P38" s="653">
        <f t="shared" si="60"/>
        <v>0</v>
      </c>
      <c r="Q38" s="653">
        <f t="shared" si="60"/>
        <v>6.6604521537249681</v>
      </c>
      <c r="R38" s="653">
        <f t="shared" ref="R38" si="62">R39+R46</f>
        <v>3.7878837767920066</v>
      </c>
      <c r="S38" s="653">
        <f t="shared" si="60"/>
        <v>0</v>
      </c>
      <c r="T38" s="653">
        <f t="shared" ref="T38" si="63">T39+T46</f>
        <v>0</v>
      </c>
      <c r="V38" s="638">
        <f t="shared" si="3"/>
        <v>0</v>
      </c>
      <c r="W38" s="638">
        <f t="shared" si="4"/>
        <v>0</v>
      </c>
      <c r="X38" s="638">
        <f t="shared" si="9"/>
        <v>0</v>
      </c>
      <c r="Z38" s="638">
        <f t="shared" si="10"/>
        <v>0</v>
      </c>
      <c r="AB38">
        <f>_xlfn.XLOOKUP($H38,'[1]Baumaterialien Matériaux'!$A:$A,'[1]Baumaterialien Matériaux'!AK:AK,0,0)</f>
        <v>0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1112" cm="1">
        <f t="array" ref="AD38">IFERROR(_xlfn.SWITCH(I38,"kg",1,"m3",AC38,AC38)*J38/(_xlfn.XLOOKUP(AA38,Métrés!A:A,Métrés!E:E,0)),0)</f>
        <v>0</v>
      </c>
      <c r="AE38" s="1092">
        <f>IFERROR(N38*$G$1/(_xlfn.XLOOKUP($AA38,Métrés!$A:$A,Métrés!$E:$E,0)),0)</f>
        <v>0</v>
      </c>
      <c r="AF38" s="1092">
        <f>IFERROR(O38*$G$1/(_xlfn.XLOOKUP($AA38,Métrés!$A:$A,Métrés!$E:$E,0)),0)</f>
        <v>0</v>
      </c>
      <c r="AG38" s="1092">
        <f>IFERROR(Q38*$G$1/(_xlfn.XLOOKUP($AA38,Métrés!$A:$A,Métrés!$E:$E,0)),0)</f>
        <v>0</v>
      </c>
      <c r="AH38" s="1092">
        <f>IFERROR(R38*$G$1/(_xlfn.XLOOKUP($AA38,Métrés!$A:$A,Métrés!$E:$E,0)),0)</f>
        <v>0</v>
      </c>
      <c r="AI38" s="1092">
        <f>IFERROR(S38*$G$1/(_xlfn.XLOOKUP($AA38,Métrés!$A:$A,Métrés!$E:$E,0)),0)</f>
        <v>0</v>
      </c>
      <c r="AJ38" s="666"/>
      <c r="AK38" s="666"/>
      <c r="AL38" s="666"/>
      <c r="AM38" s="666"/>
      <c r="AN38" s="1051"/>
      <c r="AO38" s="666"/>
      <c r="AP38" s="666"/>
      <c r="AQ38" s="666"/>
      <c r="AR38" s="1052"/>
      <c r="AS38" s="1051"/>
      <c r="AT38" s="666"/>
      <c r="AU38" s="666"/>
      <c r="AV38" s="666"/>
      <c r="AW38" s="1052"/>
      <c r="AX38" s="1051"/>
      <c r="AY38" s="666"/>
      <c r="AZ38" s="666"/>
      <c r="BA38" s="666"/>
      <c r="BB38" s="1052"/>
      <c r="BC38" s="1051"/>
      <c r="BD38" s="666"/>
      <c r="BE38" s="666"/>
      <c r="BF38" s="1052"/>
      <c r="BG38" s="1051"/>
      <c r="BH38" s="666"/>
      <c r="BI38" s="1052"/>
      <c r="BJ38" s="666"/>
      <c r="BK38" s="1051"/>
      <c r="BL38" s="666"/>
      <c r="BM38" s="1052"/>
    </row>
    <row r="39" spans="2:67">
      <c r="B39" s="1103"/>
      <c r="C39" s="1099"/>
      <c r="D39" s="478"/>
      <c r="E39" s="479" t="str">
        <f>BillQuantities!E12</f>
        <v>non-isolés</v>
      </c>
      <c r="F39" s="479" t="s">
        <v>3027</v>
      </c>
      <c r="G39" s="479"/>
      <c r="H39" s="479"/>
      <c r="I39" s="459" t="s">
        <v>39</v>
      </c>
      <c r="J39" s="662">
        <v>126.36</v>
      </c>
      <c r="K39" s="663"/>
      <c r="L39" s="663"/>
      <c r="M39" s="664">
        <f>SUM(M40:M45)</f>
        <v>27.402743601011572</v>
      </c>
      <c r="N39" s="664">
        <f t="shared" ref="N39:S39" si="64">SUM(N40:N45)</f>
        <v>23.017913826126609</v>
      </c>
      <c r="O39" s="664">
        <f t="shared" ref="O39" si="65">SUM(O40:O45)</f>
        <v>5.3567687251772309</v>
      </c>
      <c r="P39" s="664">
        <f t="shared" si="64"/>
        <v>0</v>
      </c>
      <c r="Q39" s="664">
        <f t="shared" si="64"/>
        <v>4.3848297748849543</v>
      </c>
      <c r="R39" s="664">
        <f t="shared" ref="R39" si="66">SUM(R40:R45)</f>
        <v>2.3340060843248618</v>
      </c>
      <c r="S39" s="664">
        <f t="shared" si="64"/>
        <v>0</v>
      </c>
      <c r="T39" s="664">
        <f t="shared" ref="T39" si="67">SUM(T40:T45)</f>
        <v>0</v>
      </c>
      <c r="V39" s="638">
        <f t="shared" si="3"/>
        <v>0</v>
      </c>
      <c r="W39" s="638">
        <f t="shared" si="4"/>
        <v>0</v>
      </c>
      <c r="X39" s="638">
        <f t="shared" si="9"/>
        <v>0</v>
      </c>
      <c r="Z39" s="638">
        <f t="shared" si="10"/>
        <v>0</v>
      </c>
      <c r="AA39" t="s">
        <v>3452</v>
      </c>
      <c r="AB39">
        <f>_xlfn.XLOOKUP($H39,'[1]Baumaterialien Matériaux'!$A:$A,'[1]Baumaterialien Matériaux'!AK:AK,0,0)</f>
        <v>0</v>
      </c>
      <c r="AC39" cm="1">
        <f t="array" ref="AC39">_xlfn.SWITCH(I39,"kg"," ",0," ",_xlfn.XLOOKUP(H39, '[1]Baumaterialien Matériaux'!$A:$A, '[1]Baumaterialien Matériaux'!$AL:$AL, "-", 0, 1))</f>
        <v>0</v>
      </c>
      <c r="AD39" s="1112" cm="1">
        <f t="array" ref="AD39">IFERROR(_xlfn.SWITCH(I39,"kg",1,"m3",AC39,AC39)*J39/(_xlfn.XLOOKUP(AA39,Métrés!A:A,Métrés!E:E,0)),0)</f>
        <v>0</v>
      </c>
      <c r="AE39" s="1092">
        <f>IFERROR(N39*$G$1/(_xlfn.XLOOKUP($AA39,Métrés!$A:$A,Métrés!$E:$E,0)),0)</f>
        <v>102.85094232390125</v>
      </c>
      <c r="AF39" s="1092">
        <f>IFERROR(O39*$G$1/(_xlfn.XLOOKUP($AA39,Métrés!$A:$A,Métrés!$E:$E,0)),0)</f>
        <v>23.93564922335942</v>
      </c>
      <c r="AG39" s="1092">
        <f>IFERROR(Q39*$G$1/(_xlfn.XLOOKUP($AA39,Métrés!$A:$A,Métrés!$E:$E,0)),0)</f>
        <v>19.592734497290785</v>
      </c>
      <c r="AH39" s="1092">
        <f>IFERROR(R39*$G$1/(_xlfn.XLOOKUP($AA39,Métrés!$A:$A,Métrés!$E:$E,0)),0)</f>
        <v>10.429039181216135</v>
      </c>
      <c r="AI39" s="1092">
        <f>IFERROR(S39*$G$1/(_xlfn.XLOOKUP($AA39,Métrés!$A:$A,Métrés!$E:$E,0)),0)</f>
        <v>0</v>
      </c>
      <c r="AJ39" s="878"/>
      <c r="AK39" s="878"/>
      <c r="AL39" s="878"/>
      <c r="AM39" s="878"/>
      <c r="AN39" s="1053"/>
      <c r="AO39" s="878"/>
      <c r="AP39" s="878"/>
      <c r="AQ39" s="878"/>
      <c r="AR39" s="1054"/>
      <c r="AS39" s="1053"/>
      <c r="AT39" s="878"/>
      <c r="AU39" s="878"/>
      <c r="AV39" s="878"/>
      <c r="AW39" s="1054"/>
      <c r="AX39" s="1053"/>
      <c r="AY39" s="878"/>
      <c r="AZ39" s="878"/>
      <c r="BA39" s="878"/>
      <c r="BB39" s="1054"/>
      <c r="BC39" s="1053"/>
      <c r="BD39" s="878"/>
      <c r="BE39" s="878"/>
      <c r="BF39" s="1054"/>
      <c r="BG39" s="1053"/>
      <c r="BH39" s="878"/>
      <c r="BI39" s="1054"/>
      <c r="BJ39" s="878"/>
      <c r="BK39" s="1053"/>
      <c r="BL39" s="878"/>
      <c r="BM39" s="1054"/>
    </row>
    <row r="40" spans="2:67">
      <c r="B40" s="1103"/>
      <c r="C40" s="1099"/>
      <c r="D40" s="478"/>
      <c r="E40" s="478"/>
      <c r="F40" s="478" t="s">
        <v>3023</v>
      </c>
      <c r="G40" s="478" t="str">
        <f>_xlfn.XLOOKUP(H40, 'Baumaterialien Matériaux'!A:A, 'Baumaterialien Matériaux'!AD:AD, "-", 0, 1)</f>
        <v>Sable</v>
      </c>
      <c r="H40" s="892" t="s">
        <v>699</v>
      </c>
      <c r="I40" s="641" t="str">
        <f>_xlfn.XLOOKUP(H40, 'Baumaterialien Matériaux'!A:A, 'Baumaterialien Matériaux'!F:F, "-", 0, 1)</f>
        <v>kg</v>
      </c>
      <c r="J40" s="649">
        <f>$J$39*K40</f>
        <v>41698.800000000003</v>
      </c>
      <c r="K40" s="893">
        <f>0.33*1000</f>
        <v>330</v>
      </c>
      <c r="L40" s="647">
        <v>60</v>
      </c>
      <c r="M40" s="648">
        <f>IFERROR((J40*VLOOKUP(H40, 'Baumaterialien Matériaux'!$A$11:$AD$318, 26,FALSE))+(J40*VLOOKUP(H40, 'Baumaterialien Matériaux'!$A$11:$AD$318, 27,FALSE)),0)/$G$1</f>
        <v>0.68630751627212816</v>
      </c>
      <c r="N40" s="720">
        <f>IFERROR(($J40*VLOOKUP($H40, 'Baumaterialien Matériaux'!$A$11:$AH$318, 26,FALSE)),0)/$G$1</f>
        <v>0.1331125409394304</v>
      </c>
      <c r="O40" s="720">
        <f>IFERROR(($J40*VLOOKUP($H40, 'Baumaterialien Matériaux'!$A$11:$AH$318, 33,FALSE)),0)/$G$1</f>
        <v>4.4514908171303019E-2</v>
      </c>
      <c r="P40" s="720">
        <f>(N40+Q40)*($L$2/L40-1)</f>
        <v>0</v>
      </c>
      <c r="Q40" s="720">
        <f>IFERROR(($J40*VLOOKUP($H40, 'Baumaterialien Matériaux'!$A$11:$AH$318, 27,FALSE)),0)/$G$1</f>
        <v>0.55319497533269779</v>
      </c>
      <c r="R40" s="720">
        <f>IFERROR(($J40*VLOOKUP($H40, 'Baumaterialien Matériaux'!$A$11:$AH$318, 34,FALSE)),0)/$G$1</f>
        <v>2.2819292732473781E-2</v>
      </c>
      <c r="S40" s="720">
        <f>IFERROR((J40*VLOOKUP(H40, 'Baumaterialien Matériaux'!$A$11:$AD$318, 29,FALSE)),0)/$G$1</f>
        <v>0</v>
      </c>
      <c r="T40" s="720">
        <f t="shared" ref="T40:T45" si="68">S40*AJ40</f>
        <v>0</v>
      </c>
      <c r="V40" s="638">
        <f t="shared" si="3"/>
        <v>0</v>
      </c>
      <c r="W40" s="638">
        <f t="shared" si="4"/>
        <v>0</v>
      </c>
      <c r="X40" s="638" t="str">
        <f t="shared" si="9"/>
        <v>Structure</v>
      </c>
      <c r="Z40" s="638">
        <f t="shared" si="10"/>
        <v>60</v>
      </c>
      <c r="AA40" t="s">
        <v>3452</v>
      </c>
      <c r="AB40" t="str">
        <f>_xlfn.XLOOKUP($H40,'[1]Baumaterialien Matériaux'!$A:$A,'[1]Baumaterialien Matériaux'!AK:AK,0,0)</f>
        <v>stone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1112" cm="1">
        <f t="array" ref="AD40">IFERROR(_xlfn.SWITCH(I40,"kg",1,"m3",AC40,AC40)*J40/(_xlfn.XLOOKUP(AA40,Métrés!A:A,Métrés!E:E,0)),0)</f>
        <v>193.11258278145695</v>
      </c>
      <c r="AE40" s="1092">
        <f>IFERROR(N40*$G$1/(_xlfn.XLOOKUP($AA40,Métrés!$A:$A,Métrés!$E:$E,0)),0)</f>
        <v>0.59478675496688749</v>
      </c>
      <c r="AF40" s="1092">
        <f>IFERROR(O40*$G$1/(_xlfn.XLOOKUP($AA40,Métrés!$A:$A,Métrés!$E:$E,0)),0)</f>
        <v>0.19890596026490071</v>
      </c>
      <c r="AG40" s="1092">
        <f>IFERROR(Q40*$G$1/(_xlfn.XLOOKUP($AA40,Métrés!$A:$A,Métrés!$E:$E,0)),0)</f>
        <v>2.4718410596026494</v>
      </c>
      <c r="AH40" s="1092">
        <f>IFERROR(R40*$G$1/(_xlfn.XLOOKUP($AA40,Métrés!$A:$A,Métrés!$E:$E,0)),0)</f>
        <v>0.10196344370860928</v>
      </c>
      <c r="AI40" s="1092">
        <f>IFERROR(S40*$G$1/(_xlfn.XLOOKUP($AA40,Métrés!$A:$A,Métrés!$E:$E,0)),0)</f>
        <v>0</v>
      </c>
      <c r="AJ40" s="1022"/>
      <c r="AK40" s="638">
        <f t="shared" ref="AK40:AK45" si="69">IF(L40=60,0,T40)</f>
        <v>0</v>
      </c>
      <c r="AL40" s="638">
        <f t="shared" ref="AL40:AL45" si="70">IF(L40=60,0,S40)</f>
        <v>0</v>
      </c>
      <c r="AM40" s="638" t="str">
        <f t="shared" ref="AM40:AM45" si="71">IF(L40=$L$2, "Structure", IF(L40&gt;0,"Revêtement",0))</f>
        <v>Structure</v>
      </c>
      <c r="AN40" s="1017">
        <f t="shared" ref="AN40:AN45" si="72">IF(AM40="Structure",N40,0)</f>
        <v>0.1331125409394304</v>
      </c>
      <c r="AO40" s="638">
        <f t="shared" ref="AO40:AO45" si="73">IF(AM40="Structure",P40,0)</f>
        <v>0</v>
      </c>
      <c r="AP40" s="638">
        <f t="shared" ref="AP40:AP45" si="74">IF(AM40="Structure",Q40,0)</f>
        <v>0.55319497533269779</v>
      </c>
      <c r="AQ40" s="1018">
        <f t="shared" ref="AQ40:AQ45" si="75">IF(AM40="Structure",S40,0)</f>
        <v>0</v>
      </c>
      <c r="AR40" s="1018">
        <f t="shared" ref="AR40:AR45" si="76">IF(AM40="Structure",T40,0)</f>
        <v>0</v>
      </c>
      <c r="AS40" s="1017">
        <f t="shared" ref="AS40:AS45" si="77">IF(AM40="Insulation",N40,0)</f>
        <v>0</v>
      </c>
      <c r="AT40" s="638">
        <f t="shared" ref="AT40:AT45" si="78">IF(AM40="Insulation",P40,0)</f>
        <v>0</v>
      </c>
      <c r="AU40" s="638">
        <f t="shared" ref="AU40:AU45" si="79">IF(AM40="Insulation",Q40,0)</f>
        <v>0</v>
      </c>
      <c r="AV40" s="1018">
        <f t="shared" ref="AV40:AV45" si="80">IF(AM40="Insulation",S40,0)</f>
        <v>0</v>
      </c>
      <c r="AW40" s="1018">
        <f t="shared" ref="AW40:AW45" si="81">IF(AM40="Insulation",T40,0)</f>
        <v>0</v>
      </c>
      <c r="AX40" s="1017">
        <f t="shared" ref="AX40:AX45" si="82">IF(AM40="Revêtement",N40,0)</f>
        <v>0</v>
      </c>
      <c r="AY40" s="638">
        <f t="shared" ref="AY40:AY45" si="83">IF(AM40="Revêtement",P40,0)</f>
        <v>0</v>
      </c>
      <c r="AZ40" s="638">
        <f t="shared" ref="AZ40:AZ45" si="84">IF(AM40="Revêtement",Q40,0)</f>
        <v>0</v>
      </c>
      <c r="BA40" s="638">
        <f t="shared" ref="BA40:BA45" si="85">IF(AM40="Revêtement",S40,0)</f>
        <v>0</v>
      </c>
      <c r="BB40" s="1018">
        <f t="shared" ref="BB40:BB45" si="86">IF(AM40="Revêtement",T40,0)</f>
        <v>0</v>
      </c>
      <c r="BC40" s="1017"/>
      <c r="BF40" s="1018"/>
      <c r="BG40" s="1017">
        <f t="shared" ref="BG40:BG45" si="87">IF($AM40="Structure", IF($I40="kg",$J40,0), 0)</f>
        <v>41698.800000000003</v>
      </c>
      <c r="BH40" s="638">
        <f t="shared" ref="BH40:BH45" si="88">IF($AM40="Insulation", IF($I40="kg",$J40,0), 0)</f>
        <v>0</v>
      </c>
      <c r="BI40" s="1018">
        <f t="shared" ref="BI40:BI45" si="89">IF($AM40="Revêtement", IF($I40="kg",$J40,0), 0)</f>
        <v>0</v>
      </c>
      <c r="BJ40" s="638">
        <f>_xlfn.XLOOKUP(H40, 'Baumaterialien Matériaux'!A:A, 'Baumaterialien Matériaux'!E:E, "-", 0, 1)</f>
        <v>2000</v>
      </c>
      <c r="BK40" s="1032">
        <f t="shared" si="5"/>
        <v>20.849400000000003</v>
      </c>
      <c r="BL40" s="1030">
        <f t="shared" si="6"/>
        <v>0</v>
      </c>
      <c r="BM40" s="1033">
        <f t="shared" si="7"/>
        <v>0</v>
      </c>
      <c r="BN40" s="720">
        <f>IFERROR((J40*VLOOKUP(H40, 'Baumaterialien Matériaux'!$A$11:$AH$318, 32,FALSE))*($L$2/L40-1),0)/$G$1</f>
        <v>0</v>
      </c>
      <c r="BO40" s="720">
        <f t="shared" ref="BO40:BO46" si="90">IFERROR((N40+Q40)*($L$2/L40-1),0)</f>
        <v>0</v>
      </c>
    </row>
    <row r="41" spans="2:67">
      <c r="B41" s="1103"/>
      <c r="C41" s="1099"/>
      <c r="D41" s="478"/>
      <c r="E41" s="478"/>
      <c r="F41" s="478" t="s">
        <v>3024</v>
      </c>
      <c r="G41" s="478" t="str">
        <f>_xlfn.XLOOKUP(H41, 'Baumaterialien Matériaux'!A:A, 'Baumaterialien Matériaux'!AD:AD, "-", 0, 1)</f>
        <v>Feuille de polyéthylène (PE)</v>
      </c>
      <c r="H41" s="892" t="s">
        <v>716</v>
      </c>
      <c r="I41" s="641" t="str">
        <f>_xlfn.XLOOKUP(H41, 'Baumaterialien Matériaux'!A:A, 'Baumaterialien Matériaux'!F:F, "-", 0, 1)</f>
        <v>kg</v>
      </c>
      <c r="J41" s="649">
        <f t="shared" ref="J41:J45" si="91">$J$39*K41</f>
        <v>68.234400000000008</v>
      </c>
      <c r="K41" s="894">
        <v>0.54</v>
      </c>
      <c r="L41" s="647">
        <v>60</v>
      </c>
      <c r="M41" s="648">
        <f>IFERROR((J41*VLOOKUP(H41, 'Baumaterialien Matériaux'!$A$11:$AD$318, 26,FALSE))+(J41*VLOOKUP(H41, 'Baumaterialien Matériaux'!$A$11:$AD$318, 27,FALSE)),0)/$G$1</f>
        <v>0.38330754114671867</v>
      </c>
      <c r="N41" s="720">
        <f>IFERROR(($J41*VLOOKUP($H41, 'Baumaterialien Matériaux'!$A$11:$AH$318, 26,FALSE)),0)/$G$1</f>
        <v>0.19448260851540153</v>
      </c>
      <c r="O41" s="720">
        <f>IFERROR(($J41*VLOOKUP($H41, 'Baumaterialien Matériaux'!$A$11:$AH$318, 33,FALSE)),0)/$G$1</f>
        <v>0.17114469549355335</v>
      </c>
      <c r="P41" s="720">
        <f t="shared" ref="P41:P45" si="92">(N41+Q41)*($L$2/L41-1)</f>
        <v>0</v>
      </c>
      <c r="Q41" s="720">
        <f>IFERROR(($J41*VLOOKUP($H41, 'Baumaterialien Matériaux'!$A$11:$AH$318, 27,FALSE)),0)/$G$1</f>
        <v>0.18882493263131714</v>
      </c>
      <c r="R41" s="720">
        <f>IFERROR(($J41*VLOOKUP($H41, 'Baumaterialien Matériaux'!$A$11:$AH$318, 34,FALSE)),0)/$G$1</f>
        <v>0.18175283777621162</v>
      </c>
      <c r="S41" s="720">
        <f>IFERROR((J41*VLOOKUP(H41, 'Baumaterialien Matériaux'!$A$11:$AD$318, 29,FALSE)),0)/$G$1</f>
        <v>0</v>
      </c>
      <c r="T41" s="720">
        <f t="shared" si="68"/>
        <v>0</v>
      </c>
      <c r="V41" s="638">
        <f t="shared" si="3"/>
        <v>0</v>
      </c>
      <c r="W41" s="638">
        <f t="shared" si="4"/>
        <v>0</v>
      </c>
      <c r="X41" s="638" t="str">
        <f t="shared" si="9"/>
        <v>Structure</v>
      </c>
      <c r="Z41" s="638">
        <f t="shared" si="10"/>
        <v>60</v>
      </c>
      <c r="AA41" t="s">
        <v>3452</v>
      </c>
      <c r="AB41" t="str">
        <f>_xlfn.XLOOKUP($H41,'[1]Baumaterialien Matériaux'!$A:$A,'[1]Baumaterialien Matériaux'!AK:AK,0,0)</f>
        <v>oil_product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1112" cm="1">
        <f t="array" ref="AD41">IFERROR(_xlfn.SWITCH(I41,"kg",1,"m3",AC41,AC41)*J41/(_xlfn.XLOOKUP(AA41,Métrés!A:A,Métrés!E:E,0)),0)</f>
        <v>0.3160024081878387</v>
      </c>
      <c r="AE41" s="1092">
        <f>IFERROR(N41*$G$1/(_xlfn.XLOOKUP($AA41,Métrés!$A:$A,Métrés!$E:$E,0)),0)</f>
        <v>0.86900662251655636</v>
      </c>
      <c r="AF41" s="1092">
        <f>IFERROR(O41*$G$1/(_xlfn.XLOOKUP($AA41,Métrés!$A:$A,Métrés!$E:$E,0)),0)</f>
        <v>0.76472582781456955</v>
      </c>
      <c r="AG41" s="1092">
        <f>IFERROR(Q41*$G$1/(_xlfn.XLOOKUP($AA41,Métrés!$A:$A,Métrés!$E:$E,0)),0)</f>
        <v>0.84372642986152924</v>
      </c>
      <c r="AH41" s="1092">
        <f>IFERROR(R41*$G$1/(_xlfn.XLOOKUP($AA41,Métrés!$A:$A,Métrés!$E:$E,0)),0)</f>
        <v>0.81212618904274536</v>
      </c>
      <c r="AI41" s="1092">
        <f>IFERROR(S41*$G$1/(_xlfn.XLOOKUP($AA41,Métrés!$A:$A,Métrés!$E:$E,0)),0)</f>
        <v>0</v>
      </c>
      <c r="AJ41" s="1022"/>
      <c r="AK41" s="638">
        <f t="shared" si="69"/>
        <v>0</v>
      </c>
      <c r="AL41" s="638">
        <f t="shared" si="70"/>
        <v>0</v>
      </c>
      <c r="AM41" s="638" t="str">
        <f t="shared" si="71"/>
        <v>Structure</v>
      </c>
      <c r="AN41" s="1017">
        <f t="shared" si="72"/>
        <v>0.19448260851540153</v>
      </c>
      <c r="AO41" s="638">
        <f t="shared" si="73"/>
        <v>0</v>
      </c>
      <c r="AP41" s="638">
        <f t="shared" si="74"/>
        <v>0.18882493263131714</v>
      </c>
      <c r="AQ41" s="1018">
        <f t="shared" si="75"/>
        <v>0</v>
      </c>
      <c r="AR41" s="1018">
        <f t="shared" si="76"/>
        <v>0</v>
      </c>
      <c r="AS41" s="1017">
        <f t="shared" si="77"/>
        <v>0</v>
      </c>
      <c r="AT41" s="638">
        <f t="shared" si="78"/>
        <v>0</v>
      </c>
      <c r="AU41" s="638">
        <f t="shared" si="79"/>
        <v>0</v>
      </c>
      <c r="AV41" s="1018">
        <f t="shared" si="80"/>
        <v>0</v>
      </c>
      <c r="AW41" s="1018">
        <f t="shared" si="81"/>
        <v>0</v>
      </c>
      <c r="AX41" s="1017">
        <f t="shared" si="82"/>
        <v>0</v>
      </c>
      <c r="AY41" s="638">
        <f t="shared" si="83"/>
        <v>0</v>
      </c>
      <c r="AZ41" s="638">
        <f t="shared" si="84"/>
        <v>0</v>
      </c>
      <c r="BA41" s="638">
        <f t="shared" si="85"/>
        <v>0</v>
      </c>
      <c r="BB41" s="1018">
        <f t="shared" si="86"/>
        <v>0</v>
      </c>
      <c r="BC41" s="1017"/>
      <c r="BF41" s="1018"/>
      <c r="BG41" s="1017">
        <f t="shared" si="87"/>
        <v>68.234400000000008</v>
      </c>
      <c r="BH41" s="638">
        <f t="shared" si="88"/>
        <v>0</v>
      </c>
      <c r="BI41" s="1018">
        <f t="shared" si="89"/>
        <v>0</v>
      </c>
      <c r="BJ41" s="638">
        <f>_xlfn.XLOOKUP(H41, 'Baumaterialien Matériaux'!A:A, 'Baumaterialien Matériaux'!E:E, "-", 0, 1)</f>
        <v>920</v>
      </c>
      <c r="BK41" s="1032">
        <f t="shared" si="5"/>
        <v>7.4167826086956531E-2</v>
      </c>
      <c r="BL41" s="1030">
        <f t="shared" si="6"/>
        <v>0</v>
      </c>
      <c r="BM41" s="1033">
        <f t="shared" si="7"/>
        <v>0</v>
      </c>
      <c r="BN41" s="720">
        <f>IFERROR((J41*VLOOKUP(H41, 'Baumaterialien Matériaux'!$A$11:$AH$318, 32,FALSE))*($L$2/L41-1),0)/$G$1</f>
        <v>0</v>
      </c>
      <c r="BO41" s="720">
        <f t="shared" si="90"/>
        <v>0</v>
      </c>
    </row>
    <row r="42" spans="2:67">
      <c r="B42" s="1103"/>
      <c r="C42" s="1099"/>
      <c r="D42" s="478"/>
      <c r="E42" s="478"/>
      <c r="F42" s="478" t="s">
        <v>2994</v>
      </c>
      <c r="G42" s="478" t="str">
        <f>_xlfn.XLOOKUP(H42, 'Baumaterialien Matériaux'!A:A, 'Baumaterialien Matériaux'!AD:AD, "-", 0, 1)</f>
        <v>Lé d'étanchéité bitumineux</v>
      </c>
      <c r="H42" s="892" t="s">
        <v>696</v>
      </c>
      <c r="I42" s="641" t="str">
        <f>_xlfn.XLOOKUP(H42, 'Baumaterialien Matériaux'!A:A, 'Baumaterialien Matériaux'!F:F, "-", 0, 1)</f>
        <v>kg</v>
      </c>
      <c r="J42" s="649">
        <f t="shared" si="91"/>
        <v>722.77919999999995</v>
      </c>
      <c r="K42" s="893">
        <f>0.0052*1100</f>
        <v>5.72</v>
      </c>
      <c r="L42" s="647">
        <v>60</v>
      </c>
      <c r="M42" s="648">
        <f>IFERROR((J42*VLOOKUP(H42, 'Baumaterialien Matériaux'!$A$11:$AD$318, 26,FALSE))+(J42*VLOOKUP(H42, 'Baumaterialien Matériaux'!$A$11:$AD$318, 27,FALSE)),0)/$G$1</f>
        <v>2.5020547738485135</v>
      </c>
      <c r="N42" s="720">
        <f>IFERROR(($J42*VLOOKUP($H42, 'Baumaterialien Matériaux'!$A$11:$AH$318, 26,FALSE)),0)/$G$1</f>
        <v>0.75660937772065828</v>
      </c>
      <c r="O42" s="720">
        <f>IFERROR(($J42*VLOOKUP($H42, 'Baumaterialien Matériaux'!$A$11:$AH$318, 33,FALSE)),0)/$G$1</f>
        <v>0.41875707143153268</v>
      </c>
      <c r="P42" s="720">
        <f t="shared" si="92"/>
        <v>0</v>
      </c>
      <c r="Q42" s="720">
        <f>IFERROR(($J42*VLOOKUP($H42, 'Baumaterialien Matériaux'!$A$11:$AH$318, 27,FALSE)),0)/$G$1</f>
        <v>1.7454453961278551</v>
      </c>
      <c r="R42" s="720">
        <f>IFERROR(($J42*VLOOKUP($H42, 'Baumaterialien Matériaux'!$A$11:$AH$318, 34,FALSE)),0)/$G$1</f>
        <v>1.7604277600431157</v>
      </c>
      <c r="S42" s="720">
        <f>IFERROR((J42*VLOOKUP(H42, 'Baumaterialien Matériaux'!$A$11:$AD$318, 29,FALSE)),0)/$G$1</f>
        <v>0</v>
      </c>
      <c r="T42" s="720">
        <f t="shared" si="68"/>
        <v>0</v>
      </c>
      <c r="V42" s="638">
        <f t="shared" si="3"/>
        <v>0</v>
      </c>
      <c r="W42" s="638">
        <f t="shared" si="4"/>
        <v>0</v>
      </c>
      <c r="X42" s="638" t="str">
        <f t="shared" si="9"/>
        <v>Structure</v>
      </c>
      <c r="Z42" s="638">
        <f t="shared" si="10"/>
        <v>60</v>
      </c>
      <c r="AA42" t="s">
        <v>3452</v>
      </c>
      <c r="AB42" t="str">
        <f>_xlfn.XLOOKUP($H42,'[1]Baumaterialien Matériaux'!$A:$A,'[1]Baumaterialien Matériaux'!AK:AK,0,0)</f>
        <v>oil_product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1112" cm="1">
        <f t="array" ref="AD42">IFERROR(_xlfn.SWITCH(I42,"kg",1,"m3",AC42,AC42)*J42/(_xlfn.XLOOKUP(AA42,Métrés!A:A,Métrés!E:E,0)),0)</f>
        <v>3.34728476821192</v>
      </c>
      <c r="AE42" s="1092">
        <f>IFERROR(N42*$G$1/(_xlfn.XLOOKUP($AA42,Métrés!$A:$A,Métrés!$E:$E,0)),0)</f>
        <v>3.3807576158940393</v>
      </c>
      <c r="AF42" s="1092">
        <f>IFERROR(O42*$G$1/(_xlfn.XLOOKUP($AA42,Métrés!$A:$A,Métrés!$E:$E,0)),0)</f>
        <v>1.8711321854304634</v>
      </c>
      <c r="AG42" s="1092">
        <f>IFERROR(Q42*$G$1/(_xlfn.XLOOKUP($AA42,Métrés!$A:$A,Métrés!$E:$E,0)),0)</f>
        <v>7.799173509933774</v>
      </c>
      <c r="AH42" s="1092">
        <f>IFERROR(R42*$G$1/(_xlfn.XLOOKUP($AA42,Métrés!$A:$A,Métrés!$E:$E,0)),0)</f>
        <v>7.8661192052980127</v>
      </c>
      <c r="AI42" s="1092">
        <f>IFERROR(S42*$G$1/(_xlfn.XLOOKUP($AA42,Métrés!$A:$A,Métrés!$E:$E,0)),0)</f>
        <v>0</v>
      </c>
      <c r="AJ42" s="1022"/>
      <c r="AK42" s="638">
        <f t="shared" si="69"/>
        <v>0</v>
      </c>
      <c r="AL42" s="638">
        <f t="shared" si="70"/>
        <v>0</v>
      </c>
      <c r="AM42" s="638" t="str">
        <f t="shared" si="71"/>
        <v>Structure</v>
      </c>
      <c r="AN42" s="1017">
        <f t="shared" si="72"/>
        <v>0.75660937772065828</v>
      </c>
      <c r="AO42" s="638">
        <f t="shared" si="73"/>
        <v>0</v>
      </c>
      <c r="AP42" s="638">
        <f t="shared" si="74"/>
        <v>1.7454453961278551</v>
      </c>
      <c r="AQ42" s="1018">
        <f t="shared" si="75"/>
        <v>0</v>
      </c>
      <c r="AR42" s="1018">
        <f t="shared" si="76"/>
        <v>0</v>
      </c>
      <c r="AS42" s="1017">
        <f t="shared" si="77"/>
        <v>0</v>
      </c>
      <c r="AT42" s="638">
        <f t="shared" si="78"/>
        <v>0</v>
      </c>
      <c r="AU42" s="638">
        <f t="shared" si="79"/>
        <v>0</v>
      </c>
      <c r="AV42" s="1018">
        <f t="shared" si="80"/>
        <v>0</v>
      </c>
      <c r="AW42" s="1018">
        <f t="shared" si="81"/>
        <v>0</v>
      </c>
      <c r="AX42" s="1017">
        <f t="shared" si="82"/>
        <v>0</v>
      </c>
      <c r="AY42" s="638">
        <f t="shared" si="83"/>
        <v>0</v>
      </c>
      <c r="AZ42" s="638">
        <f t="shared" si="84"/>
        <v>0</v>
      </c>
      <c r="BA42" s="638">
        <f t="shared" si="85"/>
        <v>0</v>
      </c>
      <c r="BB42" s="1018">
        <f t="shared" si="86"/>
        <v>0</v>
      </c>
      <c r="BC42" s="1017"/>
      <c r="BF42" s="1018"/>
      <c r="BG42" s="1017">
        <f t="shared" si="87"/>
        <v>722.77919999999995</v>
      </c>
      <c r="BH42" s="638">
        <f t="shared" si="88"/>
        <v>0</v>
      </c>
      <c r="BI42" s="1018">
        <f t="shared" si="89"/>
        <v>0</v>
      </c>
      <c r="BJ42" s="638">
        <f>_xlfn.XLOOKUP(H42, 'Baumaterialien Matériaux'!A:A, 'Baumaterialien Matériaux'!E:E, "-", 0, 1)</f>
        <v>1100</v>
      </c>
      <c r="BK42" s="1032">
        <f t="shared" si="5"/>
        <v>0.65707199999999999</v>
      </c>
      <c r="BL42" s="1030">
        <f t="shared" si="6"/>
        <v>0</v>
      </c>
      <c r="BM42" s="1033">
        <f t="shared" si="7"/>
        <v>0</v>
      </c>
      <c r="BN42" s="720">
        <f>IFERROR((J42*VLOOKUP(H42, 'Baumaterialien Matériaux'!$A$11:$AH$318, 32,FALSE))*($L$2/L42-1),0)/$G$1</f>
        <v>0</v>
      </c>
      <c r="BO42" s="720">
        <f t="shared" si="90"/>
        <v>0</v>
      </c>
    </row>
    <row r="43" spans="2:67">
      <c r="B43" s="1103"/>
      <c r="C43" s="1099"/>
      <c r="D43" s="478"/>
      <c r="E43" s="478"/>
      <c r="F43" s="478" t="s">
        <v>3025</v>
      </c>
      <c r="G43" s="478" t="str">
        <f>_xlfn.XLOOKUP(H43, 'Baumaterialien Matériaux'!A:A, 'Baumaterialien Matériaux'!AD:AD, "-", 0, 1)</f>
        <v>Béton maigre (sans armature)</v>
      </c>
      <c r="H43" s="891">
        <v>1.0009999999999999</v>
      </c>
      <c r="I43" s="641" t="str">
        <f>_xlfn.XLOOKUP(H43, 'Baumaterialien Matériaux'!A:A, 'Baumaterialien Matériaux'!F:F, "-", 0, 1)</f>
        <v>kg</v>
      </c>
      <c r="J43" s="649">
        <f t="shared" si="91"/>
        <v>32600.880000000001</v>
      </c>
      <c r="K43" s="893">
        <f>0.12*2150</f>
        <v>258</v>
      </c>
      <c r="L43" s="647">
        <v>60</v>
      </c>
      <c r="M43" s="648">
        <f>IFERROR((J43*VLOOKUP(H43, 'Baumaterialien Matériaux'!$A$11:$AD$318, 26,FALSE))+(J43*VLOOKUP(H43, 'Baumaterialien Matériaux'!$A$11:$AD$318, 27,FALSE)),0)/$G$1</f>
        <v>2.1287005513867587</v>
      </c>
      <c r="N43" s="720">
        <f>IFERROR(($J43*VLOOKUP($H43, 'Baumaterialien Matériaux'!$A$11:$AH$318, 26,FALSE)),0)/$G$1</f>
        <v>1.6962026615811949</v>
      </c>
      <c r="O43" s="720">
        <f>IFERROR(($J43*VLOOKUP($H43, 'Baumaterialien Matériaux'!$A$11:$AH$318, 33,FALSE)),0)/$G$1</f>
        <v>0.40884566145682183</v>
      </c>
      <c r="P43" s="720">
        <f t="shared" si="92"/>
        <v>0</v>
      </c>
      <c r="Q43" s="720">
        <f>IFERROR(($J43*VLOOKUP($H43, 'Baumaterialien Matériaux'!$A$11:$AH$318, 27,FALSE)),0)/$G$1</f>
        <v>0.43249788980556364</v>
      </c>
      <c r="R43" s="720">
        <f>IFERROR(($J43*VLOOKUP($H43, 'Baumaterialien Matériaux'!$A$11:$AH$318, 34,FALSE)),0)/$G$1</f>
        <v>7.8390242527258402E-2</v>
      </c>
      <c r="S43" s="720">
        <f>IFERROR((J43*VLOOKUP(H43, 'Baumaterialien Matériaux'!$A$11:$AD$318, 29,FALSE)),0)/$G$1</f>
        <v>0</v>
      </c>
      <c r="T43" s="720">
        <f t="shared" si="68"/>
        <v>0</v>
      </c>
      <c r="V43" s="638">
        <f t="shared" si="3"/>
        <v>0</v>
      </c>
      <c r="W43" s="638">
        <f t="shared" si="4"/>
        <v>0</v>
      </c>
      <c r="X43" s="638" t="str">
        <f t="shared" si="9"/>
        <v>Structure</v>
      </c>
      <c r="Z43" s="638">
        <f t="shared" si="10"/>
        <v>60</v>
      </c>
      <c r="AA43" t="s">
        <v>3452</v>
      </c>
      <c r="AB43" t="str">
        <f>_xlfn.XLOOKUP($H43,'[1]Baumaterialien Matériaux'!$A:$A,'[1]Baumaterialien Matériaux'!AK:AK,0,0)</f>
        <v>concrete</v>
      </c>
      <c r="AC43" t="str" cm="1">
        <f t="array" ref="AC43">_xlfn.SWITCH(I43,"kg"," ",0," ",_xlfn.XLOOKUP(H43, '[1]Baumaterialien Matériaux'!$A:$A, '[1]Baumaterialien Matériaux'!$AL:$AL, "-", 0, 1))</f>
        <v xml:space="preserve"> </v>
      </c>
      <c r="AD43" s="1112" cm="1">
        <f t="array" ref="AD43">IFERROR(_xlfn.SWITCH(I43,"kg",1,"m3",AC43,AC43)*J43/(_xlfn.XLOOKUP(AA43,Métrés!A:A,Métrés!E:E,0)),0)</f>
        <v>150.97892835641181</v>
      </c>
      <c r="AE43" s="1092">
        <f>IFERROR(N43*$G$1/(_xlfn.XLOOKUP($AA43,Métrés!$A:$A,Métrés!$E:$E,0)),0)</f>
        <v>7.5791422034918723</v>
      </c>
      <c r="AF43" s="1092">
        <f>IFERROR(O43*$G$1/(_xlfn.XLOOKUP($AA43,Métrés!$A:$A,Métrés!$E:$E,0)),0)</f>
        <v>1.8268450331125827</v>
      </c>
      <c r="AG43" s="1092">
        <f>IFERROR(Q43*$G$1/(_xlfn.XLOOKUP($AA43,Métrés!$A:$A,Métrés!$E:$E,0)),0)</f>
        <v>1.932530282962071</v>
      </c>
      <c r="AH43" s="1092">
        <f>IFERROR(R43*$G$1/(_xlfn.XLOOKUP($AA43,Métrés!$A:$A,Métrés!$E:$E,0)),0)</f>
        <v>0.35027111378687537</v>
      </c>
      <c r="AI43" s="1092">
        <f>IFERROR(S43*$G$1/(_xlfn.XLOOKUP($AA43,Métrés!$A:$A,Métrés!$E:$E,0)),0)</f>
        <v>0</v>
      </c>
      <c r="AJ43" s="1022"/>
      <c r="AK43" s="638">
        <f t="shared" si="69"/>
        <v>0</v>
      </c>
      <c r="AL43" s="638">
        <f t="shared" si="70"/>
        <v>0</v>
      </c>
      <c r="AM43" s="638" t="str">
        <f t="shared" si="71"/>
        <v>Structure</v>
      </c>
      <c r="AN43" s="1017">
        <f t="shared" si="72"/>
        <v>1.6962026615811949</v>
      </c>
      <c r="AO43" s="638">
        <f t="shared" si="73"/>
        <v>0</v>
      </c>
      <c r="AP43" s="638">
        <f t="shared" si="74"/>
        <v>0.43249788980556364</v>
      </c>
      <c r="AQ43" s="1018">
        <f t="shared" si="75"/>
        <v>0</v>
      </c>
      <c r="AR43" s="1018">
        <f t="shared" si="76"/>
        <v>0</v>
      </c>
      <c r="AS43" s="1017">
        <f t="shared" si="77"/>
        <v>0</v>
      </c>
      <c r="AT43" s="638">
        <f t="shared" si="78"/>
        <v>0</v>
      </c>
      <c r="AU43" s="638">
        <f t="shared" si="79"/>
        <v>0</v>
      </c>
      <c r="AV43" s="1018">
        <f t="shared" si="80"/>
        <v>0</v>
      </c>
      <c r="AW43" s="1018">
        <f t="shared" si="81"/>
        <v>0</v>
      </c>
      <c r="AX43" s="1017">
        <f t="shared" si="82"/>
        <v>0</v>
      </c>
      <c r="AY43" s="638">
        <f t="shared" si="83"/>
        <v>0</v>
      </c>
      <c r="AZ43" s="638">
        <f t="shared" si="84"/>
        <v>0</v>
      </c>
      <c r="BA43" s="638">
        <f t="shared" si="85"/>
        <v>0</v>
      </c>
      <c r="BB43" s="1018">
        <f t="shared" si="86"/>
        <v>0</v>
      </c>
      <c r="BC43" s="1017"/>
      <c r="BF43" s="1018"/>
      <c r="BG43" s="1017">
        <f t="shared" si="87"/>
        <v>32600.880000000001</v>
      </c>
      <c r="BH43" s="638">
        <f t="shared" si="88"/>
        <v>0</v>
      </c>
      <c r="BI43" s="1018">
        <f t="shared" si="89"/>
        <v>0</v>
      </c>
      <c r="BJ43" s="638">
        <f>_xlfn.XLOOKUP(H43, 'Baumaterialien Matériaux'!A:A, 'Baumaterialien Matériaux'!E:E, "-", 0, 1)</f>
        <v>2150</v>
      </c>
      <c r="BK43" s="1032">
        <f t="shared" si="5"/>
        <v>15.1632</v>
      </c>
      <c r="BL43" s="1030">
        <f t="shared" si="6"/>
        <v>0</v>
      </c>
      <c r="BM43" s="1033">
        <f t="shared" si="7"/>
        <v>0</v>
      </c>
      <c r="BN43" s="720">
        <f>IFERROR((J43*VLOOKUP(H43, 'Baumaterialien Matériaux'!$A$11:$AH$318, 32,FALSE))*($L$2/L43-1),0)/$G$1</f>
        <v>0</v>
      </c>
      <c r="BO43" s="720">
        <f t="shared" si="90"/>
        <v>0</v>
      </c>
    </row>
    <row r="44" spans="2:67">
      <c r="B44" s="1103"/>
      <c r="C44" s="1099"/>
      <c r="D44" s="478"/>
      <c r="E44" s="478"/>
      <c r="F44" s="478" t="s">
        <v>3026</v>
      </c>
      <c r="G44" s="478" t="str">
        <f>_xlfn.XLOOKUP(H44, 'Baumaterialien Matériaux'!A:A, 'Baumaterialien Matériaux'!AD:AD, "-", 0, 1)</f>
        <v>Béton pour bâtiment (sans armature)</v>
      </c>
      <c r="H44" s="891">
        <v>1.0019999999999998</v>
      </c>
      <c r="I44" s="641" t="str">
        <f>_xlfn.XLOOKUP(H44, 'Baumaterialien Matériaux'!A:A, 'Baumaterialien Matériaux'!F:F, "-", 0, 1)</f>
        <v>kg</v>
      </c>
      <c r="J44" s="649">
        <f t="shared" si="91"/>
        <v>104626.08</v>
      </c>
      <c r="K44" s="893">
        <f>0.36*2300</f>
        <v>828</v>
      </c>
      <c r="L44" s="647">
        <v>60</v>
      </c>
      <c r="M44" s="648">
        <f>IFERROR((J44*VLOOKUP(H44, 'Baumaterialien Matériaux'!$A$11:$AD$318, 26,FALSE))+(J44*VLOOKUP(H44, 'Baumaterialien Matériaux'!$A$11:$AD$318, 27,FALSE)),0)/$G$1</f>
        <v>11.006536959495875</v>
      </c>
      <c r="N44" s="720">
        <f>IFERROR(($J44*VLOOKUP($H44, 'Baumaterialien Matériaux'!$A$11:$AH$318, 26,FALSE)),0)/$G$1</f>
        <v>9.6293643547116616</v>
      </c>
      <c r="O44" s="720">
        <f>IFERROR(($J44*VLOOKUP($H44, 'Baumaterialien Matériaux'!$A$11:$AH$318, 33,FALSE)),0)/$G$1</f>
        <v>2.2555267857883172</v>
      </c>
      <c r="P44" s="720">
        <f t="shared" si="92"/>
        <v>0</v>
      </c>
      <c r="Q44" s="720">
        <f>IFERROR(($J44*VLOOKUP($H44, 'Baumaterialien Matériaux'!$A$11:$AH$318, 27,FALSE)),0)/$G$1</f>
        <v>1.3771726047842128</v>
      </c>
      <c r="R44" s="720">
        <f>IFERROR(($J44*VLOOKUP($H44, 'Baumaterialien Matériaux'!$A$11:$AH$318, 34,FALSE)),0)/$G$1</f>
        <v>0.29061595124580247</v>
      </c>
      <c r="S44" s="720">
        <f>IFERROR((J44*VLOOKUP(H44, 'Baumaterialien Matériaux'!$A$11:$AD$318, 29,FALSE)),0)/$G$1</f>
        <v>0</v>
      </c>
      <c r="T44" s="720">
        <f t="shared" si="68"/>
        <v>0</v>
      </c>
      <c r="V44" s="638">
        <f t="shared" si="3"/>
        <v>0</v>
      </c>
      <c r="W44" s="638">
        <f t="shared" si="4"/>
        <v>0</v>
      </c>
      <c r="X44" s="638" t="str">
        <f t="shared" si="9"/>
        <v>Structure</v>
      </c>
      <c r="Z44" s="638">
        <f t="shared" si="10"/>
        <v>60</v>
      </c>
      <c r="AA44" t="s">
        <v>3452</v>
      </c>
      <c r="AB44" t="str">
        <f>_xlfn.XLOOKUP($H44,'[1]Baumaterialien Matériaux'!$A:$A,'[1]Baumaterialien Matériaux'!AK:AK,0,0)</f>
        <v>concrete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1112" cm="1">
        <f t="array" ref="AD44">IFERROR(_xlfn.SWITCH(I44,"kg",1,"m3",AC44,AC44)*J44/(_xlfn.XLOOKUP(AA44,Métrés!A:A,Métrés!E:E,0)),0)</f>
        <v>484.53702588801929</v>
      </c>
      <c r="AE44" s="1092">
        <f>IFERROR(N44*$G$1/(_xlfn.XLOOKUP($AA44,Métrés!$A:$A,Métrés!$E:$E,0)),0)</f>
        <v>43.02688789885611</v>
      </c>
      <c r="AF44" s="1092">
        <f>IFERROR(O44*$G$1/(_xlfn.XLOOKUP($AA44,Métrés!$A:$A,Métrés!$E:$E,0)),0)</f>
        <v>10.078370138470801</v>
      </c>
      <c r="AG44" s="1092">
        <f>IFERROR(Q44*$G$1/(_xlfn.XLOOKUP($AA44,Métrés!$A:$A,Métrés!$E:$E,0)),0)</f>
        <v>6.1536202287778439</v>
      </c>
      <c r="AH44" s="1092">
        <f>IFERROR(R44*$G$1/(_xlfn.XLOOKUP($AA44,Métrés!$A:$A,Métrés!$E:$E,0)),0)</f>
        <v>1.2985592293798918</v>
      </c>
      <c r="AI44" s="1092">
        <f>IFERROR(S44*$G$1/(_xlfn.XLOOKUP($AA44,Métrés!$A:$A,Métrés!$E:$E,0)),0)</f>
        <v>0</v>
      </c>
      <c r="AJ44" s="1022"/>
      <c r="AK44" s="638">
        <f t="shared" si="69"/>
        <v>0</v>
      </c>
      <c r="AL44" s="638">
        <f t="shared" si="70"/>
        <v>0</v>
      </c>
      <c r="AM44" s="638" t="str">
        <f t="shared" si="71"/>
        <v>Structure</v>
      </c>
      <c r="AN44" s="1017">
        <f t="shared" si="72"/>
        <v>9.6293643547116616</v>
      </c>
      <c r="AO44" s="638">
        <f t="shared" si="73"/>
        <v>0</v>
      </c>
      <c r="AP44" s="638">
        <f t="shared" si="74"/>
        <v>1.3771726047842128</v>
      </c>
      <c r="AQ44" s="1018">
        <f t="shared" si="75"/>
        <v>0</v>
      </c>
      <c r="AR44" s="1018">
        <f t="shared" si="76"/>
        <v>0</v>
      </c>
      <c r="AS44" s="1017">
        <f t="shared" si="77"/>
        <v>0</v>
      </c>
      <c r="AT44" s="638">
        <f t="shared" si="78"/>
        <v>0</v>
      </c>
      <c r="AU44" s="638">
        <f t="shared" si="79"/>
        <v>0</v>
      </c>
      <c r="AV44" s="1018">
        <f t="shared" si="80"/>
        <v>0</v>
      </c>
      <c r="AW44" s="1018">
        <f t="shared" si="81"/>
        <v>0</v>
      </c>
      <c r="AX44" s="1017">
        <f t="shared" si="82"/>
        <v>0</v>
      </c>
      <c r="AY44" s="638">
        <f t="shared" si="83"/>
        <v>0</v>
      </c>
      <c r="AZ44" s="638">
        <f t="shared" si="84"/>
        <v>0</v>
      </c>
      <c r="BA44" s="638">
        <f t="shared" si="85"/>
        <v>0</v>
      </c>
      <c r="BB44" s="1018">
        <f t="shared" si="86"/>
        <v>0</v>
      </c>
      <c r="BC44" s="1017"/>
      <c r="BF44" s="1018"/>
      <c r="BG44" s="1017">
        <f t="shared" si="87"/>
        <v>104626.08</v>
      </c>
      <c r="BH44" s="638">
        <f t="shared" si="88"/>
        <v>0</v>
      </c>
      <c r="BI44" s="1018">
        <f t="shared" si="89"/>
        <v>0</v>
      </c>
      <c r="BJ44" s="638">
        <f>_xlfn.XLOOKUP(H44, 'Baumaterialien Matériaux'!A:A, 'Baumaterialien Matériaux'!E:E, "-", 0, 1)</f>
        <v>2300</v>
      </c>
      <c r="BK44" s="1032">
        <f t="shared" si="5"/>
        <v>45.489600000000003</v>
      </c>
      <c r="BL44" s="1030">
        <f t="shared" si="6"/>
        <v>0</v>
      </c>
      <c r="BM44" s="1033">
        <f t="shared" si="7"/>
        <v>0</v>
      </c>
      <c r="BN44" s="720">
        <f>IFERROR((J44*VLOOKUP(H44, 'Baumaterialien Matériaux'!$A$11:$AH$318, 32,FALSE))*($L$2/L44-1),0)/$G$1</f>
        <v>0</v>
      </c>
      <c r="BO44" s="720">
        <f t="shared" si="90"/>
        <v>0</v>
      </c>
    </row>
    <row r="45" spans="2:67">
      <c r="B45" s="1103"/>
      <c r="C45" s="1099"/>
      <c r="D45" s="478"/>
      <c r="E45" s="478"/>
      <c r="F45" s="478" t="s">
        <v>3004</v>
      </c>
      <c r="G45" s="478" t="str">
        <f>_xlfn.XLOOKUP(H45, 'Baumaterialien Matériaux'!A:A, 'Baumaterialien Matériaux'!AD:AD, "-", 0, 1)</f>
        <v>Acier d'armature</v>
      </c>
      <c r="H45" s="892" t="s">
        <v>497</v>
      </c>
      <c r="I45" s="641" t="str">
        <f>_xlfn.XLOOKUP(H45, 'Baumaterialien Matériaux'!A:A, 'Baumaterialien Matériaux'!F:F, "-", 0, 1)</f>
        <v>kg</v>
      </c>
      <c r="J45" s="649">
        <f t="shared" si="91"/>
        <v>6823.44</v>
      </c>
      <c r="K45" s="893">
        <f>0.36*150</f>
        <v>54</v>
      </c>
      <c r="L45" s="647">
        <v>60</v>
      </c>
      <c r="M45" s="648">
        <f>IFERROR((J45*VLOOKUP(H45, 'Baumaterialien Matériaux'!$A$11:$AD$318, 26,FALSE))+(J45*VLOOKUP(H45, 'Baumaterialien Matériaux'!$A$11:$AD$318, 27,FALSE)),0)/$G$1</f>
        <v>10.695836258861574</v>
      </c>
      <c r="N45" s="720">
        <f>IFERROR(($J45*VLOOKUP($H45, 'Baumaterialien Matériaux'!$A$11:$AH$318, 26,FALSE)),0)/$G$1</f>
        <v>10.608142282658264</v>
      </c>
      <c r="O45" s="720">
        <f>IFERROR(($J45*VLOOKUP($H45, 'Baumaterialien Matériaux'!$A$11:$AH$318, 33,FALSE)),0)/$G$1</f>
        <v>2.0579796028357031</v>
      </c>
      <c r="P45" s="720">
        <f t="shared" si="92"/>
        <v>0</v>
      </c>
      <c r="Q45" s="720">
        <f>IFERROR(($J45*VLOOKUP($H45, 'Baumaterialien Matériaux'!$A$11:$AH$318, 27,FALSE)),0)/$G$1</f>
        <v>8.7693976203308308E-2</v>
      </c>
      <c r="R45" s="720">
        <f>IFERROR(($J45*VLOOKUP($H45, 'Baumaterialien Matériaux'!$A$11:$AH$318, 34,FALSE)),0)/$G$1</f>
        <v>0</v>
      </c>
      <c r="S45" s="720">
        <f>IFERROR((J45*VLOOKUP(H45, 'Baumaterialien Matériaux'!$A$11:$AD$318, 29,FALSE)),0)/$G$1</f>
        <v>0</v>
      </c>
      <c r="T45" s="720">
        <f t="shared" si="68"/>
        <v>0</v>
      </c>
      <c r="V45" s="638">
        <f t="shared" si="3"/>
        <v>0</v>
      </c>
      <c r="W45" s="638">
        <f t="shared" si="4"/>
        <v>0</v>
      </c>
      <c r="X45" s="638" t="str">
        <f t="shared" si="9"/>
        <v>Structure</v>
      </c>
      <c r="Z45" s="638">
        <f t="shared" si="10"/>
        <v>60</v>
      </c>
      <c r="AA45" t="s">
        <v>3452</v>
      </c>
      <c r="AB45" t="str">
        <f>_xlfn.XLOOKUP($H45,'[1]Baumaterialien Matériaux'!$A:$A,'[1]Baumaterialien Matériaux'!AK:AK,0,0)</f>
        <v>metal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1112" cm="1">
        <f t="array" ref="AD45">IFERROR(_xlfn.SWITCH(I45,"kg",1,"m3",AC45,AC45)*J45/(_xlfn.XLOOKUP(AA45,Métrés!A:A,Métrés!E:E,0)),0)</f>
        <v>31.600240818783863</v>
      </c>
      <c r="AE45" s="1092">
        <f>IFERROR(N45*$G$1/(_xlfn.XLOOKUP($AA45,Métrés!$A:$A,Métrés!$E:$E,0)),0)</f>
        <v>47.400361228175797</v>
      </c>
      <c r="AF45" s="1092">
        <f>IFERROR(O45*$G$1/(_xlfn.XLOOKUP($AA45,Métrés!$A:$A,Métrés!$E:$E,0)),0)</f>
        <v>9.1956700782661045</v>
      </c>
      <c r="AG45" s="1092">
        <f>IFERROR(Q45*$G$1/(_xlfn.XLOOKUP($AA45,Métrés!$A:$A,Métrés!$E:$E,0)),0)</f>
        <v>0.3918429861529199</v>
      </c>
      <c r="AH45" s="1092">
        <f>IFERROR(R45*$G$1/(_xlfn.XLOOKUP($AA45,Métrés!$A:$A,Métrés!$E:$E,0)),0)</f>
        <v>0</v>
      </c>
      <c r="AI45" s="1092">
        <f>IFERROR(S45*$G$1/(_xlfn.XLOOKUP($AA45,Métrés!$A:$A,Métrés!$E:$E,0)),0)</f>
        <v>0</v>
      </c>
      <c r="AJ45" s="1022"/>
      <c r="AK45" s="638">
        <f t="shared" si="69"/>
        <v>0</v>
      </c>
      <c r="AL45" s="638">
        <f t="shared" si="70"/>
        <v>0</v>
      </c>
      <c r="AM45" s="638" t="str">
        <f t="shared" si="71"/>
        <v>Structure</v>
      </c>
      <c r="AN45" s="1017">
        <f t="shared" si="72"/>
        <v>10.608142282658264</v>
      </c>
      <c r="AO45" s="638">
        <f t="shared" si="73"/>
        <v>0</v>
      </c>
      <c r="AP45" s="638">
        <f t="shared" si="74"/>
        <v>8.7693976203308308E-2</v>
      </c>
      <c r="AQ45" s="1018">
        <f t="shared" si="75"/>
        <v>0</v>
      </c>
      <c r="AR45" s="1018">
        <f t="shared" si="76"/>
        <v>0</v>
      </c>
      <c r="AS45" s="1017">
        <f t="shared" si="77"/>
        <v>0</v>
      </c>
      <c r="AT45" s="638">
        <f t="shared" si="78"/>
        <v>0</v>
      </c>
      <c r="AU45" s="638">
        <f t="shared" si="79"/>
        <v>0</v>
      </c>
      <c r="AV45" s="1018">
        <f t="shared" si="80"/>
        <v>0</v>
      </c>
      <c r="AW45" s="1018">
        <f t="shared" si="81"/>
        <v>0</v>
      </c>
      <c r="AX45" s="1017">
        <f t="shared" si="82"/>
        <v>0</v>
      </c>
      <c r="AY45" s="638">
        <f t="shared" si="83"/>
        <v>0</v>
      </c>
      <c r="AZ45" s="638">
        <f t="shared" si="84"/>
        <v>0</v>
      </c>
      <c r="BA45" s="638">
        <f t="shared" si="85"/>
        <v>0</v>
      </c>
      <c r="BB45" s="1018">
        <f t="shared" si="86"/>
        <v>0</v>
      </c>
      <c r="BC45" s="1017"/>
      <c r="BF45" s="1018"/>
      <c r="BG45" s="1017">
        <f t="shared" si="87"/>
        <v>6823.44</v>
      </c>
      <c r="BH45" s="638">
        <f t="shared" si="88"/>
        <v>0</v>
      </c>
      <c r="BI45" s="1018">
        <f t="shared" si="89"/>
        <v>0</v>
      </c>
      <c r="BJ45" s="638">
        <f>_xlfn.XLOOKUP(H45, 'Baumaterialien Matériaux'!A:A, 'Baumaterialien Matériaux'!E:E, "-", 0, 1)</f>
        <v>7850</v>
      </c>
      <c r="BK45" s="1032">
        <f t="shared" si="5"/>
        <v>0.86922802547770694</v>
      </c>
      <c r="BL45" s="1030">
        <f t="shared" si="6"/>
        <v>0</v>
      </c>
      <c r="BM45" s="1033">
        <f t="shared" si="7"/>
        <v>0</v>
      </c>
      <c r="BN45" s="720">
        <f>IFERROR((J45*VLOOKUP(H45, 'Baumaterialien Matériaux'!$A$11:$AH$318, 32,FALSE))*($L$2/L45-1),0)/$G$1</f>
        <v>0</v>
      </c>
      <c r="BO45" s="720">
        <f t="shared" si="90"/>
        <v>0</v>
      </c>
    </row>
    <row r="46" spans="2:67">
      <c r="B46" s="1103"/>
      <c r="C46" s="1099"/>
      <c r="D46" s="478"/>
      <c r="E46" s="478"/>
      <c r="F46" s="479" t="s">
        <v>3029</v>
      </c>
      <c r="G46" s="479"/>
      <c r="H46" s="479"/>
      <c r="I46" s="459" t="s">
        <v>39</v>
      </c>
      <c r="J46" s="662">
        <v>89.57</v>
      </c>
      <c r="K46" s="663"/>
      <c r="L46" s="663"/>
      <c r="M46" s="664">
        <f>SUM(M47:M49)</f>
        <v>20.511708241366442</v>
      </c>
      <c r="N46" s="664">
        <f t="shared" ref="N46:T46" si="93">SUM(N47:N49)</f>
        <v>14.881631619750424</v>
      </c>
      <c r="O46" s="664">
        <f t="shared" ref="O46" si="94">SUM(O47:O49)</f>
        <v>3.3544542427760033</v>
      </c>
      <c r="P46" s="664">
        <f t="shared" si="93"/>
        <v>0</v>
      </c>
      <c r="Q46" s="664">
        <f t="shared" si="93"/>
        <v>2.2756223788400143</v>
      </c>
      <c r="R46" s="664">
        <f t="shared" ref="R46" si="95">SUM(R47:R49)</f>
        <v>1.4538776924671446</v>
      </c>
      <c r="S46" s="664">
        <f t="shared" si="93"/>
        <v>0</v>
      </c>
      <c r="T46" s="664">
        <f t="shared" si="93"/>
        <v>0</v>
      </c>
      <c r="V46" s="638">
        <f t="shared" si="3"/>
        <v>0</v>
      </c>
      <c r="W46" s="638">
        <f t="shared" si="4"/>
        <v>0</v>
      </c>
      <c r="X46" s="638">
        <f t="shared" si="9"/>
        <v>0</v>
      </c>
      <c r="Z46" s="638">
        <f t="shared" si="10"/>
        <v>0</v>
      </c>
      <c r="AA46" t="s">
        <v>3452</v>
      </c>
      <c r="AB46">
        <f>_xlfn.XLOOKUP($H46,'[1]Baumaterialien Matériaux'!$A:$A,'[1]Baumaterialien Matériaux'!AK:AK,0,0)</f>
        <v>0</v>
      </c>
      <c r="AC46" cm="1">
        <f t="array" ref="AC46">_xlfn.SWITCH(I46,"kg"," ",0," ",_xlfn.XLOOKUP(H46, '[1]Baumaterialien Matériaux'!$A:$A, '[1]Baumaterialien Matériaux'!$AL:$AL, "-", 0, 1))</f>
        <v>0</v>
      </c>
      <c r="AD46" s="1112" cm="1">
        <f t="array" ref="AD46">IFERROR(_xlfn.SWITCH(I46,"kg",1,"m3",AC46,AC46)*J46/(_xlfn.XLOOKUP(AA46,Métrés!A:A,Métrés!E:E,0)),0)</f>
        <v>0</v>
      </c>
      <c r="AE46" s="1092">
        <f>IFERROR(N46*$G$1/(_xlfn.XLOOKUP($AA46,Métrés!$A:$A,Métrés!$E:$E,0)),0)</f>
        <v>66.495593257074049</v>
      </c>
      <c r="AF46" s="1092">
        <f>IFERROR(O46*$G$1/(_xlfn.XLOOKUP($AA46,Métrés!$A:$A,Métrés!$E:$E,0)),0)</f>
        <v>14.988707597832626</v>
      </c>
      <c r="AG46" s="1092">
        <f>IFERROR(Q46*$G$1/(_xlfn.XLOOKUP($AA46,Métrés!$A:$A,Métrés!$E:$E,0)),0)</f>
        <v>10.168163275135457</v>
      </c>
      <c r="AH46" s="1092">
        <f>IFERROR(R46*$G$1/(_xlfn.XLOOKUP($AA46,Métrés!$A:$A,Métrés!$E:$E,0)),0)</f>
        <v>6.4963615653220934</v>
      </c>
      <c r="AI46" s="1092">
        <f>IFERROR(S46*$G$1/(_xlfn.XLOOKUP($AA46,Métrés!$A:$A,Métrés!$E:$E,0)),0)</f>
        <v>0</v>
      </c>
      <c r="AJ46" s="878"/>
      <c r="AK46" s="878"/>
      <c r="AL46" s="878"/>
      <c r="AM46" s="878"/>
      <c r="AN46" s="1053"/>
      <c r="AO46" s="878"/>
      <c r="AP46" s="878"/>
      <c r="AQ46" s="878"/>
      <c r="AR46" s="1054"/>
      <c r="AS46" s="1053"/>
      <c r="AT46" s="878"/>
      <c r="AU46" s="878"/>
      <c r="AV46" s="878"/>
      <c r="AW46" s="1054"/>
      <c r="AX46" s="1053"/>
      <c r="AY46" s="878"/>
      <c r="AZ46" s="878"/>
      <c r="BA46" s="878"/>
      <c r="BB46" s="1054"/>
      <c r="BC46" s="1053"/>
      <c r="BD46" s="878"/>
      <c r="BE46" s="878"/>
      <c r="BF46" s="1054"/>
      <c r="BG46" s="1053"/>
      <c r="BH46" s="878"/>
      <c r="BI46" s="1054"/>
      <c r="BJ46" s="878"/>
      <c r="BK46" s="1053"/>
      <c r="BL46" s="878"/>
      <c r="BM46" s="1054"/>
      <c r="BN46" s="720">
        <f>IFERROR((J46*VLOOKUP(H46, 'Baumaterialien Matériaux'!$A$11:$AH$318, 32,FALSE))*($L$2/L46-1),0)/$G$1</f>
        <v>0</v>
      </c>
      <c r="BO46" s="720">
        <f t="shared" si="90"/>
        <v>0</v>
      </c>
    </row>
    <row r="47" spans="2:67">
      <c r="B47" s="1103"/>
      <c r="C47" s="1099"/>
      <c r="D47" s="478"/>
      <c r="E47" s="478"/>
      <c r="F47" s="478" t="s">
        <v>2994</v>
      </c>
      <c r="G47" s="478" t="str">
        <f>_xlfn.XLOOKUP(H47, 'Baumaterialien Matériaux'!A:A, 'Baumaterialien Matériaux'!AD:AD, "-", 0, 1)</f>
        <v>Lé d'étanchéité bitumineux</v>
      </c>
      <c r="H47" s="892" t="s">
        <v>696</v>
      </c>
      <c r="I47" s="641" t="str">
        <f>_xlfn.XLOOKUP(H47, 'Baumaterialien Matériaux'!A:A, 'Baumaterialien Matériaux'!F:F, "-", 0, 1)</f>
        <v>kg</v>
      </c>
      <c r="J47" s="649">
        <f>$J$46*K47</f>
        <v>512.34039999999993</v>
      </c>
      <c r="K47" s="893">
        <f>0.0052*1100</f>
        <v>5.72</v>
      </c>
      <c r="L47" s="478">
        <v>60</v>
      </c>
      <c r="M47" s="648">
        <f t="shared" ref="M47:M49" si="96">SUM(N47:Q47)</f>
        <v>2.0704108656357527</v>
      </c>
      <c r="N47" s="720">
        <f>IFERROR(($J47*VLOOKUP($H47, 'Baumaterialien Matériaux'!$A$11:$AH$318, 26,FALSE)),0)/$G$1</f>
        <v>0.53632084490692755</v>
      </c>
      <c r="O47" s="720">
        <f>IFERROR(($J47*VLOOKUP($H47, 'Baumaterialien Matériaux'!$A$11:$AH$318, 33,FALSE)),0)/$G$1</f>
        <v>0.29683500228017079</v>
      </c>
      <c r="P47" s="720">
        <f>IFERROR((N47+Q47)*($L$2/L47-1),0)</f>
        <v>0</v>
      </c>
      <c r="Q47" s="720">
        <f>IFERROR(($J47*VLOOKUP($H47, 'Baumaterialien Matériaux'!$A$11:$AH$318, 27,FALSE)),0)/$G$1</f>
        <v>1.2372550184486544</v>
      </c>
      <c r="R47" s="720">
        <f>IFERROR(($J47*VLOOKUP($H47, 'Baumaterialien Matériaux'!$A$11:$AH$318, 34,FALSE)),0)/$G$1</f>
        <v>1.2478752331992868</v>
      </c>
      <c r="S47" s="720">
        <f>IFERROR((J47*VLOOKUP(H47, 'Baumaterialien Matériaux'!$A$11:$AD$318, 29,FALSE)),0)/$G$1</f>
        <v>0</v>
      </c>
      <c r="T47" s="720"/>
      <c r="V47" s="638">
        <f t="shared" si="3"/>
        <v>0</v>
      </c>
      <c r="W47" s="638">
        <f t="shared" si="4"/>
        <v>0</v>
      </c>
      <c r="X47" s="638" t="str">
        <f t="shared" si="9"/>
        <v>Structure</v>
      </c>
      <c r="Z47" s="638">
        <f t="shared" si="10"/>
        <v>60</v>
      </c>
      <c r="AA47" t="s">
        <v>3452</v>
      </c>
      <c r="AB47" t="str">
        <f>_xlfn.XLOOKUP($H47,'[1]Baumaterialien Matériaux'!$A:$A,'[1]Baumaterialien Matériaux'!AK:AK,0,0)</f>
        <v>oil_product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1112" cm="1">
        <f t="array" ref="AD47">IFERROR(_xlfn.SWITCH(I47,"kg",1,"m3",AC47,AC47)*J47/(_xlfn.XLOOKUP(AA47,Métrés!A:A,Métrés!E:E,0)),0)</f>
        <v>2.3727152317880789</v>
      </c>
      <c r="AE47" s="1092">
        <f>IFERROR(N47*$G$1/(_xlfn.XLOOKUP($AA47,Métrés!$A:$A,Métrés!$E:$E,0)),0)</f>
        <v>2.3964423841059599</v>
      </c>
      <c r="AF47" s="1092">
        <f>IFERROR(O47*$G$1/(_xlfn.XLOOKUP($AA47,Métrés!$A:$A,Métrés!$E:$E,0)),0)</f>
        <v>1.3263478145695364</v>
      </c>
      <c r="AG47" s="1092">
        <f>IFERROR(Q47*$G$1/(_xlfn.XLOOKUP($AA47,Métrés!$A:$A,Métrés!$E:$E,0)),0)</f>
        <v>5.5284264900662246</v>
      </c>
      <c r="AH47" s="1092">
        <f>IFERROR(R47*$G$1/(_xlfn.XLOOKUP($AA47,Métrés!$A:$A,Métrés!$E:$E,0)),0)</f>
        <v>5.5758807947019866</v>
      </c>
      <c r="AI47" s="1092">
        <f>IFERROR(S47*$G$1/(_xlfn.XLOOKUP($AA47,Métrés!$A:$A,Métrés!$E:$E,0)),0)</f>
        <v>0</v>
      </c>
      <c r="AJ47" s="1022"/>
      <c r="AM47" s="638" t="str">
        <f>IF(L47=$L$2, "Structure", IF(L47&gt;0,"Revêtement",0))</f>
        <v>Structure</v>
      </c>
      <c r="AN47" s="1017">
        <f>IF(AM47="Structure",N47,0)</f>
        <v>0.53632084490692755</v>
      </c>
      <c r="AO47" s="638">
        <f>IF(AM47="Structure",P47,0)</f>
        <v>0</v>
      </c>
      <c r="AP47" s="638">
        <f>IF(AM47="Structure",Q47,0)</f>
        <v>1.2372550184486544</v>
      </c>
      <c r="AQ47" s="1018">
        <f>IF(AM47="Structure",S47,0)</f>
        <v>0</v>
      </c>
      <c r="AR47" s="1018">
        <f>IF(AM47="Structure",T47,0)</f>
        <v>0</v>
      </c>
      <c r="AS47" s="1017">
        <f>IF(AM47="Insulation",N47,0)</f>
        <v>0</v>
      </c>
      <c r="AT47" s="638">
        <f>IF(AM47="Insulation",P47,0)</f>
        <v>0</v>
      </c>
      <c r="AU47" s="638">
        <f>IF(AM47="Insulation",Q47,0)</f>
        <v>0</v>
      </c>
      <c r="AV47" s="1018">
        <f>IF(AM47="Insulation",S47,0)</f>
        <v>0</v>
      </c>
      <c r="AW47" s="1018">
        <f>IF(AM47="Insulation",T47,0)</f>
        <v>0</v>
      </c>
      <c r="AX47" s="1017">
        <f>IF(AM47="Revêtement",N47,0)</f>
        <v>0</v>
      </c>
      <c r="AY47" s="638">
        <f>IF(AM47="Revêtement",P47,0)</f>
        <v>0</v>
      </c>
      <c r="AZ47" s="638">
        <f>IF(AM47="Revêtement",Q47,0)</f>
        <v>0</v>
      </c>
      <c r="BA47" s="638">
        <f>IF(AM47="Revêtement",S47,0)</f>
        <v>0</v>
      </c>
      <c r="BB47" s="1018">
        <f>IF(AM47="Revêtement",T47,0)</f>
        <v>0</v>
      </c>
      <c r="BC47" s="1017"/>
      <c r="BF47" s="1018"/>
      <c r="BG47" s="1017">
        <f>IF($AM47="Structure", IF($I47="kg",$J47,0), 0)</f>
        <v>512.34039999999993</v>
      </c>
      <c r="BH47" s="638">
        <f>IF($AM47="Insulation", IF($I47="kg",$J47,0), 0)</f>
        <v>0</v>
      </c>
      <c r="BI47" s="1018">
        <f>IF($AM47="Revêtement", IF($I47="kg",$J47,0), 0)</f>
        <v>0</v>
      </c>
      <c r="BJ47" s="638">
        <f>_xlfn.XLOOKUP(H47, 'Baumaterialien Matériaux'!A:A, 'Baumaterialien Matériaux'!E:E, "-", 0, 1)</f>
        <v>1100</v>
      </c>
      <c r="BK47" s="1032">
        <f t="shared" si="5"/>
        <v>0.46576399999999996</v>
      </c>
      <c r="BL47" s="1030">
        <f t="shared" si="6"/>
        <v>0</v>
      </c>
      <c r="BM47" s="1033">
        <f t="shared" si="7"/>
        <v>0</v>
      </c>
      <c r="BN47" s="720"/>
      <c r="BO47" s="720"/>
    </row>
    <row r="48" spans="2:67">
      <c r="B48" s="1103"/>
      <c r="C48" s="1099"/>
      <c r="D48" s="478"/>
      <c r="E48" s="478"/>
      <c r="F48" s="478" t="s">
        <v>3026</v>
      </c>
      <c r="G48" s="478" t="str">
        <f>_xlfn.XLOOKUP(H48, 'Baumaterialien Matériaux'!A:A, 'Baumaterialien Matériaux'!AD:AD, "-", 0, 1)</f>
        <v>Béton pour bâtiment (sans armature)</v>
      </c>
      <c r="H48" s="891">
        <v>1.0019999999999998</v>
      </c>
      <c r="I48" s="641" t="str">
        <f>_xlfn.XLOOKUP(H48, 'Baumaterialien Matériaux'!A:A, 'Baumaterialien Matériaux'!F:F, "-", 0, 1)</f>
        <v>kg</v>
      </c>
      <c r="J48" s="649">
        <f t="shared" ref="J48:J49" si="97">$J$46*K48</f>
        <v>74163.959999999992</v>
      </c>
      <c r="K48" s="728">
        <f>0.36*2300</f>
        <v>828</v>
      </c>
      <c r="L48" s="478">
        <v>60</v>
      </c>
      <c r="M48" s="648">
        <f t="shared" si="96"/>
        <v>9.4007838688279897</v>
      </c>
      <c r="N48" s="720">
        <f>IFERROR(($J48*VLOOKUP($H48, 'Baumaterialien Matériaux'!$A$11:$AH$318, 26,FALSE)),0)/$G$1</f>
        <v>6.8257531279797679</v>
      </c>
      <c r="O48" s="720">
        <f>IFERROR(($J48*VLOOKUP($H48, 'Baumaterialien Matériaux'!$A$11:$AH$318, 33,FALSE)),0)/$G$1</f>
        <v>1.5988250570042697</v>
      </c>
      <c r="P48" s="720">
        <f t="shared" ref="P48:P49" si="98">IFERROR((N48+Q48)*($L$2/L48-1),0)</f>
        <v>0</v>
      </c>
      <c r="Q48" s="720">
        <f>IFERROR(($J48*VLOOKUP($H48, 'Baumaterialien Matériaux'!$A$11:$AH$318, 27,FALSE)),0)/$G$1</f>
        <v>0.97620568384395323</v>
      </c>
      <c r="R48" s="720">
        <f>IFERROR(($J48*VLOOKUP($H48, 'Baumaterialien Matériaux'!$A$11:$AH$318, 34,FALSE)),0)/$G$1</f>
        <v>0.20600245926785785</v>
      </c>
      <c r="S48" s="720">
        <f>IFERROR((J48*VLOOKUP(H48, 'Baumaterialien Matériaux'!$A$11:$AD$318, 29,FALSE)),0)/$G$1</f>
        <v>0</v>
      </c>
      <c r="T48" s="720">
        <f>S48*AJ48</f>
        <v>0</v>
      </c>
      <c r="X48" s="638" t="str">
        <f t="shared" ref="X48" si="99">IF(L48=$L$2, "Structure", IF(L48&gt;0,"Revêtement",0))</f>
        <v>Structure</v>
      </c>
      <c r="Z48" s="638">
        <f t="shared" ref="Z48" si="100">L48</f>
        <v>60</v>
      </c>
      <c r="AA48" t="s">
        <v>3452</v>
      </c>
      <c r="AB48" t="str">
        <f>_xlfn.XLOOKUP($H48,'[1]Baumaterialien Matériaux'!$A:$A,'[1]Baumaterialien Matériaux'!AK:AK,0,0)</f>
        <v>concrete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1112" cm="1">
        <f t="array" ref="AD48">IFERROR(_xlfn.SWITCH(I48,"kg",1,"m3",AC48,AC48)*J48/(_xlfn.XLOOKUP(AA48,Métrés!A:A,Métrés!E:E,0)),0)</f>
        <v>343.46297411198071</v>
      </c>
      <c r="AE48" s="1092">
        <f>IFERROR(N48*$G$1/(_xlfn.XLOOKUP($AA48,Métrés!$A:$A,Métrés!$E:$E,0)),0)</f>
        <v>30.499512101143885</v>
      </c>
      <c r="AF48" s="1092">
        <f>IFERROR(O48*$G$1/(_xlfn.XLOOKUP($AA48,Métrés!$A:$A,Métrés!$E:$E,0)),0)</f>
        <v>7.1440298615291971</v>
      </c>
      <c r="AG48" s="1092">
        <f>IFERROR(Q48*$G$1/(_xlfn.XLOOKUP($AA48,Métrés!$A:$A,Métrés!$E:$E,0)),0)</f>
        <v>4.3619797712221544</v>
      </c>
      <c r="AH48" s="1092">
        <f>IFERROR(R48*$G$1/(_xlfn.XLOOKUP($AA48,Métrés!$A:$A,Métrés!$E:$E,0)),0)</f>
        <v>0.92048077062010825</v>
      </c>
      <c r="AI48" s="1092">
        <f>IFERROR(S48*$G$1/(_xlfn.XLOOKUP($AA48,Métrés!$A:$A,Métrés!$E:$E,0)),0)</f>
        <v>0</v>
      </c>
      <c r="AJ48" s="1022"/>
      <c r="AK48" s="638">
        <f>IF(L48=60,0,T48)</f>
        <v>0</v>
      </c>
      <c r="AL48" s="638">
        <f>IF(L48=60,0,S48)</f>
        <v>0</v>
      </c>
      <c r="AM48" s="638" t="str">
        <f>IF(L48=$L$2, "Structure", IF(L48&gt;0,"Revêtement",0))</f>
        <v>Structure</v>
      </c>
      <c r="AN48" s="1017">
        <f>IF(AM48="Structure",N48,0)</f>
        <v>6.8257531279797679</v>
      </c>
      <c r="AO48" s="638">
        <f>IF(AM48="Structure",P48,0)</f>
        <v>0</v>
      </c>
      <c r="AP48" s="638">
        <f>IF(AM48="Structure",Q48,0)</f>
        <v>0.97620568384395323</v>
      </c>
      <c r="AQ48" s="1018">
        <f>IF(AM48="Structure",S48,0)</f>
        <v>0</v>
      </c>
      <c r="AR48" s="1018">
        <f>IF(AM48="Structure",T48,0)</f>
        <v>0</v>
      </c>
      <c r="AS48" s="1017">
        <f>IF(AM48="Insulation",N48,0)</f>
        <v>0</v>
      </c>
      <c r="AT48" s="638">
        <f>IF(AM48="Insulation",P48,0)</f>
        <v>0</v>
      </c>
      <c r="AU48" s="638">
        <f>IF(AM48="Insulation",Q48,0)</f>
        <v>0</v>
      </c>
      <c r="AV48" s="1018">
        <f>IF(AM48="Insulation",S48,0)</f>
        <v>0</v>
      </c>
      <c r="AW48" s="1018">
        <f>IF(AM48="Insulation",T48,0)</f>
        <v>0</v>
      </c>
      <c r="AX48" s="1017">
        <f>IF(AM48="Revêtement",N48,0)</f>
        <v>0</v>
      </c>
      <c r="AY48" s="638">
        <f>IF(AM48="Revêtement",P48,0)</f>
        <v>0</v>
      </c>
      <c r="AZ48" s="638">
        <f>IF(AM48="Revêtement",Q48,0)</f>
        <v>0</v>
      </c>
      <c r="BA48" s="638">
        <f>IF(AM48="Revêtement",S48,0)</f>
        <v>0</v>
      </c>
      <c r="BB48" s="1018">
        <f>IF(AM48="Revêtement",T48,0)</f>
        <v>0</v>
      </c>
      <c r="BC48" s="1017"/>
      <c r="BF48" s="1018"/>
      <c r="BG48" s="1017">
        <f>IF($AM48="Structure", IF($I48="kg",$J48,0), 0)</f>
        <v>74163.959999999992</v>
      </c>
      <c r="BH48" s="638">
        <f>IF($AM48="Insulation", IF($I48="kg",$J48,0), 0)</f>
        <v>0</v>
      </c>
      <c r="BI48" s="1018">
        <f>IF($AM48="Revêtement", IF($I48="kg",$J48,0), 0)</f>
        <v>0</v>
      </c>
      <c r="BJ48" s="638">
        <f>_xlfn.XLOOKUP(H48, 'Baumaterialien Matériaux'!A:A, 'Baumaterialien Matériaux'!E:E, "-", 0, 1)</f>
        <v>2300</v>
      </c>
      <c r="BK48" s="1032">
        <f t="shared" si="5"/>
        <v>32.245199999999997</v>
      </c>
      <c r="BL48" s="1030">
        <f t="shared" si="6"/>
        <v>0</v>
      </c>
      <c r="BM48" s="1033">
        <f t="shared" si="7"/>
        <v>0</v>
      </c>
      <c r="BN48" s="720">
        <f>IFERROR((J48*VLOOKUP(H48, 'Baumaterialien Matériaux'!$A$11:$AH$318, 32,FALSE))*($L$2/L48-1),0)/$G$1</f>
        <v>0</v>
      </c>
      <c r="BO48" s="720">
        <f>IFERROR((N48+Q48)*($L$2/L48-1),0)</f>
        <v>0</v>
      </c>
    </row>
    <row r="49" spans="2:67">
      <c r="B49" s="1104"/>
      <c r="C49" s="1098"/>
      <c r="D49" s="478"/>
      <c r="E49" s="478"/>
      <c r="F49" s="478" t="s">
        <v>3008</v>
      </c>
      <c r="G49" s="478" t="str">
        <f>_xlfn.XLOOKUP(H49, 'Baumaterialien Matériaux'!A:A, 'Baumaterialien Matériaux'!AD:AD, "-", 0, 1)</f>
        <v>Acier d'armature</v>
      </c>
      <c r="H49" s="892" t="s">
        <v>497</v>
      </c>
      <c r="I49" s="641" t="str">
        <f>_xlfn.XLOOKUP(H49, 'Baumaterialien Matériaux'!A:A, 'Baumaterialien Matériaux'!F:F, "-", 0, 1)</f>
        <v>kg</v>
      </c>
      <c r="J49" s="649">
        <f t="shared" si="97"/>
        <v>4836.78</v>
      </c>
      <c r="K49" s="728">
        <f>0.36*150</f>
        <v>54</v>
      </c>
      <c r="L49" s="478">
        <v>60</v>
      </c>
      <c r="M49" s="648">
        <f t="shared" si="96"/>
        <v>9.0405135069026983</v>
      </c>
      <c r="N49" s="720">
        <f>IFERROR(($J49*VLOOKUP($H49, 'Baumaterialien Matériaux'!$A$11:$AH$318, 26,FALSE)),0)/$G$1</f>
        <v>7.5195576468637286</v>
      </c>
      <c r="O49" s="720">
        <f>IFERROR(($J49*VLOOKUP($H49, 'Baumaterialien Matériaux'!$A$11:$AH$318, 33,FALSE)),0)/$G$1</f>
        <v>1.458794183491563</v>
      </c>
      <c r="P49" s="720">
        <f t="shared" si="98"/>
        <v>0</v>
      </c>
      <c r="Q49" s="720">
        <f>IFERROR(($J49*VLOOKUP($H49, 'Baumaterialien Matériaux'!$A$11:$AH$318, 27,FALSE)),0)/$G$1</f>
        <v>6.2161676547406813E-2</v>
      </c>
      <c r="R49" s="720">
        <f>IFERROR(($J49*VLOOKUP($H49, 'Baumaterialien Matériaux'!$A$11:$AH$318, 34,FALSE)),0)/$G$1</f>
        <v>0</v>
      </c>
      <c r="S49" s="720">
        <f>IFERROR((J49*VLOOKUP(H49, 'Baumaterialien Matériaux'!$A$11:$AD$318, 29,FALSE)),0)/$G$1</f>
        <v>0</v>
      </c>
      <c r="T49" s="720">
        <f>S49*AJ49</f>
        <v>0</v>
      </c>
      <c r="V49" s="638">
        <f t="shared" si="3"/>
        <v>0</v>
      </c>
      <c r="W49" s="638">
        <f t="shared" si="4"/>
        <v>0</v>
      </c>
      <c r="X49" s="638" t="str">
        <f t="shared" si="9"/>
        <v>Structure</v>
      </c>
      <c r="Z49" s="638">
        <f t="shared" si="10"/>
        <v>60</v>
      </c>
      <c r="AA49" t="s">
        <v>3452</v>
      </c>
      <c r="AB49" t="str">
        <f>_xlfn.XLOOKUP($H49,'[1]Baumaterialien Matériaux'!$A:$A,'[1]Baumaterialien Matériaux'!AK:AK,0,0)</f>
        <v>metal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1112" cm="1">
        <f t="array" ref="AD49">IFERROR(_xlfn.SWITCH(I49,"kg",1,"m3",AC49,AC49)*J49/(_xlfn.XLOOKUP(AA49,Métrés!A:A,Métrés!E:E,0)),0)</f>
        <v>22.399759181216133</v>
      </c>
      <c r="AE49" s="1092">
        <f>IFERROR(N49*$G$1/(_xlfn.XLOOKUP($AA49,Métrés!$A:$A,Métrés!$E:$E,0)),0)</f>
        <v>33.599638771824203</v>
      </c>
      <c r="AF49" s="1092">
        <f>IFERROR(O49*$G$1/(_xlfn.XLOOKUP($AA49,Métrés!$A:$A,Métrés!$E:$E,0)),0)</f>
        <v>6.5183299217338941</v>
      </c>
      <c r="AG49" s="1092">
        <f>IFERROR(Q49*$G$1/(_xlfn.XLOOKUP($AA49,Métrés!$A:$A,Métrés!$E:$E,0)),0)</f>
        <v>0.27775701384708001</v>
      </c>
      <c r="AH49" s="1092">
        <f>IFERROR(R49*$G$1/(_xlfn.XLOOKUP($AA49,Métrés!$A:$A,Métrés!$E:$E,0)),0)</f>
        <v>0</v>
      </c>
      <c r="AI49" s="1092">
        <f>IFERROR(S49*$G$1/(_xlfn.XLOOKUP($AA49,Métrés!$A:$A,Métrés!$E:$E,0)),0)</f>
        <v>0</v>
      </c>
      <c r="AJ49" s="1022"/>
      <c r="AK49" s="638">
        <f>IF(L49=60,0,T49)</f>
        <v>0</v>
      </c>
      <c r="AL49" s="638">
        <f>IF(L49=60,0,S49)</f>
        <v>0</v>
      </c>
      <c r="AM49" s="638" t="str">
        <f>IF(L49=$L$2, "Structure", IF(L49&gt;0,"Revêtement",0))</f>
        <v>Structure</v>
      </c>
      <c r="AN49" s="1017">
        <f>IF(AM49="Structure",N49,0)</f>
        <v>7.5195576468637286</v>
      </c>
      <c r="AO49" s="638">
        <f>IF(AM49="Structure",P49,0)</f>
        <v>0</v>
      </c>
      <c r="AP49" s="638">
        <f>IF(AM49="Structure",Q49,0)</f>
        <v>6.2161676547406813E-2</v>
      </c>
      <c r="AQ49" s="1018">
        <f>IF(AM49="Structure",S49,0)</f>
        <v>0</v>
      </c>
      <c r="AR49" s="1018">
        <f>IF(AM49="Structure",T49,0)</f>
        <v>0</v>
      </c>
      <c r="AS49" s="1017">
        <f>IF(AM49="Insulation",N49,0)</f>
        <v>0</v>
      </c>
      <c r="AT49" s="638">
        <f>IF(AM49="Insulation",P49,0)</f>
        <v>0</v>
      </c>
      <c r="AU49" s="638">
        <f>IF(AM49="Insulation",Q49,0)</f>
        <v>0</v>
      </c>
      <c r="AV49" s="1018">
        <f>IF(AM49="Insulation",S49,0)</f>
        <v>0</v>
      </c>
      <c r="AW49" s="1018">
        <f>IF(AM49="Insulation",T49,0)</f>
        <v>0</v>
      </c>
      <c r="AX49" s="1017">
        <f>IF(AM49="Revêtement",N49,0)</f>
        <v>0</v>
      </c>
      <c r="AY49" s="638">
        <f>IF(AM49="Revêtement",P49,0)</f>
        <v>0</v>
      </c>
      <c r="AZ49" s="638">
        <f>IF(AM49="Revêtement",Q49,0)</f>
        <v>0</v>
      </c>
      <c r="BA49" s="638">
        <f>IF(AM49="Revêtement",S49,0)</f>
        <v>0</v>
      </c>
      <c r="BB49" s="1018">
        <f>IF(AM49="Revêtement",T49,0)</f>
        <v>0</v>
      </c>
      <c r="BC49" s="1017"/>
      <c r="BF49" s="1018"/>
      <c r="BG49" s="1017">
        <f>IF($AM49="Structure", IF($I49="kg",$J49,0), 0)</f>
        <v>4836.78</v>
      </c>
      <c r="BH49" s="638">
        <f>IF($AM49="Insulation", IF($I49="kg",$J49,0), 0)</f>
        <v>0</v>
      </c>
      <c r="BI49" s="1018">
        <f>IF($AM49="Revêtement", IF($I49="kg",$J49,0), 0)</f>
        <v>0</v>
      </c>
      <c r="BJ49" s="638">
        <f>_xlfn.XLOOKUP(H49, 'Baumaterialien Matériaux'!A:A, 'Baumaterialien Matériaux'!E:E, "-", 0, 1)</f>
        <v>7850</v>
      </c>
      <c r="BK49" s="1032">
        <f t="shared" si="5"/>
        <v>0.6161503184713375</v>
      </c>
      <c r="BL49" s="1030">
        <f t="shared" si="6"/>
        <v>0</v>
      </c>
      <c r="BM49" s="1033">
        <f t="shared" si="7"/>
        <v>0</v>
      </c>
      <c r="BN49" s="720">
        <f>IFERROR((J49*VLOOKUP(H49, 'Baumaterialien Matériaux'!$A$11:$AH$318, 32,FALSE))*($L$2/L49-1),0)/$G$1</f>
        <v>0</v>
      </c>
      <c r="BO49" s="720">
        <f>IFERROR((N49+Q49)*($L$2/L49-1),0)</f>
        <v>0</v>
      </c>
    </row>
    <row r="50" spans="2:67" ht="15.6" customHeight="1">
      <c r="B50" s="1102" t="s">
        <v>113</v>
      </c>
      <c r="C50" s="1097" t="s">
        <v>114</v>
      </c>
      <c r="D50" s="473" t="s">
        <v>115</v>
      </c>
      <c r="E50" s="473"/>
      <c r="F50" s="473"/>
      <c r="G50" s="473"/>
      <c r="H50" s="473"/>
      <c r="I50" s="463"/>
      <c r="J50" s="654"/>
      <c r="K50" s="652"/>
      <c r="L50" s="652"/>
      <c r="M50" s="653">
        <f>M51+M54+M58</f>
        <v>33.659300698561417</v>
      </c>
      <c r="N50" s="653">
        <f t="shared" ref="N50:S50" si="101">N51+N54+N58</f>
        <v>21.300061682766053</v>
      </c>
      <c r="O50" s="653">
        <f t="shared" ref="O50" si="102">O51+O54+O58</f>
        <v>9.1168812818705689</v>
      </c>
      <c r="P50" s="653">
        <f t="shared" si="101"/>
        <v>0</v>
      </c>
      <c r="Q50" s="653">
        <f t="shared" si="101"/>
        <v>3.2423577339247953</v>
      </c>
      <c r="R50" s="653">
        <f t="shared" ref="R50" si="103">R51+R54+R58</f>
        <v>1.9157228746735206</v>
      </c>
      <c r="S50" s="653">
        <f t="shared" si="101"/>
        <v>69.283713423987393</v>
      </c>
      <c r="T50" s="653">
        <f t="shared" ref="T50" si="104">T51+T54+T58</f>
        <v>-18.013765490236722</v>
      </c>
      <c r="V50" s="638">
        <f t="shared" si="3"/>
        <v>-18.013765490236722</v>
      </c>
      <c r="X50" s="638">
        <f t="shared" si="9"/>
        <v>0</v>
      </c>
      <c r="Z50" s="638">
        <f t="shared" si="10"/>
        <v>0</v>
      </c>
      <c r="AB50">
        <f>_xlfn.XLOOKUP($H50,'[1]Baumaterialien Matériaux'!$A:$A,'[1]Baumaterialien Matériaux'!AK:AK,0,0)</f>
        <v>0</v>
      </c>
      <c r="AC50" t="str" cm="1">
        <f t="array" ref="AC50">_xlfn.SWITCH(I50,"kg"," ",0," ",_xlfn.XLOOKUP(H50, '[1]Baumaterialien Matériaux'!$A:$A, '[1]Baumaterialien Matériaux'!$AL:$AL, "-", 0, 1))</f>
        <v xml:space="preserve"> </v>
      </c>
      <c r="AD50" s="1112" cm="1">
        <f t="array" ref="AD50">IFERROR(_xlfn.SWITCH(I50,"kg",1,"m3",AC50,AC50)*J50/(_xlfn.XLOOKUP(AA50,Métrés!A:A,Métrés!E:E,0)),0)</f>
        <v>0</v>
      </c>
      <c r="AE50" s="1092">
        <f>IFERROR(N50*$G$1/(_xlfn.XLOOKUP($AA50,Métrés!$A:$A,Métrés!$E:$E,0)),0)</f>
        <v>0</v>
      </c>
      <c r="AF50" s="1092">
        <f>IFERROR(O50*$G$1/(_xlfn.XLOOKUP($AA50,Métrés!$A:$A,Métrés!$E:$E,0)),0)</f>
        <v>0</v>
      </c>
      <c r="AG50" s="1092">
        <f>IFERROR(Q50*$G$1/(_xlfn.XLOOKUP($AA50,Métrés!$A:$A,Métrés!$E:$E,0)),0)</f>
        <v>0</v>
      </c>
      <c r="AH50" s="1092">
        <f>IFERROR(R50*$G$1/(_xlfn.XLOOKUP($AA50,Métrés!$A:$A,Métrés!$E:$E,0)),0)</f>
        <v>0</v>
      </c>
      <c r="AI50" s="1092">
        <f>IFERROR(S50*$G$1/(_xlfn.XLOOKUP($AA50,Métrés!$A:$A,Métrés!$E:$E,0)),0)</f>
        <v>0</v>
      </c>
      <c r="AJ50" s="666"/>
      <c r="AK50" s="666"/>
      <c r="AL50" s="666"/>
      <c r="AM50" s="666"/>
      <c r="AN50" s="1051"/>
      <c r="AO50" s="666"/>
      <c r="AP50" s="666"/>
      <c r="AQ50" s="666"/>
      <c r="AR50" s="1052"/>
      <c r="AS50" s="1051"/>
      <c r="AT50" s="666"/>
      <c r="AU50" s="666"/>
      <c r="AV50" s="666"/>
      <c r="AW50" s="1052"/>
      <c r="AX50" s="1051"/>
      <c r="AY50" s="666"/>
      <c r="AZ50" s="666"/>
      <c r="BA50" s="666"/>
      <c r="BB50" s="1052"/>
      <c r="BC50" s="1051"/>
      <c r="BD50" s="666"/>
      <c r="BE50" s="666"/>
      <c r="BF50" s="1052"/>
      <c r="BG50" s="1051"/>
      <c r="BH50" s="666"/>
      <c r="BI50" s="1052"/>
      <c r="BJ50" s="666"/>
      <c r="BK50" s="1051"/>
      <c r="BL50" s="666"/>
      <c r="BM50" s="1052"/>
    </row>
    <row r="51" spans="2:67">
      <c r="B51" s="1103"/>
      <c r="C51" s="1099"/>
      <c r="D51" s="478"/>
      <c r="E51" s="479" t="str">
        <f>BillQuantities!E14</f>
        <v>Paroi en béton (avec enduit intérieur)</v>
      </c>
      <c r="F51" s="663" t="s">
        <v>3030</v>
      </c>
      <c r="G51" s="663"/>
      <c r="H51" s="663"/>
      <c r="I51" s="459" t="s">
        <v>39</v>
      </c>
      <c r="J51" s="662">
        <v>487.27</v>
      </c>
      <c r="K51" s="663"/>
      <c r="L51" s="663"/>
      <c r="M51" s="664">
        <f t="shared" ref="M51:T51" si="105">SUM(M52:M53)</f>
        <v>22.531909752912398</v>
      </c>
      <c r="N51" s="664">
        <f t="shared" si="105"/>
        <v>12.644169530699388</v>
      </c>
      <c r="O51" s="664">
        <f t="shared" ref="O51" si="106">SUM(O52:O53)</f>
        <v>7.2719284047095885</v>
      </c>
      <c r="P51" s="664">
        <f t="shared" si="105"/>
        <v>0</v>
      </c>
      <c r="Q51" s="664">
        <f t="shared" si="105"/>
        <v>2.61581181750342</v>
      </c>
      <c r="R51" s="664">
        <f t="shared" ref="R51" si="107">SUM(R52:R53)</f>
        <v>1.7914219725550349</v>
      </c>
      <c r="S51" s="664">
        <f t="shared" si="105"/>
        <v>69.283713423987393</v>
      </c>
      <c r="T51" s="664">
        <f t="shared" si="105"/>
        <v>-18.013765490236722</v>
      </c>
      <c r="V51" s="638">
        <f t="shared" si="3"/>
        <v>-18.013765490236722</v>
      </c>
      <c r="X51" s="638">
        <f t="shared" si="9"/>
        <v>0</v>
      </c>
      <c r="Z51" s="638">
        <f t="shared" si="10"/>
        <v>0</v>
      </c>
      <c r="AA51" s="648" t="s">
        <v>3443</v>
      </c>
      <c r="AB51">
        <f>_xlfn.XLOOKUP($H51,'[1]Baumaterialien Matériaux'!$A:$A,'[1]Baumaterialien Matériaux'!AK:AK,0,0)</f>
        <v>0</v>
      </c>
      <c r="AC51" cm="1">
        <f t="array" ref="AC51">_xlfn.SWITCH(I51,"kg"," ",0," ",_xlfn.XLOOKUP(H51, '[1]Baumaterialien Matériaux'!$A:$A, '[1]Baumaterialien Matériaux'!$AL:$AL, "-", 0, 1))</f>
        <v>0</v>
      </c>
      <c r="AD51" s="1112" cm="1">
        <f t="array" ref="AD51">IFERROR(_xlfn.SWITCH(I51,"kg",1,"m3",AC51,AC51)*J51/(_xlfn.XLOOKUP(AA51,Métrés!A:A,Métrés!E:E,0)),0)</f>
        <v>0</v>
      </c>
      <c r="AE51" s="1092">
        <f>IFERROR(N51*$G$1/(_xlfn.XLOOKUP($AA51,Métrés!$A:$A,Métrés!$E:$E,0)),0)</f>
        <v>20.943520223175963</v>
      </c>
      <c r="AF51" s="1092">
        <f>IFERROR(O51*$G$1/(_xlfn.XLOOKUP($AA51,Métrés!$A:$A,Métrés!$E:$E,0)),0)</f>
        <v>12.045059917596566</v>
      </c>
      <c r="AG51" s="1092">
        <f>IFERROR(Q51*$G$1/(_xlfn.XLOOKUP($AA51,Métrés!$A:$A,Métrés!$E:$E,0)),0)</f>
        <v>4.3327723158798284</v>
      </c>
      <c r="AH51" s="1092">
        <f>IFERROR(R51*$G$1/(_xlfn.XLOOKUP($AA51,Métrés!$A:$A,Métrés!$E:$E,0)),0)</f>
        <v>2.9672713751072961</v>
      </c>
      <c r="AI51" s="1092">
        <f>IFERROR(S51*$G$1/(_xlfn.XLOOKUP($AA51,Métrés!$A:$A,Métrés!$E:$E,0)),0)</f>
        <v>114.75999666952789</v>
      </c>
      <c r="AJ51" s="878"/>
      <c r="AK51" s="878"/>
      <c r="AL51" s="878"/>
      <c r="AM51" s="878"/>
      <c r="AN51" s="1053"/>
      <c r="AO51" s="878"/>
      <c r="AP51" s="878"/>
      <c r="AQ51" s="878"/>
      <c r="AR51" s="1054"/>
      <c r="AS51" s="1053"/>
      <c r="AT51" s="878"/>
      <c r="AU51" s="878"/>
      <c r="AV51" s="878"/>
      <c r="AW51" s="1054"/>
      <c r="AX51" s="1053"/>
      <c r="AY51" s="878"/>
      <c r="AZ51" s="878"/>
      <c r="BA51" s="878"/>
      <c r="BB51" s="1054"/>
      <c r="BC51" s="1053"/>
      <c r="BD51" s="878"/>
      <c r="BE51" s="878"/>
      <c r="BF51" s="1054"/>
      <c r="BG51" s="1053"/>
      <c r="BH51" s="878"/>
      <c r="BI51" s="1054"/>
      <c r="BJ51" s="878"/>
      <c r="BK51" s="1053"/>
      <c r="BL51" s="878"/>
      <c r="BM51" s="1054"/>
    </row>
    <row r="52" spans="2:67">
      <c r="B52" s="1103"/>
      <c r="C52" s="1099"/>
      <c r="D52" s="478"/>
      <c r="F52" s="483" t="s">
        <v>3315</v>
      </c>
      <c r="G52" s="478" t="str">
        <f>_xlfn.XLOOKUP(H52, 'Baumaterialien Matériaux'!A:A, 'Baumaterialien Matériaux'!AD:AD, "-", 0, 1)</f>
        <v>Contreplaqué de planches</v>
      </c>
      <c r="H52" s="857" t="s">
        <v>1454</v>
      </c>
      <c r="I52" s="641" t="str">
        <f>_xlfn.XLOOKUP(H52, 'Baumaterialien Matériaux'!A:A, 'Baumaterialien Matériaux'!F:F, "-", 0, 1)</f>
        <v>kg</v>
      </c>
      <c r="J52" s="649">
        <f>38.23*436</f>
        <v>16668.28</v>
      </c>
      <c r="K52" s="894"/>
      <c r="L52" s="650">
        <v>60</v>
      </c>
      <c r="M52" s="648">
        <f>SUM(N52:Q52)</f>
        <v>10.583953548774925</v>
      </c>
      <c r="N52" s="720">
        <f>IFERROR(($J52*VLOOKUP($H52, 'Baumaterialien Matériaux'!$A$11:$AH$318, 26,FALSE)),0)/$G$1</f>
        <v>5.4763948012105628</v>
      </c>
      <c r="O52" s="720">
        <f>IFERROR(($J52*VLOOKUP($H52, 'Baumaterialien Matériaux'!$A$11:$AH$318, 33,FALSE)),0)/$G$1</f>
        <v>3.725503277227312</v>
      </c>
      <c r="P52" s="720">
        <f>IFERROR((N52+Q52)*($L$2/L52-1),0)</f>
        <v>0</v>
      </c>
      <c r="Q52" s="720">
        <f>IFERROR(($J52*VLOOKUP($H52, 'Baumaterialien Matériaux'!$A$11:$AH$318, 27,FALSE)),0)/$G$1</f>
        <v>1.3820554703370505</v>
      </c>
      <c r="R52" s="720">
        <f>IFERROR(($J52*VLOOKUP($H52, 'Baumaterialien Matériaux'!$A$11:$AH$318, 34,FALSE)),0)/$G$1</f>
        <v>0.73248939927863677</v>
      </c>
      <c r="S52" s="720">
        <f>IFERROR((J52*VLOOKUP(H52, 'Baumaterialien Matériaux'!$A$11:$AD$318, 29,FALSE)),0)/$G$1</f>
        <v>28.44154986664455</v>
      </c>
      <c r="T52" s="720">
        <f>S52*AJ52</f>
        <v>-7.3948029653275835</v>
      </c>
      <c r="U52" s="638">
        <v>-0.26</v>
      </c>
      <c r="V52" s="638">
        <f t="shared" si="3"/>
        <v>0</v>
      </c>
      <c r="W52" s="638">
        <f t="shared" si="4"/>
        <v>0</v>
      </c>
      <c r="Z52" s="638">
        <f t="shared" si="10"/>
        <v>60</v>
      </c>
      <c r="AA52" s="648" t="s">
        <v>3443</v>
      </c>
      <c r="AB52" t="str">
        <f>_xlfn.XLOOKUP($H52,'[1]Baumaterialien Matériaux'!$A:$A,'[1]Baumaterialien Matériaux'!AK:AK,0,0)</f>
        <v>timber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1112" cm="1">
        <f t="array" ref="AD52">IFERROR(_xlfn.SWITCH(I52,"kg",1,"m3",AC52,AC52)*J52/(_xlfn.XLOOKUP(AA52,Métrés!A:A,Métrés!E:E,0)),0)</f>
        <v>28.615072961373389</v>
      </c>
      <c r="AE52" s="1092">
        <f>IFERROR(N52*$G$1/(_xlfn.XLOOKUP($AA52,Métrés!$A:$A,Métrés!$E:$E,0)),0)</f>
        <v>9.0709781287553639</v>
      </c>
      <c r="AF52" s="1092">
        <f>IFERROR(O52*$G$1/(_xlfn.XLOOKUP($AA52,Métrés!$A:$A,Métrés!$E:$E,0)),0)</f>
        <v>6.1708404841201716</v>
      </c>
      <c r="AG52" s="1092">
        <f>IFERROR(Q52*$G$1/(_xlfn.XLOOKUP($AA52,Métrés!$A:$A,Métrés!$E:$E,0)),0)</f>
        <v>2.2892058369098711</v>
      </c>
      <c r="AH52" s="1092">
        <f>IFERROR(R52*$G$1/(_xlfn.XLOOKUP($AA52,Métrés!$A:$A,Métrés!$E:$E,0)),0)</f>
        <v>1.2132790935622317</v>
      </c>
      <c r="AI52" s="1092">
        <f>IFERROR(S52*$G$1/(_xlfn.XLOOKUP($AA52,Métrés!$A:$A,Métrés!$E:$E,0)),0)</f>
        <v>47.109948452074384</v>
      </c>
      <c r="AJ52" s="1022">
        <v>-0.26</v>
      </c>
      <c r="AK52" s="638">
        <f>IF(L52=60,0,T52)</f>
        <v>0</v>
      </c>
      <c r="AL52" s="638">
        <f>IF(L52=60,0,S52)</f>
        <v>0</v>
      </c>
      <c r="AM52" s="638" t="str">
        <f>IF(L52=$L$2, "Structure", IF(L52&gt;0,"Revêtement",0))</f>
        <v>Structure</v>
      </c>
      <c r="AN52" s="1017">
        <f>IF(AM52="Structure",N52,0)</f>
        <v>5.4763948012105628</v>
      </c>
      <c r="AO52" s="638">
        <f>IF(AM52="Structure",P52,0)</f>
        <v>0</v>
      </c>
      <c r="AP52" s="638">
        <f>IF(AM52="Structure",Q52,0)</f>
        <v>1.3820554703370505</v>
      </c>
      <c r="AQ52" s="1018">
        <f>IF(AM52="Structure",S52,0)</f>
        <v>28.44154986664455</v>
      </c>
      <c r="AR52" s="1018">
        <f>IF(AM52="Structure",T52,0)</f>
        <v>-7.3948029653275835</v>
      </c>
      <c r="AS52" s="1017">
        <f>IF(AM52="Insulation",N52,0)</f>
        <v>0</v>
      </c>
      <c r="AT52" s="638">
        <f>IF(AM52="Insulation",P52,0)</f>
        <v>0</v>
      </c>
      <c r="AU52" s="638">
        <f>IF(AM52="Insulation",Q52,0)</f>
        <v>0</v>
      </c>
      <c r="AV52" s="1018">
        <f>IF(AM52="Insulation",S52,0)</f>
        <v>0</v>
      </c>
      <c r="AW52" s="1018">
        <f>IF(AM52="Insulation",T52,0)</f>
        <v>0</v>
      </c>
      <c r="AX52" s="1017">
        <f>IF(AM52="Revêtement",N52,0)</f>
        <v>0</v>
      </c>
      <c r="AY52" s="638">
        <f>IF(AM52="Revêtement",P52,0)</f>
        <v>0</v>
      </c>
      <c r="AZ52" s="638">
        <f>IF(AM52="Revêtement",Q52,0)</f>
        <v>0</v>
      </c>
      <c r="BA52" s="638">
        <f>IF(AM52="Revêtement",S52,0)</f>
        <v>0</v>
      </c>
      <c r="BB52" s="1018">
        <f>IF(AM52="Revêtement",T52,0)</f>
        <v>0</v>
      </c>
      <c r="BC52" s="1017"/>
      <c r="BF52" s="1018"/>
      <c r="BG52" s="1017">
        <f>IF($AM52="Structure", IF($I52="kg",$J52,0), 0)</f>
        <v>16668.28</v>
      </c>
      <c r="BH52" s="638">
        <f>IF($AM52="Insulation", IF($I52="kg",$J52,0), 0)</f>
        <v>0</v>
      </c>
      <c r="BI52" s="1018">
        <f>IF($AM52="Revêtement", IF($I52="kg",$J52,0), 0)</f>
        <v>0</v>
      </c>
      <c r="BJ52" s="638">
        <f>_xlfn.XLOOKUP(H52, 'Baumaterialien Matériaux'!A:A, 'Baumaterialien Matériaux'!E:E, "-", 0, 1)</f>
        <v>436</v>
      </c>
      <c r="BK52" s="1032">
        <f t="shared" si="5"/>
        <v>38.229999999999997</v>
      </c>
      <c r="BL52" s="1030">
        <f t="shared" si="6"/>
        <v>0</v>
      </c>
      <c r="BM52" s="1033">
        <f t="shared" si="7"/>
        <v>0</v>
      </c>
      <c r="BN52" s="720"/>
      <c r="BO52" s="720"/>
    </row>
    <row r="53" spans="2:67">
      <c r="B53" s="1103"/>
      <c r="C53" s="1099"/>
      <c r="D53" s="478"/>
      <c r="F53" s="483" t="s">
        <v>3433</v>
      </c>
      <c r="G53" s="478" t="str">
        <f>_xlfn.XLOOKUP(H53, 'Baumaterialien Matériaux'!A:A, 'Baumaterialien Matériaux'!AD:AD, "-", 0, 1)</f>
        <v>Bois lamellé-collé</v>
      </c>
      <c r="H53" s="857" t="s">
        <v>1451</v>
      </c>
      <c r="I53" s="641" t="str">
        <f>_xlfn.XLOOKUP(H53, 'Baumaterialien Matériaux'!A:A, 'Baumaterialien Matériaux'!F:F, "-", 0, 1)</f>
        <v>kg</v>
      </c>
      <c r="J53" s="649">
        <f>54.89*439</f>
        <v>24096.71</v>
      </c>
      <c r="K53" s="528"/>
      <c r="L53" s="650">
        <v>60</v>
      </c>
      <c r="M53" s="648">
        <f>SUM(N53:Q53)</f>
        <v>11.947956204137473</v>
      </c>
      <c r="N53" s="720">
        <f>IFERROR(($J53*VLOOKUP($H53, 'Baumaterialien Matériaux'!$A$11:$AH$318, 26,FALSE)),0)/$G$1</f>
        <v>7.1677747294888254</v>
      </c>
      <c r="O53" s="720">
        <f>IFERROR(($J53*VLOOKUP($H53, 'Baumaterialien Matériaux'!$A$11:$AH$318, 33,FALSE)),0)/$G$1</f>
        <v>3.5464251274822765</v>
      </c>
      <c r="P53" s="720">
        <f>IFERROR((N53+Q53)*($L$2/L53-1),0)</f>
        <v>0</v>
      </c>
      <c r="Q53" s="720">
        <f>IFERROR(($J53*VLOOKUP($H53, 'Baumaterialien Matériaux'!$A$11:$AH$318, 27,FALSE)),0)/$G$1</f>
        <v>1.2337563471663695</v>
      </c>
      <c r="R53" s="720">
        <f>IFERROR(($J53*VLOOKUP($H53, 'Baumaterialien Matériaux'!$A$11:$AH$318, 34,FALSE)),0)/$G$1</f>
        <v>1.0589325732763981</v>
      </c>
      <c r="S53" s="720">
        <f>IFERROR((J53*VLOOKUP(H53, 'Baumaterialien Matériaux'!$A$11:$AD$318, 29,FALSE)),0)/$G$1</f>
        <v>40.842163557342836</v>
      </c>
      <c r="T53" s="720">
        <f>S53*AJ53</f>
        <v>-10.618962524909138</v>
      </c>
      <c r="V53" s="638">
        <f t="shared" si="3"/>
        <v>0</v>
      </c>
      <c r="W53" s="638">
        <f t="shared" si="4"/>
        <v>0</v>
      </c>
      <c r="Z53" s="638">
        <f t="shared" si="10"/>
        <v>60</v>
      </c>
      <c r="AA53" s="648" t="s">
        <v>3443</v>
      </c>
      <c r="AB53" t="str">
        <f>_xlfn.XLOOKUP($H53,'[1]Baumaterialien Matériaux'!$A:$A,'[1]Baumaterialien Matériaux'!AK:AK,0,0)</f>
        <v>timber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1112" cm="1">
        <f t="array" ref="AD53">IFERROR(_xlfn.SWITCH(I53,"kg",1,"m3",AC53,AC53)*J53/(_xlfn.XLOOKUP(AA53,Métrés!A:A,Métrés!E:E,0)),0)</f>
        <v>41.367742489270384</v>
      </c>
      <c r="AE53" s="1092">
        <f>IFERROR(N53*$G$1/(_xlfn.XLOOKUP($AA53,Métrés!$A:$A,Métrés!$E:$E,0)),0)</f>
        <v>11.872542094420599</v>
      </c>
      <c r="AF53" s="1092">
        <f>IFERROR(O53*$G$1/(_xlfn.XLOOKUP($AA53,Métrés!$A:$A,Métrés!$E:$E,0)),0)</f>
        <v>5.8742194334763944</v>
      </c>
      <c r="AG53" s="1092">
        <f>IFERROR(Q53*$G$1/(_xlfn.XLOOKUP($AA53,Métrés!$A:$A,Métrés!$E:$E,0)),0)</f>
        <v>2.0435664789699568</v>
      </c>
      <c r="AH53" s="1092">
        <f>IFERROR(R53*$G$1/(_xlfn.XLOOKUP($AA53,Métrés!$A:$A,Métrés!$E:$E,0)),0)</f>
        <v>1.7539922815450644</v>
      </c>
      <c r="AI53" s="1092">
        <f>IFERROR(S53*$G$1/(_xlfn.XLOOKUP($AA53,Métrés!$A:$A,Métrés!$E:$E,0)),0)</f>
        <v>67.650048217453502</v>
      </c>
      <c r="AJ53" s="1022">
        <v>-0.26</v>
      </c>
      <c r="AK53" s="638">
        <f>IF(L53=60,0,T53)</f>
        <v>0</v>
      </c>
      <c r="AL53" s="638">
        <f>IF(L53=60,0,S53)</f>
        <v>0</v>
      </c>
      <c r="AM53" s="638" t="str">
        <f>IF(L53=$L$2, "Structure", IF(L53&gt;0,"Revêtement",0))</f>
        <v>Structure</v>
      </c>
      <c r="AN53" s="1017">
        <f>IF(AM53="Structure",N53,0)</f>
        <v>7.1677747294888254</v>
      </c>
      <c r="AO53" s="638">
        <f>IF(AM53="Structure",P53,0)</f>
        <v>0</v>
      </c>
      <c r="AP53" s="638">
        <f>IF(AM53="Structure",Q53,0)</f>
        <v>1.2337563471663695</v>
      </c>
      <c r="AQ53" s="1018">
        <f>IF(AM53="Structure",S53,0)</f>
        <v>40.842163557342836</v>
      </c>
      <c r="AR53" s="1018">
        <f>IF(AM53="Structure",T53,0)</f>
        <v>-10.618962524909138</v>
      </c>
      <c r="AS53" s="1017">
        <f>IF(AM53="Insulation",N53,0)</f>
        <v>0</v>
      </c>
      <c r="AT53" s="638">
        <f>IF(AM53="Insulation",P53,0)</f>
        <v>0</v>
      </c>
      <c r="AU53" s="638">
        <f>IF(AM53="Insulation",Q53,0)</f>
        <v>0</v>
      </c>
      <c r="AV53" s="1018">
        <f>IF(AM53="Insulation",S53,0)</f>
        <v>0</v>
      </c>
      <c r="AW53" s="1018">
        <f>IF(AM53="Insulation",T53,0)</f>
        <v>0</v>
      </c>
      <c r="AX53" s="1017">
        <f>IF(AM53="Revêtement",N53,0)</f>
        <v>0</v>
      </c>
      <c r="AY53" s="638">
        <f>IF(AM53="Revêtement",P53,0)</f>
        <v>0</v>
      </c>
      <c r="AZ53" s="638">
        <f>IF(AM53="Revêtement",Q53,0)</f>
        <v>0</v>
      </c>
      <c r="BA53" s="638">
        <f>IF(AM53="Revêtement",S53,0)</f>
        <v>0</v>
      </c>
      <c r="BB53" s="1018">
        <f>IF(AM53="Revêtement",T53,0)</f>
        <v>0</v>
      </c>
      <c r="BC53" s="1017"/>
      <c r="BF53" s="1018"/>
      <c r="BG53" s="1017">
        <f>IF($AM53="Structure", IF($I53="kg",$J53,0), 0)</f>
        <v>24096.71</v>
      </c>
      <c r="BH53" s="638">
        <f>IF($AM53="Insulation", IF($I53="kg",$J53,0), 0)</f>
        <v>0</v>
      </c>
      <c r="BI53" s="1018">
        <f>IF($AM53="Revêtement", IF($I53="kg",$J53,0), 0)</f>
        <v>0</v>
      </c>
      <c r="BJ53" s="638">
        <f>_xlfn.XLOOKUP(H53, 'Baumaterialien Matériaux'!A:A, 'Baumaterialien Matériaux'!E:E, "-", 0, 1)</f>
        <v>439</v>
      </c>
      <c r="BK53" s="1032">
        <f t="shared" si="5"/>
        <v>54.89</v>
      </c>
      <c r="BL53" s="1030">
        <f t="shared" si="6"/>
        <v>0</v>
      </c>
      <c r="BM53" s="1033">
        <f t="shared" si="7"/>
        <v>0</v>
      </c>
      <c r="BN53" s="720"/>
      <c r="BO53" s="720"/>
    </row>
    <row r="54" spans="2:67">
      <c r="B54" s="1103"/>
      <c r="C54" s="1099"/>
      <c r="D54" s="478"/>
      <c r="F54" s="663" t="s">
        <v>3032</v>
      </c>
      <c r="G54" s="663"/>
      <c r="H54" s="663"/>
      <c r="I54" s="459" t="s">
        <v>39</v>
      </c>
      <c r="J54" s="662">
        <v>54.17</v>
      </c>
      <c r="K54" s="663"/>
      <c r="L54" s="663"/>
      <c r="M54" s="664">
        <f>SUM(M55:M57)</f>
        <v>6.196054475353427</v>
      </c>
      <c r="N54" s="664">
        <f t="shared" ref="N54:T54" si="108">SUM(N55:N57)</f>
        <v>4.8198521620165007</v>
      </c>
      <c r="O54" s="664">
        <f t="shared" ref="O54" si="109">SUM(O55:O57)</f>
        <v>1.0273233489490485</v>
      </c>
      <c r="P54" s="664">
        <f t="shared" si="108"/>
        <v>0</v>
      </c>
      <c r="Q54" s="664">
        <f t="shared" si="108"/>
        <v>0.3488789643878778</v>
      </c>
      <c r="R54" s="664">
        <f t="shared" ref="R54" si="110">SUM(R55:R57)</f>
        <v>6.9214352638779494E-2</v>
      </c>
      <c r="S54" s="664">
        <f t="shared" si="108"/>
        <v>0</v>
      </c>
      <c r="T54" s="664">
        <f t="shared" si="108"/>
        <v>0</v>
      </c>
      <c r="V54" s="638">
        <f t="shared" si="3"/>
        <v>0</v>
      </c>
      <c r="W54" s="638">
        <f t="shared" si="4"/>
        <v>0</v>
      </c>
      <c r="Z54" s="638">
        <f t="shared" si="10"/>
        <v>0</v>
      </c>
      <c r="AA54" s="648" t="s">
        <v>3443</v>
      </c>
      <c r="AB54">
        <f>_xlfn.XLOOKUP($H54,'[1]Baumaterialien Matériaux'!$A:$A,'[1]Baumaterialien Matériaux'!AK:AK,0,0)</f>
        <v>0</v>
      </c>
      <c r="AC54" cm="1">
        <f t="array" ref="AC54">_xlfn.SWITCH(I54,"kg"," ",0," ",_xlfn.XLOOKUP(H54, '[1]Baumaterialien Matériaux'!$A:$A, '[1]Baumaterialien Matériaux'!$AL:$AL, "-", 0, 1))</f>
        <v>0</v>
      </c>
      <c r="AD54" s="1112" cm="1">
        <f t="array" ref="AD54">IFERROR(_xlfn.SWITCH(I54,"kg",1,"m3",AC54,AC54)*J54/(_xlfn.XLOOKUP(AA54,Métrés!A:A,Métrés!E:E,0)),0)</f>
        <v>0</v>
      </c>
      <c r="AE54" s="1092">
        <f>IFERROR(N54*$G$1/(_xlfn.XLOOKUP($AA54,Métrés!$A:$A,Métrés!$E:$E,0)),0)</f>
        <v>7.9834955536480701</v>
      </c>
      <c r="AF54" s="1092">
        <f>IFERROR(O54*$G$1/(_xlfn.XLOOKUP($AA54,Métrés!$A:$A,Métrés!$E:$E,0)),0)</f>
        <v>1.7016354678111589</v>
      </c>
      <c r="AG54" s="1092">
        <f>IFERROR(Q54*$G$1/(_xlfn.XLOOKUP($AA54,Métrés!$A:$A,Métrés!$E:$E,0)),0)</f>
        <v>0.57787533047210304</v>
      </c>
      <c r="AH54" s="1092">
        <f>IFERROR(R54*$G$1/(_xlfn.XLOOKUP($AA54,Métrés!$A:$A,Métrés!$E:$E,0)),0)</f>
        <v>0.11464510901287554</v>
      </c>
      <c r="AI54" s="1092">
        <f>IFERROR(S54*$G$1/(_xlfn.XLOOKUP($AA54,Métrés!$A:$A,Métrés!$E:$E,0)),0)</f>
        <v>0</v>
      </c>
      <c r="AJ54" s="878"/>
      <c r="AK54" s="878"/>
      <c r="AL54" s="878"/>
      <c r="AM54" s="878"/>
      <c r="AN54" s="1053"/>
      <c r="AO54" s="878"/>
      <c r="AP54" s="878"/>
      <c r="AQ54" s="878"/>
      <c r="AR54" s="1054"/>
      <c r="AS54" s="1053"/>
      <c r="AT54" s="878"/>
      <c r="AU54" s="878"/>
      <c r="AV54" s="878"/>
      <c r="AW54" s="1054"/>
      <c r="AX54" s="1053"/>
      <c r="AY54" s="878"/>
      <c r="AZ54" s="878"/>
      <c r="BA54" s="878"/>
      <c r="BB54" s="1054"/>
      <c r="BC54" s="1053"/>
      <c r="BD54" s="878"/>
      <c r="BE54" s="878"/>
      <c r="BF54" s="1054"/>
      <c r="BG54" s="1053"/>
      <c r="BH54" s="878"/>
      <c r="BI54" s="1054"/>
      <c r="BJ54" s="878"/>
      <c r="BK54" s="1053"/>
      <c r="BL54" s="878"/>
      <c r="BM54" s="1054"/>
      <c r="BN54" s="720"/>
      <c r="BO54" s="720"/>
    </row>
    <row r="55" spans="2:67">
      <c r="B55" s="1103"/>
      <c r="C55" s="1099"/>
      <c r="D55" s="478"/>
      <c r="F55" s="638" t="s">
        <v>2981</v>
      </c>
      <c r="G55" s="478" t="str">
        <f>_xlfn.XLOOKUP(H55, 'Baumaterialien Matériaux'!A:A, 'Baumaterialien Matériaux'!AD:AD, "-", 0, 1)</f>
        <v>Béton pour bâtiment (sans armature)</v>
      </c>
      <c r="H55" s="891">
        <v>1.0019999999999998</v>
      </c>
      <c r="I55" s="641" t="str">
        <f>_xlfn.XLOOKUP(H55, 'Baumaterialien Matériaux'!A:A, 'Baumaterialien Matériaux'!F:F, "-", 0, 1)</f>
        <v>kg</v>
      </c>
      <c r="J55" s="649">
        <f>$J$54*K55</f>
        <v>24918.2</v>
      </c>
      <c r="K55" s="893">
        <f>0.2*2300</f>
        <v>460</v>
      </c>
      <c r="L55" s="650">
        <v>60</v>
      </c>
      <c r="M55" s="648">
        <f>SUM(N55:Q55)</f>
        <v>3.1585504954189298</v>
      </c>
      <c r="N55" s="720">
        <f>IFERROR(($J55*VLOOKUP($H55, 'Baumaterialien Matériaux'!$A$11:$AH$318, 26,FALSE)),0)/$G$1</f>
        <v>2.2933710874341862</v>
      </c>
      <c r="O55" s="720">
        <f>IFERROR(($J55*VLOOKUP($H55, 'Baumaterialien Matériaux'!$A$11:$AH$318, 33,FALSE)),0)/$G$1</f>
        <v>0.53718602048007957</v>
      </c>
      <c r="P55" s="720">
        <f>IFERROR((N55+Q55)*($L$2/L55-1),0)</f>
        <v>0</v>
      </c>
      <c r="Q55" s="720">
        <f>IFERROR(($J55*VLOOKUP($H55, 'Baumaterialien Matériaux'!$A$11:$AH$318, 27,FALSE)),0)/$G$1</f>
        <v>0.327993387504664</v>
      </c>
      <c r="R55" s="720">
        <f>IFERROR(($J55*VLOOKUP($H55, 'Baumaterialien Matériaux'!$A$11:$AH$318, 34,FALSE)),0)/$G$1</f>
        <v>6.9214352638779494E-2</v>
      </c>
      <c r="S55" s="720">
        <f>IFERROR((J55*VLOOKUP(H55, 'Baumaterialien Matériaux'!$A$11:$AD$318, 29,FALSE)),0)/$G$1</f>
        <v>0</v>
      </c>
      <c r="T55" s="720">
        <f>S55*AJ55</f>
        <v>0</v>
      </c>
      <c r="V55" s="638">
        <f t="shared" si="3"/>
        <v>0</v>
      </c>
      <c r="W55" s="638">
        <f t="shared" si="4"/>
        <v>0</v>
      </c>
      <c r="Z55" s="638">
        <f t="shared" si="10"/>
        <v>60</v>
      </c>
      <c r="AA55" s="648" t="s">
        <v>3443</v>
      </c>
      <c r="AB55" t="str">
        <f>_xlfn.XLOOKUP($H55,'[1]Baumaterialien Matériaux'!$A:$A,'[1]Baumaterialien Matériaux'!AK:AK,0,0)</f>
        <v>concrete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1112" cm="1">
        <f t="array" ref="AD55">IFERROR(_xlfn.SWITCH(I55,"kg",1,"m3",AC55,AC55)*J55/(_xlfn.XLOOKUP(AA55,Métrés!A:A,Métrés!E:E,0)),0)</f>
        <v>42.77802575107296</v>
      </c>
      <c r="AE55" s="1092">
        <f>IFERROR(N55*$G$1/(_xlfn.XLOOKUP($AA55,Métrés!$A:$A,Métrés!$E:$E,0)),0)</f>
        <v>3.7986886866952796</v>
      </c>
      <c r="AF55" s="1092">
        <f>IFERROR(O55*$G$1/(_xlfn.XLOOKUP($AA55,Métrés!$A:$A,Métrés!$E:$E,0)),0)</f>
        <v>0.88978293562231747</v>
      </c>
      <c r="AG55" s="1092">
        <f>IFERROR(Q55*$G$1/(_xlfn.XLOOKUP($AA55,Métrés!$A:$A,Métrés!$E:$E,0)),0)</f>
        <v>0.54328092703862663</v>
      </c>
      <c r="AH55" s="1092">
        <f>IFERROR(R55*$G$1/(_xlfn.XLOOKUP($AA55,Métrés!$A:$A,Métrés!$E:$E,0)),0)</f>
        <v>0.11464510901287554</v>
      </c>
      <c r="AI55" s="1092">
        <f>IFERROR(S55*$G$1/(_xlfn.XLOOKUP($AA55,Métrés!$A:$A,Métrés!$E:$E,0)),0)</f>
        <v>0</v>
      </c>
      <c r="AJ55" s="1022"/>
      <c r="AK55" s="638">
        <f>IF(L55=60,0,T55)</f>
        <v>0</v>
      </c>
      <c r="AL55" s="638">
        <f>IF(L55=60,0,S55)</f>
        <v>0</v>
      </c>
      <c r="AM55" s="638" t="str">
        <f>IF(L55=$L$2, "Structure", IF(L55&gt;0,"Revêtement",0))</f>
        <v>Structure</v>
      </c>
      <c r="AN55" s="1017">
        <f>IF(AM55="Structure",N55,0)</f>
        <v>2.2933710874341862</v>
      </c>
      <c r="AO55" s="638">
        <f>IF(AM55="Structure",P55,0)</f>
        <v>0</v>
      </c>
      <c r="AP55" s="638">
        <f>IF(AM55="Structure",Q55,0)</f>
        <v>0.327993387504664</v>
      </c>
      <c r="AQ55" s="1018">
        <f>IF(AM55="Structure",S55,0)</f>
        <v>0</v>
      </c>
      <c r="AR55" s="1018">
        <f>IF(AM55="Structure",T55,0)</f>
        <v>0</v>
      </c>
      <c r="AS55" s="1017">
        <f>IF(AM55="Insulation",N55,0)</f>
        <v>0</v>
      </c>
      <c r="AT55" s="638">
        <f>IF(AM55="Insulation",P55,0)</f>
        <v>0</v>
      </c>
      <c r="AU55" s="638">
        <f>IF(AM55="Insulation",Q55,0)</f>
        <v>0</v>
      </c>
      <c r="AV55" s="1018">
        <f>IF(AM55="Insulation",S55,0)</f>
        <v>0</v>
      </c>
      <c r="AW55" s="1018">
        <f>IF(AM55="Insulation",T55,0)</f>
        <v>0</v>
      </c>
      <c r="AX55" s="1017">
        <f>IF(AM55="Revêtement",N55,0)</f>
        <v>0</v>
      </c>
      <c r="AY55" s="638">
        <f>IF(AM55="Revêtement",P55,0)</f>
        <v>0</v>
      </c>
      <c r="AZ55" s="638">
        <f>IF(AM55="Revêtement",Q55,0)</f>
        <v>0</v>
      </c>
      <c r="BA55" s="638">
        <f>IF(AM55="Revêtement",S55,0)</f>
        <v>0</v>
      </c>
      <c r="BB55" s="1018">
        <f>IF(AM55="Revêtement",T55,0)</f>
        <v>0</v>
      </c>
      <c r="BC55" s="1017"/>
      <c r="BF55" s="1018"/>
      <c r="BG55" s="1017">
        <f>IF($AM55="Structure", IF($I55="kg",$J55,0), 0)</f>
        <v>24918.2</v>
      </c>
      <c r="BH55" s="638">
        <f>IF($AM55="Insulation", IF($I55="kg",$J55,0), 0)</f>
        <v>0</v>
      </c>
      <c r="BI55" s="1018">
        <f>IF($AM55="Revêtement", IF($I55="kg",$J55,0), 0)</f>
        <v>0</v>
      </c>
      <c r="BJ55" s="638">
        <f>_xlfn.XLOOKUP(H55, 'Baumaterialien Matériaux'!A:A, 'Baumaterialien Matériaux'!E:E, "-", 0, 1)</f>
        <v>2300</v>
      </c>
      <c r="BK55" s="1032">
        <f t="shared" si="5"/>
        <v>10.834</v>
      </c>
      <c r="BL55" s="1030">
        <f t="shared" si="6"/>
        <v>0</v>
      </c>
      <c r="BM55" s="1033">
        <f t="shared" si="7"/>
        <v>0</v>
      </c>
      <c r="BN55" s="720"/>
      <c r="BO55" s="720"/>
    </row>
    <row r="56" spans="2:67">
      <c r="B56" s="1103"/>
      <c r="C56" s="1099"/>
      <c r="D56" s="478"/>
      <c r="F56" s="638" t="s">
        <v>3004</v>
      </c>
      <c r="G56" s="478" t="str">
        <f>_xlfn.XLOOKUP(H56, 'Baumaterialien Matériaux'!A:A, 'Baumaterialien Matériaux'!AD:AD, "-", 0, 1)</f>
        <v>Acier d'armature</v>
      </c>
      <c r="H56" s="892" t="s">
        <v>497</v>
      </c>
      <c r="I56" s="641" t="str">
        <f>_xlfn.XLOOKUP(H56, 'Baumaterialien Matériaux'!A:A, 'Baumaterialien Matériaux'!F:F, "-", 0, 1)</f>
        <v>kg</v>
      </c>
      <c r="J56" s="649">
        <f>$J$54*K56</f>
        <v>1625.1000000000001</v>
      </c>
      <c r="K56" s="894">
        <f>0.2*150</f>
        <v>30</v>
      </c>
      <c r="L56" s="650">
        <v>60</v>
      </c>
      <c r="M56" s="648">
        <f>SUM(N56:Q56)</f>
        <v>3.0375039799344972</v>
      </c>
      <c r="N56" s="720">
        <f>IFERROR(($J56*VLOOKUP($H56, 'Baumaterialien Matériaux'!$A$11:$AH$318, 26,FALSE)),0)/$G$1</f>
        <v>2.5264810745823141</v>
      </c>
      <c r="O56" s="720">
        <f>IFERROR(($J56*VLOOKUP($H56, 'Baumaterialien Matériaux'!$A$11:$AH$318, 33,FALSE)),0)/$G$1</f>
        <v>0.49013732846896896</v>
      </c>
      <c r="P56" s="720">
        <f>IFERROR((N56+Q56)*($L$2/L56-1),0)</f>
        <v>0</v>
      </c>
      <c r="Q56" s="720">
        <f>IFERROR(($J56*VLOOKUP($H56, 'Baumaterialien Matériaux'!$A$11:$AH$318, 27,FALSE)),0)/$G$1</f>
        <v>2.0885576883213797E-2</v>
      </c>
      <c r="R56" s="720">
        <f>IFERROR(($J56*VLOOKUP($H56, 'Baumaterialien Matériaux'!$A$11:$AH$318, 34,FALSE)),0)/$G$1</f>
        <v>0</v>
      </c>
      <c r="S56" s="720">
        <f>IFERROR((J56*VLOOKUP(H56, 'Baumaterialien Matériaux'!$A$11:$AD$318, 29,FALSE)),0)/$G$1</f>
        <v>0</v>
      </c>
      <c r="T56" s="720">
        <f>S56*AJ56</f>
        <v>0</v>
      </c>
      <c r="V56" s="638">
        <f t="shared" si="3"/>
        <v>0</v>
      </c>
      <c r="W56" s="638">
        <f t="shared" si="4"/>
        <v>0</v>
      </c>
      <c r="Z56" s="638">
        <f t="shared" si="10"/>
        <v>60</v>
      </c>
      <c r="AA56" s="648" t="s">
        <v>3443</v>
      </c>
      <c r="AB56" t="str">
        <f>_xlfn.XLOOKUP($H56,'[1]Baumaterialien Matériaux'!$A:$A,'[1]Baumaterialien Matériaux'!AK:AK,0,0)</f>
        <v>metal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1112" cm="1">
        <f t="array" ref="AD56">IFERROR(_xlfn.SWITCH(I56,"kg",1,"m3",AC56,AC56)*J56/(_xlfn.XLOOKUP(AA56,Métrés!A:A,Métrés!E:E,0)),0)</f>
        <v>2.7898712446351932</v>
      </c>
      <c r="AE56" s="1092">
        <f>IFERROR(N56*$G$1/(_xlfn.XLOOKUP($AA56,Métrés!$A:$A,Métrés!$E:$E,0)),0)</f>
        <v>4.1848068669527896</v>
      </c>
      <c r="AF56" s="1092">
        <f>IFERROR(O56*$G$1/(_xlfn.XLOOKUP($AA56,Métrés!$A:$A,Métrés!$E:$E,0)),0)</f>
        <v>0.81185253218884124</v>
      </c>
      <c r="AG56" s="1092">
        <f>IFERROR(Q56*$G$1/(_xlfn.XLOOKUP($AA56,Métrés!$A:$A,Métrés!$E:$E,0)),0)</f>
        <v>3.4594403433476396E-2</v>
      </c>
      <c r="AH56" s="1092">
        <f>IFERROR(R56*$G$1/(_xlfn.XLOOKUP($AA56,Métrés!$A:$A,Métrés!$E:$E,0)),0)</f>
        <v>0</v>
      </c>
      <c r="AI56" s="1092">
        <f>IFERROR(S56*$G$1/(_xlfn.XLOOKUP($AA56,Métrés!$A:$A,Métrés!$E:$E,0)),0)</f>
        <v>0</v>
      </c>
      <c r="AJ56" s="1022"/>
      <c r="AK56" s="638">
        <f>IF(L56=60,0,T56)</f>
        <v>0</v>
      </c>
      <c r="AL56" s="638">
        <f>IF(L56=60,0,S56)</f>
        <v>0</v>
      </c>
      <c r="AM56" s="638" t="str">
        <f>IF(L56=$L$2, "Structure", IF(L56&gt;0,"Revêtement",0))</f>
        <v>Structure</v>
      </c>
      <c r="AN56" s="1017">
        <f>IF(AM56="Structure",N56,0)</f>
        <v>2.5264810745823141</v>
      </c>
      <c r="AO56" s="638">
        <f>IF(AM56="Structure",P56,0)</f>
        <v>0</v>
      </c>
      <c r="AP56" s="638">
        <f>IF(AM56="Structure",Q56,0)</f>
        <v>2.0885576883213797E-2</v>
      </c>
      <c r="AQ56" s="1018">
        <f>IF(AM56="Structure",S56,0)</f>
        <v>0</v>
      </c>
      <c r="AR56" s="1018">
        <f>IF(AM56="Structure",T56,0)</f>
        <v>0</v>
      </c>
      <c r="AS56" s="1017">
        <f>IF(AM56="Insulation",N56,0)</f>
        <v>0</v>
      </c>
      <c r="AT56" s="638">
        <f>IF(AM56="Insulation",P56,0)</f>
        <v>0</v>
      </c>
      <c r="AU56" s="638">
        <f>IF(AM56="Insulation",Q56,0)</f>
        <v>0</v>
      </c>
      <c r="AV56" s="1018">
        <f>IF(AM56="Insulation",S56,0)</f>
        <v>0</v>
      </c>
      <c r="AW56" s="1018">
        <f>IF(AM56="Insulation",T56,0)</f>
        <v>0</v>
      </c>
      <c r="AX56" s="1017">
        <f>IF(AM56="Revêtement",N56,0)</f>
        <v>0</v>
      </c>
      <c r="AY56" s="638">
        <f>IF(AM56="Revêtement",P56,0)</f>
        <v>0</v>
      </c>
      <c r="AZ56" s="638">
        <f>IF(AM56="Revêtement",Q56,0)</f>
        <v>0</v>
      </c>
      <c r="BA56" s="638">
        <f>IF(AM56="Revêtement",S56,0)</f>
        <v>0</v>
      </c>
      <c r="BB56" s="1018">
        <f>IF(AM56="Revêtement",T56,0)</f>
        <v>0</v>
      </c>
      <c r="BC56" s="1017"/>
      <c r="BF56" s="1018"/>
      <c r="BG56" s="1017">
        <f>IF($AM56="Structure", IF($I56="kg",$J56,0), 0)</f>
        <v>1625.1000000000001</v>
      </c>
      <c r="BH56" s="638">
        <f>IF($AM56="Insulation", IF($I56="kg",$J56,0), 0)</f>
        <v>0</v>
      </c>
      <c r="BI56" s="1018">
        <f>IF($AM56="Revêtement", IF($I56="kg",$J56,0), 0)</f>
        <v>0</v>
      </c>
      <c r="BJ56" s="638">
        <f>_xlfn.XLOOKUP(H56, 'Baumaterialien Matériaux'!A:A, 'Baumaterialien Matériaux'!E:E, "-", 0, 1)</f>
        <v>7850</v>
      </c>
      <c r="BK56" s="1032">
        <f t="shared" si="5"/>
        <v>0.2070191082802548</v>
      </c>
      <c r="BL56" s="1030">
        <f t="shared" si="6"/>
        <v>0</v>
      </c>
      <c r="BM56" s="1033">
        <f t="shared" si="7"/>
        <v>0</v>
      </c>
      <c r="BN56" s="720"/>
      <c r="BO56" s="720"/>
    </row>
    <row r="57" spans="2:67">
      <c r="B57" s="1103"/>
      <c r="C57" s="1099"/>
      <c r="D57" s="478"/>
      <c r="F57" s="483" t="s">
        <v>3399</v>
      </c>
      <c r="G57" s="478" t="str">
        <f>_xlfn.XLOOKUP(H57, 'Baumaterialien Matériaux'!A:A, 'Baumaterialien Matériaux'!AD:AD, "-", 0, 1)</f>
        <v>-</v>
      </c>
      <c r="H57" s="885"/>
      <c r="I57" s="641">
        <f>_xlfn.XLOOKUP(H57, 'Baumaterialien Matériaux'!A:A, 'Baumaterialien Matériaux'!F:F, "-", 0, 1)</f>
        <v>0</v>
      </c>
      <c r="J57" s="649"/>
      <c r="K57" s="650"/>
      <c r="L57" s="650">
        <v>60</v>
      </c>
      <c r="M57" s="648"/>
      <c r="N57" s="720">
        <f>IFERROR(($J57*VLOOKUP($H57, 'Baumaterialien Matériaux'!$A$11:$AH$318, 26,FALSE)),0)/$G$1</f>
        <v>0</v>
      </c>
      <c r="O57" s="720">
        <f>IFERROR(($J57*VLOOKUP($H57, 'Baumaterialien Matériaux'!$A$11:$AH$318, 33,FALSE)),0)/$G$1</f>
        <v>0</v>
      </c>
      <c r="P57" s="720">
        <f>IFERROR((N57+Q57)*($L$2/L57-1),0)</f>
        <v>0</v>
      </c>
      <c r="Q57" s="720">
        <f>IFERROR(($J57*VLOOKUP($H57, 'Baumaterialien Matériaux'!$A$11:$AH$318, 27,FALSE)),0)/$G$1</f>
        <v>0</v>
      </c>
      <c r="R57" s="720">
        <f>IFERROR(($J57*VLOOKUP($H57, 'Baumaterialien Matériaux'!$A$11:$AH$318, 34,FALSE)),0)/$G$1</f>
        <v>0</v>
      </c>
      <c r="S57" s="720">
        <f>IFERROR((J57*VLOOKUP(H57, 'Baumaterialien Matériaux'!$A$11:$AD$318, 29,FALSE)),0)/$G$1</f>
        <v>0</v>
      </c>
      <c r="T57" s="720">
        <f>S57*AJ57</f>
        <v>0</v>
      </c>
      <c r="V57" s="638">
        <f t="shared" si="3"/>
        <v>0</v>
      </c>
      <c r="W57" s="638">
        <f t="shared" si="4"/>
        <v>0</v>
      </c>
      <c r="Z57" s="638">
        <f t="shared" si="10"/>
        <v>60</v>
      </c>
      <c r="AA57" s="648" t="s">
        <v>3443</v>
      </c>
      <c r="AB57">
        <f>_xlfn.XLOOKUP($H57,'[1]Baumaterialien Matériaux'!$A:$A,'[1]Baumaterialien Matériaux'!AK:AK,0,0)</f>
        <v>0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1112" cm="1">
        <f t="array" ref="AD57">IFERROR(_xlfn.SWITCH(I57,"kg",1,"m3",AC57,AC57)*J57/(_xlfn.XLOOKUP(AA57,Métrés!A:A,Métrés!E:E,0)),0)</f>
        <v>0</v>
      </c>
      <c r="AE57" s="1092">
        <f>IFERROR(N57*$G$1/(_xlfn.XLOOKUP($AA57,Métrés!$A:$A,Métrés!$E:$E,0)),0)</f>
        <v>0</v>
      </c>
      <c r="AF57" s="1092">
        <f>IFERROR(O57*$G$1/(_xlfn.XLOOKUP($AA57,Métrés!$A:$A,Métrés!$E:$E,0)),0)</f>
        <v>0</v>
      </c>
      <c r="AG57" s="1092">
        <f>IFERROR(Q57*$G$1/(_xlfn.XLOOKUP($AA57,Métrés!$A:$A,Métrés!$E:$E,0)),0)</f>
        <v>0</v>
      </c>
      <c r="AH57" s="1092">
        <f>IFERROR(R57*$G$1/(_xlfn.XLOOKUP($AA57,Métrés!$A:$A,Métrés!$E:$E,0)),0)</f>
        <v>0</v>
      </c>
      <c r="AI57" s="1092">
        <f>IFERROR(S57*$G$1/(_xlfn.XLOOKUP($AA57,Métrés!$A:$A,Métrés!$E:$E,0)),0)</f>
        <v>0</v>
      </c>
      <c r="AJ57" s="1022"/>
      <c r="AK57" s="638">
        <f>IF(L57=60,0,T57)</f>
        <v>0</v>
      </c>
      <c r="AL57" s="638">
        <f>IF(L57=60,0,S57)</f>
        <v>0</v>
      </c>
      <c r="AM57" s="638" t="str">
        <f>IF(L57=$L$2, "Structure", IF(L57&gt;0,"Revêtement",0))</f>
        <v>Structure</v>
      </c>
      <c r="AN57" s="1017">
        <f>IF(AM57="Structure",N57,0)</f>
        <v>0</v>
      </c>
      <c r="AO57" s="638">
        <f>IF(AM57="Structure",P57,0)</f>
        <v>0</v>
      </c>
      <c r="AP57" s="638">
        <f>IF(AM57="Structure",Q57,0)</f>
        <v>0</v>
      </c>
      <c r="AQ57" s="1018">
        <f>IF(AM57="Structure",S57,0)</f>
        <v>0</v>
      </c>
      <c r="AR57" s="1018">
        <f>IF(AM57="Structure",T57,0)</f>
        <v>0</v>
      </c>
      <c r="AS57" s="1017">
        <f>IF(AM57="Insulation",N57,0)</f>
        <v>0</v>
      </c>
      <c r="AT57" s="638">
        <f>IF(AM57="Insulation",P57,0)</f>
        <v>0</v>
      </c>
      <c r="AU57" s="638">
        <f>IF(AM57="Insulation",Q57,0)</f>
        <v>0</v>
      </c>
      <c r="AV57" s="1018">
        <f>IF(AM57="Insulation",S57,0)</f>
        <v>0</v>
      </c>
      <c r="AW57" s="1018">
        <f>IF(AM57="Insulation",T57,0)</f>
        <v>0</v>
      </c>
      <c r="AX57" s="1017">
        <f>IF(AM57="Revêtement",N57,0)</f>
        <v>0</v>
      </c>
      <c r="AY57" s="638">
        <f>IF(AM57="Revêtement",P57,0)</f>
        <v>0</v>
      </c>
      <c r="AZ57" s="638">
        <f>IF(AM57="Revêtement",Q57,0)</f>
        <v>0</v>
      </c>
      <c r="BA57" s="638">
        <f>IF(AM57="Revêtement",S57,0)</f>
        <v>0</v>
      </c>
      <c r="BB57" s="1018">
        <f>IF(AM57="Revêtement",T57,0)</f>
        <v>0</v>
      </c>
      <c r="BC57" s="1017"/>
      <c r="BF57" s="1018"/>
      <c r="BG57" s="1017">
        <f>IF($AM57="Structure", IF($I57="kg",$J57,0), 0)</f>
        <v>0</v>
      </c>
      <c r="BH57" s="638">
        <f>IF($AM57="Insulation", IF($I57="kg",$J57,0), 0)</f>
        <v>0</v>
      </c>
      <c r="BI57" s="1018">
        <f>IF($AM57="Revêtement", IF($I57="kg",$J57,0), 0)</f>
        <v>0</v>
      </c>
      <c r="BJ57" s="638">
        <f>_xlfn.XLOOKUP(H57, 'Baumaterialien Matériaux'!A:A, 'Baumaterialien Matériaux'!E:E, "-", 0, 1)</f>
        <v>0</v>
      </c>
      <c r="BK57" s="1032">
        <f t="shared" si="5"/>
        <v>0</v>
      </c>
      <c r="BL57" s="1030">
        <f t="shared" si="6"/>
        <v>0</v>
      </c>
      <c r="BM57" s="1033">
        <f t="shared" si="7"/>
        <v>0</v>
      </c>
      <c r="BN57" s="720"/>
      <c r="BO57" s="720"/>
    </row>
    <row r="58" spans="2:67">
      <c r="B58" s="1103"/>
      <c r="C58" s="1099"/>
      <c r="D58" s="478"/>
      <c r="F58" s="663" t="s">
        <v>3033</v>
      </c>
      <c r="G58" s="663"/>
      <c r="H58" s="663"/>
      <c r="I58" s="459" t="s">
        <v>39</v>
      </c>
      <c r="J58" s="662">
        <v>41.06</v>
      </c>
      <c r="K58" s="663"/>
      <c r="L58" s="663"/>
      <c r="M58" s="664">
        <f>SUM(M59:M61)</f>
        <v>4.9313364702955926</v>
      </c>
      <c r="N58" s="664">
        <f t="shared" ref="N58:T58" si="111">SUM(N59:N61)</f>
        <v>3.8360399900501641</v>
      </c>
      <c r="O58" s="664">
        <f t="shared" ref="O58" si="112">SUM(O59:O61)</f>
        <v>0.81762952821193147</v>
      </c>
      <c r="P58" s="664">
        <f t="shared" si="111"/>
        <v>0</v>
      </c>
      <c r="Q58" s="664">
        <f t="shared" si="111"/>
        <v>0.27766695203349773</v>
      </c>
      <c r="R58" s="664">
        <f t="shared" ref="R58" si="113">SUM(R59:R61)</f>
        <v>5.5086549479706474E-2</v>
      </c>
      <c r="S58" s="664">
        <f t="shared" si="111"/>
        <v>0</v>
      </c>
      <c r="T58" s="664">
        <f t="shared" si="111"/>
        <v>0</v>
      </c>
      <c r="V58" s="638">
        <f t="shared" si="3"/>
        <v>0</v>
      </c>
      <c r="W58" s="638">
        <f t="shared" si="4"/>
        <v>0</v>
      </c>
      <c r="Z58" s="638">
        <f t="shared" si="10"/>
        <v>0</v>
      </c>
      <c r="AA58" s="648" t="s">
        <v>3443</v>
      </c>
      <c r="AB58">
        <f>_xlfn.XLOOKUP($H58,'[1]Baumaterialien Matériaux'!$A:$A,'[1]Baumaterialien Matériaux'!AK:AK,0,0)</f>
        <v>0</v>
      </c>
      <c r="AC58" cm="1">
        <f t="array" ref="AC58">_xlfn.SWITCH(I58,"kg"," ",0," ",_xlfn.XLOOKUP(H58, '[1]Baumaterialien Matériaux'!$A:$A, '[1]Baumaterialien Matériaux'!$AL:$AL, "-", 0, 1))</f>
        <v>0</v>
      </c>
      <c r="AD58" s="1112" cm="1">
        <f t="array" ref="AD58">IFERROR(_xlfn.SWITCH(I58,"kg",1,"m3",AC58,AC58)*J58/(_xlfn.XLOOKUP(AA58,Métrés!A:A,Métrés!E:E,0)),0)</f>
        <v>0</v>
      </c>
      <c r="AE58" s="1092">
        <f>IFERROR(N58*$G$1/(_xlfn.XLOOKUP($AA58,Métrés!$A:$A,Métrés!$E:$E,0)),0)</f>
        <v>6.3539310283261807</v>
      </c>
      <c r="AF58" s="1092">
        <f>IFERROR(O58*$G$1/(_xlfn.XLOOKUP($AA58,Métrés!$A:$A,Métrés!$E:$E,0)),0)</f>
        <v>1.3543033030042919</v>
      </c>
      <c r="AG58" s="1092">
        <f>IFERROR(Q58*$G$1/(_xlfn.XLOOKUP($AA58,Métrés!$A:$A,Métrés!$E:$E,0)),0)</f>
        <v>0.4599213424892703</v>
      </c>
      <c r="AH58" s="1092">
        <f>IFERROR(R58*$G$1/(_xlfn.XLOOKUP($AA58,Métrés!$A:$A,Métrés!$E:$E,0)),0)</f>
        <v>9.1244131158798286E-2</v>
      </c>
      <c r="AI58" s="1092">
        <f>IFERROR(S58*$G$1/(_xlfn.XLOOKUP($AA58,Métrés!$A:$A,Métrés!$E:$E,0)),0)</f>
        <v>0</v>
      </c>
      <c r="AJ58" s="878"/>
      <c r="AK58" s="878"/>
      <c r="AL58" s="878"/>
      <c r="AM58" s="878"/>
      <c r="AN58" s="1053"/>
      <c r="AO58" s="878"/>
      <c r="AP58" s="878"/>
      <c r="AQ58" s="878"/>
      <c r="AR58" s="1054"/>
      <c r="AS58" s="1053"/>
      <c r="AT58" s="878"/>
      <c r="AU58" s="878"/>
      <c r="AV58" s="878"/>
      <c r="AW58" s="1054"/>
      <c r="AX58" s="1053"/>
      <c r="AY58" s="878"/>
      <c r="AZ58" s="878"/>
      <c r="BA58" s="878"/>
      <c r="BB58" s="1054"/>
      <c r="BC58" s="1053"/>
      <c r="BD58" s="878"/>
      <c r="BE58" s="878"/>
      <c r="BF58" s="1054"/>
      <c r="BG58" s="1053"/>
      <c r="BH58" s="878"/>
      <c r="BI58" s="1054"/>
      <c r="BJ58" s="878"/>
      <c r="BK58" s="1053"/>
      <c r="BL58" s="878"/>
      <c r="BM58" s="1054"/>
      <c r="BN58" s="720"/>
      <c r="BO58" s="720"/>
    </row>
    <row r="59" spans="2:67">
      <c r="B59" s="1103"/>
      <c r="C59" s="1099"/>
      <c r="D59" s="478"/>
      <c r="F59" s="638" t="s">
        <v>3296</v>
      </c>
      <c r="G59" s="478" t="str">
        <f>_xlfn.XLOOKUP(H59, 'Baumaterialien Matériaux'!A:A, 'Baumaterialien Matériaux'!AD:AD, "-", 0, 1)</f>
        <v>Béton pour bâtiment (sans armature)</v>
      </c>
      <c r="H59" s="891">
        <v>1.0019999999999998</v>
      </c>
      <c r="I59" s="641" t="str">
        <f>_xlfn.XLOOKUP(H59, 'Baumaterialien Matériaux'!A:A, 'Baumaterialien Matériaux'!F:F, "-", 0, 1)</f>
        <v>kg</v>
      </c>
      <c r="J59" s="649">
        <f>$J$58*K59</f>
        <v>19831.98</v>
      </c>
      <c r="K59" s="893">
        <f>0.21*2300</f>
        <v>483</v>
      </c>
      <c r="L59" s="650">
        <v>60</v>
      </c>
      <c r="M59" s="648">
        <f t="shared" ref="M59:M61" si="114">SUM(N59:Q59)</f>
        <v>2.5138376870776504</v>
      </c>
      <c r="N59" s="720">
        <f>IFERROR(($J59*VLOOKUP($H59, 'Baumaterialien Matériaux'!$A$11:$AH$318, 26,FALSE)),0)/$G$1</f>
        <v>1.8252558185813192</v>
      </c>
      <c r="O59" s="720">
        <f>IFERROR(($J59*VLOOKUP($H59, 'Baumaterialien Matériaux'!$A$11:$AH$318, 33,FALSE)),0)/$G$1</f>
        <v>0.42753739894697562</v>
      </c>
      <c r="P59" s="720">
        <f t="shared" ref="P59:P61" si="115">IFERROR((N59+Q59)*($L$2/L59-1),0)</f>
        <v>0</v>
      </c>
      <c r="Q59" s="720">
        <f>IFERROR(($J59*VLOOKUP($H59, 'Baumaterialien Matériaux'!$A$11:$AH$318, 27,FALSE)),0)/$G$1</f>
        <v>0.26104446954935528</v>
      </c>
      <c r="R59" s="720">
        <f>IFERROR(($J59*VLOOKUP($H59, 'Baumaterialien Matériaux'!$A$11:$AH$318, 34,FALSE)),0)/$G$1</f>
        <v>5.5086549479706474E-2</v>
      </c>
      <c r="S59" s="720">
        <f>IFERROR((J59*VLOOKUP(H59, 'Baumaterialien Matériaux'!$A$11:$AD$318, 29,FALSE)),0)/$G$1</f>
        <v>0</v>
      </c>
      <c r="T59" s="720">
        <f>S59*AJ59</f>
        <v>0</v>
      </c>
      <c r="V59" s="638">
        <f t="shared" si="3"/>
        <v>0</v>
      </c>
      <c r="W59" s="638">
        <f t="shared" si="4"/>
        <v>0</v>
      </c>
      <c r="X59" s="638">
        <f>IF(L54=$L$2, "Structure", IF(L54&gt;0,"Revêtement",0))</f>
        <v>0</v>
      </c>
      <c r="Z59" s="638">
        <f t="shared" si="10"/>
        <v>60</v>
      </c>
      <c r="AA59" s="648" t="s">
        <v>3443</v>
      </c>
      <c r="AB59" t="str">
        <f>_xlfn.XLOOKUP($H59,'[1]Baumaterialien Matériaux'!$A:$A,'[1]Baumaterialien Matériaux'!AK:AK,0,0)</f>
        <v>concrete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1112" cm="1">
        <f t="array" ref="AD59">IFERROR(_xlfn.SWITCH(I59,"kg",1,"m3",AC59,AC59)*J59/(_xlfn.XLOOKUP(AA59,Métrés!A:A,Métrés!E:E,0)),0)</f>
        <v>34.046317596566524</v>
      </c>
      <c r="AE59" s="1092">
        <f>IFERROR(N59*$G$1/(_xlfn.XLOOKUP($AA59,Métrés!$A:$A,Métrés!$E:$E,0)),0)</f>
        <v>3.0233130025751076</v>
      </c>
      <c r="AF59" s="1092">
        <f>IFERROR(O59*$G$1/(_xlfn.XLOOKUP($AA59,Métrés!$A:$A,Métrés!$E:$E,0)),0)</f>
        <v>0.70816340600858363</v>
      </c>
      <c r="AG59" s="1092">
        <f>IFERROR(Q59*$G$1/(_xlfn.XLOOKUP($AA59,Métrés!$A:$A,Métrés!$E:$E,0)),0)</f>
        <v>0.43238823347639477</v>
      </c>
      <c r="AH59" s="1092">
        <f>IFERROR(R59*$G$1/(_xlfn.XLOOKUP($AA59,Métrés!$A:$A,Métrés!$E:$E,0)),0)</f>
        <v>9.1244131158798286E-2</v>
      </c>
      <c r="AI59" s="1092">
        <f>IFERROR(S59*$G$1/(_xlfn.XLOOKUP($AA59,Métrés!$A:$A,Métrés!$E:$E,0)),0)</f>
        <v>0</v>
      </c>
      <c r="AJ59" s="1022"/>
      <c r="AK59" s="638">
        <f>IF(L59=60,0,T59)</f>
        <v>0</v>
      </c>
      <c r="AL59" s="638">
        <f>IF(L59=60,0,S59)</f>
        <v>0</v>
      </c>
      <c r="AM59" s="638" t="str">
        <f>IF(L59=$L$2, "Structure", IF(L59&gt;0,"Revêtement",0))</f>
        <v>Structure</v>
      </c>
      <c r="AN59" s="1017">
        <f>IF(AM59="Structure",N59,0)</f>
        <v>1.8252558185813192</v>
      </c>
      <c r="AO59" s="638">
        <f>IF(AM59="Structure",P59,0)</f>
        <v>0</v>
      </c>
      <c r="AP59" s="638">
        <f>IF(AM59="Structure",Q59,0)</f>
        <v>0.26104446954935528</v>
      </c>
      <c r="AQ59" s="1018">
        <f>IF(AM59="Structure",S59,0)</f>
        <v>0</v>
      </c>
      <c r="AR59" s="1018">
        <f>IF(AM59="Structure",T59,0)</f>
        <v>0</v>
      </c>
      <c r="AS59" s="1017">
        <f>IF(AM59="Insulation",N59,0)</f>
        <v>0</v>
      </c>
      <c r="AT59" s="638">
        <f>IF(AM59="Insulation",P59,0)</f>
        <v>0</v>
      </c>
      <c r="AU59" s="638">
        <f>IF(AM59="Insulation",Q59,0)</f>
        <v>0</v>
      </c>
      <c r="AV59" s="1018">
        <f>IF(AM59="Insulation",S59,0)</f>
        <v>0</v>
      </c>
      <c r="AW59" s="1018">
        <f>IF(AM59="Insulation",T59,0)</f>
        <v>0</v>
      </c>
      <c r="AX59" s="1017">
        <f>IF(AM59="Revêtement",N59,0)</f>
        <v>0</v>
      </c>
      <c r="AY59" s="638">
        <f>IF(AM59="Revêtement",P59,0)</f>
        <v>0</v>
      </c>
      <c r="AZ59" s="638">
        <f>IF(AM59="Revêtement",Q59,0)</f>
        <v>0</v>
      </c>
      <c r="BA59" s="638">
        <f>IF(AM59="Revêtement",S59,0)</f>
        <v>0</v>
      </c>
      <c r="BB59" s="1018">
        <f>IF(AM59="Revêtement",T59,0)</f>
        <v>0</v>
      </c>
      <c r="BC59" s="1017"/>
      <c r="BF59" s="1018"/>
      <c r="BG59" s="1017">
        <f>IF($AM59="Structure", IF($I59="kg",$J59,0), 0)</f>
        <v>19831.98</v>
      </c>
      <c r="BH59" s="638">
        <f>IF($AM59="Insulation", IF($I59="kg",$J59,0), 0)</f>
        <v>0</v>
      </c>
      <c r="BI59" s="1018">
        <f>IF($AM59="Revêtement", IF($I59="kg",$J59,0), 0)</f>
        <v>0</v>
      </c>
      <c r="BJ59" s="638">
        <f>_xlfn.XLOOKUP(H59, 'Baumaterialien Matériaux'!A:A, 'Baumaterialien Matériaux'!E:E, "-", 0, 1)</f>
        <v>2300</v>
      </c>
      <c r="BK59" s="1032">
        <f t="shared" si="5"/>
        <v>8.6226000000000003</v>
      </c>
      <c r="BL59" s="1030">
        <f t="shared" si="6"/>
        <v>0</v>
      </c>
      <c r="BM59" s="1033">
        <f t="shared" si="7"/>
        <v>0</v>
      </c>
      <c r="BN59" s="720">
        <f>IFERROR((J54*VLOOKUP(H54, 'Baumaterialien Matériaux'!$A$11:$AH$318, 32,FALSE))*($L$2/L54-1),0)/$G$1</f>
        <v>0</v>
      </c>
      <c r="BO59" s="720">
        <f>IFERROR((N54+Q54)*($L$2/L54-1),0)</f>
        <v>0</v>
      </c>
    </row>
    <row r="60" spans="2:67">
      <c r="B60" s="1103"/>
      <c r="C60" s="1099"/>
      <c r="D60" s="478"/>
      <c r="F60" s="483" t="s">
        <v>3008</v>
      </c>
      <c r="G60" s="478" t="str">
        <f>_xlfn.XLOOKUP(H60, 'Baumaterialien Matériaux'!A:A, 'Baumaterialien Matériaux'!AD:AD, "-", 0, 1)</f>
        <v>Acier d'armature</v>
      </c>
      <c r="H60" s="892" t="s">
        <v>497</v>
      </c>
      <c r="I60" s="641" t="str">
        <f>_xlfn.XLOOKUP(H60, 'Baumaterialien Matériaux'!A:A, 'Baumaterialien Matériaux'!F:F, "-", 0, 1)</f>
        <v>kg</v>
      </c>
      <c r="J60" s="649">
        <f t="shared" ref="J60:J61" si="116">$J$58*K60</f>
        <v>1293.3900000000001</v>
      </c>
      <c r="K60" s="894">
        <f>0.21*150</f>
        <v>31.5</v>
      </c>
      <c r="L60" s="650">
        <v>60</v>
      </c>
      <c r="M60" s="648">
        <f t="shared" si="114"/>
        <v>2.4174987832179426</v>
      </c>
      <c r="N60" s="720">
        <f>IFERROR(($J60*VLOOKUP($H60, 'Baumaterialien Matériaux'!$A$11:$AH$318, 26,FALSE)),0)/$G$1</f>
        <v>2.0107841714688446</v>
      </c>
      <c r="O60" s="720">
        <f>IFERROR(($J60*VLOOKUP($H60, 'Baumaterialien Matériaux'!$A$11:$AH$318, 33,FALSE)),0)/$G$1</f>
        <v>0.39009212926495584</v>
      </c>
      <c r="P60" s="720">
        <f t="shared" si="115"/>
        <v>0</v>
      </c>
      <c r="Q60" s="720">
        <f>IFERROR(($J60*VLOOKUP($H60, 'Baumaterialien Matériaux'!$A$11:$AH$318, 27,FALSE)),0)/$G$1</f>
        <v>1.6622482484142449E-2</v>
      </c>
      <c r="R60" s="720">
        <f>IFERROR(($J60*VLOOKUP($H60, 'Baumaterialien Matériaux'!$A$11:$AH$318, 34,FALSE)),0)/$G$1</f>
        <v>0</v>
      </c>
      <c r="S60" s="720">
        <f>IFERROR((J60*VLOOKUP(H60, 'Baumaterialien Matériaux'!$A$11:$AD$318, 29,FALSE)),0)/$G$1</f>
        <v>0</v>
      </c>
      <c r="T60" s="720">
        <f>S60*AJ60</f>
        <v>0</v>
      </c>
      <c r="V60" s="638">
        <f t="shared" si="3"/>
        <v>0</v>
      </c>
      <c r="W60" s="638">
        <f t="shared" si="4"/>
        <v>0</v>
      </c>
      <c r="Z60" s="638">
        <f t="shared" si="10"/>
        <v>60</v>
      </c>
      <c r="AA60" s="648" t="s">
        <v>3443</v>
      </c>
      <c r="AB60" t="str">
        <f>_xlfn.XLOOKUP($H60,'[1]Baumaterialien Matériaux'!$A:$A,'[1]Baumaterialien Matériaux'!AK:AK,0,0)</f>
        <v>metal</v>
      </c>
      <c r="AC60" t="str" cm="1">
        <f t="array" ref="AC60">_xlfn.SWITCH(I60,"kg"," ",0," ",_xlfn.XLOOKUP(H60, '[1]Baumaterialien Matériaux'!$A:$A, '[1]Baumaterialien Matériaux'!$AL:$AL, "-", 0, 1))</f>
        <v xml:space="preserve"> </v>
      </c>
      <c r="AD60" s="1112" cm="1">
        <f t="array" ref="AD60">IFERROR(_xlfn.SWITCH(I60,"kg",1,"m3",AC60,AC60)*J60/(_xlfn.XLOOKUP(AA60,Métrés!A:A,Métrés!E:E,0)),0)</f>
        <v>2.2204120171673822</v>
      </c>
      <c r="AE60" s="1092">
        <f>IFERROR(N60*$G$1/(_xlfn.XLOOKUP($AA60,Métrés!$A:$A,Métrés!$E:$E,0)),0)</f>
        <v>3.3306180257510731</v>
      </c>
      <c r="AF60" s="1092">
        <f>IFERROR(O60*$G$1/(_xlfn.XLOOKUP($AA60,Métrés!$A:$A,Métrés!$E:$E,0)),0)</f>
        <v>0.64613989699570817</v>
      </c>
      <c r="AG60" s="1092">
        <f>IFERROR(Q60*$G$1/(_xlfn.XLOOKUP($AA60,Métrés!$A:$A,Métrés!$E:$E,0)),0)</f>
        <v>2.7533109012875541E-2</v>
      </c>
      <c r="AH60" s="1092">
        <f>IFERROR(R60*$G$1/(_xlfn.XLOOKUP($AA60,Métrés!$A:$A,Métrés!$E:$E,0)),0)</f>
        <v>0</v>
      </c>
      <c r="AI60" s="1092">
        <f>IFERROR(S60*$G$1/(_xlfn.XLOOKUP($AA60,Métrés!$A:$A,Métrés!$E:$E,0)),0)</f>
        <v>0</v>
      </c>
      <c r="AJ60" s="1022"/>
      <c r="AK60" s="638">
        <f>IF(L60=60,0,T60)</f>
        <v>0</v>
      </c>
      <c r="AL60" s="638">
        <f>IF(L60=60,0,S60)</f>
        <v>0</v>
      </c>
      <c r="AM60" s="638" t="str">
        <f>IF(L60=$L$2, "Structure", IF(L60&gt;0,"Revêtement",0))</f>
        <v>Structure</v>
      </c>
      <c r="AN60" s="1017">
        <f>IF(AM60="Structure",N60,0)</f>
        <v>2.0107841714688446</v>
      </c>
      <c r="AO60" s="638">
        <f>IF(AM60="Structure",P60,0)</f>
        <v>0</v>
      </c>
      <c r="AP60" s="638">
        <f>IF(AM60="Structure",Q60,0)</f>
        <v>1.6622482484142449E-2</v>
      </c>
      <c r="AQ60" s="1018">
        <f>IF(AM60="Structure",S60,0)</f>
        <v>0</v>
      </c>
      <c r="AR60" s="1018">
        <f>IF(AM60="Structure",T60,0)</f>
        <v>0</v>
      </c>
      <c r="AS60" s="1017">
        <f>IF(AM60="Insulation",N60,0)</f>
        <v>0</v>
      </c>
      <c r="AT60" s="638">
        <f>IF(AM60="Insulation",P60,0)</f>
        <v>0</v>
      </c>
      <c r="AU60" s="638">
        <f>IF(AM60="Insulation",Q60,0)</f>
        <v>0</v>
      </c>
      <c r="AV60" s="1018">
        <f>IF(AM60="Insulation",S60,0)</f>
        <v>0</v>
      </c>
      <c r="AW60" s="1018">
        <f>IF(AM60="Insulation",T60,0)</f>
        <v>0</v>
      </c>
      <c r="AX60" s="1017">
        <f>IF(AM60="Revêtement",N60,0)</f>
        <v>0</v>
      </c>
      <c r="AY60" s="638">
        <f>IF(AM60="Revêtement",P60,0)</f>
        <v>0</v>
      </c>
      <c r="AZ60" s="638">
        <f>IF(AM60="Revêtement",Q60,0)</f>
        <v>0</v>
      </c>
      <c r="BA60" s="638">
        <f>IF(AM60="Revêtement",S60,0)</f>
        <v>0</v>
      </c>
      <c r="BB60" s="1018">
        <f>IF(AM60="Revêtement",T60,0)</f>
        <v>0</v>
      </c>
      <c r="BC60" s="1017"/>
      <c r="BF60" s="1018"/>
      <c r="BG60" s="1017">
        <f>IF($AM60="Structure", IF($I60="kg",$J60,0), 0)</f>
        <v>1293.3900000000001</v>
      </c>
      <c r="BH60" s="638">
        <f>IF($AM60="Insulation", IF($I60="kg",$J60,0), 0)</f>
        <v>0</v>
      </c>
      <c r="BI60" s="1018">
        <f>IF($AM60="Revêtement", IF($I60="kg",$J60,0), 0)</f>
        <v>0</v>
      </c>
      <c r="BJ60" s="638">
        <f>_xlfn.XLOOKUP(H60, 'Baumaterialien Matériaux'!A:A, 'Baumaterialien Matériaux'!E:E, "-", 0, 1)</f>
        <v>7850</v>
      </c>
      <c r="BK60" s="1032">
        <f t="shared" si="5"/>
        <v>0.16476305732484078</v>
      </c>
      <c r="BL60" s="1030">
        <f t="shared" si="6"/>
        <v>0</v>
      </c>
      <c r="BM60" s="1033">
        <f t="shared" si="7"/>
        <v>0</v>
      </c>
      <c r="BN60" s="720"/>
      <c r="BO60" s="720"/>
    </row>
    <row r="61" spans="2:67">
      <c r="B61" s="1103"/>
      <c r="C61" s="1099"/>
      <c r="D61" s="478"/>
      <c r="F61" s="483" t="s">
        <v>3400</v>
      </c>
      <c r="G61" s="478" t="str">
        <f>_xlfn.XLOOKUP(H61, 'Baumaterialien Matériaux'!A:A, 'Baumaterialien Matériaux'!AD:AD, "-", 0, 1)</f>
        <v>-</v>
      </c>
      <c r="H61" s="885"/>
      <c r="I61" s="641">
        <f>_xlfn.XLOOKUP(H61, 'Baumaterialien Matériaux'!A:A, 'Baumaterialien Matériaux'!F:F, "-", 0, 1)</f>
        <v>0</v>
      </c>
      <c r="J61" s="649">
        <f t="shared" si="116"/>
        <v>0</v>
      </c>
      <c r="K61" s="894"/>
      <c r="L61" s="650">
        <v>60</v>
      </c>
      <c r="M61" s="648">
        <f t="shared" si="114"/>
        <v>0</v>
      </c>
      <c r="N61" s="720">
        <f>IFERROR(($J61*VLOOKUP($H61, 'Baumaterialien Matériaux'!$A$11:$AH$318, 26,FALSE)),0)/$G$1</f>
        <v>0</v>
      </c>
      <c r="O61" s="720">
        <f>IFERROR(($J61*VLOOKUP($H61, 'Baumaterialien Matériaux'!$A$11:$AH$318, 33,FALSE)),0)/$G$1</f>
        <v>0</v>
      </c>
      <c r="P61" s="720">
        <f t="shared" si="115"/>
        <v>0</v>
      </c>
      <c r="Q61" s="720">
        <f>IFERROR(($J61*VLOOKUP($H61, 'Baumaterialien Matériaux'!$A$11:$AH$318, 27,FALSE)),0)/$G$1</f>
        <v>0</v>
      </c>
      <c r="R61" s="720">
        <f>IFERROR(($J61*VLOOKUP($H61, 'Baumaterialien Matériaux'!$A$11:$AH$318, 34,FALSE)),0)/$G$1</f>
        <v>0</v>
      </c>
      <c r="S61" s="720">
        <f>IFERROR((J61*VLOOKUP(H61, 'Baumaterialien Matériaux'!$A$11:$AD$318, 29,FALSE)),0)/$G$1</f>
        <v>0</v>
      </c>
      <c r="T61" s="720">
        <f>S61*AJ61</f>
        <v>0</v>
      </c>
      <c r="V61" s="638">
        <f t="shared" si="3"/>
        <v>0</v>
      </c>
      <c r="W61" s="638">
        <f t="shared" si="4"/>
        <v>0</v>
      </c>
      <c r="Z61" s="638">
        <f t="shared" si="10"/>
        <v>60</v>
      </c>
      <c r="AA61" s="648" t="s">
        <v>3443</v>
      </c>
      <c r="AB61">
        <f>_xlfn.XLOOKUP($H61,'[1]Baumaterialien Matériaux'!$A:$A,'[1]Baumaterialien Matériaux'!AK:AK,0,0)</f>
        <v>0</v>
      </c>
      <c r="AC61" t="str" cm="1">
        <f t="array" ref="AC61">_xlfn.SWITCH(I61,"kg"," ",0," ",_xlfn.XLOOKUP(H61, '[1]Baumaterialien Matériaux'!$A:$A, '[1]Baumaterialien Matériaux'!$AL:$AL, "-", 0, 1))</f>
        <v xml:space="preserve"> </v>
      </c>
      <c r="AD61" s="1112" cm="1">
        <f t="array" ref="AD61">IFERROR(_xlfn.SWITCH(I61,"kg",1,"m3",AC61,AC61)*J61/(_xlfn.XLOOKUP(AA61,Métrés!A:A,Métrés!E:E,0)),0)</f>
        <v>0</v>
      </c>
      <c r="AE61" s="1092">
        <f>IFERROR(N61*$G$1/(_xlfn.XLOOKUP($AA61,Métrés!$A:$A,Métrés!$E:$E,0)),0)</f>
        <v>0</v>
      </c>
      <c r="AF61" s="1092">
        <f>IFERROR(O61*$G$1/(_xlfn.XLOOKUP($AA61,Métrés!$A:$A,Métrés!$E:$E,0)),0)</f>
        <v>0</v>
      </c>
      <c r="AG61" s="1092">
        <f>IFERROR(Q61*$G$1/(_xlfn.XLOOKUP($AA61,Métrés!$A:$A,Métrés!$E:$E,0)),0)</f>
        <v>0</v>
      </c>
      <c r="AH61" s="1092">
        <f>IFERROR(R61*$G$1/(_xlfn.XLOOKUP($AA61,Métrés!$A:$A,Métrés!$E:$E,0)),0)</f>
        <v>0</v>
      </c>
      <c r="AI61" s="1092">
        <f>IFERROR(S61*$G$1/(_xlfn.XLOOKUP($AA61,Métrés!$A:$A,Métrés!$E:$E,0)),0)</f>
        <v>0</v>
      </c>
      <c r="AJ61" s="1022"/>
      <c r="AK61" s="638">
        <f>IF(L61=60,0,T61)</f>
        <v>0</v>
      </c>
      <c r="AL61" s="638">
        <f>IF(L61=60,0,S61)</f>
        <v>0</v>
      </c>
      <c r="AM61" s="638" t="str">
        <f>IF(L61=$L$2, "Structure", IF(L61&gt;0,"Revêtement",0))</f>
        <v>Structure</v>
      </c>
      <c r="AN61" s="1017">
        <f>IF(AM61="Structure",N61,0)</f>
        <v>0</v>
      </c>
      <c r="AO61" s="638">
        <f>IF(AM61="Structure",P61,0)</f>
        <v>0</v>
      </c>
      <c r="AP61" s="638">
        <f>IF(AM61="Structure",Q61,0)</f>
        <v>0</v>
      </c>
      <c r="AQ61" s="1018">
        <f>IF(AM61="Structure",S61,0)</f>
        <v>0</v>
      </c>
      <c r="AR61" s="1018">
        <f>IF(AM61="Structure",T61,0)</f>
        <v>0</v>
      </c>
      <c r="AS61" s="1017">
        <f>IF(AM61="Insulation",N61,0)</f>
        <v>0</v>
      </c>
      <c r="AT61" s="638">
        <f>IF(AM61="Insulation",P61,0)</f>
        <v>0</v>
      </c>
      <c r="AU61" s="638">
        <f>IF(AM61="Insulation",Q61,0)</f>
        <v>0</v>
      </c>
      <c r="AV61" s="1018">
        <f>IF(AM61="Insulation",S61,0)</f>
        <v>0</v>
      </c>
      <c r="AW61" s="1018">
        <f>IF(AM61="Insulation",T61,0)</f>
        <v>0</v>
      </c>
      <c r="AX61" s="1017">
        <f>IF(AM61="Revêtement",N61,0)</f>
        <v>0</v>
      </c>
      <c r="AY61" s="638">
        <f>IF(AM61="Revêtement",P61,0)</f>
        <v>0</v>
      </c>
      <c r="AZ61" s="638">
        <f>IF(AM61="Revêtement",Q61,0)</f>
        <v>0</v>
      </c>
      <c r="BA61" s="638">
        <f>IF(AM61="Revêtement",S61,0)</f>
        <v>0</v>
      </c>
      <c r="BB61" s="1018">
        <f>IF(AM61="Revêtement",T61,0)</f>
        <v>0</v>
      </c>
      <c r="BC61" s="1017"/>
      <c r="BF61" s="1018"/>
      <c r="BG61" s="1017">
        <f>IF($AM61="Structure", IF($I61="kg",$J61,0), 0)</f>
        <v>0</v>
      </c>
      <c r="BH61" s="638">
        <f>IF($AM61="Insulation", IF($I61="kg",$J61,0), 0)</f>
        <v>0</v>
      </c>
      <c r="BI61" s="1018">
        <f>IF($AM61="Revêtement", IF($I61="kg",$J61,0), 0)</f>
        <v>0</v>
      </c>
      <c r="BJ61" s="638">
        <f>_xlfn.XLOOKUP(H61, 'Baumaterialien Matériaux'!A:A, 'Baumaterialien Matériaux'!E:E, "-", 0, 1)</f>
        <v>0</v>
      </c>
      <c r="BK61" s="1032">
        <f t="shared" si="5"/>
        <v>0</v>
      </c>
      <c r="BL61" s="1030">
        <f t="shared" si="6"/>
        <v>0</v>
      </c>
      <c r="BM61" s="1033">
        <f t="shared" si="7"/>
        <v>0</v>
      </c>
      <c r="BN61" s="720"/>
      <c r="BO61" s="720"/>
    </row>
    <row r="62" spans="2:67">
      <c r="B62" s="1103"/>
      <c r="C62" s="1099"/>
      <c r="D62" s="478"/>
      <c r="F62" s="483"/>
      <c r="G62" s="478"/>
      <c r="H62" s="892"/>
      <c r="I62" s="641"/>
      <c r="J62" s="649"/>
      <c r="K62" s="528"/>
      <c r="L62" s="650"/>
      <c r="M62" s="648"/>
      <c r="N62" s="720"/>
      <c r="O62" s="720"/>
      <c r="P62" s="720"/>
      <c r="Q62" s="720"/>
      <c r="R62" s="720"/>
      <c r="S62" s="720"/>
      <c r="T62" s="720">
        <f>S62*AJ62</f>
        <v>0</v>
      </c>
      <c r="U62" s="674"/>
      <c r="V62" s="674">
        <f t="shared" si="3"/>
        <v>0</v>
      </c>
      <c r="W62" s="674">
        <f t="shared" si="4"/>
        <v>0</v>
      </c>
      <c r="X62" s="674">
        <f t="shared" si="9"/>
        <v>0</v>
      </c>
      <c r="Y62" s="674"/>
      <c r="Z62" s="674">
        <f t="shared" si="10"/>
        <v>0</v>
      </c>
      <c r="AA62" s="1095" t="s">
        <v>3443</v>
      </c>
      <c r="AB62">
        <f>_xlfn.XLOOKUP($H62,'[1]Baumaterialien Matériaux'!$A:$A,'[1]Baumaterialien Matériaux'!AK:AK,0,0)</f>
        <v>0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1112" cm="1">
        <f t="array" ref="AD62">IFERROR(_xlfn.SWITCH(I62,"kg",1,"m3",AC62,AC62)*J62/(_xlfn.XLOOKUP(AA62,Métrés!A:A,Métrés!E:E,0)),0)</f>
        <v>0</v>
      </c>
      <c r="AE62" s="1092">
        <f>IFERROR(N62*$G$1/(_xlfn.XLOOKUP($AA62,Métrés!$A:$A,Métrés!$E:$E,0)),0)</f>
        <v>0</v>
      </c>
      <c r="AF62" s="1092">
        <f>IFERROR(O62*$G$1/(_xlfn.XLOOKUP($AA62,Métrés!$A:$A,Métrés!$E:$E,0)),0)</f>
        <v>0</v>
      </c>
      <c r="AG62" s="1092">
        <f>IFERROR(Q62*$G$1/(_xlfn.XLOOKUP($AA62,Métrés!$A:$A,Métrés!$E:$E,0)),0)</f>
        <v>0</v>
      </c>
      <c r="AH62" s="1092">
        <f>IFERROR(R62*$G$1/(_xlfn.XLOOKUP($AA62,Métrés!$A:$A,Métrés!$E:$E,0)),0)</f>
        <v>0</v>
      </c>
      <c r="AI62" s="1092">
        <f>IFERROR(S62*$G$1/(_xlfn.XLOOKUP($AA62,Métrés!$A:$A,Métrés!$E:$E,0)),0)</f>
        <v>0</v>
      </c>
      <c r="AJ62" s="1022"/>
      <c r="AK62" s="638">
        <f>IF(L62=60,0,T62)</f>
        <v>0</v>
      </c>
      <c r="AL62" s="638">
        <f>IF(L62=60,0,S62)</f>
        <v>0</v>
      </c>
      <c r="AM62" s="638">
        <f>IF(L62=$L$2, "Structure", IF(L62&gt;0,"Revêtement",0))</f>
        <v>0</v>
      </c>
      <c r="AN62" s="1017">
        <f>IF(AM62="Structure",N62,0)</f>
        <v>0</v>
      </c>
      <c r="AO62" s="638">
        <f>IF(AM62="Structure",P62,0)</f>
        <v>0</v>
      </c>
      <c r="AP62" s="638">
        <f>IF(AM62="Structure",Q62,0)</f>
        <v>0</v>
      </c>
      <c r="AQ62" s="1018">
        <f>IF(AM62="Structure",S62,0)</f>
        <v>0</v>
      </c>
      <c r="AR62" s="1018">
        <f>IF(AM62="Structure",T62,0)</f>
        <v>0</v>
      </c>
      <c r="AS62" s="1017">
        <f>IF(AM62="Insulation",N62,0)</f>
        <v>0</v>
      </c>
      <c r="AT62" s="638">
        <f>IF(AM62="Insulation",P62,0)</f>
        <v>0</v>
      </c>
      <c r="AU62" s="638">
        <f>IF(AM62="Insulation",Q62,0)</f>
        <v>0</v>
      </c>
      <c r="AV62" s="1018">
        <f>IF(AM62="Insulation",S62,0)</f>
        <v>0</v>
      </c>
      <c r="AW62" s="1018">
        <f>IF(AM62="Insulation",T62,0)</f>
        <v>0</v>
      </c>
      <c r="AX62" s="1017">
        <f>IF(AM62="Revêtement",N62,0)</f>
        <v>0</v>
      </c>
      <c r="AY62" s="638">
        <f>IF(AM62="Revêtement",P62,0)</f>
        <v>0</v>
      </c>
      <c r="AZ62" s="638">
        <f>IF(AM62="Revêtement",Q62,0)</f>
        <v>0</v>
      </c>
      <c r="BA62" s="638">
        <f>IF(AM62="Revêtement",S62,0)</f>
        <v>0</v>
      </c>
      <c r="BB62" s="1018">
        <f>IF(AM62="Revêtement",T62,0)</f>
        <v>0</v>
      </c>
      <c r="BC62" s="1017"/>
      <c r="BF62" s="1018"/>
      <c r="BG62" s="1017">
        <f>IF($AM62="Structure", IF($I62="kg",$J62,0), 0)</f>
        <v>0</v>
      </c>
      <c r="BH62" s="638">
        <f>IF($AM62="Insulation", IF($I62="kg",$J62,0), 0)</f>
        <v>0</v>
      </c>
      <c r="BI62" s="1018">
        <f>IF($AM62="Revêtement", IF($I62="kg",$J62,0), 0)</f>
        <v>0</v>
      </c>
      <c r="BJ62" s="638">
        <f>_xlfn.XLOOKUP(H62, 'Baumaterialien Matériaux'!A:A, 'Baumaterialien Matériaux'!E:E, "-", 0, 1)</f>
        <v>0</v>
      </c>
      <c r="BK62" s="1032">
        <f t="shared" si="5"/>
        <v>0</v>
      </c>
      <c r="BL62" s="1030">
        <f t="shared" si="6"/>
        <v>0</v>
      </c>
      <c r="BM62" s="1033">
        <f t="shared" si="7"/>
        <v>0</v>
      </c>
      <c r="BN62" s="720">
        <f>IFERROR((J62*VLOOKUP(H62, 'Baumaterialien Matériaux'!$A$11:$AH$318, 32,FALSE))*($L$2/L62-1),0)/$G$1</f>
        <v>0</v>
      </c>
      <c r="BO62" s="720">
        <f>IFERROR((N62+Q62)*($L$2/L62-1),0)</f>
        <v>0</v>
      </c>
    </row>
    <row r="63" spans="2:67">
      <c r="B63" s="1103"/>
      <c r="C63" s="1099"/>
      <c r="D63" s="478"/>
      <c r="F63" s="483"/>
      <c r="G63" s="478"/>
      <c r="H63" s="895"/>
      <c r="I63" s="641"/>
      <c r="J63" s="649"/>
      <c r="K63" s="894"/>
      <c r="L63" s="650"/>
      <c r="M63" s="648"/>
      <c r="N63" s="720"/>
      <c r="O63" s="720"/>
      <c r="P63" s="720"/>
      <c r="Q63" s="720"/>
      <c r="R63" s="720"/>
      <c r="S63" s="720"/>
      <c r="T63" s="720">
        <f>S63*AJ63</f>
        <v>0</v>
      </c>
      <c r="V63" s="638">
        <f t="shared" si="3"/>
        <v>0</v>
      </c>
      <c r="W63" s="638">
        <f t="shared" si="4"/>
        <v>0</v>
      </c>
      <c r="Z63" s="638">
        <f t="shared" si="10"/>
        <v>0</v>
      </c>
      <c r="AA63" s="648" t="s">
        <v>3443</v>
      </c>
      <c r="AB63">
        <f>_xlfn.XLOOKUP($H63,'[1]Baumaterialien Matériaux'!$A:$A,'[1]Baumaterialien Matériaux'!AK:AK,0,0)</f>
        <v>0</v>
      </c>
      <c r="AC63" t="str" cm="1">
        <f t="array" ref="AC63">_xlfn.SWITCH(I63,"kg"," ",0," ",_xlfn.XLOOKUP(H63, '[1]Baumaterialien Matériaux'!$A:$A, '[1]Baumaterialien Matériaux'!$AL:$AL, "-", 0, 1))</f>
        <v xml:space="preserve"> </v>
      </c>
      <c r="AD63" s="1112" cm="1">
        <f t="array" ref="AD63">IFERROR(_xlfn.SWITCH(I63,"kg",1,"m3",AC63,AC63)*J63/(_xlfn.XLOOKUP(AA63,Métrés!A:A,Métrés!E:E,0)),0)</f>
        <v>0</v>
      </c>
      <c r="AE63" s="1092">
        <f>IFERROR(N63*$G$1/(_xlfn.XLOOKUP($AA63,Métrés!$A:$A,Métrés!$E:$E,0)),0)</f>
        <v>0</v>
      </c>
      <c r="AF63" s="1092">
        <f>IFERROR(O63*$G$1/(_xlfn.XLOOKUP($AA63,Métrés!$A:$A,Métrés!$E:$E,0)),0)</f>
        <v>0</v>
      </c>
      <c r="AG63" s="1092">
        <f>IFERROR(Q63*$G$1/(_xlfn.XLOOKUP($AA63,Métrés!$A:$A,Métrés!$E:$E,0)),0)</f>
        <v>0</v>
      </c>
      <c r="AH63" s="1092">
        <f>IFERROR(R63*$G$1/(_xlfn.XLOOKUP($AA63,Métrés!$A:$A,Métrés!$E:$E,0)),0)</f>
        <v>0</v>
      </c>
      <c r="AI63" s="1092">
        <f>IFERROR(S63*$G$1/(_xlfn.XLOOKUP($AA63,Métrés!$A:$A,Métrés!$E:$E,0)),0)</f>
        <v>0</v>
      </c>
      <c r="AJ63" s="1022"/>
      <c r="AK63" s="638">
        <f>IF(L63=60,0,T63)</f>
        <v>0</v>
      </c>
      <c r="AL63" s="638">
        <f>IF(L63=60,0,S63)</f>
        <v>0</v>
      </c>
      <c r="AM63" s="638">
        <f>IF(L63=$L$2, "Structure", IF(L63&gt;0,"Revêtement",0))</f>
        <v>0</v>
      </c>
      <c r="AN63" s="1017">
        <f>IF(AM63="Structure",N63,0)</f>
        <v>0</v>
      </c>
      <c r="AO63" s="638">
        <f>IF(AM63="Structure",P63,0)</f>
        <v>0</v>
      </c>
      <c r="AP63" s="638">
        <f>IF(AM63="Structure",Q63,0)</f>
        <v>0</v>
      </c>
      <c r="AQ63" s="1018">
        <f>IF(AM63="Structure",S63,0)</f>
        <v>0</v>
      </c>
      <c r="AR63" s="1018">
        <f>IF(AM63="Structure",T63,0)</f>
        <v>0</v>
      </c>
      <c r="AS63" s="1017">
        <f>IF(AM63="Insulation",N63,0)</f>
        <v>0</v>
      </c>
      <c r="AT63" s="638">
        <f>IF(AM63="Insulation",P63,0)</f>
        <v>0</v>
      </c>
      <c r="AU63" s="638">
        <f>IF(AM63="Insulation",Q63,0)</f>
        <v>0</v>
      </c>
      <c r="AV63" s="1018">
        <f>IF(AM63="Insulation",S63,0)</f>
        <v>0</v>
      </c>
      <c r="AW63" s="1018">
        <f>IF(AM63="Insulation",T63,0)</f>
        <v>0</v>
      </c>
      <c r="AX63" s="1017">
        <f>IF(AM63="Revêtement",N63,0)</f>
        <v>0</v>
      </c>
      <c r="AY63" s="638">
        <f>IF(AM63="Revêtement",P63,0)</f>
        <v>0</v>
      </c>
      <c r="AZ63" s="638">
        <f>IF(AM63="Revêtement",Q63,0)</f>
        <v>0</v>
      </c>
      <c r="BA63" s="638">
        <f>IF(AM63="Revêtement",S63,0)</f>
        <v>0</v>
      </c>
      <c r="BB63" s="1018">
        <f>IF(AM63="Revêtement",T63,0)</f>
        <v>0</v>
      </c>
      <c r="BC63" s="1017"/>
      <c r="BF63" s="1018"/>
      <c r="BG63" s="1017">
        <f>IF($AM63="Structure", IF($I63="kg",$J63,0), 0)</f>
        <v>0</v>
      </c>
      <c r="BH63" s="638">
        <f>IF($AM63="Insulation", IF($I63="kg",$J63,0), 0)</f>
        <v>0</v>
      </c>
      <c r="BI63" s="1018">
        <f>IF($AM63="Revêtement", IF($I63="kg",$J63,0), 0)</f>
        <v>0</v>
      </c>
      <c r="BJ63" s="638">
        <f>_xlfn.XLOOKUP(H63, 'Baumaterialien Matériaux'!A:A, 'Baumaterialien Matériaux'!E:E, "-", 0, 1)</f>
        <v>0</v>
      </c>
      <c r="BK63" s="1032">
        <f t="shared" si="5"/>
        <v>0</v>
      </c>
      <c r="BL63" s="1030">
        <f t="shared" si="6"/>
        <v>0</v>
      </c>
      <c r="BM63" s="1033">
        <f t="shared" si="7"/>
        <v>0</v>
      </c>
      <c r="BN63" s="720"/>
      <c r="BO63" s="720"/>
    </row>
    <row r="64" spans="2:67">
      <c r="B64" s="1103"/>
      <c r="C64" s="1099"/>
      <c r="D64" s="478"/>
      <c r="F64" s="663"/>
      <c r="G64" s="663"/>
      <c r="H64" s="663"/>
      <c r="I64" s="459"/>
      <c r="J64" s="662"/>
      <c r="K64" s="663"/>
      <c r="L64" s="663"/>
      <c r="M64" s="664"/>
      <c r="N64" s="664"/>
      <c r="O64" s="664"/>
      <c r="P64" s="664"/>
      <c r="Q64" s="664"/>
      <c r="R64" s="664"/>
      <c r="S64" s="664"/>
      <c r="T64" s="878"/>
      <c r="V64" s="638">
        <f t="shared" si="3"/>
        <v>0</v>
      </c>
      <c r="W64" s="638">
        <f t="shared" si="4"/>
        <v>0</v>
      </c>
      <c r="Z64" s="638">
        <f t="shared" si="10"/>
        <v>0</v>
      </c>
      <c r="AA64" s="648" t="s">
        <v>3443</v>
      </c>
      <c r="AB64">
        <f>_xlfn.XLOOKUP($H64,'[1]Baumaterialien Matériaux'!$A:$A,'[1]Baumaterialien Matériaux'!AK:AK,0,0)</f>
        <v>0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1112" cm="1">
        <f t="array" ref="AD64">IFERROR(_xlfn.SWITCH(I64,"kg",1,"m3",AC64,AC64)*J64/(_xlfn.XLOOKUP(AA64,Métrés!A:A,Métrés!E:E,0)),0)</f>
        <v>0</v>
      </c>
      <c r="AE64" s="1092">
        <f>IFERROR(N64*$G$1/(_xlfn.XLOOKUP($AA64,Métrés!$A:$A,Métrés!$E:$E,0)),0)</f>
        <v>0</v>
      </c>
      <c r="AF64" s="1092">
        <f>IFERROR(O64*$G$1/(_xlfn.XLOOKUP($AA64,Métrés!$A:$A,Métrés!$E:$E,0)),0)</f>
        <v>0</v>
      </c>
      <c r="AG64" s="1092">
        <f>IFERROR(Q64*$G$1/(_xlfn.XLOOKUP($AA64,Métrés!$A:$A,Métrés!$E:$E,0)),0)</f>
        <v>0</v>
      </c>
      <c r="AH64" s="1092">
        <f>IFERROR(R64*$G$1/(_xlfn.XLOOKUP($AA64,Métrés!$A:$A,Métrés!$E:$E,0)),0)</f>
        <v>0</v>
      </c>
      <c r="AI64" s="1092">
        <f>IFERROR(S64*$G$1/(_xlfn.XLOOKUP($AA64,Métrés!$A:$A,Métrés!$E:$E,0)),0)</f>
        <v>0</v>
      </c>
      <c r="AJ64" s="878"/>
      <c r="AK64" s="878"/>
      <c r="AL64" s="878"/>
      <c r="AM64" s="878"/>
      <c r="AN64" s="1053"/>
      <c r="AO64" s="878"/>
      <c r="AP64" s="878"/>
      <c r="AQ64" s="878"/>
      <c r="AR64" s="1054"/>
      <c r="AS64" s="1053"/>
      <c r="AT64" s="878"/>
      <c r="AU64" s="878"/>
      <c r="AV64" s="878"/>
      <c r="AW64" s="1054"/>
      <c r="AX64" s="1053"/>
      <c r="AY64" s="878"/>
      <c r="AZ64" s="878"/>
      <c r="BA64" s="878"/>
      <c r="BB64" s="1054"/>
      <c r="BC64" s="1053"/>
      <c r="BD64" s="878"/>
      <c r="BE64" s="878"/>
      <c r="BF64" s="1054"/>
      <c r="BG64" s="1053"/>
      <c r="BH64" s="878"/>
      <c r="BI64" s="1054"/>
      <c r="BJ64" s="878"/>
      <c r="BK64" s="1053"/>
      <c r="BL64" s="878"/>
      <c r="BM64" s="1054"/>
      <c r="BN64" s="720"/>
      <c r="BO64" s="720"/>
    </row>
    <row r="65" spans="2:67">
      <c r="B65" s="1103"/>
      <c r="C65" s="1099"/>
      <c r="D65" s="478"/>
      <c r="F65" s="454"/>
      <c r="G65" s="478"/>
      <c r="H65" s="642"/>
      <c r="I65" s="641" t="str">
        <f>_xlfn.XLOOKUP(H65, 'Baumaterialien Matériaux'!A:A, 'Baumaterialien Matériaux'!F:F, "-", 0, 1)</f>
        <v>-</v>
      </c>
      <c r="J65" s="649"/>
      <c r="K65" s="650"/>
      <c r="L65" s="650"/>
      <c r="M65" s="648">
        <f t="shared" ref="M65" si="117">SUM(N65:Q65)</f>
        <v>0</v>
      </c>
      <c r="N65" s="720">
        <f>IFERROR(($J65*VLOOKUP($H65, 'Baumaterialien Matériaux'!$A$11:$AH$318, 26,FALSE)),0)/$G$1</f>
        <v>0</v>
      </c>
      <c r="O65" s="720">
        <f>IFERROR(($J65*VLOOKUP($H65, 'Baumaterialien Matériaux'!$A$11:$AH$318, 33,FALSE)),0)/$G$1</f>
        <v>0</v>
      </c>
      <c r="P65" s="720">
        <f t="shared" ref="P65" si="118">IFERROR((N65+Q65)*($L$2/L65-1),0)</f>
        <v>0</v>
      </c>
      <c r="Q65" s="720">
        <f>IFERROR(($J65*VLOOKUP($H65, 'Baumaterialien Matériaux'!$A$11:$AH$318, 27,FALSE)),0)/$G$1</f>
        <v>0</v>
      </c>
      <c r="R65" s="720">
        <f>IFERROR(($J65*VLOOKUP($H65, 'Baumaterialien Matériaux'!$A$11:$AH$318, 34,FALSE)),0)/$G$1</f>
        <v>0</v>
      </c>
      <c r="S65" s="720">
        <f>IFERROR((J65*VLOOKUP(H65, 'Baumaterialien Matériaux'!$A$11:$AD$318, 29,FALSE)),0)/$G$1</f>
        <v>0</v>
      </c>
      <c r="T65" s="720">
        <f>S65*AJ65</f>
        <v>0</v>
      </c>
      <c r="V65" s="638">
        <f t="shared" si="3"/>
        <v>0</v>
      </c>
      <c r="W65" s="638">
        <f t="shared" si="4"/>
        <v>0</v>
      </c>
      <c r="X65" s="638">
        <f t="shared" si="9"/>
        <v>0</v>
      </c>
      <c r="Z65" s="638">
        <f t="shared" si="10"/>
        <v>0</v>
      </c>
      <c r="AA65" s="648" t="s">
        <v>3443</v>
      </c>
      <c r="AB65">
        <f>_xlfn.XLOOKUP($H65,'[1]Baumaterialien Matériaux'!$A:$A,'[1]Baumaterialien Matériaux'!AK:AK,0,0)</f>
        <v>0</v>
      </c>
      <c r="AC65" cm="1">
        <f t="array" ref="AC65">_xlfn.SWITCH(I65,"kg"," ",0," ",_xlfn.XLOOKUP(H65, '[1]Baumaterialien Matériaux'!$A:$A, '[1]Baumaterialien Matériaux'!$AL:$AL, "-", 0, 1))</f>
        <v>0</v>
      </c>
      <c r="AD65" s="1112" cm="1">
        <f t="array" ref="AD65">IFERROR(_xlfn.SWITCH(I65,"kg",1,"m3",AC65,AC65)*J65/(_xlfn.XLOOKUP(AA65,Métrés!A:A,Métrés!E:E,0)),0)</f>
        <v>0</v>
      </c>
      <c r="AE65" s="1092">
        <f>IFERROR(N65*$G$1/(_xlfn.XLOOKUP($AA65,Métrés!$A:$A,Métrés!$E:$E,0)),0)</f>
        <v>0</v>
      </c>
      <c r="AF65" s="1092">
        <f>IFERROR(O65*$G$1/(_xlfn.XLOOKUP($AA65,Métrés!$A:$A,Métrés!$E:$E,0)),0)</f>
        <v>0</v>
      </c>
      <c r="AG65" s="1092">
        <f>IFERROR(Q65*$G$1/(_xlfn.XLOOKUP($AA65,Métrés!$A:$A,Métrés!$E:$E,0)),0)</f>
        <v>0</v>
      </c>
      <c r="AH65" s="1092">
        <f>IFERROR(R65*$G$1/(_xlfn.XLOOKUP($AA65,Métrés!$A:$A,Métrés!$E:$E,0)),0)</f>
        <v>0</v>
      </c>
      <c r="AI65" s="1092">
        <f>IFERROR(S65*$G$1/(_xlfn.XLOOKUP($AA65,Métrés!$A:$A,Métrés!$E:$E,0)),0)</f>
        <v>0</v>
      </c>
      <c r="AJ65" s="1022"/>
      <c r="AK65" s="638">
        <f>IF(L65=60,0,T65)</f>
        <v>0</v>
      </c>
      <c r="AL65" s="638">
        <f>IF(L65=60,0,S65)</f>
        <v>0</v>
      </c>
      <c r="AM65" s="638">
        <f>IF(L65=$L$2, "Structure", IF(L65&gt;0,"Revêtement",0))</f>
        <v>0</v>
      </c>
      <c r="AN65" s="1017">
        <f>IF(AM65="Structure",N65,0)</f>
        <v>0</v>
      </c>
      <c r="AO65" s="638">
        <f>IF(AM65="Structure",P65,0)</f>
        <v>0</v>
      </c>
      <c r="AP65" s="638">
        <f>IF(AM65="Structure",Q65,0)</f>
        <v>0</v>
      </c>
      <c r="AQ65" s="1018">
        <f>IF(AM65="Structure",S65,0)</f>
        <v>0</v>
      </c>
      <c r="AR65" s="1018">
        <f>IF(AM65="Structure",T65,0)</f>
        <v>0</v>
      </c>
      <c r="AS65" s="1017">
        <f>IF(AM65="Insulation",N65,0)</f>
        <v>0</v>
      </c>
      <c r="AT65" s="638">
        <f>IF(AM65="Insulation",P65,0)</f>
        <v>0</v>
      </c>
      <c r="AU65" s="638">
        <f>IF(AM65="Insulation",Q65,0)</f>
        <v>0</v>
      </c>
      <c r="AV65" s="1018">
        <f>IF(AM65="Insulation",S65,0)</f>
        <v>0</v>
      </c>
      <c r="AW65" s="1018">
        <f>IF(AM65="Insulation",T65,0)</f>
        <v>0</v>
      </c>
      <c r="AX65" s="1017">
        <f>IF(AM65="Revêtement",N65,0)</f>
        <v>0</v>
      </c>
      <c r="AY65" s="638">
        <f>IF(AM65="Revêtement",P65,0)</f>
        <v>0</v>
      </c>
      <c r="AZ65" s="638">
        <f>IF(AM65="Revêtement",Q65,0)</f>
        <v>0</v>
      </c>
      <c r="BA65" s="638">
        <f>IF(AM65="Revêtement",S65,0)</f>
        <v>0</v>
      </c>
      <c r="BB65" s="1018">
        <f>IF(AM65="Revêtement",T65,0)</f>
        <v>0</v>
      </c>
      <c r="BC65" s="1017"/>
      <c r="BF65" s="1018"/>
      <c r="BG65" s="1017">
        <f>IF($AM65="Structure", IF($I65="kg",$J65,0), 0)</f>
        <v>0</v>
      </c>
      <c r="BH65" s="638">
        <f>IF($AM65="Insulation", IF($I65="kg",$J65,0), 0)</f>
        <v>0</v>
      </c>
      <c r="BI65" s="1018">
        <f>IF($AM65="Revêtement", IF($I65="kg",$J65,0), 0)</f>
        <v>0</v>
      </c>
      <c r="BJ65" s="638">
        <f>_xlfn.XLOOKUP(H65, 'Baumaterialien Matériaux'!A:A, 'Baumaterialien Matériaux'!E:E, "-", 0, 1)</f>
        <v>0</v>
      </c>
      <c r="BK65" s="1032">
        <f t="shared" si="5"/>
        <v>0</v>
      </c>
      <c r="BL65" s="1030">
        <f t="shared" si="6"/>
        <v>0</v>
      </c>
      <c r="BM65" s="1033">
        <f t="shared" si="7"/>
        <v>0</v>
      </c>
      <c r="BN65" s="720">
        <f>IFERROR((J65*VLOOKUP(H65, 'Baumaterialien Matériaux'!$A$11:$AH$318, 32,FALSE))*($L$2/L65-1),0)/$G$1</f>
        <v>0</v>
      </c>
      <c r="BO65" s="720">
        <f>IFERROR((N65+Q65)*($L$2/L65-1),0)</f>
        <v>0</v>
      </c>
    </row>
    <row r="66" spans="2:67">
      <c r="B66" s="1103"/>
      <c r="C66" s="1097" t="s">
        <v>116</v>
      </c>
      <c r="D66" s="473" t="s">
        <v>117</v>
      </c>
      <c r="E66" s="655"/>
      <c r="F66" s="473"/>
      <c r="G66" s="473"/>
      <c r="H66" s="473"/>
      <c r="I66" s="463"/>
      <c r="J66" s="652"/>
      <c r="K66" s="652"/>
      <c r="L66" s="652"/>
      <c r="M66" s="653">
        <f ca="1">M67+M76+M80</f>
        <v>25.268712162638359</v>
      </c>
      <c r="N66" s="653">
        <f t="shared" ref="N66:S66" si="119">N67+N76+N80</f>
        <v>9.0833702800464309</v>
      </c>
      <c r="O66" s="653">
        <f t="shared" ref="O66" si="120">O67+O76+O80</f>
        <v>6.9165653217113707</v>
      </c>
      <c r="P66" s="653">
        <f t="shared" ca="1" si="119"/>
        <v>9.1760734204634957</v>
      </c>
      <c r="Q66" s="653">
        <f t="shared" si="119"/>
        <v>9.270314041706397E-2</v>
      </c>
      <c r="R66" s="653">
        <f t="shared" ref="R66" si="121">R67+R76+R80</f>
        <v>2.3499168152232498E-2</v>
      </c>
      <c r="S66" s="653">
        <f t="shared" si="119"/>
        <v>114.20867801224381</v>
      </c>
      <c r="T66" s="653">
        <f t="shared" ref="T66" si="122">T67+T76+T80</f>
        <v>-26.267995942816075</v>
      </c>
      <c r="V66" s="638">
        <f t="shared" si="3"/>
        <v>-26.267995942816075</v>
      </c>
      <c r="X66" s="638">
        <f t="shared" si="9"/>
        <v>0</v>
      </c>
      <c r="Z66" s="638">
        <f t="shared" si="10"/>
        <v>0</v>
      </c>
      <c r="AB66">
        <f>_xlfn.XLOOKUP($H66,'[1]Baumaterialien Matériaux'!$A:$A,'[1]Baumaterialien Matériaux'!AK:AK,0,0)</f>
        <v>0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1112" cm="1">
        <f t="array" ref="AD66">IFERROR(_xlfn.SWITCH(I66,"kg",1,"m3",AC66,AC66)*J66/(_xlfn.XLOOKUP(AA66,Métrés!A:A,Métrés!E:E,0)),0)</f>
        <v>0</v>
      </c>
      <c r="AE66" s="1092">
        <f>IFERROR(N66*$G$1/(_xlfn.XLOOKUP($AA66,Métrés!$A:$A,Métrés!$E:$E,0)),0)</f>
        <v>0</v>
      </c>
      <c r="AF66" s="1092">
        <f>IFERROR(O66*$G$1/(_xlfn.XLOOKUP($AA66,Métrés!$A:$A,Métrés!$E:$E,0)),0)</f>
        <v>0</v>
      </c>
      <c r="AG66" s="1092">
        <f>IFERROR(Q66*$G$1/(_xlfn.XLOOKUP($AA66,Métrés!$A:$A,Métrés!$E:$E,0)),0)</f>
        <v>0</v>
      </c>
      <c r="AH66" s="1092">
        <f>IFERROR(R66*$G$1/(_xlfn.XLOOKUP($AA66,Métrés!$A:$A,Métrés!$E:$E,0)),0)</f>
        <v>0</v>
      </c>
      <c r="AI66" s="1092">
        <f>IFERROR(S66*$G$1/(_xlfn.XLOOKUP($AA66,Métrés!$A:$A,Métrés!$E:$E,0)),0)</f>
        <v>0</v>
      </c>
      <c r="AJ66" s="666"/>
      <c r="AK66" s="666"/>
      <c r="AL66" s="666"/>
      <c r="AM66" s="666"/>
      <c r="AN66" s="1051"/>
      <c r="AO66" s="666"/>
      <c r="AP66" s="666"/>
      <c r="AQ66" s="666"/>
      <c r="AR66" s="1052"/>
      <c r="AS66" s="1051"/>
      <c r="AT66" s="666"/>
      <c r="AU66" s="666"/>
      <c r="AV66" s="666"/>
      <c r="AW66" s="1052"/>
      <c r="AX66" s="1051"/>
      <c r="AY66" s="666"/>
      <c r="AZ66" s="666"/>
      <c r="BA66" s="666"/>
      <c r="BB66" s="1052"/>
      <c r="BC66" s="1051"/>
      <c r="BD66" s="666"/>
      <c r="BE66" s="666"/>
      <c r="BF66" s="1052"/>
      <c r="BG66" s="1051"/>
      <c r="BH66" s="666"/>
      <c r="BI66" s="1052"/>
      <c r="BJ66" s="666"/>
      <c r="BK66" s="1051"/>
      <c r="BL66" s="666"/>
      <c r="BM66" s="1052"/>
    </row>
    <row r="67" spans="2:67">
      <c r="B67" s="1103"/>
      <c r="C67" s="1099"/>
      <c r="D67" s="478"/>
      <c r="E67" s="479" t="str">
        <f>BillQuantities!E16</f>
        <v>Isolation thermique extérieure, enduit</v>
      </c>
      <c r="F67" s="663" t="s">
        <v>3030</v>
      </c>
      <c r="G67" s="479"/>
      <c r="H67" s="479"/>
      <c r="I67" s="459" t="s">
        <v>39</v>
      </c>
      <c r="J67" s="662">
        <v>487.27</v>
      </c>
      <c r="K67" s="663"/>
      <c r="L67" s="663"/>
      <c r="M67" s="664">
        <f ca="1">SUM(M68:M75)</f>
        <v>21.103465198374856</v>
      </c>
      <c r="N67" s="664">
        <f t="shared" ref="N67:S67" si="123">SUM(N68:N75)</f>
        <v>7.6586235085610035</v>
      </c>
      <c r="O67" s="664">
        <f t="shared" ref="O67" si="124">SUM(O68:O75)</f>
        <v>5.7128564839766174</v>
      </c>
      <c r="P67" s="664">
        <f t="shared" ca="1" si="123"/>
        <v>7.6953043571991202</v>
      </c>
      <c r="Q67" s="664">
        <f t="shared" si="123"/>
        <v>3.6680848638116166E-2</v>
      </c>
      <c r="R67" s="664">
        <f t="shared" ref="R67" si="125">SUM(R68:R75)</f>
        <v>9.2981686082666548E-3</v>
      </c>
      <c r="S67" s="664">
        <f t="shared" si="123"/>
        <v>102.55813692080204</v>
      </c>
      <c r="T67" s="664">
        <f t="shared" ref="T67" si="126">SUM(T68:T75)</f>
        <v>-23.588371491784471</v>
      </c>
      <c r="V67" s="638">
        <f t="shared" si="3"/>
        <v>-23.588371491784471</v>
      </c>
      <c r="X67" s="638">
        <f t="shared" si="9"/>
        <v>0</v>
      </c>
      <c r="Z67" s="638">
        <f t="shared" si="10"/>
        <v>0</v>
      </c>
      <c r="AA67" s="648" t="s">
        <v>3443</v>
      </c>
      <c r="AB67">
        <f>_xlfn.XLOOKUP($H67,'[1]Baumaterialien Matériaux'!$A:$A,'[1]Baumaterialien Matériaux'!AK:AK,0,0)</f>
        <v>0</v>
      </c>
      <c r="AC67" cm="1">
        <f t="array" ref="AC67">_xlfn.SWITCH(I67,"kg"," ",0," ",_xlfn.XLOOKUP(H67, '[1]Baumaterialien Matériaux'!$A:$A, '[1]Baumaterialien Matériaux'!$AL:$AL, "-", 0, 1))</f>
        <v>0</v>
      </c>
      <c r="AD67" s="1112" cm="1">
        <f t="array" ref="AD67">IFERROR(_xlfn.SWITCH(I67,"kg",1,"m3",AC67,AC67)*J67/(_xlfn.XLOOKUP(AA67,Métrés!A:A,Métrés!E:E,0)),0)</f>
        <v>0</v>
      </c>
      <c r="AE67" s="1092">
        <f>IFERROR(N67*$G$1/(_xlfn.XLOOKUP($AA67,Métrés!$A:$A,Métrés!$E:$E,0)),0)</f>
        <v>12.685573057510727</v>
      </c>
      <c r="AF67" s="1092">
        <f>IFERROR(O67*$G$1/(_xlfn.XLOOKUP($AA67,Métrés!$A:$A,Métrés!$E:$E,0)),0)</f>
        <v>9.4626479828326175</v>
      </c>
      <c r="AG67" s="1092">
        <f>IFERROR(Q67*$G$1/(_xlfn.XLOOKUP($AA67,Métrés!$A:$A,Métrés!$E:$E,0)),0)</f>
        <v>6.0757339055793995E-2</v>
      </c>
      <c r="AH67" s="1092">
        <f>IFERROR(R67*$G$1/(_xlfn.XLOOKUP($AA67,Métrés!$A:$A,Métrés!$E:$E,0)),0)</f>
        <v>1.5401278969957081E-2</v>
      </c>
      <c r="AI67" s="1092">
        <f>IFERROR(S67*$G$1/(_xlfn.XLOOKUP($AA67,Métrés!$A:$A,Métrés!$E:$E,0)),0)</f>
        <v>169.87500914449211</v>
      </c>
      <c r="AJ67" s="878"/>
      <c r="AK67" s="878"/>
      <c r="AL67" s="878"/>
      <c r="AM67" s="878"/>
      <c r="AN67" s="1053"/>
      <c r="AO67" s="878"/>
      <c r="AP67" s="878"/>
      <c r="AQ67" s="878"/>
      <c r="AR67" s="1054"/>
      <c r="AS67" s="1053"/>
      <c r="AT67" s="878"/>
      <c r="AU67" s="878"/>
      <c r="AV67" s="878"/>
      <c r="AW67" s="1054"/>
      <c r="AX67" s="1053"/>
      <c r="AY67" s="878"/>
      <c r="AZ67" s="878"/>
      <c r="BA67" s="878"/>
      <c r="BB67" s="1054"/>
      <c r="BC67" s="1053"/>
      <c r="BD67" s="878"/>
      <c r="BE67" s="878"/>
      <c r="BF67" s="1054"/>
      <c r="BG67" s="1053"/>
      <c r="BH67" s="878"/>
      <c r="BI67" s="1054"/>
      <c r="BJ67" s="878"/>
      <c r="BK67" s="1053"/>
      <c r="BL67" s="878"/>
      <c r="BM67" s="1054"/>
    </row>
    <row r="68" spans="2:67">
      <c r="B68" s="1103"/>
      <c r="C68" s="1099"/>
      <c r="D68" s="454"/>
      <c r="E68" s="478"/>
      <c r="F68" s="454" t="s">
        <v>3292</v>
      </c>
      <c r="G68" s="478" t="str">
        <f>_xlfn.XLOOKUP(H68, 'Baumaterialien Matériaux'!A:A, 'Baumaterialien Matériaux'!AD:AD, "-", 0, 1)</f>
        <v>Botte de paille pour la construction</v>
      </c>
      <c r="H68" s="892">
        <v>10.015000000000001</v>
      </c>
      <c r="I68" s="641" t="str">
        <f>_xlfn.XLOOKUP(H68, 'Baumaterialien Matériaux'!A:A, 'Baumaterialien Matériaux'!F:F, "-", 0, 1)</f>
        <v>kg</v>
      </c>
      <c r="J68" s="649">
        <f>$J$67*K68</f>
        <v>73334.134999999995</v>
      </c>
      <c r="K68" s="528">
        <f>0.7*215</f>
        <v>150.5</v>
      </c>
      <c r="L68" s="647" cm="1">
        <f t="array" aca="1" ref="L68" ca="1">INDEX('Enveloppe du bâtiment hors terr'!N49:N149, 'Enveloppe du bâtiment hors terr'!W48)</f>
        <v>30</v>
      </c>
      <c r="M68" s="648">
        <f ca="1">SUM(N68:Q68)</f>
        <v>19.85290417271257</v>
      </c>
      <c r="N68" s="720">
        <f>IFERROR(($J68*VLOOKUP($H68, 'Baumaterialien Matériaux'!$A$11:$AH$318, 26,FALSE)),0)/$G$1</f>
        <v>7.2662237324323193</v>
      </c>
      <c r="O68" s="720">
        <f>IFERROR(($J68*VLOOKUP($H68, 'Baumaterialien Matériaux'!$A$11:$AH$318, 33,FALSE)),0)/$G$1</f>
        <v>5.3204567078479332</v>
      </c>
      <c r="P68" s="720">
        <f ca="1">IFERROR((N68+Q68)*($L$2/L68-1),0)</f>
        <v>7.2662237324323193</v>
      </c>
      <c r="Q68" s="720">
        <f>IFERROR(($J68*VLOOKUP($H68, 'Baumaterialien Matériaux'!$A$11:$AH$318, 27,FALSE)),0)/$G$1</f>
        <v>0</v>
      </c>
      <c r="R68" s="720">
        <f>IFERROR(($J68*VLOOKUP($H68, 'Baumaterialien Matériaux'!$A$11:$AH$318, 34,FALSE)),0)/$G$1</f>
        <v>0</v>
      </c>
      <c r="S68" s="720">
        <f>IFERROR((J68*VLOOKUP(H68, 'Baumaterialien Matériaux'!$A$11:$AD$318, 29,FALSE)),0)/$G$1</f>
        <v>102.55813692080204</v>
      </c>
      <c r="T68" s="720">
        <f t="shared" ref="T68:T75" si="127">S68*AJ68</f>
        <v>-23.588371491784471</v>
      </c>
      <c r="U68" s="638">
        <v>-0.23</v>
      </c>
      <c r="V68" s="638">
        <f t="shared" ca="1" si="3"/>
        <v>-23.588371491784471</v>
      </c>
      <c r="W68" s="638">
        <f t="shared" ca="1" si="4"/>
        <v>102.55813692080204</v>
      </c>
      <c r="X68" s="638" t="str">
        <f t="shared" ca="1" si="9"/>
        <v>Revêtement</v>
      </c>
      <c r="Z68" s="638">
        <f t="shared" ca="1" si="10"/>
        <v>30</v>
      </c>
      <c r="AA68" s="648" t="s">
        <v>3443</v>
      </c>
      <c r="AB68" t="str">
        <f>_xlfn.XLOOKUP($H68,'[1]Baumaterialien Matériaux'!$A:$A,'[1]Baumaterialien Matériaux'!AK:AK,0,0)</f>
        <v>vegetal_fiber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1112" cm="1">
        <f t="array" ref="AD68">IFERROR(_xlfn.SWITCH(I68,"kg",1,"m3",AC68,AC68)*J68/(_xlfn.XLOOKUP(AA68,Métrés!A:A,Métrés!E:E,0)),0)</f>
        <v>125.89551072961372</v>
      </c>
      <c r="AE68" s="1092">
        <f>IFERROR(N68*$G$1/(_xlfn.XLOOKUP($AA68,Métrés!$A:$A,Métrés!$E:$E,0)),0)</f>
        <v>12.035610825751071</v>
      </c>
      <c r="AF68" s="1092">
        <f>IFERROR(O68*$G$1/(_xlfn.XLOOKUP($AA68,Métrés!$A:$A,Métrés!$E:$E,0)),0)</f>
        <v>8.8126857510729604</v>
      </c>
      <c r="AG68" s="1092">
        <f>IFERROR(Q68*$G$1/(_xlfn.XLOOKUP($AA68,Métrés!$A:$A,Métrés!$E:$E,0)),0)</f>
        <v>0</v>
      </c>
      <c r="AH68" s="1092">
        <f>IFERROR(R68*$G$1/(_xlfn.XLOOKUP($AA68,Métrés!$A:$A,Métrés!$E:$E,0)),0)</f>
        <v>0</v>
      </c>
      <c r="AI68" s="1092">
        <f>IFERROR(S68*$G$1/(_xlfn.XLOOKUP($AA68,Métrés!$A:$A,Métrés!$E:$E,0)),0)</f>
        <v>169.87500914449211</v>
      </c>
      <c r="AJ68" s="1022">
        <v>-0.23</v>
      </c>
      <c r="AK68" s="638">
        <f t="shared" ref="AK68:AK75" ca="1" si="128">IF(L68=60,0,T68)</f>
        <v>-23.588371491784471</v>
      </c>
      <c r="AL68" s="638">
        <f t="shared" ref="AL68:AL75" ca="1" si="129">IF(L68=60,0,S68)</f>
        <v>102.55813692080204</v>
      </c>
      <c r="AM68" s="638" t="s">
        <v>3388</v>
      </c>
      <c r="AN68" s="1017">
        <f t="shared" ref="AN68:AN75" si="130">IF(AM68="Structure",N68,0)</f>
        <v>0</v>
      </c>
      <c r="AO68" s="638">
        <f t="shared" ref="AO68:AO75" si="131">IF(AM68="Structure",P68,0)</f>
        <v>0</v>
      </c>
      <c r="AP68" s="638">
        <f t="shared" ref="AP68:AP75" si="132">IF(AM68="Structure",Q68,0)</f>
        <v>0</v>
      </c>
      <c r="AQ68" s="1018">
        <f t="shared" ref="AQ68:AQ75" si="133">IF(AM68="Structure",S68,0)</f>
        <v>0</v>
      </c>
      <c r="AR68" s="1018">
        <f t="shared" ref="AR68:AR75" si="134">IF(AM68="Structure",T68,0)</f>
        <v>0</v>
      </c>
      <c r="AS68" s="1017">
        <f t="shared" ref="AS68:AS75" si="135">IF(AM68="Insulation",N68,0)</f>
        <v>7.2662237324323193</v>
      </c>
      <c r="AT68" s="638">
        <f t="shared" ref="AT68:AT75" ca="1" si="136">IF(AM68="Insulation",P68,0)</f>
        <v>7.2662237324323193</v>
      </c>
      <c r="AU68" s="638">
        <f t="shared" ref="AU68:AU75" si="137">IF(AM68="Insulation",Q68,0)</f>
        <v>0</v>
      </c>
      <c r="AV68" s="1018">
        <f t="shared" ref="AV68:AV75" si="138">IF(AM68="Insulation",S68,0)</f>
        <v>102.55813692080204</v>
      </c>
      <c r="AW68" s="1018">
        <f t="shared" ref="AW68:AW75" si="139">IF(AM68="Insulation",T68,0)</f>
        <v>-23.588371491784471</v>
      </c>
      <c r="AX68" s="1017">
        <f t="shared" ref="AX68:AX75" si="140">IF(AM68="Revêtement",N68,0)</f>
        <v>0</v>
      </c>
      <c r="AY68" s="638">
        <f t="shared" ref="AY68:AY75" si="141">IF(AM68="Revêtement",P68,0)</f>
        <v>0</v>
      </c>
      <c r="AZ68" s="638">
        <f t="shared" ref="AZ68:AZ75" si="142">IF(AM68="Revêtement",Q68,0)</f>
        <v>0</v>
      </c>
      <c r="BA68" s="638">
        <f t="shared" ref="BA68:BA75" si="143">IF(AM68="Revêtement",S68,0)</f>
        <v>0</v>
      </c>
      <c r="BB68" s="1018">
        <f t="shared" ref="BB68:BB75" si="144">IF(AM68="Revêtement",T68,0)</f>
        <v>0</v>
      </c>
      <c r="BC68" s="1017"/>
      <c r="BF68" s="1018"/>
      <c r="BG68" s="1017">
        <f t="shared" ref="BG68:BG75" si="145">IF($AM68="Structure", IF($I68="kg",$J68,0), 0)</f>
        <v>0</v>
      </c>
      <c r="BH68" s="638">
        <f t="shared" ref="BH68:BH75" si="146">IF($AM68="Insulation", IF($I68="kg",$J68,0), 0)</f>
        <v>73334.134999999995</v>
      </c>
      <c r="BI68" s="1018">
        <f t="shared" ref="BI68:BI75" si="147">IF($AM68="Revêtement", IF($I68="kg",$J68,0), 0)</f>
        <v>0</v>
      </c>
      <c r="BJ68" s="638">
        <f>_xlfn.XLOOKUP(H68, 'Baumaterialien Matériaux'!A:A, 'Baumaterialien Matériaux'!E:E, "-", 0, 1)</f>
        <v>215</v>
      </c>
      <c r="BK68" s="1032">
        <f t="shared" si="5"/>
        <v>0</v>
      </c>
      <c r="BL68" s="1030">
        <f t="shared" si="6"/>
        <v>341.089</v>
      </c>
      <c r="BM68" s="1033">
        <f t="shared" si="7"/>
        <v>0</v>
      </c>
      <c r="BN68" s="720">
        <f ca="1">IFERROR((J68*VLOOKUP(H68, 'Baumaterialien Matériaux'!$A$11:$AH$318, 32,FALSE))*($L$2/L68-1),0)/$G$1</f>
        <v>5.3204567078479332</v>
      </c>
      <c r="BO68" s="720">
        <f t="shared" ref="BO68:BO75" ca="1" si="148">IFERROR((N68+Q68)*($L$2/L68-1),0)</f>
        <v>7.2662237324323193</v>
      </c>
    </row>
    <row r="69" spans="2:67">
      <c r="B69" s="1103"/>
      <c r="C69" s="1099"/>
      <c r="D69" s="478"/>
      <c r="E69" s="478"/>
      <c r="F69" s="638" t="s">
        <v>3293</v>
      </c>
      <c r="G69" s="478" t="str">
        <f>_xlfn.XLOOKUP(H69, 'Baumaterialien Matériaux'!A:A, 'Baumaterialien Matériaux'!AD:AD, "-", 0, 1)</f>
        <v>Enduit minéral</v>
      </c>
      <c r="H69" s="892">
        <v>4.0010000000000003</v>
      </c>
      <c r="I69" s="641" t="str">
        <f>_xlfn.XLOOKUP(H69, 'Baumaterialien Matériaux'!A:A, 'Baumaterialien Matériaux'!F:F, "-", 0, 1)</f>
        <v>kg</v>
      </c>
      <c r="J69" s="649">
        <f>5.9*465</f>
        <v>2743.5</v>
      </c>
      <c r="K69" s="893">
        <f>0.04*1100</f>
        <v>44</v>
      </c>
      <c r="L69" s="647" cm="1">
        <f t="array" aca="1" ref="L69" ca="1">INDEX('Enveloppe du bâtiment hors terr'!N50:N150, 'Enveloppe du bâtiment hors terr'!W49)</f>
        <v>30</v>
      </c>
      <c r="M69" s="648">
        <f t="shared" ref="M69:M70" ca="1" si="149">SUM(N69:Q69)</f>
        <v>1.2505610256622861</v>
      </c>
      <c r="N69" s="720">
        <f>IFERROR(($J69*VLOOKUP($H69, 'Baumaterialien Matériaux'!$A$11:$AH$318, 26,FALSE)),0)/$G$1</f>
        <v>0.39239977612868454</v>
      </c>
      <c r="O69" s="720">
        <f>IFERROR(($J69*VLOOKUP($H69, 'Baumaterialien Matériaux'!$A$11:$AH$318, 33,FALSE)),0)/$G$1</f>
        <v>0.39239977612868454</v>
      </c>
      <c r="P69" s="720">
        <f t="shared" ref="P69:P70" ca="1" si="150">IFERROR((N69+Q69)*($L$2/L69-1),0)</f>
        <v>0.4290806247668007</v>
      </c>
      <c r="Q69" s="720">
        <f>IFERROR(($J69*VLOOKUP($H69, 'Baumaterialien Matériaux'!$A$11:$AH$318, 27,FALSE)),0)/$G$1</f>
        <v>3.6680848638116166E-2</v>
      </c>
      <c r="R69" s="720">
        <f>IFERROR(($J69*VLOOKUP($H69, 'Baumaterialien Matériaux'!$A$11:$AH$318, 34,FALSE)),0)/$G$1</f>
        <v>9.2981686082666548E-3</v>
      </c>
      <c r="S69" s="720">
        <f>IFERROR((J69*VLOOKUP(H69, 'Baumaterialien Matériaux'!$A$11:$AD$318, 29,FALSE)),0)/$G$1</f>
        <v>0</v>
      </c>
      <c r="T69" s="720">
        <f t="shared" si="127"/>
        <v>0</v>
      </c>
      <c r="V69" s="638">
        <f t="shared" ca="1" si="3"/>
        <v>0</v>
      </c>
      <c r="W69" s="638">
        <f t="shared" ca="1" si="4"/>
        <v>0</v>
      </c>
      <c r="X69" s="638" t="str">
        <f t="shared" ca="1" si="9"/>
        <v>Revêtement</v>
      </c>
      <c r="Z69" s="638">
        <f t="shared" ca="1" si="10"/>
        <v>30</v>
      </c>
      <c r="AA69" s="648" t="s">
        <v>3443</v>
      </c>
      <c r="AB69" t="str">
        <f>_xlfn.XLOOKUP($H69,'[1]Baumaterialien Matériaux'!$A:$A,'[1]Baumaterialien Matériaux'!AK:AK,0,0)</f>
        <v>autre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1112" cm="1">
        <f t="array" ref="AD69">IFERROR(_xlfn.SWITCH(I69,"kg",1,"m3",AC69,AC69)*J69/(_xlfn.XLOOKUP(AA69,Métrés!A:A,Métrés!E:E,0)),0)</f>
        <v>4.7098712446351936</v>
      </c>
      <c r="AE69" s="1092">
        <f>IFERROR(N69*$G$1/(_xlfn.XLOOKUP($AA69,Métrés!$A:$A,Métrés!$E:$E,0)),0)</f>
        <v>0.64996223175965662</v>
      </c>
      <c r="AF69" s="1092">
        <f>IFERROR(O69*$G$1/(_xlfn.XLOOKUP($AA69,Métrés!$A:$A,Métrés!$E:$E,0)),0)</f>
        <v>0.64996223175965662</v>
      </c>
      <c r="AG69" s="1092">
        <f>IFERROR(Q69*$G$1/(_xlfn.XLOOKUP($AA69,Métrés!$A:$A,Métrés!$E:$E,0)),0)</f>
        <v>6.0757339055793995E-2</v>
      </c>
      <c r="AH69" s="1092">
        <f>IFERROR(R69*$G$1/(_xlfn.XLOOKUP($AA69,Métrés!$A:$A,Métrés!$E:$E,0)),0)</f>
        <v>1.5401278969957081E-2</v>
      </c>
      <c r="AI69" s="1092">
        <f>IFERROR(S69*$G$1/(_xlfn.XLOOKUP($AA69,Métrés!$A:$A,Métrés!$E:$E,0)),0)</f>
        <v>0</v>
      </c>
      <c r="AJ69" s="1022"/>
      <c r="AK69" s="638">
        <f t="shared" ca="1" si="128"/>
        <v>0</v>
      </c>
      <c r="AL69" s="638">
        <f t="shared" ca="1" si="129"/>
        <v>0</v>
      </c>
      <c r="AM69" s="638" t="str">
        <f t="shared" ref="AM69:AM75" ca="1" si="151">IF(L69=$L$2, "Structure", IF(L69&gt;0,"Revêtement",0))</f>
        <v>Revêtement</v>
      </c>
      <c r="AN69" s="1017">
        <f t="shared" ca="1" si="130"/>
        <v>0</v>
      </c>
      <c r="AO69" s="638">
        <f t="shared" ca="1" si="131"/>
        <v>0</v>
      </c>
      <c r="AP69" s="638">
        <f t="shared" ca="1" si="132"/>
        <v>0</v>
      </c>
      <c r="AQ69" s="1018">
        <f t="shared" ca="1" si="133"/>
        <v>0</v>
      </c>
      <c r="AR69" s="1018">
        <f t="shared" ca="1" si="134"/>
        <v>0</v>
      </c>
      <c r="AS69" s="1017">
        <f t="shared" ca="1" si="135"/>
        <v>0</v>
      </c>
      <c r="AT69" s="638">
        <f t="shared" ca="1" si="136"/>
        <v>0</v>
      </c>
      <c r="AU69" s="638">
        <f t="shared" ca="1" si="137"/>
        <v>0</v>
      </c>
      <c r="AV69" s="1018">
        <f t="shared" ca="1" si="138"/>
        <v>0</v>
      </c>
      <c r="AW69" s="1018">
        <f t="shared" ca="1" si="139"/>
        <v>0</v>
      </c>
      <c r="AX69" s="1017">
        <f t="shared" ca="1" si="140"/>
        <v>0.39239977612868454</v>
      </c>
      <c r="AY69" s="638">
        <f t="shared" ca="1" si="141"/>
        <v>0.4290806247668007</v>
      </c>
      <c r="AZ69" s="638">
        <f t="shared" ca="1" si="142"/>
        <v>3.6680848638116166E-2</v>
      </c>
      <c r="BA69" s="638">
        <f t="shared" ca="1" si="143"/>
        <v>0</v>
      </c>
      <c r="BB69" s="1018">
        <f t="shared" ca="1" si="144"/>
        <v>0</v>
      </c>
      <c r="BC69" s="1017"/>
      <c r="BF69" s="1018"/>
      <c r="BG69" s="1017">
        <f t="shared" ca="1" si="145"/>
        <v>0</v>
      </c>
      <c r="BH69" s="638">
        <f t="shared" ca="1" si="146"/>
        <v>0</v>
      </c>
      <c r="BI69" s="1018">
        <f t="shared" ca="1" si="147"/>
        <v>2743.5</v>
      </c>
      <c r="BJ69" s="638">
        <f>_xlfn.XLOOKUP(H69, 'Baumaterialien Matériaux'!A:A, 'Baumaterialien Matériaux'!E:E, "-", 0, 1)</f>
        <v>1100</v>
      </c>
      <c r="BK69" s="1032">
        <f t="shared" ref="BK69:BK133" ca="1" si="152">IFERROR(BG69/$BJ69,0)</f>
        <v>0</v>
      </c>
      <c r="BL69" s="1030">
        <f t="shared" ref="BL69:BL133" ca="1" si="153">IFERROR(BH69/$BJ69,0)</f>
        <v>0</v>
      </c>
      <c r="BM69" s="1033">
        <f t="shared" ref="BM69:BM133" ca="1" si="154">IFERROR(BI69/$BJ69,0)</f>
        <v>2.4940909090909091</v>
      </c>
      <c r="BN69" s="720">
        <f ca="1">IFERROR((J69*VLOOKUP(H69, 'Baumaterialien Matériaux'!$A$11:$AH$318, 32,FALSE))*($L$2/L69-1),0)/$G$1</f>
        <v>0.40377368268313912</v>
      </c>
      <c r="BO69" s="720">
        <f t="shared" ca="1" si="148"/>
        <v>0.4290806247668007</v>
      </c>
    </row>
    <row r="70" spans="2:67">
      <c r="B70" s="1103"/>
      <c r="C70" s="1099"/>
      <c r="D70" s="478"/>
      <c r="E70" s="478"/>
      <c r="F70" s="483" t="s">
        <v>3294</v>
      </c>
      <c r="G70" s="478" t="str">
        <f>_xlfn.XLOOKUP(H70, 'Baumaterialien Matériaux'!A:A, 'Baumaterialien Matériaux'!AD:AD, "-", 0, 1)</f>
        <v>Données écobilans dans la construction</v>
      </c>
      <c r="H70" s="885"/>
      <c r="I70" s="641" t="str">
        <f>_xlfn.XLOOKUP(H70, 'Baumaterialien Matériaux'!A:A, 'Baumaterialien Matériaux'!F:F, "-", 0, 1)</f>
        <v>-</v>
      </c>
      <c r="J70" s="649">
        <f t="shared" ref="J70" si="155">$J$67*K70</f>
        <v>0</v>
      </c>
      <c r="K70" s="647"/>
      <c r="L70" s="647" cm="1">
        <f t="array" aca="1" ref="L70" ca="1">INDEX('Enveloppe du bâtiment hors terr'!N51:N151, 'Enveloppe du bâtiment hors terr'!W50)</f>
        <v>30</v>
      </c>
      <c r="M70" s="648">
        <f t="shared" ca="1" si="149"/>
        <v>0</v>
      </c>
      <c r="N70" s="720">
        <f>IFERROR(($J70*VLOOKUP($H70, 'Baumaterialien Matériaux'!$A$11:$AH$318, 26,FALSE)),0)/$G$1</f>
        <v>0</v>
      </c>
      <c r="O70" s="720">
        <f>IFERROR(($J70*VLOOKUP($H70, 'Baumaterialien Matériaux'!$A$11:$AH$318, 33,FALSE)),0)/$G$1</f>
        <v>0</v>
      </c>
      <c r="P70" s="720">
        <f t="shared" ca="1" si="150"/>
        <v>0</v>
      </c>
      <c r="Q70" s="720">
        <f>IFERROR(($J70*VLOOKUP($H70, 'Baumaterialien Matériaux'!$A$11:$AH$318, 27,FALSE)),0)/$G$1</f>
        <v>0</v>
      </c>
      <c r="R70" s="720">
        <f>IFERROR(($J70*VLOOKUP($H70, 'Baumaterialien Matériaux'!$A$11:$AH$318, 34,FALSE)),0)/$G$1</f>
        <v>0</v>
      </c>
      <c r="S70" s="720">
        <f>IFERROR((J70*VLOOKUP(H70, 'Baumaterialien Matériaux'!$A$11:$AD$318, 29,FALSE)),0)/$G$1</f>
        <v>0</v>
      </c>
      <c r="T70" s="720">
        <f t="shared" si="127"/>
        <v>0</v>
      </c>
      <c r="V70" s="638">
        <f t="shared" ca="1" si="3"/>
        <v>0</v>
      </c>
      <c r="W70" s="638">
        <f t="shared" ca="1" si="4"/>
        <v>0</v>
      </c>
      <c r="X70" s="638" t="str">
        <f t="shared" ca="1" si="9"/>
        <v>Revêtement</v>
      </c>
      <c r="Z70" s="638">
        <f t="shared" ca="1" si="10"/>
        <v>30</v>
      </c>
      <c r="AA70" s="648" t="s">
        <v>3443</v>
      </c>
      <c r="AB70">
        <f>_xlfn.XLOOKUP($H70,'[1]Baumaterialien Matériaux'!$A:$A,'[1]Baumaterialien Matériaux'!AK:AK,0,0)</f>
        <v>0</v>
      </c>
      <c r="AC70" cm="1">
        <f t="array" ref="AC70">_xlfn.SWITCH(I70,"kg"," ",0," ",_xlfn.XLOOKUP(H70, '[1]Baumaterialien Matériaux'!$A:$A, '[1]Baumaterialien Matériaux'!$AL:$AL, "-", 0, 1))</f>
        <v>0</v>
      </c>
      <c r="AD70" s="1112" cm="1">
        <f t="array" ref="AD70">IFERROR(_xlfn.SWITCH(I70,"kg",1,"m3",AC70,AC70)*J70/(_xlfn.XLOOKUP(AA70,Métrés!A:A,Métrés!E:E,0)),0)</f>
        <v>0</v>
      </c>
      <c r="AE70" s="1092">
        <f>IFERROR(N70*$G$1/(_xlfn.XLOOKUP($AA70,Métrés!$A:$A,Métrés!$E:$E,0)),0)</f>
        <v>0</v>
      </c>
      <c r="AF70" s="1092">
        <f>IFERROR(O70*$G$1/(_xlfn.XLOOKUP($AA70,Métrés!$A:$A,Métrés!$E:$E,0)),0)</f>
        <v>0</v>
      </c>
      <c r="AG70" s="1092">
        <f>IFERROR(Q70*$G$1/(_xlfn.XLOOKUP($AA70,Métrés!$A:$A,Métrés!$E:$E,0)),0)</f>
        <v>0</v>
      </c>
      <c r="AH70" s="1092">
        <f>IFERROR(R70*$G$1/(_xlfn.XLOOKUP($AA70,Métrés!$A:$A,Métrés!$E:$E,0)),0)</f>
        <v>0</v>
      </c>
      <c r="AI70" s="1092">
        <f>IFERROR(S70*$G$1/(_xlfn.XLOOKUP($AA70,Métrés!$A:$A,Métrés!$E:$E,0)),0)</f>
        <v>0</v>
      </c>
      <c r="AJ70" s="1022"/>
      <c r="AK70" s="638">
        <f t="shared" ca="1" si="128"/>
        <v>0</v>
      </c>
      <c r="AL70" s="638">
        <f t="shared" ca="1" si="129"/>
        <v>0</v>
      </c>
      <c r="AM70" s="638" t="str">
        <f t="shared" ca="1" si="151"/>
        <v>Revêtement</v>
      </c>
      <c r="AN70" s="1017">
        <f t="shared" ca="1" si="130"/>
        <v>0</v>
      </c>
      <c r="AO70" s="638">
        <f t="shared" ca="1" si="131"/>
        <v>0</v>
      </c>
      <c r="AP70" s="638">
        <f t="shared" ca="1" si="132"/>
        <v>0</v>
      </c>
      <c r="AQ70" s="1018">
        <f t="shared" ca="1" si="133"/>
        <v>0</v>
      </c>
      <c r="AR70" s="1018">
        <f t="shared" ca="1" si="134"/>
        <v>0</v>
      </c>
      <c r="AS70" s="1017">
        <f t="shared" ca="1" si="135"/>
        <v>0</v>
      </c>
      <c r="AT70" s="638">
        <f t="shared" ca="1" si="136"/>
        <v>0</v>
      </c>
      <c r="AU70" s="638">
        <f t="shared" ca="1" si="137"/>
        <v>0</v>
      </c>
      <c r="AV70" s="1018">
        <f t="shared" ca="1" si="138"/>
        <v>0</v>
      </c>
      <c r="AW70" s="1018">
        <f t="shared" ca="1" si="139"/>
        <v>0</v>
      </c>
      <c r="AX70" s="1017">
        <f t="shared" ca="1" si="140"/>
        <v>0</v>
      </c>
      <c r="AY70" s="638">
        <f t="shared" ca="1" si="141"/>
        <v>0</v>
      </c>
      <c r="AZ70" s="638">
        <f t="shared" ca="1" si="142"/>
        <v>0</v>
      </c>
      <c r="BA70" s="638">
        <f t="shared" ca="1" si="143"/>
        <v>0</v>
      </c>
      <c r="BB70" s="1018">
        <f t="shared" ca="1" si="144"/>
        <v>0</v>
      </c>
      <c r="BC70" s="1017"/>
      <c r="BF70" s="1018"/>
      <c r="BG70" s="1017">
        <f t="shared" ca="1" si="145"/>
        <v>0</v>
      </c>
      <c r="BH70" s="638">
        <f t="shared" ca="1" si="146"/>
        <v>0</v>
      </c>
      <c r="BI70" s="1018">
        <f t="shared" ca="1" si="147"/>
        <v>0</v>
      </c>
      <c r="BJ70" s="638">
        <f>_xlfn.XLOOKUP(H70, 'Baumaterialien Matériaux'!A:A, 'Baumaterialien Matériaux'!E:E, "-", 0, 1)</f>
        <v>0</v>
      </c>
      <c r="BK70" s="1032">
        <f t="shared" ca="1" si="152"/>
        <v>0</v>
      </c>
      <c r="BL70" s="1030">
        <f t="shared" ca="1" si="153"/>
        <v>0</v>
      </c>
      <c r="BM70" s="1033">
        <f t="shared" ca="1" si="154"/>
        <v>0</v>
      </c>
      <c r="BN70" s="720">
        <f ca="1">IFERROR((J70*VLOOKUP(H70, 'Baumaterialien Matériaux'!$A$11:$AH$318, 32,FALSE))*($L$2/L70-1),0)/$G$1</f>
        <v>0</v>
      </c>
      <c r="BO70" s="720">
        <f t="shared" ca="1" si="148"/>
        <v>0</v>
      </c>
    </row>
    <row r="71" spans="2:67">
      <c r="B71" s="1103"/>
      <c r="C71" s="1099"/>
      <c r="D71" s="478"/>
      <c r="E71" s="478"/>
      <c r="F71" s="483"/>
      <c r="G71" s="478"/>
      <c r="H71" s="892"/>
      <c r="I71" s="641"/>
      <c r="J71" s="649"/>
      <c r="K71" s="647"/>
      <c r="L71" s="647"/>
      <c r="M71" s="648"/>
      <c r="N71" s="720"/>
      <c r="O71" s="720"/>
      <c r="P71" s="720"/>
      <c r="Q71" s="720"/>
      <c r="R71" s="720"/>
      <c r="S71" s="720"/>
      <c r="T71" s="720">
        <f t="shared" si="127"/>
        <v>0</v>
      </c>
      <c r="V71" s="638">
        <f t="shared" ref="V71:V140" si="156">IF(L71=60,0,T71)</f>
        <v>0</v>
      </c>
      <c r="W71" s="638">
        <f t="shared" ref="W71:W140" si="157">IF(L71=60,0,S71)</f>
        <v>0</v>
      </c>
      <c r="X71" s="638">
        <f t="shared" si="9"/>
        <v>0</v>
      </c>
      <c r="Z71" s="638">
        <f t="shared" si="10"/>
        <v>0</v>
      </c>
      <c r="AA71" s="648" t="s">
        <v>3443</v>
      </c>
      <c r="AB71">
        <f>_xlfn.XLOOKUP($H71,'[1]Baumaterialien Matériaux'!$A:$A,'[1]Baumaterialien Matériaux'!AK:AK,0,0)</f>
        <v>0</v>
      </c>
      <c r="AC71" t="str" cm="1">
        <f t="array" ref="AC71">_xlfn.SWITCH(I71,"kg"," ",0," ",_xlfn.XLOOKUP(H71, '[1]Baumaterialien Matériaux'!$A:$A, '[1]Baumaterialien Matériaux'!$AL:$AL, "-", 0, 1))</f>
        <v xml:space="preserve"> </v>
      </c>
      <c r="AD71" s="1112" cm="1">
        <f t="array" ref="AD71">IFERROR(_xlfn.SWITCH(I71,"kg",1,"m3",AC71,AC71)*J71/(_xlfn.XLOOKUP(AA71,Métrés!A:A,Métrés!E:E,0)),0)</f>
        <v>0</v>
      </c>
      <c r="AE71" s="1092">
        <f>IFERROR(N71*$G$1/(_xlfn.XLOOKUP($AA71,Métrés!$A:$A,Métrés!$E:$E,0)),0)</f>
        <v>0</v>
      </c>
      <c r="AF71" s="1092">
        <f>IFERROR(O71*$G$1/(_xlfn.XLOOKUP($AA71,Métrés!$A:$A,Métrés!$E:$E,0)),0)</f>
        <v>0</v>
      </c>
      <c r="AG71" s="1092">
        <f>IFERROR(Q71*$G$1/(_xlfn.XLOOKUP($AA71,Métrés!$A:$A,Métrés!$E:$E,0)),0)</f>
        <v>0</v>
      </c>
      <c r="AH71" s="1092">
        <f>IFERROR(R71*$G$1/(_xlfn.XLOOKUP($AA71,Métrés!$A:$A,Métrés!$E:$E,0)),0)</f>
        <v>0</v>
      </c>
      <c r="AI71" s="1092">
        <f>IFERROR(S71*$G$1/(_xlfn.XLOOKUP($AA71,Métrés!$A:$A,Métrés!$E:$E,0)),0)</f>
        <v>0</v>
      </c>
      <c r="AJ71" s="1022"/>
      <c r="AK71" s="638">
        <f t="shared" si="128"/>
        <v>0</v>
      </c>
      <c r="AL71" s="638">
        <f t="shared" si="129"/>
        <v>0</v>
      </c>
      <c r="AM71" s="638">
        <f t="shared" si="151"/>
        <v>0</v>
      </c>
      <c r="AN71" s="1017">
        <f t="shared" si="130"/>
        <v>0</v>
      </c>
      <c r="AO71" s="638">
        <f t="shared" si="131"/>
        <v>0</v>
      </c>
      <c r="AP71" s="638">
        <f t="shared" si="132"/>
        <v>0</v>
      </c>
      <c r="AQ71" s="1018">
        <f t="shared" si="133"/>
        <v>0</v>
      </c>
      <c r="AR71" s="1018">
        <f t="shared" si="134"/>
        <v>0</v>
      </c>
      <c r="AS71" s="1017">
        <f t="shared" si="135"/>
        <v>0</v>
      </c>
      <c r="AT71" s="638">
        <f t="shared" si="136"/>
        <v>0</v>
      </c>
      <c r="AU71" s="638">
        <f t="shared" si="137"/>
        <v>0</v>
      </c>
      <c r="AV71" s="1018">
        <f t="shared" si="138"/>
        <v>0</v>
      </c>
      <c r="AW71" s="1018">
        <f t="shared" si="139"/>
        <v>0</v>
      </c>
      <c r="AX71" s="1017">
        <f t="shared" si="140"/>
        <v>0</v>
      </c>
      <c r="AY71" s="638">
        <f t="shared" si="141"/>
        <v>0</v>
      </c>
      <c r="AZ71" s="638">
        <f t="shared" si="142"/>
        <v>0</v>
      </c>
      <c r="BA71" s="638">
        <f t="shared" si="143"/>
        <v>0</v>
      </c>
      <c r="BB71" s="1018">
        <f t="shared" si="144"/>
        <v>0</v>
      </c>
      <c r="BC71" s="1017"/>
      <c r="BF71" s="1018"/>
      <c r="BG71" s="1017">
        <f t="shared" si="145"/>
        <v>0</v>
      </c>
      <c r="BH71" s="638">
        <f t="shared" si="146"/>
        <v>0</v>
      </c>
      <c r="BI71" s="1018">
        <f t="shared" si="147"/>
        <v>0</v>
      </c>
      <c r="BJ71" s="638">
        <f>_xlfn.XLOOKUP(H71, 'Baumaterialien Matériaux'!A:A, 'Baumaterialien Matériaux'!E:E, "-", 0, 1)</f>
        <v>0</v>
      </c>
      <c r="BK71" s="1032">
        <f t="shared" si="152"/>
        <v>0</v>
      </c>
      <c r="BL71" s="1030">
        <f t="shared" si="153"/>
        <v>0</v>
      </c>
      <c r="BM71" s="1033">
        <f t="shared" si="154"/>
        <v>0</v>
      </c>
      <c r="BN71" s="720">
        <f>IFERROR((J71*VLOOKUP(H71, 'Baumaterialien Matériaux'!$A$11:$AH$318, 32,FALSE))*($L$2/L71-1),0)/$G$1</f>
        <v>0</v>
      </c>
      <c r="BO71" s="720">
        <f t="shared" si="148"/>
        <v>0</v>
      </c>
    </row>
    <row r="72" spans="2:67">
      <c r="B72" s="1103"/>
      <c r="C72" s="1099"/>
      <c r="D72" s="478"/>
      <c r="E72" s="478"/>
      <c r="F72" s="483"/>
      <c r="G72" s="478"/>
      <c r="H72" s="892"/>
      <c r="I72" s="641"/>
      <c r="J72" s="649"/>
      <c r="K72" s="647"/>
      <c r="L72" s="647"/>
      <c r="M72" s="648"/>
      <c r="N72" s="720"/>
      <c r="O72" s="720"/>
      <c r="P72" s="720"/>
      <c r="Q72" s="720"/>
      <c r="R72" s="720"/>
      <c r="S72" s="720"/>
      <c r="T72" s="720">
        <f t="shared" si="127"/>
        <v>0</v>
      </c>
      <c r="V72" s="638">
        <f t="shared" si="156"/>
        <v>0</v>
      </c>
      <c r="W72" s="638">
        <f t="shared" si="157"/>
        <v>0</v>
      </c>
      <c r="X72" s="638">
        <f t="shared" si="9"/>
        <v>0</v>
      </c>
      <c r="Z72" s="638">
        <f t="shared" si="10"/>
        <v>0</v>
      </c>
      <c r="AA72" s="648" t="s">
        <v>3443</v>
      </c>
      <c r="AB72">
        <f>_xlfn.XLOOKUP($H72,'[1]Baumaterialien Matériaux'!$A:$A,'[1]Baumaterialien Matériaux'!AK:AK,0,0)</f>
        <v>0</v>
      </c>
      <c r="AC72" t="str" cm="1">
        <f t="array" ref="AC72">_xlfn.SWITCH(I72,"kg"," ",0," ",_xlfn.XLOOKUP(H72, '[1]Baumaterialien Matériaux'!$A:$A, '[1]Baumaterialien Matériaux'!$AL:$AL, "-", 0, 1))</f>
        <v xml:space="preserve"> </v>
      </c>
      <c r="AD72" s="1112" cm="1">
        <f t="array" ref="AD72">IFERROR(_xlfn.SWITCH(I72,"kg",1,"m3",AC72,AC72)*J72/(_xlfn.XLOOKUP(AA72,Métrés!A:A,Métrés!E:E,0)),0)</f>
        <v>0</v>
      </c>
      <c r="AE72" s="1092">
        <f>IFERROR(N72*$G$1/(_xlfn.XLOOKUP($AA72,Métrés!$A:$A,Métrés!$E:$E,0)),0)</f>
        <v>0</v>
      </c>
      <c r="AF72" s="1092">
        <f>IFERROR(O72*$G$1/(_xlfn.XLOOKUP($AA72,Métrés!$A:$A,Métrés!$E:$E,0)),0)</f>
        <v>0</v>
      </c>
      <c r="AG72" s="1092">
        <f>IFERROR(Q72*$G$1/(_xlfn.XLOOKUP($AA72,Métrés!$A:$A,Métrés!$E:$E,0)),0)</f>
        <v>0</v>
      </c>
      <c r="AH72" s="1092">
        <f>IFERROR(R72*$G$1/(_xlfn.XLOOKUP($AA72,Métrés!$A:$A,Métrés!$E:$E,0)),0)</f>
        <v>0</v>
      </c>
      <c r="AI72" s="1092">
        <f>IFERROR(S72*$G$1/(_xlfn.XLOOKUP($AA72,Métrés!$A:$A,Métrés!$E:$E,0)),0)</f>
        <v>0</v>
      </c>
      <c r="AJ72" s="1022"/>
      <c r="AK72" s="638">
        <f t="shared" si="128"/>
        <v>0</v>
      </c>
      <c r="AL72" s="638">
        <f t="shared" si="129"/>
        <v>0</v>
      </c>
      <c r="AM72" s="638">
        <f t="shared" si="151"/>
        <v>0</v>
      </c>
      <c r="AN72" s="1017">
        <f t="shared" si="130"/>
        <v>0</v>
      </c>
      <c r="AO72" s="638">
        <f t="shared" si="131"/>
        <v>0</v>
      </c>
      <c r="AP72" s="638">
        <f t="shared" si="132"/>
        <v>0</v>
      </c>
      <c r="AQ72" s="1018">
        <f t="shared" si="133"/>
        <v>0</v>
      </c>
      <c r="AR72" s="1018">
        <f t="shared" si="134"/>
        <v>0</v>
      </c>
      <c r="AS72" s="1017">
        <f t="shared" si="135"/>
        <v>0</v>
      </c>
      <c r="AT72" s="638">
        <f t="shared" si="136"/>
        <v>0</v>
      </c>
      <c r="AU72" s="638">
        <f t="shared" si="137"/>
        <v>0</v>
      </c>
      <c r="AV72" s="1018">
        <f t="shared" si="138"/>
        <v>0</v>
      </c>
      <c r="AW72" s="1018">
        <f t="shared" si="139"/>
        <v>0</v>
      </c>
      <c r="AX72" s="1017">
        <f t="shared" si="140"/>
        <v>0</v>
      </c>
      <c r="AY72" s="638">
        <f t="shared" si="141"/>
        <v>0</v>
      </c>
      <c r="AZ72" s="638">
        <f t="shared" si="142"/>
        <v>0</v>
      </c>
      <c r="BA72" s="638">
        <f t="shared" si="143"/>
        <v>0</v>
      </c>
      <c r="BB72" s="1018">
        <f t="shared" si="144"/>
        <v>0</v>
      </c>
      <c r="BC72" s="1017"/>
      <c r="BF72" s="1018"/>
      <c r="BG72" s="1017">
        <f t="shared" si="145"/>
        <v>0</v>
      </c>
      <c r="BH72" s="638">
        <f t="shared" si="146"/>
        <v>0</v>
      </c>
      <c r="BI72" s="1018">
        <f t="shared" si="147"/>
        <v>0</v>
      </c>
      <c r="BJ72" s="638">
        <f>_xlfn.XLOOKUP(H72, 'Baumaterialien Matériaux'!A:A, 'Baumaterialien Matériaux'!E:E, "-", 0, 1)</f>
        <v>0</v>
      </c>
      <c r="BK72" s="1032">
        <f t="shared" si="152"/>
        <v>0</v>
      </c>
      <c r="BL72" s="1030">
        <f t="shared" si="153"/>
        <v>0</v>
      </c>
      <c r="BM72" s="1033">
        <f t="shared" si="154"/>
        <v>0</v>
      </c>
      <c r="BN72" s="720">
        <f>IFERROR((J72*VLOOKUP(H72, 'Baumaterialien Matériaux'!$A$11:$AH$318, 32,FALSE))*($L$2/L72-1),0)/$G$1</f>
        <v>0</v>
      </c>
      <c r="BO72" s="720">
        <f t="shared" si="148"/>
        <v>0</v>
      </c>
    </row>
    <row r="73" spans="2:67">
      <c r="B73" s="1103"/>
      <c r="C73" s="1099"/>
      <c r="D73" s="478"/>
      <c r="E73" s="478"/>
      <c r="G73" s="478"/>
      <c r="H73" s="875"/>
      <c r="I73" s="641"/>
      <c r="J73" s="649"/>
      <c r="K73" s="647"/>
      <c r="L73" s="647"/>
      <c r="M73" s="648"/>
      <c r="N73" s="720"/>
      <c r="O73" s="720"/>
      <c r="P73" s="720"/>
      <c r="Q73" s="720"/>
      <c r="R73" s="720"/>
      <c r="S73" s="720"/>
      <c r="T73" s="720">
        <f t="shared" si="127"/>
        <v>0</v>
      </c>
      <c r="V73" s="638">
        <f t="shared" si="156"/>
        <v>0</v>
      </c>
      <c r="W73" s="638">
        <f t="shared" si="157"/>
        <v>0</v>
      </c>
      <c r="X73" s="638">
        <f t="shared" si="9"/>
        <v>0</v>
      </c>
      <c r="Z73" s="638">
        <f t="shared" ref="Z73:Z137" si="158">L73</f>
        <v>0</v>
      </c>
      <c r="AA73" s="648" t="s">
        <v>3443</v>
      </c>
      <c r="AB73">
        <f>_xlfn.XLOOKUP($H73,'[1]Baumaterialien Matériaux'!$A:$A,'[1]Baumaterialien Matériaux'!AK:AK,0,0)</f>
        <v>0</v>
      </c>
      <c r="AC73" t="str" cm="1">
        <f t="array" ref="AC73">_xlfn.SWITCH(I73,"kg"," ",0," ",_xlfn.XLOOKUP(H73, '[1]Baumaterialien Matériaux'!$A:$A, '[1]Baumaterialien Matériaux'!$AL:$AL, "-", 0, 1))</f>
        <v xml:space="preserve"> </v>
      </c>
      <c r="AD73" s="1112" cm="1">
        <f t="array" ref="AD73">IFERROR(_xlfn.SWITCH(I73,"kg",1,"m3",AC73,AC73)*J73/(_xlfn.XLOOKUP(AA73,Métrés!A:A,Métrés!E:E,0)),0)</f>
        <v>0</v>
      </c>
      <c r="AE73" s="1092">
        <f>IFERROR(N73*$G$1/(_xlfn.XLOOKUP($AA73,Métrés!$A:$A,Métrés!$E:$E,0)),0)</f>
        <v>0</v>
      </c>
      <c r="AF73" s="1092">
        <f>IFERROR(O73*$G$1/(_xlfn.XLOOKUP($AA73,Métrés!$A:$A,Métrés!$E:$E,0)),0)</f>
        <v>0</v>
      </c>
      <c r="AG73" s="1092">
        <f>IFERROR(Q73*$G$1/(_xlfn.XLOOKUP($AA73,Métrés!$A:$A,Métrés!$E:$E,0)),0)</f>
        <v>0</v>
      </c>
      <c r="AH73" s="1092">
        <f>IFERROR(R73*$G$1/(_xlfn.XLOOKUP($AA73,Métrés!$A:$A,Métrés!$E:$E,0)),0)</f>
        <v>0</v>
      </c>
      <c r="AI73" s="1092">
        <f>IFERROR(S73*$G$1/(_xlfn.XLOOKUP($AA73,Métrés!$A:$A,Métrés!$E:$E,0)),0)</f>
        <v>0</v>
      </c>
      <c r="AJ73" s="1022"/>
      <c r="AK73" s="638">
        <f t="shared" si="128"/>
        <v>0</v>
      </c>
      <c r="AL73" s="638">
        <f t="shared" si="129"/>
        <v>0</v>
      </c>
      <c r="AM73" s="638">
        <f t="shared" si="151"/>
        <v>0</v>
      </c>
      <c r="AN73" s="1017">
        <f t="shared" si="130"/>
        <v>0</v>
      </c>
      <c r="AO73" s="638">
        <f t="shared" si="131"/>
        <v>0</v>
      </c>
      <c r="AP73" s="638">
        <f t="shared" si="132"/>
        <v>0</v>
      </c>
      <c r="AQ73" s="1018">
        <f t="shared" si="133"/>
        <v>0</v>
      </c>
      <c r="AR73" s="1018">
        <f t="shared" si="134"/>
        <v>0</v>
      </c>
      <c r="AS73" s="1017">
        <f t="shared" si="135"/>
        <v>0</v>
      </c>
      <c r="AT73" s="638">
        <f t="shared" si="136"/>
        <v>0</v>
      </c>
      <c r="AU73" s="638">
        <f t="shared" si="137"/>
        <v>0</v>
      </c>
      <c r="AV73" s="1018">
        <f t="shared" si="138"/>
        <v>0</v>
      </c>
      <c r="AW73" s="1018">
        <f t="shared" si="139"/>
        <v>0</v>
      </c>
      <c r="AX73" s="1017">
        <f t="shared" si="140"/>
        <v>0</v>
      </c>
      <c r="AY73" s="638">
        <f t="shared" si="141"/>
        <v>0</v>
      </c>
      <c r="AZ73" s="638">
        <f t="shared" si="142"/>
        <v>0</v>
      </c>
      <c r="BA73" s="638">
        <f t="shared" si="143"/>
        <v>0</v>
      </c>
      <c r="BB73" s="1018">
        <f t="shared" si="144"/>
        <v>0</v>
      </c>
      <c r="BC73" s="1017"/>
      <c r="BF73" s="1018"/>
      <c r="BG73" s="1017">
        <f t="shared" si="145"/>
        <v>0</v>
      </c>
      <c r="BH73" s="638">
        <f t="shared" si="146"/>
        <v>0</v>
      </c>
      <c r="BI73" s="1018">
        <f t="shared" si="147"/>
        <v>0</v>
      </c>
      <c r="BJ73" s="638">
        <f>_xlfn.XLOOKUP(H73, 'Baumaterialien Matériaux'!A:A, 'Baumaterialien Matériaux'!E:E, "-", 0, 1)</f>
        <v>0</v>
      </c>
      <c r="BK73" s="1032">
        <f t="shared" si="152"/>
        <v>0</v>
      </c>
      <c r="BL73" s="1030">
        <f t="shared" si="153"/>
        <v>0</v>
      </c>
      <c r="BM73" s="1033">
        <f t="shared" si="154"/>
        <v>0</v>
      </c>
      <c r="BN73" s="720">
        <f>IFERROR((J73*VLOOKUP(H73, 'Baumaterialien Matériaux'!$A$11:$AH$318, 32,FALSE))*($L$2/L73-1),0)/$G$1</f>
        <v>0</v>
      </c>
      <c r="BO73" s="720">
        <f t="shared" si="148"/>
        <v>0</v>
      </c>
    </row>
    <row r="74" spans="2:67">
      <c r="B74" s="1103"/>
      <c r="C74" s="1099"/>
      <c r="D74" s="478"/>
      <c r="E74" s="478"/>
      <c r="F74" s="454"/>
      <c r="G74" s="478"/>
      <c r="H74" s="478"/>
      <c r="I74" s="641"/>
      <c r="J74" s="649"/>
      <c r="K74" s="647"/>
      <c r="L74" s="647"/>
      <c r="M74" s="648"/>
      <c r="N74" s="720"/>
      <c r="O74" s="720"/>
      <c r="P74" s="720"/>
      <c r="Q74" s="720"/>
      <c r="R74" s="720"/>
      <c r="S74" s="720"/>
      <c r="T74" s="720">
        <f t="shared" si="127"/>
        <v>0</v>
      </c>
      <c r="V74" s="638">
        <f t="shared" si="156"/>
        <v>0</v>
      </c>
      <c r="W74" s="638">
        <f t="shared" si="157"/>
        <v>0</v>
      </c>
      <c r="X74" s="638">
        <f t="shared" si="9"/>
        <v>0</v>
      </c>
      <c r="Z74" s="638">
        <f t="shared" si="158"/>
        <v>0</v>
      </c>
      <c r="AA74" s="648" t="s">
        <v>3443</v>
      </c>
      <c r="AB74">
        <f>_xlfn.XLOOKUP($H74,'[1]Baumaterialien Matériaux'!$A:$A,'[1]Baumaterialien Matériaux'!AK:AK,0,0)</f>
        <v>0</v>
      </c>
      <c r="AC74" t="str" cm="1">
        <f t="array" ref="AC74">_xlfn.SWITCH(I74,"kg"," ",0," ",_xlfn.XLOOKUP(H74, '[1]Baumaterialien Matériaux'!$A:$A, '[1]Baumaterialien Matériaux'!$AL:$AL, "-", 0, 1))</f>
        <v xml:space="preserve"> </v>
      </c>
      <c r="AD74" s="1112" cm="1">
        <f t="array" ref="AD74">IFERROR(_xlfn.SWITCH(I74,"kg",1,"m3",AC74,AC74)*J74/(_xlfn.XLOOKUP(AA74,Métrés!A:A,Métrés!E:E,0)),0)</f>
        <v>0</v>
      </c>
      <c r="AE74" s="1092">
        <f>IFERROR(N74*$G$1/(_xlfn.XLOOKUP($AA74,Métrés!$A:$A,Métrés!$E:$E,0)),0)</f>
        <v>0</v>
      </c>
      <c r="AF74" s="1092">
        <f>IFERROR(O74*$G$1/(_xlfn.XLOOKUP($AA74,Métrés!$A:$A,Métrés!$E:$E,0)),0)</f>
        <v>0</v>
      </c>
      <c r="AG74" s="1092">
        <f>IFERROR(Q74*$G$1/(_xlfn.XLOOKUP($AA74,Métrés!$A:$A,Métrés!$E:$E,0)),0)</f>
        <v>0</v>
      </c>
      <c r="AH74" s="1092">
        <f>IFERROR(R74*$G$1/(_xlfn.XLOOKUP($AA74,Métrés!$A:$A,Métrés!$E:$E,0)),0)</f>
        <v>0</v>
      </c>
      <c r="AI74" s="1092">
        <f>IFERROR(S74*$G$1/(_xlfn.XLOOKUP($AA74,Métrés!$A:$A,Métrés!$E:$E,0)),0)</f>
        <v>0</v>
      </c>
      <c r="AJ74" s="1022"/>
      <c r="AK74" s="638">
        <f t="shared" si="128"/>
        <v>0</v>
      </c>
      <c r="AL74" s="638">
        <f t="shared" si="129"/>
        <v>0</v>
      </c>
      <c r="AM74" s="638">
        <f t="shared" si="151"/>
        <v>0</v>
      </c>
      <c r="AN74" s="1017">
        <f t="shared" si="130"/>
        <v>0</v>
      </c>
      <c r="AO74" s="638">
        <f t="shared" si="131"/>
        <v>0</v>
      </c>
      <c r="AP74" s="638">
        <f t="shared" si="132"/>
        <v>0</v>
      </c>
      <c r="AQ74" s="1018">
        <f t="shared" si="133"/>
        <v>0</v>
      </c>
      <c r="AR74" s="1018">
        <f t="shared" si="134"/>
        <v>0</v>
      </c>
      <c r="AS74" s="1017">
        <f t="shared" si="135"/>
        <v>0</v>
      </c>
      <c r="AT74" s="638">
        <f t="shared" si="136"/>
        <v>0</v>
      </c>
      <c r="AU74" s="638">
        <f t="shared" si="137"/>
        <v>0</v>
      </c>
      <c r="AV74" s="1018">
        <f t="shared" si="138"/>
        <v>0</v>
      </c>
      <c r="AW74" s="1018">
        <f t="shared" si="139"/>
        <v>0</v>
      </c>
      <c r="AX74" s="1017">
        <f t="shared" si="140"/>
        <v>0</v>
      </c>
      <c r="AY74" s="638">
        <f t="shared" si="141"/>
        <v>0</v>
      </c>
      <c r="AZ74" s="638">
        <f t="shared" si="142"/>
        <v>0</v>
      </c>
      <c r="BA74" s="638">
        <f t="shared" si="143"/>
        <v>0</v>
      </c>
      <c r="BB74" s="1018">
        <f t="shared" si="144"/>
        <v>0</v>
      </c>
      <c r="BC74" s="1017"/>
      <c r="BF74" s="1018"/>
      <c r="BG74" s="1017">
        <f t="shared" si="145"/>
        <v>0</v>
      </c>
      <c r="BH74" s="638">
        <f t="shared" si="146"/>
        <v>0</v>
      </c>
      <c r="BI74" s="1018">
        <f t="shared" si="147"/>
        <v>0</v>
      </c>
      <c r="BJ74" s="638">
        <f>_xlfn.XLOOKUP(H74, 'Baumaterialien Matériaux'!A:A, 'Baumaterialien Matériaux'!E:E, "-", 0, 1)</f>
        <v>0</v>
      </c>
      <c r="BK74" s="1032">
        <f t="shared" si="152"/>
        <v>0</v>
      </c>
      <c r="BL74" s="1030">
        <f t="shared" si="153"/>
        <v>0</v>
      </c>
      <c r="BM74" s="1033">
        <f t="shared" si="154"/>
        <v>0</v>
      </c>
      <c r="BN74" s="720">
        <f>IFERROR((J74*VLOOKUP(H74, 'Baumaterialien Matériaux'!$A$11:$AH$318, 32,FALSE))*($L$2/L74-1),0)/$G$1</f>
        <v>0</v>
      </c>
      <c r="BO74" s="720">
        <f t="shared" si="148"/>
        <v>0</v>
      </c>
    </row>
    <row r="75" spans="2:67">
      <c r="B75" s="1103"/>
      <c r="C75" s="1099"/>
      <c r="D75" s="478"/>
      <c r="E75" s="478"/>
      <c r="F75" s="454"/>
      <c r="G75" s="478"/>
      <c r="H75" s="478"/>
      <c r="I75" s="641"/>
      <c r="J75" s="649"/>
      <c r="K75" s="647"/>
      <c r="L75" s="647"/>
      <c r="M75" s="648"/>
      <c r="N75" s="720"/>
      <c r="O75" s="720"/>
      <c r="P75" s="720"/>
      <c r="Q75" s="720"/>
      <c r="R75" s="720"/>
      <c r="S75" s="720"/>
      <c r="T75" s="720">
        <f t="shared" si="127"/>
        <v>0</v>
      </c>
      <c r="V75" s="638">
        <f t="shared" si="156"/>
        <v>0</v>
      </c>
      <c r="W75" s="638">
        <f t="shared" si="157"/>
        <v>0</v>
      </c>
      <c r="X75" s="638">
        <f t="shared" si="9"/>
        <v>0</v>
      </c>
      <c r="Z75" s="638">
        <f t="shared" si="158"/>
        <v>0</v>
      </c>
      <c r="AA75" s="648" t="s">
        <v>3443</v>
      </c>
      <c r="AB75">
        <f>_xlfn.XLOOKUP($H75,'[1]Baumaterialien Matériaux'!$A:$A,'[1]Baumaterialien Matériaux'!AK:AK,0,0)</f>
        <v>0</v>
      </c>
      <c r="AC75" t="str" cm="1">
        <f t="array" ref="AC75">_xlfn.SWITCH(I75,"kg"," ",0," ",_xlfn.XLOOKUP(H75, '[1]Baumaterialien Matériaux'!$A:$A, '[1]Baumaterialien Matériaux'!$AL:$AL, "-", 0, 1))</f>
        <v xml:space="preserve"> </v>
      </c>
      <c r="AD75" s="1112" cm="1">
        <f t="array" ref="AD75">IFERROR(_xlfn.SWITCH(I75,"kg",1,"m3",AC75,AC75)*J75/(_xlfn.XLOOKUP(AA75,Métrés!A:A,Métrés!E:E,0)),0)</f>
        <v>0</v>
      </c>
      <c r="AE75" s="1092">
        <f>IFERROR(N75*$G$1/(_xlfn.XLOOKUP($AA75,Métrés!$A:$A,Métrés!$E:$E,0)),0)</f>
        <v>0</v>
      </c>
      <c r="AF75" s="1092">
        <f>IFERROR(O75*$G$1/(_xlfn.XLOOKUP($AA75,Métrés!$A:$A,Métrés!$E:$E,0)),0)</f>
        <v>0</v>
      </c>
      <c r="AG75" s="1092">
        <f>IFERROR(Q75*$G$1/(_xlfn.XLOOKUP($AA75,Métrés!$A:$A,Métrés!$E:$E,0)),0)</f>
        <v>0</v>
      </c>
      <c r="AH75" s="1092">
        <f>IFERROR(R75*$G$1/(_xlfn.XLOOKUP($AA75,Métrés!$A:$A,Métrés!$E:$E,0)),0)</f>
        <v>0</v>
      </c>
      <c r="AI75" s="1092">
        <f>IFERROR(S75*$G$1/(_xlfn.XLOOKUP($AA75,Métrés!$A:$A,Métrés!$E:$E,0)),0)</f>
        <v>0</v>
      </c>
      <c r="AJ75" s="1022"/>
      <c r="AK75" s="638">
        <f t="shared" si="128"/>
        <v>0</v>
      </c>
      <c r="AL75" s="638">
        <f t="shared" si="129"/>
        <v>0</v>
      </c>
      <c r="AM75" s="638">
        <f t="shared" si="151"/>
        <v>0</v>
      </c>
      <c r="AN75" s="1017">
        <f t="shared" si="130"/>
        <v>0</v>
      </c>
      <c r="AO75" s="638">
        <f t="shared" si="131"/>
        <v>0</v>
      </c>
      <c r="AP75" s="638">
        <f t="shared" si="132"/>
        <v>0</v>
      </c>
      <c r="AQ75" s="1018">
        <f t="shared" si="133"/>
        <v>0</v>
      </c>
      <c r="AR75" s="1018">
        <f t="shared" si="134"/>
        <v>0</v>
      </c>
      <c r="AS75" s="1017">
        <f t="shared" si="135"/>
        <v>0</v>
      </c>
      <c r="AT75" s="638">
        <f t="shared" si="136"/>
        <v>0</v>
      </c>
      <c r="AU75" s="638">
        <f t="shared" si="137"/>
        <v>0</v>
      </c>
      <c r="AV75" s="1018">
        <f t="shared" si="138"/>
        <v>0</v>
      </c>
      <c r="AW75" s="1018">
        <f t="shared" si="139"/>
        <v>0</v>
      </c>
      <c r="AX75" s="1017">
        <f t="shared" si="140"/>
        <v>0</v>
      </c>
      <c r="AY75" s="638">
        <f t="shared" si="141"/>
        <v>0</v>
      </c>
      <c r="AZ75" s="638">
        <f t="shared" si="142"/>
        <v>0</v>
      </c>
      <c r="BA75" s="638">
        <f t="shared" si="143"/>
        <v>0</v>
      </c>
      <c r="BB75" s="1018">
        <f t="shared" si="144"/>
        <v>0</v>
      </c>
      <c r="BC75" s="1017"/>
      <c r="BF75" s="1018"/>
      <c r="BG75" s="1017">
        <f t="shared" si="145"/>
        <v>0</v>
      </c>
      <c r="BH75" s="638">
        <f t="shared" si="146"/>
        <v>0</v>
      </c>
      <c r="BI75" s="1018">
        <f t="shared" si="147"/>
        <v>0</v>
      </c>
      <c r="BJ75" s="638">
        <f>_xlfn.XLOOKUP(H75, 'Baumaterialien Matériaux'!A:A, 'Baumaterialien Matériaux'!E:E, "-", 0, 1)</f>
        <v>0</v>
      </c>
      <c r="BK75" s="1032">
        <f t="shared" si="152"/>
        <v>0</v>
      </c>
      <c r="BL75" s="1030">
        <f t="shared" si="153"/>
        <v>0</v>
      </c>
      <c r="BM75" s="1033">
        <f t="shared" si="154"/>
        <v>0</v>
      </c>
      <c r="BN75" s="720">
        <f>IFERROR((J75*VLOOKUP(H75, 'Baumaterialien Matériaux'!$A$11:$AH$318, 32,FALSE))*($L$2/L75-1),0)/$G$1</f>
        <v>0</v>
      </c>
      <c r="BO75" s="720">
        <f t="shared" si="148"/>
        <v>0</v>
      </c>
    </row>
    <row r="76" spans="2:67">
      <c r="B76" s="1103"/>
      <c r="C76" s="1099"/>
      <c r="D76" s="478"/>
      <c r="E76" s="479" t="str">
        <f>BillQuantities!E25</f>
        <v>Non porteuse (moyenne) (avec enduit intérieur)</v>
      </c>
      <c r="F76" s="663" t="s">
        <v>3032</v>
      </c>
      <c r="G76" s="479"/>
      <c r="H76" s="479"/>
      <c r="I76" s="459" t="s">
        <v>39</v>
      </c>
      <c r="J76" s="662">
        <v>54.17</v>
      </c>
      <c r="K76" s="663"/>
      <c r="L76" s="663"/>
      <c r="M76" s="664">
        <f>SUM(M77:M79)</f>
        <v>2.5052754767629866</v>
      </c>
      <c r="N76" s="664">
        <f t="shared" ref="N76:T76" si="159">SUM(N77:N79)</f>
        <v>0.8601994330666225</v>
      </c>
      <c r="O76" s="664">
        <f t="shared" ref="O76" si="160">SUM(O77:O79)</f>
        <v>0.72114191472161193</v>
      </c>
      <c r="P76" s="664">
        <f t="shared" si="159"/>
        <v>0.89206678102068748</v>
      </c>
      <c r="Q76" s="664">
        <f t="shared" si="159"/>
        <v>3.1867347954064922E-2</v>
      </c>
      <c r="R76" s="664">
        <f t="shared" ref="R76" si="161">SUM(R77:R79)</f>
        <v>8.0780021557978528E-3</v>
      </c>
      <c r="S76" s="664">
        <f t="shared" si="159"/>
        <v>7.3294900294349326</v>
      </c>
      <c r="T76" s="664">
        <f t="shared" si="159"/>
        <v>-1.6857827067700346</v>
      </c>
      <c r="V76" s="638">
        <f t="shared" si="156"/>
        <v>-1.6857827067700346</v>
      </c>
      <c r="X76" s="638">
        <f t="shared" si="9"/>
        <v>0</v>
      </c>
      <c r="Z76" s="638">
        <f t="shared" si="158"/>
        <v>0</v>
      </c>
      <c r="AA76" s="648" t="s">
        <v>3443</v>
      </c>
      <c r="AB76">
        <f>_xlfn.XLOOKUP($H76,'[1]Baumaterialien Matériaux'!$A:$A,'[1]Baumaterialien Matériaux'!AK:AK,0,0)</f>
        <v>0</v>
      </c>
      <c r="AC76" cm="1">
        <f t="array" ref="AC76">_xlfn.SWITCH(I76,"kg"," ",0," ",_xlfn.XLOOKUP(H76, '[1]Baumaterialien Matériaux'!$A:$A, '[1]Baumaterialien Matériaux'!$AL:$AL, "-", 0, 1))</f>
        <v>0</v>
      </c>
      <c r="AD76" s="1112" cm="1">
        <f t="array" ref="AD76">IFERROR(_xlfn.SWITCH(I76,"kg",1,"m3",AC76,AC76)*J76/(_xlfn.XLOOKUP(AA76,Métrés!A:A,Métrés!E:E,0)),0)</f>
        <v>0</v>
      </c>
      <c r="AE76" s="1092">
        <f>IFERROR(N76*$G$1/(_xlfn.XLOOKUP($AA76,Métrés!$A:$A,Métrés!$E:$E,0)),0)</f>
        <v>1.4248151433476395</v>
      </c>
      <c r="AF76" s="1092">
        <f>IFERROR(O76*$G$1/(_xlfn.XLOOKUP($AA76,Métrés!$A:$A,Métrés!$E:$E,0)),0)</f>
        <v>1.1944833733905582</v>
      </c>
      <c r="AG76" s="1092">
        <f>IFERROR(Q76*$G$1/(_xlfn.XLOOKUP($AA76,Métrés!$A:$A,Métrés!$E:$E,0)),0)</f>
        <v>5.2784363948497851E-2</v>
      </c>
      <c r="AH76" s="1092">
        <f>IFERROR(R76*$G$1/(_xlfn.XLOOKUP($AA76,Métrés!$A:$A,Métrés!$E:$E,0)),0)</f>
        <v>1.3380222489270389E-2</v>
      </c>
      <c r="AI76" s="1092">
        <f>IFERROR(S76*$G$1/(_xlfn.XLOOKUP($AA76,Métrés!$A:$A,Métrés!$E:$E,0)),0)</f>
        <v>12.140403708154507</v>
      </c>
      <c r="AJ76" s="878"/>
      <c r="AK76" s="878"/>
      <c r="AL76" s="878"/>
      <c r="AM76" s="878"/>
      <c r="AN76" s="1053"/>
      <c r="AO76" s="878"/>
      <c r="AP76" s="878"/>
      <c r="AQ76" s="878"/>
      <c r="AR76" s="1054"/>
      <c r="AS76" s="1053"/>
      <c r="AT76" s="878"/>
      <c r="AU76" s="878"/>
      <c r="AV76" s="878"/>
      <c r="AW76" s="1054"/>
      <c r="AX76" s="1053"/>
      <c r="AY76" s="878"/>
      <c r="AZ76" s="878"/>
      <c r="BA76" s="878"/>
      <c r="BB76" s="1054"/>
      <c r="BC76" s="1053"/>
      <c r="BD76" s="878"/>
      <c r="BE76" s="878"/>
      <c r="BF76" s="1054"/>
      <c r="BG76" s="1053"/>
      <c r="BH76" s="878"/>
      <c r="BI76" s="1054"/>
      <c r="BJ76" s="878"/>
      <c r="BK76" s="1053"/>
      <c r="BL76" s="878"/>
      <c r="BM76" s="1054"/>
    </row>
    <row r="77" spans="2:67">
      <c r="B77" s="1103"/>
      <c r="C77" s="1099"/>
      <c r="D77" s="478"/>
      <c r="E77" s="478"/>
      <c r="F77" s="638" t="s">
        <v>3293</v>
      </c>
      <c r="G77" s="478" t="str">
        <f>_xlfn.XLOOKUP(H77, 'Baumaterialien Matériaux'!A:A, 'Baumaterialien Matériaux'!AD:AD, "-", 0, 1)</f>
        <v>Enduit minéral</v>
      </c>
      <c r="H77" s="892">
        <v>4.0010000000000003</v>
      </c>
      <c r="I77" s="641" t="str">
        <f>_xlfn.XLOOKUP(H77, 'Baumaterialien Matériaux'!A:A, 'Baumaterialien Matériaux'!F:F, "-", 0, 1)</f>
        <v>kg</v>
      </c>
      <c r="J77" s="649">
        <f>$J$76*K77</f>
        <v>2383.48</v>
      </c>
      <c r="K77" s="893">
        <f>0.04*1100</f>
        <v>44</v>
      </c>
      <c r="L77" s="647">
        <v>30</v>
      </c>
      <c r="M77" s="648">
        <f>SUM(N77:Q77)</f>
        <v>1.0864542348990507</v>
      </c>
      <c r="N77" s="720">
        <f>IFERROR(($J77*VLOOKUP($H77, 'Baumaterialien Matériaux'!$A$11:$AH$318, 26,FALSE)),0)/$G$1</f>
        <v>0.34090651299697361</v>
      </c>
      <c r="O77" s="720">
        <f>IFERROR(($J77*VLOOKUP($H77, 'Baumaterialien Matériaux'!$A$11:$AH$318, 33,FALSE)),0)/$G$1</f>
        <v>0.34090651299697361</v>
      </c>
      <c r="P77" s="720">
        <f>IFERROR((N77+Q77)*($L$2/L77-1),0)</f>
        <v>0.37277386095103854</v>
      </c>
      <c r="Q77" s="720">
        <f>IFERROR(($J77*VLOOKUP($H77, 'Baumaterialien Matériaux'!$A$11:$AH$318, 27,FALSE)),0)/$G$1</f>
        <v>3.1867347954064922E-2</v>
      </c>
      <c r="R77" s="720">
        <f>IFERROR(($J77*VLOOKUP($H77, 'Baumaterialien Matériaux'!$A$11:$AH$318, 34,FALSE)),0)/$G$1</f>
        <v>8.0780021557978528E-3</v>
      </c>
      <c r="S77" s="720">
        <f>IFERROR((J77*VLOOKUP(H77, 'Baumaterialien Matériaux'!$A$11:$AD$318, 29,FALSE)),0)/$G$1</f>
        <v>0</v>
      </c>
      <c r="T77" s="720">
        <f>S77*AJ77</f>
        <v>0</v>
      </c>
      <c r="V77" s="638">
        <f t="shared" si="156"/>
        <v>0</v>
      </c>
      <c r="W77" s="638">
        <f t="shared" si="157"/>
        <v>0</v>
      </c>
      <c r="X77" s="638" t="str">
        <f t="shared" si="9"/>
        <v>Revêtement</v>
      </c>
      <c r="Z77" s="638">
        <f t="shared" si="158"/>
        <v>30</v>
      </c>
      <c r="AA77" s="648" t="s">
        <v>3443</v>
      </c>
      <c r="AB77" t="str">
        <f>_xlfn.XLOOKUP($H77,'[1]Baumaterialien Matériaux'!$A:$A,'[1]Baumaterialien Matériaux'!AK:AK,0,0)</f>
        <v>autre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1112" cm="1">
        <f t="array" ref="AD77">IFERROR(_xlfn.SWITCH(I77,"kg",1,"m3",AC77,AC77)*J77/(_xlfn.XLOOKUP(AA77,Métrés!A:A,Métrés!E:E,0)),0)</f>
        <v>4.0918111587982837</v>
      </c>
      <c r="AE77" s="1092">
        <f>IFERROR(N77*$G$1/(_xlfn.XLOOKUP($AA77,Métrés!$A:$A,Métrés!$E:$E,0)),0)</f>
        <v>0.56466993991416314</v>
      </c>
      <c r="AF77" s="1092">
        <f>IFERROR(O77*$G$1/(_xlfn.XLOOKUP($AA77,Métrés!$A:$A,Métrés!$E:$E,0)),0)</f>
        <v>0.56466993991416314</v>
      </c>
      <c r="AG77" s="1092">
        <f>IFERROR(Q77*$G$1/(_xlfn.XLOOKUP($AA77,Métrés!$A:$A,Métrés!$E:$E,0)),0)</f>
        <v>5.2784363948497851E-2</v>
      </c>
      <c r="AH77" s="1092">
        <f>IFERROR(R77*$G$1/(_xlfn.XLOOKUP($AA77,Métrés!$A:$A,Métrés!$E:$E,0)),0)</f>
        <v>1.3380222489270389E-2</v>
      </c>
      <c r="AI77" s="1092">
        <f>IFERROR(S77*$G$1/(_xlfn.XLOOKUP($AA77,Métrés!$A:$A,Métrés!$E:$E,0)),0)</f>
        <v>0</v>
      </c>
      <c r="AJ77" s="1022"/>
      <c r="AK77" s="638">
        <f>IF(L77=60,0,T77)</f>
        <v>0</v>
      </c>
      <c r="AL77" s="638">
        <f>IF(L77=60,0,S77)</f>
        <v>0</v>
      </c>
      <c r="AM77" s="638" t="str">
        <f>IF(L77=$L$2, "Structure", IF(L77&gt;0,"Revêtement",0))</f>
        <v>Revêtement</v>
      </c>
      <c r="AN77" s="1017">
        <f>IF(AM77="Structure",N77,0)</f>
        <v>0</v>
      </c>
      <c r="AO77" s="638">
        <f>IF(AM77="Structure",P77,0)</f>
        <v>0</v>
      </c>
      <c r="AP77" s="638">
        <f>IF(AM77="Structure",Q77,0)</f>
        <v>0</v>
      </c>
      <c r="AQ77" s="1018">
        <f>IF(AM77="Structure",S77,0)</f>
        <v>0</v>
      </c>
      <c r="AR77" s="1018">
        <f>IF(AM77="Structure",T77,0)</f>
        <v>0</v>
      </c>
      <c r="AS77" s="1017">
        <f>IF(AM77="Insulation",N77,0)</f>
        <v>0</v>
      </c>
      <c r="AT77" s="638">
        <f>IF(AM77="Insulation",P77,0)</f>
        <v>0</v>
      </c>
      <c r="AU77" s="638">
        <f>IF(AM77="Insulation",Q77,0)</f>
        <v>0</v>
      </c>
      <c r="AV77" s="1018">
        <f>IF(AM77="Insulation",S77,0)</f>
        <v>0</v>
      </c>
      <c r="AW77" s="1018">
        <f>IF(AM77="Insulation",T77,0)</f>
        <v>0</v>
      </c>
      <c r="AX77" s="1017">
        <f>IF(AM77="Revêtement",N77,0)</f>
        <v>0.34090651299697361</v>
      </c>
      <c r="AY77" s="638">
        <f>IF(AM77="Revêtement",P77,0)</f>
        <v>0.37277386095103854</v>
      </c>
      <c r="AZ77" s="638">
        <f>IF(AM77="Revêtement",Q77,0)</f>
        <v>3.1867347954064922E-2</v>
      </c>
      <c r="BA77" s="638">
        <f>IF(AM77="Revêtement",S77,0)</f>
        <v>0</v>
      </c>
      <c r="BB77" s="1018">
        <f>IF(AM77="Revêtement",T77,0)</f>
        <v>0</v>
      </c>
      <c r="BC77" s="1017"/>
      <c r="BF77" s="1018"/>
      <c r="BG77" s="1017">
        <f>IF($AM77="Structure", IF($I77="kg",$J77,0), 0)</f>
        <v>0</v>
      </c>
      <c r="BH77" s="638">
        <f>IF($AM77="Insulation", IF($I77="kg",$J77,0), 0)</f>
        <v>0</v>
      </c>
      <c r="BI77" s="1018">
        <f>IF($AM77="Revêtement", IF($I77="kg",$J77,0), 0)</f>
        <v>2383.48</v>
      </c>
      <c r="BJ77" s="638">
        <f>_xlfn.XLOOKUP(H77, 'Baumaterialien Matériaux'!A:A, 'Baumaterialien Matériaux'!E:E, "-", 0, 1)</f>
        <v>1100</v>
      </c>
      <c r="BK77" s="1032">
        <f t="shared" si="152"/>
        <v>0</v>
      </c>
      <c r="BL77" s="1030">
        <f t="shared" si="153"/>
        <v>0</v>
      </c>
      <c r="BM77" s="1033">
        <f t="shared" si="154"/>
        <v>2.1667999999999998</v>
      </c>
      <c r="BN77" s="720">
        <f>IFERROR((J77*VLOOKUP(H77, 'Baumaterialien Matériaux'!$A$11:$AH$318, 32,FALSE))*($L$2/L77-1),0)/$G$1</f>
        <v>0.35078786119978433</v>
      </c>
      <c r="BO77" s="720">
        <f t="shared" ref="BO77:BO83" si="162">IFERROR((N77+Q77)*($L$2/L77-1),0)</f>
        <v>0.37277386095103854</v>
      </c>
    </row>
    <row r="78" spans="2:67">
      <c r="B78" s="1103"/>
      <c r="C78" s="1099"/>
      <c r="D78" s="478"/>
      <c r="E78" s="478"/>
      <c r="F78" s="454" t="s">
        <v>3295</v>
      </c>
      <c r="G78" s="478" t="str">
        <f>_xlfn.XLOOKUP(H78, 'Baumaterialien Matériaux'!A:A, 'Baumaterialien Matériaux'!AD:AD, "-", 0, 1)</f>
        <v>Botte de paille pour la construction</v>
      </c>
      <c r="H78" s="892">
        <v>10.015000000000001</v>
      </c>
      <c r="I78" s="641" t="str">
        <f>_xlfn.XLOOKUP(H78, 'Baumaterialien Matériaux'!A:A, 'Baumaterialien Matériaux'!F:F, "-", 0, 1)</f>
        <v>kg</v>
      </c>
      <c r="J78" s="649">
        <f>$J$76*K78</f>
        <v>5240.9475000000002</v>
      </c>
      <c r="K78" s="528">
        <f>0.45*215</f>
        <v>96.75</v>
      </c>
      <c r="L78" s="647">
        <v>30</v>
      </c>
      <c r="M78" s="648">
        <f t="shared" ref="M78:M83" si="163">SUM(N78:Q78)</f>
        <v>1.4188212418639361</v>
      </c>
      <c r="N78" s="720">
        <f>IFERROR(($J78*VLOOKUP($H78, 'Baumaterialien Matériaux'!$A$11:$AH$318, 26,FALSE)),0)/$G$1</f>
        <v>0.51929292006964889</v>
      </c>
      <c r="O78" s="720">
        <f>IFERROR(($J78*VLOOKUP($H78, 'Baumaterialien Matériaux'!$A$11:$AH$318, 33,FALSE)),0)/$G$1</f>
        <v>0.38023540172463832</v>
      </c>
      <c r="P78" s="720">
        <f t="shared" ref="P78:P83" si="164">IFERROR((N78+Q78)*($L$2/L78-1),0)</f>
        <v>0.51929292006964889</v>
      </c>
      <c r="Q78" s="720">
        <f>IFERROR(($J78*VLOOKUP($H78, 'Baumaterialien Matériaux'!$A$11:$AH$318, 27,FALSE)),0)/$G$1</f>
        <v>0</v>
      </c>
      <c r="R78" s="720">
        <f>IFERROR(($J78*VLOOKUP($H78, 'Baumaterialien Matériaux'!$A$11:$AH$318, 34,FALSE)),0)/$G$1</f>
        <v>0</v>
      </c>
      <c r="S78" s="720">
        <f>IFERROR((J78*VLOOKUP(H78, 'Baumaterialien Matériaux'!$A$11:$AD$318, 29,FALSE)),0)/$G$1</f>
        <v>7.3294900294349326</v>
      </c>
      <c r="T78" s="720">
        <f>S78*AJ78</f>
        <v>-1.6857827067700346</v>
      </c>
      <c r="U78" s="638">
        <v>-0.23</v>
      </c>
      <c r="V78" s="638">
        <f t="shared" si="156"/>
        <v>-1.6857827067700346</v>
      </c>
      <c r="W78" s="638">
        <f t="shared" si="157"/>
        <v>7.3294900294349326</v>
      </c>
      <c r="X78" s="638" t="str">
        <f t="shared" si="9"/>
        <v>Revêtement</v>
      </c>
      <c r="Z78" s="638">
        <f t="shared" si="158"/>
        <v>30</v>
      </c>
      <c r="AA78" s="648" t="s">
        <v>3443</v>
      </c>
      <c r="AB78" t="str">
        <f>_xlfn.XLOOKUP($H78,'[1]Baumaterialien Matériaux'!$A:$A,'[1]Baumaterialien Matériaux'!AK:AK,0,0)</f>
        <v>vegetal_fiber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1112" cm="1">
        <f t="array" ref="AD78">IFERROR(_xlfn.SWITCH(I78,"kg",1,"m3",AC78,AC78)*J78/(_xlfn.XLOOKUP(AA78,Métrés!A:A,Métrés!E:E,0)),0)</f>
        <v>8.9973347639484977</v>
      </c>
      <c r="AE78" s="1092">
        <f>IFERROR(N78*$G$1/(_xlfn.XLOOKUP($AA78,Métrés!$A:$A,Métrés!$E:$E,0)),0)</f>
        <v>0.86014520343347645</v>
      </c>
      <c r="AF78" s="1092">
        <f>IFERROR(O78*$G$1/(_xlfn.XLOOKUP($AA78,Métrés!$A:$A,Métrés!$E:$E,0)),0)</f>
        <v>0.62981343347639496</v>
      </c>
      <c r="AG78" s="1092">
        <f>IFERROR(Q78*$G$1/(_xlfn.XLOOKUP($AA78,Métrés!$A:$A,Métrés!$E:$E,0)),0)</f>
        <v>0</v>
      </c>
      <c r="AH78" s="1092">
        <f>IFERROR(R78*$G$1/(_xlfn.XLOOKUP($AA78,Métrés!$A:$A,Métrés!$E:$E,0)),0)</f>
        <v>0</v>
      </c>
      <c r="AI78" s="1092">
        <f>IFERROR(S78*$G$1/(_xlfn.XLOOKUP($AA78,Métrés!$A:$A,Métrés!$E:$E,0)),0)</f>
        <v>12.140403708154507</v>
      </c>
      <c r="AJ78" s="1022">
        <v>-0.23</v>
      </c>
      <c r="AK78" s="638">
        <f>IF(L78=60,0,T78)</f>
        <v>-1.6857827067700346</v>
      </c>
      <c r="AL78" s="638">
        <f>IF(L78=60,0,S78)</f>
        <v>7.3294900294349326</v>
      </c>
      <c r="AM78" s="638" t="s">
        <v>3388</v>
      </c>
      <c r="AN78" s="1017">
        <f>IF(AM78="Structure",N78,0)</f>
        <v>0</v>
      </c>
      <c r="AO78" s="638">
        <f>IF(AM78="Structure",P78,0)</f>
        <v>0</v>
      </c>
      <c r="AP78" s="638">
        <f>IF(AM78="Structure",Q78,0)</f>
        <v>0</v>
      </c>
      <c r="AQ78" s="1018">
        <f>IF(AM78="Structure",S78,0)</f>
        <v>0</v>
      </c>
      <c r="AR78" s="1018">
        <f>IF(AM78="Structure",T78,0)</f>
        <v>0</v>
      </c>
      <c r="AS78" s="1017">
        <f>IF(AM78="Insulation",N78,0)</f>
        <v>0.51929292006964889</v>
      </c>
      <c r="AT78" s="638">
        <f>IF(AM78="Insulation",P78,0)</f>
        <v>0.51929292006964889</v>
      </c>
      <c r="AU78" s="638">
        <f>IF(AM78="Insulation",Q78,0)</f>
        <v>0</v>
      </c>
      <c r="AV78" s="1018">
        <f>IF(AM78="Insulation",S78,0)</f>
        <v>7.3294900294349326</v>
      </c>
      <c r="AW78" s="1018">
        <f>IF(AM78="Insulation",T78,0)</f>
        <v>-1.6857827067700346</v>
      </c>
      <c r="AX78" s="1017">
        <f>IF(AM78="Revêtement",N78,0)</f>
        <v>0</v>
      </c>
      <c r="AY78" s="638">
        <f>IF(AM78="Revêtement",P78,0)</f>
        <v>0</v>
      </c>
      <c r="AZ78" s="638">
        <f>IF(AM78="Revêtement",Q78,0)</f>
        <v>0</v>
      </c>
      <c r="BA78" s="638">
        <f>IF(AM78="Revêtement",S78,0)</f>
        <v>0</v>
      </c>
      <c r="BB78" s="1018">
        <f>IF(AM78="Revêtement",T78,0)</f>
        <v>0</v>
      </c>
      <c r="BC78" s="1017"/>
      <c r="BF78" s="1018"/>
      <c r="BG78" s="1017">
        <f>IF($AM78="Structure", IF($I78="kg",$J78,0), 0)</f>
        <v>0</v>
      </c>
      <c r="BH78" s="638">
        <f>IF($AM78="Insulation", IF($I78="kg",$J78,0), 0)</f>
        <v>5240.9475000000002</v>
      </c>
      <c r="BI78" s="1018">
        <f>IF($AM78="Revêtement", IF($I78="kg",$J78,0), 0)</f>
        <v>0</v>
      </c>
      <c r="BJ78" s="638">
        <f>_xlfn.XLOOKUP(H78, 'Baumaterialien Matériaux'!A:A, 'Baumaterialien Matériaux'!E:E, "-", 0, 1)</f>
        <v>215</v>
      </c>
      <c r="BK78" s="1032">
        <f t="shared" si="152"/>
        <v>0</v>
      </c>
      <c r="BL78" s="1030">
        <f t="shared" si="153"/>
        <v>24.3765</v>
      </c>
      <c r="BM78" s="1033">
        <f t="shared" si="154"/>
        <v>0</v>
      </c>
      <c r="BN78" s="720">
        <f>IFERROR((J78*VLOOKUP(H78, 'Baumaterialien Matériaux'!$A$11:$AH$318, 32,FALSE))*($L$2/L78-1),0)/$G$1</f>
        <v>0.38023540172463832</v>
      </c>
      <c r="BO78" s="720">
        <f t="shared" si="162"/>
        <v>0.51929292006964889</v>
      </c>
    </row>
    <row r="79" spans="2:67">
      <c r="B79" s="1103"/>
      <c r="C79" s="1099"/>
      <c r="D79" s="478"/>
      <c r="E79" s="478"/>
      <c r="F79" s="483" t="s">
        <v>3294</v>
      </c>
      <c r="G79" s="478" t="str">
        <f>_xlfn.XLOOKUP(H79, 'Baumaterialien Matériaux'!A:A, 'Baumaterialien Matériaux'!AD:AD, "-", 0, 1)</f>
        <v>-</v>
      </c>
      <c r="H79" s="885"/>
      <c r="I79" s="641">
        <f>_xlfn.XLOOKUP(H79, 'Baumaterialien Matériaux'!A:A, 'Baumaterialien Matériaux'!F:F, "-", 0, 1)</f>
        <v>0</v>
      </c>
      <c r="J79" s="649">
        <f>$J$76*K79</f>
        <v>0</v>
      </c>
      <c r="K79" s="647"/>
      <c r="L79" s="647"/>
      <c r="M79" s="648">
        <f t="shared" si="163"/>
        <v>0</v>
      </c>
      <c r="N79" s="720">
        <f>IFERROR(($J79*VLOOKUP($H79, 'Baumaterialien Matériaux'!$A$11:$AH$318, 26,FALSE)),0)/$G$1</f>
        <v>0</v>
      </c>
      <c r="O79" s="720">
        <f>IFERROR(($J79*VLOOKUP($H79, 'Baumaterialien Matériaux'!$A$11:$AH$318, 33,FALSE)),0)/$G$1</f>
        <v>0</v>
      </c>
      <c r="P79" s="720">
        <f t="shared" si="164"/>
        <v>0</v>
      </c>
      <c r="Q79" s="720">
        <f>IFERROR(($J79*VLOOKUP($H79, 'Baumaterialien Matériaux'!$A$11:$AH$318, 27,FALSE)),0)/$G$1</f>
        <v>0</v>
      </c>
      <c r="R79" s="720">
        <f>IFERROR(($J79*VLOOKUP($H79, 'Baumaterialien Matériaux'!$A$11:$AH$318, 34,FALSE)),0)/$G$1</f>
        <v>0</v>
      </c>
      <c r="S79" s="720">
        <f>IFERROR((J79*VLOOKUP(H79, 'Baumaterialien Matériaux'!$A$11:$AD$318, 29,FALSE)),0)/$G$1</f>
        <v>0</v>
      </c>
      <c r="T79" s="720">
        <f>S79*AJ79</f>
        <v>0</v>
      </c>
      <c r="V79" s="638">
        <f t="shared" si="156"/>
        <v>0</v>
      </c>
      <c r="W79" s="638">
        <f t="shared" si="157"/>
        <v>0</v>
      </c>
      <c r="X79" s="638">
        <f t="shared" si="9"/>
        <v>0</v>
      </c>
      <c r="Z79" s="638">
        <f t="shared" si="158"/>
        <v>0</v>
      </c>
      <c r="AA79" s="648" t="s">
        <v>3443</v>
      </c>
      <c r="AB79">
        <f>_xlfn.XLOOKUP($H79,'[1]Baumaterialien Matériaux'!$A:$A,'[1]Baumaterialien Matériaux'!AK:AK,0,0)</f>
        <v>0</v>
      </c>
      <c r="AC79" t="str" cm="1">
        <f t="array" ref="AC79">_xlfn.SWITCH(I79,"kg"," ",0," ",_xlfn.XLOOKUP(H79, '[1]Baumaterialien Matériaux'!$A:$A, '[1]Baumaterialien Matériaux'!$AL:$AL, "-", 0, 1))</f>
        <v xml:space="preserve"> </v>
      </c>
      <c r="AD79" s="1112" cm="1">
        <f t="array" ref="AD79">IFERROR(_xlfn.SWITCH(I79,"kg",1,"m3",AC79,AC79)*J79/(_xlfn.XLOOKUP(AA79,Métrés!A:A,Métrés!E:E,0)),0)</f>
        <v>0</v>
      </c>
      <c r="AE79" s="1092">
        <f>IFERROR(N79*$G$1/(_xlfn.XLOOKUP($AA79,Métrés!$A:$A,Métrés!$E:$E,0)),0)</f>
        <v>0</v>
      </c>
      <c r="AF79" s="1092">
        <f>IFERROR(O79*$G$1/(_xlfn.XLOOKUP($AA79,Métrés!$A:$A,Métrés!$E:$E,0)),0)</f>
        <v>0</v>
      </c>
      <c r="AG79" s="1092">
        <f>IFERROR(Q79*$G$1/(_xlfn.XLOOKUP($AA79,Métrés!$A:$A,Métrés!$E:$E,0)),0)</f>
        <v>0</v>
      </c>
      <c r="AH79" s="1092">
        <f>IFERROR(R79*$G$1/(_xlfn.XLOOKUP($AA79,Métrés!$A:$A,Métrés!$E:$E,0)),0)</f>
        <v>0</v>
      </c>
      <c r="AI79" s="1092">
        <f>IFERROR(S79*$G$1/(_xlfn.XLOOKUP($AA79,Métrés!$A:$A,Métrés!$E:$E,0)),0)</f>
        <v>0</v>
      </c>
      <c r="AJ79" s="1022"/>
      <c r="AK79" s="638">
        <f>IF(L79=60,0,T79)</f>
        <v>0</v>
      </c>
      <c r="AL79" s="638">
        <f>IF(L79=60,0,S79)</f>
        <v>0</v>
      </c>
      <c r="AM79" s="638">
        <f>IF(L79=$L$2, "Structure", IF(L79&gt;0,"Revêtement",0))</f>
        <v>0</v>
      </c>
      <c r="AN79" s="1017">
        <f>IF(AM79="Structure",N79,0)</f>
        <v>0</v>
      </c>
      <c r="AO79" s="638">
        <f>IF(AM79="Structure",P79,0)</f>
        <v>0</v>
      </c>
      <c r="AP79" s="638">
        <f>IF(AM79="Structure",Q79,0)</f>
        <v>0</v>
      </c>
      <c r="AQ79" s="1018">
        <f>IF(AM79="Structure",S79,0)</f>
        <v>0</v>
      </c>
      <c r="AR79" s="1018">
        <f>IF(AM79="Structure",T79,0)</f>
        <v>0</v>
      </c>
      <c r="AS79" s="1017">
        <f>IF(AM79="Insulation",N79,0)</f>
        <v>0</v>
      </c>
      <c r="AT79" s="638">
        <f>IF(AM79="Insulation",P79,0)</f>
        <v>0</v>
      </c>
      <c r="AU79" s="638">
        <f>IF(AM79="Insulation",Q79,0)</f>
        <v>0</v>
      </c>
      <c r="AV79" s="1018">
        <f>IF(AM79="Insulation",S79,0)</f>
        <v>0</v>
      </c>
      <c r="AW79" s="1018">
        <f>IF(AM79="Insulation",T79,0)</f>
        <v>0</v>
      </c>
      <c r="AX79" s="1017">
        <f>IF(AM79="Revêtement",N79,0)</f>
        <v>0</v>
      </c>
      <c r="AY79" s="638">
        <f>IF(AM79="Revêtement",P79,0)</f>
        <v>0</v>
      </c>
      <c r="AZ79" s="638">
        <f>IF(AM79="Revêtement",Q79,0)</f>
        <v>0</v>
      </c>
      <c r="BA79" s="638">
        <f>IF(AM79="Revêtement",S79,0)</f>
        <v>0</v>
      </c>
      <c r="BB79" s="1018">
        <f>IF(AM79="Revêtement",T79,0)</f>
        <v>0</v>
      </c>
      <c r="BC79" s="1017"/>
      <c r="BF79" s="1018"/>
      <c r="BG79" s="1017">
        <f>IF($AM79="Structure", IF($I79="kg",$J79,0), 0)</f>
        <v>0</v>
      </c>
      <c r="BH79" s="638">
        <f>IF($AM79="Insulation", IF($I79="kg",$J79,0), 0)</f>
        <v>0</v>
      </c>
      <c r="BI79" s="1018">
        <f>IF($AM79="Revêtement", IF($I79="kg",$J79,0), 0)</f>
        <v>0</v>
      </c>
      <c r="BJ79" s="638">
        <f>_xlfn.XLOOKUP(H79, 'Baumaterialien Matériaux'!A:A, 'Baumaterialien Matériaux'!E:E, "-", 0, 1)</f>
        <v>0</v>
      </c>
      <c r="BK79" s="1032">
        <f t="shared" si="152"/>
        <v>0</v>
      </c>
      <c r="BL79" s="1030">
        <f t="shared" si="153"/>
        <v>0</v>
      </c>
      <c r="BM79" s="1033">
        <f t="shared" si="154"/>
        <v>0</v>
      </c>
      <c r="BN79" s="720">
        <f>IFERROR((J79*VLOOKUP(H79, 'Baumaterialien Matériaux'!$A$11:$AH$318, 32,FALSE))*($L$2/L79-1),0)/$G$1</f>
        <v>0</v>
      </c>
      <c r="BO79" s="720">
        <f t="shared" si="162"/>
        <v>0</v>
      </c>
    </row>
    <row r="80" spans="2:67">
      <c r="B80" s="1103"/>
      <c r="C80" s="1099"/>
      <c r="D80" s="478"/>
      <c r="E80" s="478"/>
      <c r="F80" s="663" t="s">
        <v>3033</v>
      </c>
      <c r="G80" s="479"/>
      <c r="H80" s="479"/>
      <c r="I80" s="459" t="s">
        <v>39</v>
      </c>
      <c r="J80" s="662">
        <v>41.06</v>
      </c>
      <c r="K80" s="663"/>
      <c r="L80" s="663"/>
      <c r="M80" s="664">
        <f>SUM(M81:M86)</f>
        <v>1.6599714875005185</v>
      </c>
      <c r="N80" s="664">
        <f t="shared" ref="N80:T80" si="165">SUM(N81:N86)</f>
        <v>0.56454733841880533</v>
      </c>
      <c r="O80" s="664">
        <f t="shared" ref="O80" si="166">SUM(O81:O86)</f>
        <v>0.48256692301314219</v>
      </c>
      <c r="P80" s="664">
        <f t="shared" si="165"/>
        <v>0.58870228224368815</v>
      </c>
      <c r="Q80" s="664">
        <f t="shared" si="165"/>
        <v>2.4154943824882882E-2</v>
      </c>
      <c r="R80" s="664">
        <f t="shared" ref="R80" si="167">SUM(R81:R86)</f>
        <v>6.1229973881679872E-3</v>
      </c>
      <c r="S80" s="664">
        <f t="shared" si="165"/>
        <v>4.3210510620068261</v>
      </c>
      <c r="T80" s="664">
        <f t="shared" si="165"/>
        <v>-0.99384174426157001</v>
      </c>
      <c r="V80" s="638">
        <f t="shared" si="156"/>
        <v>-0.99384174426157001</v>
      </c>
      <c r="X80" s="638">
        <f t="shared" si="9"/>
        <v>0</v>
      </c>
      <c r="Z80" s="638">
        <f t="shared" si="158"/>
        <v>0</v>
      </c>
      <c r="AA80" s="648" t="s">
        <v>3443</v>
      </c>
      <c r="AB80">
        <f>_xlfn.XLOOKUP($H80,'[1]Baumaterialien Matériaux'!$A:$A,'[1]Baumaterialien Matériaux'!AK:AK,0,0)</f>
        <v>0</v>
      </c>
      <c r="AC80" cm="1">
        <f t="array" ref="AC80">_xlfn.SWITCH(I80,"kg"," ",0," ",_xlfn.XLOOKUP(H80, '[1]Baumaterialien Matériaux'!$A:$A, '[1]Baumaterialien Matériaux'!$AL:$AL, "-", 0, 1))</f>
        <v>0</v>
      </c>
      <c r="AD80" s="1112" cm="1">
        <f t="array" ref="AD80">IFERROR(_xlfn.SWITCH(I80,"kg",1,"m3",AC80,AC80)*J80/(_xlfn.XLOOKUP(AA80,Métrés!A:A,Métrés!E:E,0)),0)</f>
        <v>0</v>
      </c>
      <c r="AE80" s="1092">
        <f>IFERROR(N80*$G$1/(_xlfn.XLOOKUP($AA80,Métrés!$A:$A,Métrés!$E:$E,0)),0)</f>
        <v>0.93510361201716763</v>
      </c>
      <c r="AF80" s="1092">
        <f>IFERROR(O80*$G$1/(_xlfn.XLOOKUP($AA80,Métrés!$A:$A,Métrés!$E:$E,0)),0)</f>
        <v>0.79931308154506464</v>
      </c>
      <c r="AG80" s="1092">
        <f>IFERROR(Q80*$G$1/(_xlfn.XLOOKUP($AA80,Métrés!$A:$A,Métrés!$E:$E,0)),0)</f>
        <v>4.0009709871244636E-2</v>
      </c>
      <c r="AH80" s="1092">
        <f>IFERROR(R80*$G$1/(_xlfn.XLOOKUP($AA80,Métrés!$A:$A,Métrés!$E:$E,0)),0)</f>
        <v>1.0141996223175966E-2</v>
      </c>
      <c r="AI80" s="1092">
        <f>IFERROR(S80*$G$1/(_xlfn.XLOOKUP($AA80,Métrés!$A:$A,Métrés!$E:$E,0)),0)</f>
        <v>7.157292543633762</v>
      </c>
      <c r="AJ80" s="878"/>
      <c r="AK80" s="878"/>
      <c r="AL80" s="878"/>
      <c r="AM80" s="878"/>
      <c r="AN80" s="1053"/>
      <c r="AO80" s="878"/>
      <c r="AP80" s="878"/>
      <c r="AQ80" s="878"/>
      <c r="AR80" s="1054"/>
      <c r="AS80" s="1053"/>
      <c r="AT80" s="878"/>
      <c r="AU80" s="878"/>
      <c r="AV80" s="878"/>
      <c r="AW80" s="1054"/>
      <c r="AX80" s="1053"/>
      <c r="AY80" s="878"/>
      <c r="AZ80" s="878"/>
      <c r="BA80" s="878"/>
      <c r="BB80" s="1054"/>
      <c r="BC80" s="1053"/>
      <c r="BD80" s="878"/>
      <c r="BE80" s="878"/>
      <c r="BF80" s="1054"/>
      <c r="BG80" s="1053"/>
      <c r="BH80" s="878"/>
      <c r="BI80" s="1054"/>
      <c r="BJ80" s="878"/>
      <c r="BK80" s="1053"/>
      <c r="BL80" s="878"/>
      <c r="BM80" s="1054"/>
      <c r="BN80" s="720">
        <f>IFERROR((J80*VLOOKUP(H80, 'Baumaterialien Matériaux'!$A$11:$AH$318, 32,FALSE))*($L$2/L80-1),0)/$G$1</f>
        <v>0</v>
      </c>
      <c r="BO80" s="720">
        <f t="shared" si="162"/>
        <v>0</v>
      </c>
    </row>
    <row r="81" spans="2:67">
      <c r="B81" s="1103"/>
      <c r="C81" s="1099"/>
      <c r="D81" s="478"/>
      <c r="E81" s="478"/>
      <c r="F81" s="638" t="s">
        <v>3293</v>
      </c>
      <c r="G81" s="478" t="str">
        <f>_xlfn.XLOOKUP(H81, 'Baumaterialien Matériaux'!A:A, 'Baumaterialien Matériaux'!AD:AD, "-", 0, 1)</f>
        <v>Enduit minéral</v>
      </c>
      <c r="H81" s="892">
        <v>4.0010000000000003</v>
      </c>
      <c r="I81" s="641" t="str">
        <f>_xlfn.XLOOKUP(H81, 'Baumaterialien Matériaux'!A:A, 'Baumaterialien Matériaux'!F:F, "-", 0, 1)</f>
        <v>kg</v>
      </c>
      <c r="J81" s="649">
        <f>$J$80*K81</f>
        <v>1806.64</v>
      </c>
      <c r="K81" s="893">
        <f>0.04*1100</f>
        <v>44</v>
      </c>
      <c r="L81" s="647">
        <v>30</v>
      </c>
      <c r="M81" s="648">
        <f>SUM(N81:Q81)</f>
        <v>0.82351506156461185</v>
      </c>
      <c r="N81" s="720">
        <f>IFERROR(($J81*VLOOKUP($H81, 'Baumaterialien Matériaux'!$A$11:$AH$318, 26,FALSE)),0)/$G$1</f>
        <v>0.25840172463828204</v>
      </c>
      <c r="O81" s="720">
        <f>IFERROR(($J81*VLOOKUP($H81, 'Baumaterialien Matériaux'!$A$11:$AH$318, 33,FALSE)),0)/$G$1</f>
        <v>0.25840172463828204</v>
      </c>
      <c r="P81" s="720">
        <f>IFERROR((N81+Q81)*($L$2/L81-1),0)</f>
        <v>0.28255666846316491</v>
      </c>
      <c r="Q81" s="720">
        <f>IFERROR(($J81*VLOOKUP($H81, 'Baumaterialien Matériaux'!$A$11:$AH$318, 27,FALSE)),0)/$G$1</f>
        <v>2.4154943824882882E-2</v>
      </c>
      <c r="R81" s="720">
        <f>IFERROR(($J81*VLOOKUP($H81, 'Baumaterialien Matériaux'!$A$11:$AH$318, 34,FALSE)),0)/$G$1</f>
        <v>6.1229973881679872E-3</v>
      </c>
      <c r="S81" s="720">
        <f>IFERROR((J81*VLOOKUP(H81, 'Baumaterialien Matériaux'!$A$11:$AD$318, 29,FALSE)),0)/$G$1</f>
        <v>0</v>
      </c>
      <c r="T81" s="720">
        <f t="shared" ref="T81:T86" si="168">S81*AJ81</f>
        <v>0</v>
      </c>
      <c r="V81" s="638">
        <f t="shared" si="156"/>
        <v>0</v>
      </c>
      <c r="W81" s="638">
        <f t="shared" si="157"/>
        <v>0</v>
      </c>
      <c r="X81" s="638" t="str">
        <f t="shared" si="9"/>
        <v>Revêtement</v>
      </c>
      <c r="Z81" s="638">
        <f t="shared" si="158"/>
        <v>30</v>
      </c>
      <c r="AA81" s="648" t="s">
        <v>3443</v>
      </c>
      <c r="AB81" t="str">
        <f>_xlfn.XLOOKUP($H81,'[1]Baumaterialien Matériaux'!$A:$A,'[1]Baumaterialien Matériaux'!AK:AK,0,0)</f>
        <v>autre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1112" cm="1">
        <f t="array" ref="AD81">IFERROR(_xlfn.SWITCH(I81,"kg",1,"m3",AC81,AC81)*J81/(_xlfn.XLOOKUP(AA81,Métrés!A:A,Métrés!E:E,0)),0)</f>
        <v>3.1015278969957083</v>
      </c>
      <c r="AE81" s="1092">
        <f>IFERROR(N81*$G$1/(_xlfn.XLOOKUP($AA81,Métrés!$A:$A,Métrés!$E:$E,0)),0)</f>
        <v>0.42801084978540782</v>
      </c>
      <c r="AF81" s="1092">
        <f>IFERROR(O81*$G$1/(_xlfn.XLOOKUP($AA81,Métrés!$A:$A,Métrés!$E:$E,0)),0)</f>
        <v>0.42801084978540782</v>
      </c>
      <c r="AG81" s="1092">
        <f>IFERROR(Q81*$G$1/(_xlfn.XLOOKUP($AA81,Métrés!$A:$A,Métrés!$E:$E,0)),0)</f>
        <v>4.0009709871244636E-2</v>
      </c>
      <c r="AH81" s="1092">
        <f>IFERROR(R81*$G$1/(_xlfn.XLOOKUP($AA81,Métrés!$A:$A,Métrés!$E:$E,0)),0)</f>
        <v>1.0141996223175966E-2</v>
      </c>
      <c r="AI81" s="1092">
        <f>IFERROR(S81*$G$1/(_xlfn.XLOOKUP($AA81,Métrés!$A:$A,Métrés!$E:$E,0)),0)</f>
        <v>0</v>
      </c>
      <c r="AJ81" s="1022"/>
      <c r="AK81" s="638">
        <f t="shared" ref="AK81:AK86" si="169">IF(L81=60,0,T81)</f>
        <v>0</v>
      </c>
      <c r="AL81" s="638">
        <f t="shared" ref="AL81:AL86" si="170">IF(L81=60,0,S81)</f>
        <v>0</v>
      </c>
      <c r="AM81" s="638" t="str">
        <f>IF(L81=$L$2, "Structure", IF(L81&gt;0,"Revêtement",0))</f>
        <v>Revêtement</v>
      </c>
      <c r="AN81" s="1017">
        <f t="shared" ref="AN81:AN86" si="171">IF(AM81="Structure",N81,0)</f>
        <v>0</v>
      </c>
      <c r="AO81" s="638">
        <f t="shared" ref="AO81:AO86" si="172">IF(AM81="Structure",P81,0)</f>
        <v>0</v>
      </c>
      <c r="AP81" s="638">
        <f t="shared" ref="AP81:AP86" si="173">IF(AM81="Structure",Q81,0)</f>
        <v>0</v>
      </c>
      <c r="AQ81" s="1018">
        <f t="shared" ref="AQ81:AQ86" si="174">IF(AM81="Structure",S81,0)</f>
        <v>0</v>
      </c>
      <c r="AR81" s="1018">
        <f t="shared" ref="AR81:AR86" si="175">IF(AM81="Structure",T81,0)</f>
        <v>0</v>
      </c>
      <c r="AS81" s="1017">
        <f t="shared" ref="AS81:AS86" si="176">IF(AM81="Insulation",N81,0)</f>
        <v>0</v>
      </c>
      <c r="AT81" s="638">
        <f t="shared" ref="AT81:AT86" si="177">IF(AM81="Insulation",P81,0)</f>
        <v>0</v>
      </c>
      <c r="AU81" s="638">
        <f t="shared" ref="AU81:AU86" si="178">IF(AM81="Insulation",Q81,0)</f>
        <v>0</v>
      </c>
      <c r="AV81" s="1018">
        <f t="shared" ref="AV81:AV86" si="179">IF(AM81="Insulation",S81,0)</f>
        <v>0</v>
      </c>
      <c r="AW81" s="1018">
        <f t="shared" ref="AW81:AW86" si="180">IF(AM81="Insulation",T81,0)</f>
        <v>0</v>
      </c>
      <c r="AX81" s="1017">
        <f t="shared" ref="AX81:AX86" si="181">IF(AM81="Revêtement",N81,0)</f>
        <v>0.25840172463828204</v>
      </c>
      <c r="AY81" s="638">
        <f t="shared" ref="AY81:AY86" si="182">IF(AM81="Revêtement",P81,0)</f>
        <v>0.28255666846316491</v>
      </c>
      <c r="AZ81" s="638">
        <f t="shared" ref="AZ81:AZ86" si="183">IF(AM81="Revêtement",Q81,0)</f>
        <v>2.4154943824882882E-2</v>
      </c>
      <c r="BA81" s="638">
        <f t="shared" ref="BA81:BA86" si="184">IF(AM81="Revêtement",S81,0)</f>
        <v>0</v>
      </c>
      <c r="BB81" s="1018">
        <f t="shared" ref="BB81:BB86" si="185">IF(AM81="Revêtement",T81,0)</f>
        <v>0</v>
      </c>
      <c r="BC81" s="1017"/>
      <c r="BF81" s="1018"/>
      <c r="BG81" s="1017">
        <f t="shared" ref="BG81:BG86" si="186">IF($AM81="Structure", IF($I81="kg",$J81,0), 0)</f>
        <v>0</v>
      </c>
      <c r="BH81" s="638">
        <f t="shared" ref="BH81:BH86" si="187">IF($AM81="Insulation", IF($I81="kg",$J81,0), 0)</f>
        <v>0</v>
      </c>
      <c r="BI81" s="1018">
        <f t="shared" ref="BI81:BI86" si="188">IF($AM81="Revêtement", IF($I81="kg",$J81,0), 0)</f>
        <v>1806.64</v>
      </c>
      <c r="BJ81" s="638">
        <f>_xlfn.XLOOKUP(H81, 'Baumaterialien Matériaux'!A:A, 'Baumaterialien Matériaux'!E:E, "-", 0, 1)</f>
        <v>1100</v>
      </c>
      <c r="BK81" s="1032">
        <f t="shared" si="152"/>
        <v>0</v>
      </c>
      <c r="BL81" s="1030">
        <f t="shared" si="153"/>
        <v>0</v>
      </c>
      <c r="BM81" s="1033">
        <f t="shared" si="154"/>
        <v>1.6424000000000001</v>
      </c>
      <c r="BN81" s="720">
        <f>IFERROR((J81*VLOOKUP(H81, 'Baumaterialien Matériaux'!$A$11:$AH$318, 32,FALSE))*($L$2/L81-1),0)/$G$1</f>
        <v>0.26589162970026115</v>
      </c>
      <c r="BO81" s="720">
        <f t="shared" si="162"/>
        <v>0.28255666846316491</v>
      </c>
    </row>
    <row r="82" spans="2:67">
      <c r="B82" s="1103"/>
      <c r="C82" s="1099"/>
      <c r="D82" s="478"/>
      <c r="E82" s="478"/>
      <c r="F82" s="454" t="s">
        <v>3297</v>
      </c>
      <c r="G82" s="478" t="str">
        <f>_xlfn.XLOOKUP(H82, 'Baumaterialien Matériaux'!A:A, 'Baumaterialien Matériaux'!AD:AD, "-", 0, 1)</f>
        <v>Botte de paille pour la construction</v>
      </c>
      <c r="H82" s="892">
        <v>10.015000000000001</v>
      </c>
      <c r="I82" s="641" t="str">
        <f>_xlfn.XLOOKUP(H82, 'Baumaterialien Matériaux'!A:A, 'Baumaterialien Matériaux'!F:F, "-", 0, 1)</f>
        <v>kg</v>
      </c>
      <c r="J82" s="649">
        <f t="shared" ref="J82:J83" si="189">$J$80*K82</f>
        <v>3089.7650000000003</v>
      </c>
      <c r="K82" s="528">
        <f>0.35*215</f>
        <v>75.25</v>
      </c>
      <c r="L82" s="647">
        <v>30</v>
      </c>
      <c r="M82" s="648">
        <f t="shared" ref="M82" si="190">SUM(N82:Q82)</f>
        <v>0.83645642593590663</v>
      </c>
      <c r="N82" s="720">
        <f>IFERROR(($J82*VLOOKUP($H82, 'Baumaterialien Matériaux'!$A$11:$AH$318, 26,FALSE)),0)/$G$1</f>
        <v>0.30614561378052324</v>
      </c>
      <c r="O82" s="720">
        <f>IFERROR(($J82*VLOOKUP($H82, 'Baumaterialien Matériaux'!$A$11:$AH$318, 33,FALSE)),0)/$G$1</f>
        <v>0.22416519837486013</v>
      </c>
      <c r="P82" s="720">
        <f t="shared" ref="P82" si="191">IFERROR((N82+Q82)*($L$2/L82-1),0)</f>
        <v>0.30614561378052324</v>
      </c>
      <c r="Q82" s="720">
        <f>IFERROR(($J82*VLOOKUP($H82, 'Baumaterialien Matériaux'!$A$11:$AH$318, 27,FALSE)),0)/$G$1</f>
        <v>0</v>
      </c>
      <c r="R82" s="720">
        <f>IFERROR(($J82*VLOOKUP($H82, 'Baumaterialien Matériaux'!$A$11:$AH$318, 34,FALSE)),0)/$G$1</f>
        <v>0</v>
      </c>
      <c r="S82" s="720">
        <f>IFERROR((J82*VLOOKUP(H82, 'Baumaterialien Matériaux'!$A$11:$AD$318, 29,FALSE)),0)/$G$1</f>
        <v>4.3210510620068261</v>
      </c>
      <c r="T82" s="720">
        <f t="shared" si="168"/>
        <v>-0.99384174426157001</v>
      </c>
      <c r="U82" s="638">
        <v>-0.23</v>
      </c>
      <c r="V82" s="638">
        <f t="shared" si="156"/>
        <v>-0.99384174426157001</v>
      </c>
      <c r="W82" s="638">
        <f t="shared" si="157"/>
        <v>4.3210510620068261</v>
      </c>
      <c r="X82" s="638" t="str">
        <f t="shared" si="9"/>
        <v>Revêtement</v>
      </c>
      <c r="Z82" s="638">
        <f t="shared" si="158"/>
        <v>30</v>
      </c>
      <c r="AA82" s="648" t="s">
        <v>3443</v>
      </c>
      <c r="AB82" t="str">
        <f>_xlfn.XLOOKUP($H82,'[1]Baumaterialien Matériaux'!$A:$A,'[1]Baumaterialien Matériaux'!AK:AK,0,0)</f>
        <v>vegetal_fiber</v>
      </c>
      <c r="AC82" t="str" cm="1">
        <f t="array" ref="AC82">_xlfn.SWITCH(I82,"kg"," ",0," ",_xlfn.XLOOKUP(H82, '[1]Baumaterialien Matériaux'!$A:$A, '[1]Baumaterialien Matériaux'!$AL:$AL, "-", 0, 1))</f>
        <v xml:space="preserve"> </v>
      </c>
      <c r="AD82" s="1112" cm="1">
        <f t="array" ref="AD82">IFERROR(_xlfn.SWITCH(I82,"kg",1,"m3",AC82,AC82)*J82/(_xlfn.XLOOKUP(AA82,Métrés!A:A,Métrés!E:E,0)),0)</f>
        <v>5.3043175965665244</v>
      </c>
      <c r="AE82" s="1092">
        <f>IFERROR(N82*$G$1/(_xlfn.XLOOKUP($AA82,Métrés!$A:$A,Métrés!$E:$E,0)),0)</f>
        <v>0.5070927622317597</v>
      </c>
      <c r="AF82" s="1092">
        <f>IFERROR(O82*$G$1/(_xlfn.XLOOKUP($AA82,Métrés!$A:$A,Métrés!$E:$E,0)),0)</f>
        <v>0.37130223175965671</v>
      </c>
      <c r="AG82" s="1092">
        <f>IFERROR(Q82*$G$1/(_xlfn.XLOOKUP($AA82,Métrés!$A:$A,Métrés!$E:$E,0)),0)</f>
        <v>0</v>
      </c>
      <c r="AH82" s="1092">
        <f>IFERROR(R82*$G$1/(_xlfn.XLOOKUP($AA82,Métrés!$A:$A,Métrés!$E:$E,0)),0)</f>
        <v>0</v>
      </c>
      <c r="AI82" s="1092">
        <f>IFERROR(S82*$G$1/(_xlfn.XLOOKUP($AA82,Métrés!$A:$A,Métrés!$E:$E,0)),0)</f>
        <v>7.157292543633762</v>
      </c>
      <c r="AJ82" s="1022">
        <v>-0.23</v>
      </c>
      <c r="AK82" s="638">
        <f t="shared" si="169"/>
        <v>-0.99384174426157001</v>
      </c>
      <c r="AL82" s="638">
        <f t="shared" si="170"/>
        <v>4.3210510620068261</v>
      </c>
      <c r="AM82" s="638" t="s">
        <v>3388</v>
      </c>
      <c r="AN82" s="1017">
        <f t="shared" si="171"/>
        <v>0</v>
      </c>
      <c r="AO82" s="638">
        <f t="shared" si="172"/>
        <v>0</v>
      </c>
      <c r="AP82" s="638">
        <f t="shared" si="173"/>
        <v>0</v>
      </c>
      <c r="AQ82" s="1018">
        <f t="shared" si="174"/>
        <v>0</v>
      </c>
      <c r="AR82" s="1018">
        <f t="shared" si="175"/>
        <v>0</v>
      </c>
      <c r="AS82" s="1017">
        <f t="shared" si="176"/>
        <v>0.30614561378052324</v>
      </c>
      <c r="AT82" s="638">
        <f t="shared" si="177"/>
        <v>0.30614561378052324</v>
      </c>
      <c r="AU82" s="638">
        <f t="shared" si="178"/>
        <v>0</v>
      </c>
      <c r="AV82" s="1018">
        <f t="shared" si="179"/>
        <v>4.3210510620068261</v>
      </c>
      <c r="AW82" s="1018">
        <f t="shared" si="180"/>
        <v>-0.99384174426157001</v>
      </c>
      <c r="AX82" s="1017">
        <f t="shared" si="181"/>
        <v>0</v>
      </c>
      <c r="AY82" s="638">
        <f t="shared" si="182"/>
        <v>0</v>
      </c>
      <c r="AZ82" s="638">
        <f t="shared" si="183"/>
        <v>0</v>
      </c>
      <c r="BA82" s="638">
        <f t="shared" si="184"/>
        <v>0</v>
      </c>
      <c r="BB82" s="1018">
        <f t="shared" si="185"/>
        <v>0</v>
      </c>
      <c r="BC82" s="1017"/>
      <c r="BF82" s="1018"/>
      <c r="BG82" s="1017">
        <f t="shared" si="186"/>
        <v>0</v>
      </c>
      <c r="BH82" s="638">
        <f t="shared" si="187"/>
        <v>3089.7650000000003</v>
      </c>
      <c r="BI82" s="1018">
        <f t="shared" si="188"/>
        <v>0</v>
      </c>
      <c r="BJ82" s="638">
        <f>_xlfn.XLOOKUP(H82, 'Baumaterialien Matériaux'!A:A, 'Baumaterialien Matériaux'!E:E, "-", 0, 1)</f>
        <v>215</v>
      </c>
      <c r="BK82" s="1032">
        <f t="shared" si="152"/>
        <v>0</v>
      </c>
      <c r="BL82" s="1030">
        <f t="shared" si="153"/>
        <v>14.371000000000002</v>
      </c>
      <c r="BM82" s="1033">
        <f t="shared" si="154"/>
        <v>0</v>
      </c>
      <c r="BN82" s="720">
        <f>IFERROR((J82*VLOOKUP(H82, 'Baumaterialien Matériaux'!$A$11:$AH$318, 32,FALSE))*($L$2/L82-1),0)/$G$1</f>
        <v>0.22416519837486013</v>
      </c>
      <c r="BO82" s="720">
        <f t="shared" si="162"/>
        <v>0.30614561378052324</v>
      </c>
    </row>
    <row r="83" spans="2:67">
      <c r="B83" s="1103"/>
      <c r="C83" s="1099"/>
      <c r="D83" s="478"/>
      <c r="E83" s="478"/>
      <c r="F83" s="483" t="s">
        <v>3294</v>
      </c>
      <c r="G83" s="478" t="str">
        <f>_xlfn.XLOOKUP(H83, 'Baumaterialien Matériaux'!A:A, 'Baumaterialien Matériaux'!AD:AD, "-", 0, 1)</f>
        <v>-</v>
      </c>
      <c r="H83" s="885"/>
      <c r="I83" s="641" t="str">
        <f>_xlfn.XLOOKUP(H83, 'Baumaterialien Matériaux'!A:A, 'Baumaterialien Matériaux'!F:F, "-", 0, 1)</f>
        <v>-</v>
      </c>
      <c r="J83" s="649">
        <f t="shared" si="189"/>
        <v>0</v>
      </c>
      <c r="K83" s="647"/>
      <c r="L83" s="647">
        <v>30</v>
      </c>
      <c r="M83" s="648">
        <f t="shared" si="163"/>
        <v>0</v>
      </c>
      <c r="N83" s="720">
        <f>IFERROR(($J83*VLOOKUP($H83, 'Baumaterialien Matériaux'!$A$11:$AH$318, 26,FALSE)),0)/$G$1</f>
        <v>0</v>
      </c>
      <c r="O83" s="720">
        <f>IFERROR(($J83*VLOOKUP($H83, 'Baumaterialien Matériaux'!$A$11:$AH$318, 33,FALSE)),0)/$G$1</f>
        <v>0</v>
      </c>
      <c r="P83" s="720">
        <f t="shared" si="164"/>
        <v>0</v>
      </c>
      <c r="Q83" s="720">
        <f>IFERROR(($J83*VLOOKUP($H83, 'Baumaterialien Matériaux'!$A$11:$AH$318, 27,FALSE)),0)/$G$1</f>
        <v>0</v>
      </c>
      <c r="R83" s="720">
        <f>IFERROR(($J83*VLOOKUP($H83, 'Baumaterialien Matériaux'!$A$11:$AH$318, 34,FALSE)),0)/$G$1</f>
        <v>0</v>
      </c>
      <c r="S83" s="720">
        <f>IFERROR((J83*VLOOKUP(H83, 'Baumaterialien Matériaux'!$A$11:$AD$318, 29,FALSE)),0)/$G$1</f>
        <v>0</v>
      </c>
      <c r="T83" s="720">
        <f t="shared" si="168"/>
        <v>0</v>
      </c>
      <c r="V83" s="638">
        <f t="shared" si="156"/>
        <v>0</v>
      </c>
      <c r="W83" s="638">
        <f t="shared" si="157"/>
        <v>0</v>
      </c>
      <c r="X83" s="638" t="str">
        <f t="shared" si="9"/>
        <v>Revêtement</v>
      </c>
      <c r="Z83" s="638">
        <f t="shared" si="158"/>
        <v>30</v>
      </c>
      <c r="AA83" s="648" t="s">
        <v>3443</v>
      </c>
      <c r="AB83">
        <f>_xlfn.XLOOKUP($H83,'[1]Baumaterialien Matériaux'!$A:$A,'[1]Baumaterialien Matériaux'!AK:AK,0,0)</f>
        <v>0</v>
      </c>
      <c r="AC83" cm="1">
        <f t="array" ref="AC83">_xlfn.SWITCH(I83,"kg"," ",0," ",_xlfn.XLOOKUP(H83, '[1]Baumaterialien Matériaux'!$A:$A, '[1]Baumaterialien Matériaux'!$AL:$AL, "-", 0, 1))</f>
        <v>0</v>
      </c>
      <c r="AD83" s="1112" cm="1">
        <f t="array" ref="AD83">IFERROR(_xlfn.SWITCH(I83,"kg",1,"m3",AC83,AC83)*J83/(_xlfn.XLOOKUP(AA83,Métrés!A:A,Métrés!E:E,0)),0)</f>
        <v>0</v>
      </c>
      <c r="AE83" s="1092">
        <f>IFERROR(N83*$G$1/(_xlfn.XLOOKUP($AA83,Métrés!$A:$A,Métrés!$E:$E,0)),0)</f>
        <v>0</v>
      </c>
      <c r="AF83" s="1092">
        <f>IFERROR(O83*$G$1/(_xlfn.XLOOKUP($AA83,Métrés!$A:$A,Métrés!$E:$E,0)),0)</f>
        <v>0</v>
      </c>
      <c r="AG83" s="1092">
        <f>IFERROR(Q83*$G$1/(_xlfn.XLOOKUP($AA83,Métrés!$A:$A,Métrés!$E:$E,0)),0)</f>
        <v>0</v>
      </c>
      <c r="AH83" s="1092">
        <f>IFERROR(R83*$G$1/(_xlfn.XLOOKUP($AA83,Métrés!$A:$A,Métrés!$E:$E,0)),0)</f>
        <v>0</v>
      </c>
      <c r="AI83" s="1092">
        <f>IFERROR(S83*$G$1/(_xlfn.XLOOKUP($AA83,Métrés!$A:$A,Métrés!$E:$E,0)),0)</f>
        <v>0</v>
      </c>
      <c r="AJ83" s="1022"/>
      <c r="AK83" s="638">
        <f t="shared" si="169"/>
        <v>0</v>
      </c>
      <c r="AL83" s="638">
        <f t="shared" si="170"/>
        <v>0</v>
      </c>
      <c r="AM83" s="638" t="str">
        <f>IF(L83=$L$2, "Structure", IF(L83&gt;0,"Revêtement",0))</f>
        <v>Revêtement</v>
      </c>
      <c r="AN83" s="1017">
        <f t="shared" si="171"/>
        <v>0</v>
      </c>
      <c r="AO83" s="638">
        <f t="shared" si="172"/>
        <v>0</v>
      </c>
      <c r="AP83" s="638">
        <f t="shared" si="173"/>
        <v>0</v>
      </c>
      <c r="AQ83" s="1018">
        <f t="shared" si="174"/>
        <v>0</v>
      </c>
      <c r="AR83" s="1018">
        <f t="shared" si="175"/>
        <v>0</v>
      </c>
      <c r="AS83" s="1017">
        <f t="shared" si="176"/>
        <v>0</v>
      </c>
      <c r="AT83" s="638">
        <f t="shared" si="177"/>
        <v>0</v>
      </c>
      <c r="AU83" s="638">
        <f t="shared" si="178"/>
        <v>0</v>
      </c>
      <c r="AV83" s="1018">
        <f t="shared" si="179"/>
        <v>0</v>
      </c>
      <c r="AW83" s="1018">
        <f t="shared" si="180"/>
        <v>0</v>
      </c>
      <c r="AX83" s="1017">
        <f t="shared" si="181"/>
        <v>0</v>
      </c>
      <c r="AY83" s="638">
        <f t="shared" si="182"/>
        <v>0</v>
      </c>
      <c r="AZ83" s="638">
        <f t="shared" si="183"/>
        <v>0</v>
      </c>
      <c r="BA83" s="638">
        <f t="shared" si="184"/>
        <v>0</v>
      </c>
      <c r="BB83" s="1018">
        <f t="shared" si="185"/>
        <v>0</v>
      </c>
      <c r="BC83" s="1017"/>
      <c r="BF83" s="1018"/>
      <c r="BG83" s="1017">
        <f t="shared" si="186"/>
        <v>0</v>
      </c>
      <c r="BH83" s="638">
        <f t="shared" si="187"/>
        <v>0</v>
      </c>
      <c r="BI83" s="1018">
        <f t="shared" si="188"/>
        <v>0</v>
      </c>
      <c r="BJ83" s="638">
        <f>_xlfn.XLOOKUP(H83, 'Baumaterialien Matériaux'!A:A, 'Baumaterialien Matériaux'!E:E, "-", 0, 1)</f>
        <v>0</v>
      </c>
      <c r="BK83" s="1032">
        <f t="shared" si="152"/>
        <v>0</v>
      </c>
      <c r="BL83" s="1030">
        <f t="shared" si="153"/>
        <v>0</v>
      </c>
      <c r="BM83" s="1033">
        <f t="shared" si="154"/>
        <v>0</v>
      </c>
      <c r="BN83" s="720">
        <f>IFERROR((J83*VLOOKUP(H83, 'Baumaterialien Matériaux'!$A$11:$AH$318, 32,FALSE))*($L$2/L83-1),0)/$G$1</f>
        <v>0</v>
      </c>
      <c r="BO83" s="720">
        <f t="shared" si="162"/>
        <v>0</v>
      </c>
    </row>
    <row r="84" spans="2:67">
      <c r="B84" s="1103"/>
      <c r="C84" s="1099"/>
      <c r="D84" s="478"/>
      <c r="E84" s="478"/>
      <c r="F84" s="483"/>
      <c r="G84" s="478"/>
      <c r="H84" s="892"/>
      <c r="I84" s="641"/>
      <c r="J84" s="649"/>
      <c r="K84" s="647"/>
      <c r="L84" s="647"/>
      <c r="M84" s="648"/>
      <c r="N84" s="720"/>
      <c r="O84" s="720"/>
      <c r="P84" s="720"/>
      <c r="Q84" s="720"/>
      <c r="R84" s="720"/>
      <c r="S84" s="720"/>
      <c r="T84" s="720">
        <f t="shared" si="168"/>
        <v>0</v>
      </c>
      <c r="V84" s="638">
        <f t="shared" si="156"/>
        <v>0</v>
      </c>
      <c r="W84" s="638">
        <f t="shared" si="157"/>
        <v>0</v>
      </c>
      <c r="Z84" s="638">
        <f t="shared" si="158"/>
        <v>0</v>
      </c>
      <c r="AA84" s="648" t="s">
        <v>3443</v>
      </c>
      <c r="AB84">
        <f>_xlfn.XLOOKUP($H84,'[1]Baumaterialien Matériaux'!$A:$A,'[1]Baumaterialien Matériaux'!AK:AK,0,0)</f>
        <v>0</v>
      </c>
      <c r="AC84" t="str" cm="1">
        <f t="array" ref="AC84">_xlfn.SWITCH(I84,"kg"," ",0," ",_xlfn.XLOOKUP(H84, '[1]Baumaterialien Matériaux'!$A:$A, '[1]Baumaterialien Matériaux'!$AL:$AL, "-", 0, 1))</f>
        <v xml:space="preserve"> </v>
      </c>
      <c r="AD84" s="1112" cm="1">
        <f t="array" ref="AD84">IFERROR(_xlfn.SWITCH(I84,"kg",1,"m3",AC84,AC84)*J84/(_xlfn.XLOOKUP(AA84,Métrés!A:A,Métrés!E:E,0)),0)</f>
        <v>0</v>
      </c>
      <c r="AE84" s="1092">
        <f>IFERROR(N84*$G$1/(_xlfn.XLOOKUP($AA84,Métrés!$A:$A,Métrés!$E:$E,0)),0)</f>
        <v>0</v>
      </c>
      <c r="AF84" s="1092">
        <f>IFERROR(O84*$G$1/(_xlfn.XLOOKUP($AA84,Métrés!$A:$A,Métrés!$E:$E,0)),0)</f>
        <v>0</v>
      </c>
      <c r="AG84" s="1092">
        <f>IFERROR(Q84*$G$1/(_xlfn.XLOOKUP($AA84,Métrés!$A:$A,Métrés!$E:$E,0)),0)</f>
        <v>0</v>
      </c>
      <c r="AH84" s="1092">
        <f>IFERROR(R84*$G$1/(_xlfn.XLOOKUP($AA84,Métrés!$A:$A,Métrés!$E:$E,0)),0)</f>
        <v>0</v>
      </c>
      <c r="AI84" s="1092">
        <f>IFERROR(S84*$G$1/(_xlfn.XLOOKUP($AA84,Métrés!$A:$A,Métrés!$E:$E,0)),0)</f>
        <v>0</v>
      </c>
      <c r="AJ84" s="1022"/>
      <c r="AK84" s="638">
        <f t="shared" si="169"/>
        <v>0</v>
      </c>
      <c r="AL84" s="638">
        <f t="shared" si="170"/>
        <v>0</v>
      </c>
      <c r="AM84" s="638">
        <f>IF(L84=$L$2, "Structure", IF(L84&gt;0,"Revêtement",0))</f>
        <v>0</v>
      </c>
      <c r="AN84" s="1017">
        <f t="shared" si="171"/>
        <v>0</v>
      </c>
      <c r="AO84" s="638">
        <f t="shared" si="172"/>
        <v>0</v>
      </c>
      <c r="AP84" s="638">
        <f t="shared" si="173"/>
        <v>0</v>
      </c>
      <c r="AQ84" s="1018">
        <f t="shared" si="174"/>
        <v>0</v>
      </c>
      <c r="AR84" s="1018">
        <f t="shared" si="175"/>
        <v>0</v>
      </c>
      <c r="AS84" s="1017">
        <f t="shared" si="176"/>
        <v>0</v>
      </c>
      <c r="AT84" s="638">
        <f t="shared" si="177"/>
        <v>0</v>
      </c>
      <c r="AU84" s="638">
        <f t="shared" si="178"/>
        <v>0</v>
      </c>
      <c r="AV84" s="1018">
        <f t="shared" si="179"/>
        <v>0</v>
      </c>
      <c r="AW84" s="1018">
        <f t="shared" si="180"/>
        <v>0</v>
      </c>
      <c r="AX84" s="1017">
        <f t="shared" si="181"/>
        <v>0</v>
      </c>
      <c r="AY84" s="638">
        <f t="shared" si="182"/>
        <v>0</v>
      </c>
      <c r="AZ84" s="638">
        <f t="shared" si="183"/>
        <v>0</v>
      </c>
      <c r="BA84" s="638">
        <f t="shared" si="184"/>
        <v>0</v>
      </c>
      <c r="BB84" s="1018">
        <f t="shared" si="185"/>
        <v>0</v>
      </c>
      <c r="BC84" s="1017"/>
      <c r="BF84" s="1018"/>
      <c r="BG84" s="1017">
        <f t="shared" si="186"/>
        <v>0</v>
      </c>
      <c r="BH84" s="638">
        <f t="shared" si="187"/>
        <v>0</v>
      </c>
      <c r="BI84" s="1018">
        <f t="shared" si="188"/>
        <v>0</v>
      </c>
      <c r="BJ84" s="638">
        <f>_xlfn.XLOOKUP(H84, 'Baumaterialien Matériaux'!A:A, 'Baumaterialien Matériaux'!E:E, "-", 0, 1)</f>
        <v>0</v>
      </c>
      <c r="BK84" s="1032">
        <f t="shared" si="152"/>
        <v>0</v>
      </c>
      <c r="BL84" s="1030">
        <f t="shared" si="153"/>
        <v>0</v>
      </c>
      <c r="BM84" s="1033">
        <f t="shared" si="154"/>
        <v>0</v>
      </c>
      <c r="BN84" s="720"/>
      <c r="BO84" s="720"/>
    </row>
    <row r="85" spans="2:67">
      <c r="B85" s="1103"/>
      <c r="C85" s="1099"/>
      <c r="D85" s="478"/>
      <c r="E85" s="478"/>
      <c r="F85" s="483"/>
      <c r="G85" s="478"/>
      <c r="H85" s="892"/>
      <c r="I85" s="641"/>
      <c r="J85" s="649"/>
      <c r="K85" s="647"/>
      <c r="L85" s="647"/>
      <c r="M85" s="648"/>
      <c r="N85" s="720"/>
      <c r="O85" s="720"/>
      <c r="P85" s="720"/>
      <c r="Q85" s="720"/>
      <c r="R85" s="720"/>
      <c r="S85" s="720"/>
      <c r="T85" s="720">
        <f t="shared" si="168"/>
        <v>0</v>
      </c>
      <c r="V85" s="638">
        <f t="shared" si="156"/>
        <v>0</v>
      </c>
      <c r="W85" s="638">
        <f t="shared" si="157"/>
        <v>0</v>
      </c>
      <c r="Z85" s="638">
        <f t="shared" si="158"/>
        <v>0</v>
      </c>
      <c r="AA85" s="648" t="s">
        <v>3443</v>
      </c>
      <c r="AB85">
        <f>_xlfn.XLOOKUP($H85,'[1]Baumaterialien Matériaux'!$A:$A,'[1]Baumaterialien Matériaux'!AK:AK,0,0)</f>
        <v>0</v>
      </c>
      <c r="AC85" t="str" cm="1">
        <f t="array" ref="AC85">_xlfn.SWITCH(I85,"kg"," ",0," ",_xlfn.XLOOKUP(H85, '[1]Baumaterialien Matériaux'!$A:$A, '[1]Baumaterialien Matériaux'!$AL:$AL, "-", 0, 1))</f>
        <v xml:space="preserve"> </v>
      </c>
      <c r="AD85" s="1112" cm="1">
        <f t="array" ref="AD85">IFERROR(_xlfn.SWITCH(I85,"kg",1,"m3",AC85,AC85)*J85/(_xlfn.XLOOKUP(AA85,Métrés!A:A,Métrés!E:E,0)),0)</f>
        <v>0</v>
      </c>
      <c r="AE85" s="1092">
        <f>IFERROR(N85*$G$1/(_xlfn.XLOOKUP($AA85,Métrés!$A:$A,Métrés!$E:$E,0)),0)</f>
        <v>0</v>
      </c>
      <c r="AF85" s="1092">
        <f>IFERROR(O85*$G$1/(_xlfn.XLOOKUP($AA85,Métrés!$A:$A,Métrés!$E:$E,0)),0)</f>
        <v>0</v>
      </c>
      <c r="AG85" s="1092">
        <f>IFERROR(Q85*$G$1/(_xlfn.XLOOKUP($AA85,Métrés!$A:$A,Métrés!$E:$E,0)),0)</f>
        <v>0</v>
      </c>
      <c r="AH85" s="1092">
        <f>IFERROR(R85*$G$1/(_xlfn.XLOOKUP($AA85,Métrés!$A:$A,Métrés!$E:$E,0)),0)</f>
        <v>0</v>
      </c>
      <c r="AI85" s="1092">
        <f>IFERROR(S85*$G$1/(_xlfn.XLOOKUP($AA85,Métrés!$A:$A,Métrés!$E:$E,0)),0)</f>
        <v>0</v>
      </c>
      <c r="AJ85" s="1022"/>
      <c r="AK85" s="638">
        <f t="shared" si="169"/>
        <v>0</v>
      </c>
      <c r="AL85" s="638">
        <f t="shared" si="170"/>
        <v>0</v>
      </c>
      <c r="AM85" s="638">
        <f>IF(L85=$L$2, "Structure", IF(L85&gt;0,"Revêtement",0))</f>
        <v>0</v>
      </c>
      <c r="AN85" s="1017">
        <f t="shared" si="171"/>
        <v>0</v>
      </c>
      <c r="AO85" s="638">
        <f t="shared" si="172"/>
        <v>0</v>
      </c>
      <c r="AP85" s="638">
        <f t="shared" si="173"/>
        <v>0</v>
      </c>
      <c r="AQ85" s="1018">
        <f t="shared" si="174"/>
        <v>0</v>
      </c>
      <c r="AR85" s="1018">
        <f t="shared" si="175"/>
        <v>0</v>
      </c>
      <c r="AS85" s="1017">
        <f t="shared" si="176"/>
        <v>0</v>
      </c>
      <c r="AT85" s="638">
        <f t="shared" si="177"/>
        <v>0</v>
      </c>
      <c r="AU85" s="638">
        <f t="shared" si="178"/>
        <v>0</v>
      </c>
      <c r="AV85" s="1018">
        <f t="shared" si="179"/>
        <v>0</v>
      </c>
      <c r="AW85" s="1018">
        <f t="shared" si="180"/>
        <v>0</v>
      </c>
      <c r="AX85" s="1017">
        <f t="shared" si="181"/>
        <v>0</v>
      </c>
      <c r="AY85" s="638">
        <f t="shared" si="182"/>
        <v>0</v>
      </c>
      <c r="AZ85" s="638">
        <f t="shared" si="183"/>
        <v>0</v>
      </c>
      <c r="BA85" s="638">
        <f t="shared" si="184"/>
        <v>0</v>
      </c>
      <c r="BB85" s="1018">
        <f t="shared" si="185"/>
        <v>0</v>
      </c>
      <c r="BC85" s="1017"/>
      <c r="BF85" s="1018"/>
      <c r="BG85" s="1017">
        <f t="shared" si="186"/>
        <v>0</v>
      </c>
      <c r="BH85" s="638">
        <f t="shared" si="187"/>
        <v>0</v>
      </c>
      <c r="BI85" s="1018">
        <f t="shared" si="188"/>
        <v>0</v>
      </c>
      <c r="BJ85" s="638">
        <f>_xlfn.XLOOKUP(H85, 'Baumaterialien Matériaux'!A:A, 'Baumaterialien Matériaux'!E:E, "-", 0, 1)</f>
        <v>0</v>
      </c>
      <c r="BK85" s="1032">
        <f t="shared" si="152"/>
        <v>0</v>
      </c>
      <c r="BL85" s="1030">
        <f t="shared" si="153"/>
        <v>0</v>
      </c>
      <c r="BM85" s="1033">
        <f t="shared" si="154"/>
        <v>0</v>
      </c>
      <c r="BN85" s="720"/>
      <c r="BO85" s="720"/>
    </row>
    <row r="86" spans="2:67">
      <c r="B86" s="1103"/>
      <c r="C86" s="1099"/>
      <c r="D86" s="478"/>
      <c r="E86" s="478"/>
      <c r="G86" s="478"/>
      <c r="H86" s="875"/>
      <c r="I86" s="641"/>
      <c r="J86" s="649"/>
      <c r="K86" s="647"/>
      <c r="L86" s="647"/>
      <c r="M86" s="648"/>
      <c r="N86" s="720"/>
      <c r="O86" s="720"/>
      <c r="P86" s="720"/>
      <c r="Q86" s="720"/>
      <c r="R86" s="720"/>
      <c r="S86" s="720"/>
      <c r="T86" s="720">
        <f t="shared" si="168"/>
        <v>0</v>
      </c>
      <c r="V86" s="638">
        <f t="shared" si="156"/>
        <v>0</v>
      </c>
      <c r="W86" s="638">
        <f t="shared" si="157"/>
        <v>0</v>
      </c>
      <c r="X86" s="638">
        <f t="shared" si="9"/>
        <v>0</v>
      </c>
      <c r="Z86" s="638">
        <f t="shared" si="158"/>
        <v>0</v>
      </c>
      <c r="AA86" s="648" t="s">
        <v>3443</v>
      </c>
      <c r="AB86">
        <f>_xlfn.XLOOKUP($H86,'[1]Baumaterialien Matériaux'!$A:$A,'[1]Baumaterialien Matériaux'!AK:AK,0,0)</f>
        <v>0</v>
      </c>
      <c r="AC86" t="str" cm="1">
        <f t="array" ref="AC86">_xlfn.SWITCH(I86,"kg"," ",0," ",_xlfn.XLOOKUP(H86, '[1]Baumaterialien Matériaux'!$A:$A, '[1]Baumaterialien Matériaux'!$AL:$AL, "-", 0, 1))</f>
        <v xml:space="preserve"> </v>
      </c>
      <c r="AD86" s="1112" cm="1">
        <f t="array" ref="AD86">IFERROR(_xlfn.SWITCH(I86,"kg",1,"m3",AC86,AC86)*J86/(_xlfn.XLOOKUP(AA86,Métrés!A:A,Métrés!E:E,0)),0)</f>
        <v>0</v>
      </c>
      <c r="AE86" s="1092">
        <f>IFERROR(N86*$G$1/(_xlfn.XLOOKUP($AA86,Métrés!$A:$A,Métrés!$E:$E,0)),0)</f>
        <v>0</v>
      </c>
      <c r="AF86" s="1092">
        <f>IFERROR(O86*$G$1/(_xlfn.XLOOKUP($AA86,Métrés!$A:$A,Métrés!$E:$E,0)),0)</f>
        <v>0</v>
      </c>
      <c r="AG86" s="1092">
        <f>IFERROR(Q86*$G$1/(_xlfn.XLOOKUP($AA86,Métrés!$A:$A,Métrés!$E:$E,0)),0)</f>
        <v>0</v>
      </c>
      <c r="AH86" s="1092">
        <f>IFERROR(R86*$G$1/(_xlfn.XLOOKUP($AA86,Métrés!$A:$A,Métrés!$E:$E,0)),0)</f>
        <v>0</v>
      </c>
      <c r="AI86" s="1092">
        <f>IFERROR(S86*$G$1/(_xlfn.XLOOKUP($AA86,Métrés!$A:$A,Métrés!$E:$E,0)),0)</f>
        <v>0</v>
      </c>
      <c r="AJ86" s="1022"/>
      <c r="AK86" s="638">
        <f t="shared" si="169"/>
        <v>0</v>
      </c>
      <c r="AL86" s="638">
        <f t="shared" si="170"/>
        <v>0</v>
      </c>
      <c r="AM86" s="638">
        <f>IF(L86=$L$2, "Structure", IF(L86&gt;0,"Revêtement",0))</f>
        <v>0</v>
      </c>
      <c r="AN86" s="1017">
        <f t="shared" si="171"/>
        <v>0</v>
      </c>
      <c r="AO86" s="638">
        <f t="shared" si="172"/>
        <v>0</v>
      </c>
      <c r="AP86" s="638">
        <f t="shared" si="173"/>
        <v>0</v>
      </c>
      <c r="AQ86" s="1018">
        <f t="shared" si="174"/>
        <v>0</v>
      </c>
      <c r="AR86" s="1018">
        <f t="shared" si="175"/>
        <v>0</v>
      </c>
      <c r="AS86" s="1017">
        <f t="shared" si="176"/>
        <v>0</v>
      </c>
      <c r="AT86" s="638">
        <f t="shared" si="177"/>
        <v>0</v>
      </c>
      <c r="AU86" s="638">
        <f t="shared" si="178"/>
        <v>0</v>
      </c>
      <c r="AV86" s="1018">
        <f t="shared" si="179"/>
        <v>0</v>
      </c>
      <c r="AW86" s="1018">
        <f t="shared" si="180"/>
        <v>0</v>
      </c>
      <c r="AX86" s="1017">
        <f t="shared" si="181"/>
        <v>0</v>
      </c>
      <c r="AY86" s="638">
        <f t="shared" si="182"/>
        <v>0</v>
      </c>
      <c r="AZ86" s="638">
        <f t="shared" si="183"/>
        <v>0</v>
      </c>
      <c r="BA86" s="638">
        <f t="shared" si="184"/>
        <v>0</v>
      </c>
      <c r="BB86" s="1018">
        <f t="shared" si="185"/>
        <v>0</v>
      </c>
      <c r="BC86" s="1017"/>
      <c r="BF86" s="1018"/>
      <c r="BG86" s="1017">
        <f t="shared" si="186"/>
        <v>0</v>
      </c>
      <c r="BH86" s="638">
        <f t="shared" si="187"/>
        <v>0</v>
      </c>
      <c r="BI86" s="1018">
        <f t="shared" si="188"/>
        <v>0</v>
      </c>
      <c r="BJ86" s="638">
        <f>_xlfn.XLOOKUP(H86, 'Baumaterialien Matériaux'!A:A, 'Baumaterialien Matériaux'!E:E, "-", 0, 1)</f>
        <v>0</v>
      </c>
      <c r="BK86" s="1032">
        <f t="shared" si="152"/>
        <v>0</v>
      </c>
      <c r="BL86" s="1030">
        <f t="shared" si="153"/>
        <v>0</v>
      </c>
      <c r="BM86" s="1033">
        <f t="shared" si="154"/>
        <v>0</v>
      </c>
      <c r="BN86" s="720">
        <f>IFERROR((J86*VLOOKUP(H86, 'Baumaterialien Matériaux'!$A$11:$AH$318, 32,FALSE))*($L$2/L86-1),0)/$G$1</f>
        <v>0</v>
      </c>
      <c r="BO86" s="720">
        <f>IFERROR((N86+Q86)*($L$2/L86-1),0)</f>
        <v>0</v>
      </c>
    </row>
    <row r="87" spans="2:67" ht="15.75" customHeight="1">
      <c r="B87" s="1103"/>
      <c r="C87" s="1097" t="s">
        <v>120</v>
      </c>
      <c r="D87" s="473" t="s">
        <v>2995</v>
      </c>
      <c r="E87" s="473"/>
      <c r="F87" s="473"/>
      <c r="G87" s="473"/>
      <c r="H87" s="473"/>
      <c r="I87" s="463"/>
      <c r="J87" s="654"/>
      <c r="K87" s="652"/>
      <c r="L87" s="652"/>
      <c r="M87" s="653">
        <f ca="1">M88+M92</f>
        <v>48.698411018130798</v>
      </c>
      <c r="N87" s="653">
        <f t="shared" ref="N87:S87" si="192">N88+N92</f>
        <v>16.398206713030142</v>
      </c>
      <c r="O87" s="653">
        <f t="shared" ref="O87" si="193">O88+O92</f>
        <v>11.560148963904204</v>
      </c>
      <c r="P87" s="653">
        <f t="shared" ca="1" si="192"/>
        <v>18.569131027113301</v>
      </c>
      <c r="Q87" s="653">
        <f t="shared" si="192"/>
        <v>2.1709243140831638</v>
      </c>
      <c r="R87" s="653">
        <f t="shared" ref="R87" si="194">R88+R92</f>
        <v>3.4811717502975865</v>
      </c>
      <c r="S87" s="653">
        <f t="shared" si="192"/>
        <v>11.401927079792157</v>
      </c>
      <c r="T87" s="653">
        <f t="shared" ref="T87" si="195">T88+T92</f>
        <v>6.2646186486878641E-2</v>
      </c>
      <c r="V87" s="638">
        <f t="shared" si="156"/>
        <v>6.2646186486878641E-2</v>
      </c>
      <c r="X87" s="638">
        <f t="shared" si="9"/>
        <v>0</v>
      </c>
      <c r="Z87" s="638">
        <f t="shared" si="158"/>
        <v>0</v>
      </c>
      <c r="AB87">
        <f>_xlfn.XLOOKUP($H87,'[1]Baumaterialien Matériaux'!$A:$A,'[1]Baumaterialien Matériaux'!AK:AK,0,0)</f>
        <v>0</v>
      </c>
      <c r="AC87" t="str" cm="1">
        <f t="array" ref="AC87">_xlfn.SWITCH(I87,"kg"," ",0," ",_xlfn.XLOOKUP(H87, '[1]Baumaterialien Matériaux'!$A:$A, '[1]Baumaterialien Matériaux'!$AL:$AL, "-", 0, 1))</f>
        <v xml:space="preserve"> </v>
      </c>
      <c r="AD87" s="1112" cm="1">
        <f t="array" ref="AD87">IFERROR(_xlfn.SWITCH(I87,"kg",1,"m3",AC87,AC87)*J87/(_xlfn.XLOOKUP(AA87,Métrés!A:A,Métrés!E:E,0)),0)</f>
        <v>0</v>
      </c>
      <c r="AE87" s="1092">
        <f>IFERROR(N87*$G$1/(_xlfn.XLOOKUP($AA87,Métrés!$A:$A,Métrés!$E:$E,0)),0)</f>
        <v>0</v>
      </c>
      <c r="AF87" s="1092">
        <f>IFERROR(O87*$G$1/(_xlfn.XLOOKUP($AA87,Métrés!$A:$A,Métrés!$E:$E,0)),0)</f>
        <v>0</v>
      </c>
      <c r="AG87" s="1092">
        <f>IFERROR(Q87*$G$1/(_xlfn.XLOOKUP($AA87,Métrés!$A:$A,Métrés!$E:$E,0)),0)</f>
        <v>0</v>
      </c>
      <c r="AH87" s="1092">
        <f>IFERROR(R87*$G$1/(_xlfn.XLOOKUP($AA87,Métrés!$A:$A,Métrés!$E:$E,0)),0)</f>
        <v>0</v>
      </c>
      <c r="AI87" s="1092">
        <f>IFERROR(S87*$G$1/(_xlfn.XLOOKUP($AA87,Métrés!$A:$A,Métrés!$E:$E,0)),0)</f>
        <v>0</v>
      </c>
      <c r="AJ87" s="666"/>
      <c r="AK87" s="666"/>
      <c r="AL87" s="666"/>
      <c r="AM87" s="666"/>
      <c r="AN87" s="1051"/>
      <c r="AO87" s="666"/>
      <c r="AP87" s="666"/>
      <c r="AQ87" s="666"/>
      <c r="AR87" s="1052"/>
      <c r="AS87" s="1051"/>
      <c r="AT87" s="666"/>
      <c r="AU87" s="666"/>
      <c r="AV87" s="666"/>
      <c r="AW87" s="1052"/>
      <c r="AX87" s="1051"/>
      <c r="AY87" s="666"/>
      <c r="AZ87" s="666"/>
      <c r="BA87" s="666"/>
      <c r="BB87" s="1052"/>
      <c r="BC87" s="1051"/>
      <c r="BD87" s="666"/>
      <c r="BE87" s="666"/>
      <c r="BF87" s="1052"/>
      <c r="BG87" s="1051"/>
      <c r="BH87" s="666"/>
      <c r="BI87" s="1052"/>
      <c r="BJ87" s="666"/>
      <c r="BK87" s="1051"/>
      <c r="BL87" s="666"/>
      <c r="BM87" s="1052"/>
    </row>
    <row r="88" spans="2:67">
      <c r="B88" s="1103"/>
      <c r="C88" s="1098"/>
      <c r="D88" s="478"/>
      <c r="E88" s="479" t="str">
        <f>BillQuantities!E18</f>
        <v>Valeur moyenne triple vitrage isolant, y c. protection solaire</v>
      </c>
      <c r="F88" s="479" t="s">
        <v>378</v>
      </c>
      <c r="G88" s="479"/>
      <c r="H88" s="479"/>
      <c r="I88" s="459" t="s">
        <v>39</v>
      </c>
      <c r="J88" s="662">
        <f>130.32+3.76</f>
        <v>134.07999999999998</v>
      </c>
      <c r="K88" s="663"/>
      <c r="L88" s="663"/>
      <c r="M88" s="664">
        <f ca="1">SUM(M89:M91)</f>
        <v>34.365551753036762</v>
      </c>
      <c r="N88" s="664">
        <f t="shared" ref="N88:S88" si="196">SUM(N89:N91)</f>
        <v>11.179984002528917</v>
      </c>
      <c r="O88" s="664">
        <f t="shared" ref="O88" si="197">SUM(O89:O91)</f>
        <v>9.0148851550516138</v>
      </c>
      <c r="P88" s="664">
        <f t="shared" ca="1" si="196"/>
        <v>12.675333298992577</v>
      </c>
      <c r="Q88" s="664">
        <f t="shared" si="196"/>
        <v>1.4953492964636621</v>
      </c>
      <c r="R88" s="664">
        <f t="shared" ref="R88" si="198">SUM(R89:R91)</f>
        <v>3.162505070353633</v>
      </c>
      <c r="S88" s="664">
        <f t="shared" si="196"/>
        <v>6.2646186486878648</v>
      </c>
      <c r="T88" s="664">
        <f t="shared" ref="T88" si="199">SUM(T89:T91)</f>
        <v>6.2646186486878641E-2</v>
      </c>
      <c r="V88" s="638">
        <f t="shared" si="156"/>
        <v>6.2646186486878641E-2</v>
      </c>
      <c r="X88" s="638">
        <f t="shared" si="9"/>
        <v>0</v>
      </c>
      <c r="Z88" s="638">
        <f t="shared" si="158"/>
        <v>0</v>
      </c>
      <c r="AA88" s="648" t="s">
        <v>3444</v>
      </c>
      <c r="AB88">
        <f>_xlfn.XLOOKUP($H88,'[1]Baumaterialien Matériaux'!$A:$A,'[1]Baumaterialien Matériaux'!AK:AK,0,0)</f>
        <v>0</v>
      </c>
      <c r="AC88" cm="1">
        <f t="array" ref="AC88">_xlfn.SWITCH(I88,"kg"," ",0," ",_xlfn.XLOOKUP(H88, '[1]Baumaterialien Matériaux'!$A:$A, '[1]Baumaterialien Matériaux'!$AL:$AL, "-", 0, 1))</f>
        <v>0</v>
      </c>
      <c r="AD88" s="1112" cm="1">
        <f t="array" ref="AD88">IFERROR(_xlfn.SWITCH(I88,"kg",1,"m3",AC88,AC88)*J88/(_xlfn.XLOOKUP(AA88,Métrés!A:A,Métrés!E:E,0)),0)</f>
        <v>0</v>
      </c>
      <c r="AE88" s="1092">
        <f>IFERROR(N88*$G$1/(_xlfn.XLOOKUP($AA88,Métrés!$A:$A,Métrés!$E:$E,0)),0)</f>
        <v>80.451191564737485</v>
      </c>
      <c r="AF88" s="1092">
        <f>IFERROR(O88*$G$1/(_xlfn.XLOOKUP($AA88,Métrés!$A:$A,Métrés!$E:$E,0)),0)</f>
        <v>64.871135090990464</v>
      </c>
      <c r="AG88" s="1092">
        <f>IFERROR(Q88*$G$1/(_xlfn.XLOOKUP($AA88,Métrés!$A:$A,Métrés!$E:$E,0)),0)</f>
        <v>10.76053710620525</v>
      </c>
      <c r="AH88" s="1092">
        <f>IFERROR(R88*$G$1/(_xlfn.XLOOKUP($AA88,Métrés!$A:$A,Métrés!$E:$E,0)),0)</f>
        <v>22.757394034009543</v>
      </c>
      <c r="AI88" s="1092">
        <f>IFERROR(S88*$G$1/(_xlfn.XLOOKUP($AA88,Métrés!$A:$A,Métrés!$E:$E,0)),0)</f>
        <v>45.080210747315043</v>
      </c>
      <c r="AJ88" s="878"/>
      <c r="AK88" s="878"/>
      <c r="AL88" s="878"/>
      <c r="AM88" s="878"/>
      <c r="AN88" s="1053"/>
      <c r="AO88" s="878"/>
      <c r="AP88" s="878"/>
      <c r="AQ88" s="878"/>
      <c r="AR88" s="1054"/>
      <c r="AS88" s="1053"/>
      <c r="AT88" s="878"/>
      <c r="AU88" s="878"/>
      <c r="AV88" s="878"/>
      <c r="AW88" s="1054"/>
      <c r="AX88" s="1053"/>
      <c r="AY88" s="878"/>
      <c r="AZ88" s="878"/>
      <c r="BA88" s="878"/>
      <c r="BB88" s="1054"/>
      <c r="BC88" s="1053"/>
      <c r="BD88" s="878"/>
      <c r="BE88" s="878"/>
      <c r="BF88" s="1054"/>
      <c r="BG88" s="1053"/>
      <c r="BH88" s="878"/>
      <c r="BI88" s="1054"/>
      <c r="BJ88" s="878"/>
      <c r="BK88" s="1053"/>
      <c r="BL88" s="878"/>
      <c r="BM88" s="1054"/>
    </row>
    <row r="89" spans="2:67">
      <c r="B89" s="1103"/>
      <c r="C89" s="1099"/>
      <c r="D89" s="478"/>
      <c r="E89" s="478"/>
      <c r="F89" s="454" t="s">
        <v>3298</v>
      </c>
      <c r="G89" s="478" t="str">
        <f>_xlfn.XLOOKUP(H89, 'Baumaterialien Matériaux'!A:A, 'Baumaterialien Matériaux'!AD:AD, "-", 0, 1)</f>
        <v>Cadre de fenêtre en bois</v>
      </c>
      <c r="H89" s="892" t="s">
        <v>546</v>
      </c>
      <c r="I89" s="641" t="str">
        <f>_xlfn.XLOOKUP(H89, 'Baumaterialien Matériaux'!A:A, 'Baumaterialien Matériaux'!F:F, "-", 0, 1)</f>
        <v>m2</v>
      </c>
      <c r="J89" s="649">
        <f>$J$88*K89</f>
        <v>134.07999999999998</v>
      </c>
      <c r="K89" s="893">
        <v>1</v>
      </c>
      <c r="L89" s="647" cm="1">
        <f t="array" aca="1" ref="L89" ca="1">INDEX('Enveloppe du bâtiment hors terr'!N147:N151, 'Enveloppe du bâtiment hors terr'!W146)</f>
        <v>30</v>
      </c>
      <c r="M89" s="648">
        <f t="shared" ref="M89:M95" ca="1" si="200">SUM(N89:Q89)</f>
        <v>17.29849342896231</v>
      </c>
      <c r="N89" s="720">
        <f>IFERROR(($J89*VLOOKUP($H89, 'Baumaterialien Matériaux'!$A$11:$AH$318, 26,FALSE)),0)/$G$1</f>
        <v>4.2384644086066077</v>
      </c>
      <c r="O89" s="720">
        <f>IFERROR(($J89*VLOOKUP($H89, 'Baumaterialien Matériaux'!$A$11:$AH$318, 33,FALSE)),0)/$G$1</f>
        <v>7.1845445877036598</v>
      </c>
      <c r="P89" s="720">
        <f ca="1">IFERROR((N89+Q89)*($L$2/L89-1),0)</f>
        <v>5.0569744206293263</v>
      </c>
      <c r="Q89" s="720">
        <f>IFERROR(($J89*VLOOKUP($H89, 'Baumaterialien Matériaux'!$A$11:$AH$318, 27,FALSE)),0)/$G$1</f>
        <v>0.81851001202271856</v>
      </c>
      <c r="R89" s="720">
        <f>IFERROR(($J89*VLOOKUP($H89, 'Baumaterialien Matériaux'!$A$11:$AH$318, 34,FALSE)),0)/$G$1</f>
        <v>2.5013888313088177</v>
      </c>
      <c r="S89" s="720">
        <f>IFERROR((J89*VLOOKUP(H89, 'Baumaterialien Matériaux'!$A$11:$AD$318, 29,FALSE)),0)/$G$1</f>
        <v>3.821566270055138</v>
      </c>
      <c r="T89" s="720">
        <f>S89*AJ89</f>
        <v>3.8215662700551378E-2</v>
      </c>
      <c r="U89" s="638">
        <v>0.01</v>
      </c>
      <c r="V89" s="638">
        <f t="shared" ca="1" si="156"/>
        <v>3.8215662700551378E-2</v>
      </c>
      <c r="W89" s="638">
        <f t="shared" ca="1" si="157"/>
        <v>3.821566270055138</v>
      </c>
      <c r="X89" s="638" t="str">
        <f t="shared" ca="1" si="9"/>
        <v>Revêtement</v>
      </c>
      <c r="Z89" s="638">
        <f t="shared" ca="1" si="158"/>
        <v>30</v>
      </c>
      <c r="AA89" s="648" t="s">
        <v>3444</v>
      </c>
      <c r="AB89" t="str">
        <f>_xlfn.XLOOKUP($H89,'[1]Baumaterialien Matériaux'!$A:$A,'[1]Baumaterialien Matériaux'!AK:AK,0,0)</f>
        <v>timber</v>
      </c>
      <c r="AC89" cm="1">
        <f t="array" ref="AC89">_xlfn.SWITCH(I89,"kg"," ",0," ",_xlfn.XLOOKUP(H89, '[1]Baumaterialien Matériaux'!$A:$A, '[1]Baumaterialien Matériaux'!$AL:$AL, "-", 0, 1))</f>
        <v>17</v>
      </c>
      <c r="AD89" s="1112" cm="1">
        <f t="array" ref="AD89">IFERROR(_xlfn.SWITCH(I89,"kg",1,"m3",AC89,AC89)*J89/(_xlfn.XLOOKUP(AA89,Métrés!A:A,Métrés!E:E,0)),0)</f>
        <v>17</v>
      </c>
      <c r="AE89" s="1092">
        <f>IFERROR(N89*$G$1/(_xlfn.XLOOKUP($AA89,Métrés!$A:$A,Métrés!$E:$E,0)),0)</f>
        <v>30.5</v>
      </c>
      <c r="AF89" s="1092">
        <f>IFERROR(O89*$G$1/(_xlfn.XLOOKUP($AA89,Métrés!$A:$A,Métrés!$E:$E,0)),0)</f>
        <v>51.7</v>
      </c>
      <c r="AG89" s="1092">
        <f>IFERROR(Q89*$G$1/(_xlfn.XLOOKUP($AA89,Métrés!$A:$A,Métrés!$E:$E,0)),0)</f>
        <v>5.89</v>
      </c>
      <c r="AH89" s="1092">
        <f>IFERROR(R89*$G$1/(_xlfn.XLOOKUP($AA89,Métrés!$A:$A,Métrés!$E:$E,0)),0)</f>
        <v>18</v>
      </c>
      <c r="AI89" s="1092">
        <f>IFERROR(S89*$G$1/(_xlfn.XLOOKUP($AA89,Métrés!$A:$A,Métrés!$E:$E,0)),0)</f>
        <v>27.5</v>
      </c>
      <c r="AJ89" s="1022">
        <v>0.01</v>
      </c>
      <c r="AK89" s="638">
        <f ca="1">IF(L89=60,0,T89)</f>
        <v>3.8215662700551378E-2</v>
      </c>
      <c r="AL89" s="638">
        <f ca="1">IF(L89=60,0,S89)</f>
        <v>3.821566270055138</v>
      </c>
      <c r="AM89" s="638" t="str">
        <f ca="1">IF(L89=$L$2, "Structure", IF(L89&gt;0,"Revêtement",0))</f>
        <v>Revêtement</v>
      </c>
      <c r="AN89" s="1017">
        <f ca="1">IF(AM89="Structure",N89,0)</f>
        <v>0</v>
      </c>
      <c r="AO89" s="638">
        <f ca="1">IF(AM89="Structure",P89,0)</f>
        <v>0</v>
      </c>
      <c r="AP89" s="638">
        <f ca="1">IF(AM89="Structure",Q89,0)</f>
        <v>0</v>
      </c>
      <c r="AQ89" s="1018">
        <f ca="1">IF(AM89="Structure",S89,0)</f>
        <v>0</v>
      </c>
      <c r="AR89" s="1018">
        <f ca="1">IF(AM89="Structure",T89,0)</f>
        <v>0</v>
      </c>
      <c r="AS89" s="1017">
        <f ca="1">IF(AM89="Insulation",N89,0)</f>
        <v>0</v>
      </c>
      <c r="AT89" s="638">
        <f ca="1">IF(AM89="Insulation",P89,0)</f>
        <v>0</v>
      </c>
      <c r="AU89" s="638">
        <f ca="1">IF(AM89="Insulation",Q89,0)</f>
        <v>0</v>
      </c>
      <c r="AV89" s="1018">
        <f ca="1">IF(AM89="Insulation",S89,0)</f>
        <v>0</v>
      </c>
      <c r="AW89" s="1018">
        <f ca="1">IF(AM89="Insulation",T89,0)</f>
        <v>0</v>
      </c>
      <c r="AX89" s="1017">
        <f ca="1">IF(AM89="Revêtement",N89,0)</f>
        <v>4.2384644086066077</v>
      </c>
      <c r="AY89" s="638">
        <f ca="1">IF(AM89="Revêtement",P89,0)</f>
        <v>5.0569744206293263</v>
      </c>
      <c r="AZ89" s="638">
        <f ca="1">IF(AM89="Revêtement",Q89,0)</f>
        <v>0.81851001202271856</v>
      </c>
      <c r="BA89" s="638">
        <f ca="1">IF(AM89="Revêtement",S89,0)</f>
        <v>3.821566270055138</v>
      </c>
      <c r="BB89" s="1018">
        <f ca="1">IF(AM89="Revêtement",T89,0)</f>
        <v>3.8215662700551378E-2</v>
      </c>
      <c r="BC89" s="1017"/>
      <c r="BF89" s="1018"/>
      <c r="BG89" s="1017">
        <f ca="1">IF($AM89="Structure", IF($I89="kg",$J89,0), 0)</f>
        <v>0</v>
      </c>
      <c r="BH89" s="638">
        <f ca="1">IF($AM89="Insulation", IF($I89="kg",$J89,0), 0)</f>
        <v>0</v>
      </c>
      <c r="BI89" s="1018">
        <f ca="1">IF($AM89="Revêtement", IF($I89="kg",$J89,0), 0)</f>
        <v>0</v>
      </c>
      <c r="BJ89" s="638">
        <f>_xlfn.XLOOKUP(H89, 'Baumaterialien Matériaux'!A:A, 'Baumaterialien Matériaux'!E:E, "-", 0, 1)</f>
        <v>80.2</v>
      </c>
      <c r="BK89" s="1032">
        <f t="shared" ca="1" si="152"/>
        <v>0</v>
      </c>
      <c r="BL89" s="1030">
        <f t="shared" ca="1" si="153"/>
        <v>0</v>
      </c>
      <c r="BM89" s="1033">
        <f t="shared" ca="1" si="154"/>
        <v>0</v>
      </c>
      <c r="BN89" s="720">
        <f ca="1">IFERROR((J89*VLOOKUP(H89, 'Baumaterialien Matériaux'!$A$11:$AH$318, 32,FALSE))*($L$2/L89-1),0)/$G$1</f>
        <v>9.6998300236308577</v>
      </c>
      <c r="BO89" s="720">
        <f ca="1">IFERROR((N89+Q89)*($L$2/L89-1),0)</f>
        <v>5.0569744206293263</v>
      </c>
    </row>
    <row r="90" spans="2:67">
      <c r="B90" s="1103"/>
      <c r="C90" s="1099"/>
      <c r="D90" s="478"/>
      <c r="E90" s="478"/>
      <c r="F90" s="454" t="s">
        <v>3037</v>
      </c>
      <c r="G90" s="478" t="str">
        <f>_xlfn.XLOOKUP(H90, 'Baumaterialien Matériaux'!A:A, 'Baumaterialien Matériaux'!AD:AD, "-", 0, 1)</f>
        <v>Triple vitrage, U&lt;0.6 W/m2K, épaisseur 40 mm 3</v>
      </c>
      <c r="H90" s="892" t="s">
        <v>668</v>
      </c>
      <c r="I90" s="641" t="str">
        <f>_xlfn.XLOOKUP(H90, 'Baumaterialien Matériaux'!A:A, 'Baumaterialien Matériaux'!F:F, "-", 0, 1)</f>
        <v>m2</v>
      </c>
      <c r="J90" s="649">
        <f t="shared" ref="J90" si="201">$J$88*K90</f>
        <v>104.58239999999999</v>
      </c>
      <c r="K90" s="893">
        <v>0.78</v>
      </c>
      <c r="L90" s="647" cm="1">
        <f t="array" aca="1" ref="L90" ca="1">INDEX('Enveloppe du bâtiment hors terr'!N148:N152, 'Enveloppe du bâtiment hors terr'!W147)</f>
        <v>30</v>
      </c>
      <c r="M90" s="648">
        <f t="shared" ca="1" si="200"/>
        <v>16.488821657476887</v>
      </c>
      <c r="N90" s="720">
        <f>IFERROR(($J90*VLOOKUP($H90, 'Baumaterialien Matériaux'!$A$11:$AH$318, 26,FALSE)),0)/$G$1</f>
        <v>6.742076696654367</v>
      </c>
      <c r="O90" s="720">
        <f>IFERROR(($J90*VLOOKUP($H90, 'Baumaterialien Matériaux'!$A$11:$AH$318, 33,FALSE)),0)/$G$1</f>
        <v>1.7668143111811283</v>
      </c>
      <c r="P90" s="720">
        <f t="shared" ref="P90:P91" ca="1" si="202">IFERROR((N90+Q90)*($L$2/L90-1),0)</f>
        <v>7.361003673147879</v>
      </c>
      <c r="Q90" s="720">
        <f>IFERROR(($J90*VLOOKUP($H90, 'Baumaterialien Matériaux'!$A$11:$AH$318, 27,FALSE)),0)/$G$1</f>
        <v>0.6189269764935118</v>
      </c>
      <c r="R90" s="720">
        <f>IFERROR(($J90*VLOOKUP($H90, 'Baumaterialien Matériaux'!$A$11:$AH$318, 34,FALSE)),0)/$G$1</f>
        <v>0.65036109614029258</v>
      </c>
      <c r="S90" s="720">
        <f>IFERROR((J90*VLOOKUP(H90, 'Baumaterialien Matériaux'!$A$11:$AD$318, 29,FALSE)),0)/$G$1</f>
        <v>0</v>
      </c>
      <c r="T90" s="720">
        <f>S90*AJ90</f>
        <v>0</v>
      </c>
      <c r="V90" s="638">
        <f t="shared" ca="1" si="156"/>
        <v>0</v>
      </c>
      <c r="W90" s="638">
        <f t="shared" ca="1" si="157"/>
        <v>0</v>
      </c>
      <c r="X90" s="638" t="str">
        <f t="shared" ca="1" si="9"/>
        <v>Revêtement</v>
      </c>
      <c r="Z90" s="638">
        <f t="shared" ca="1" si="158"/>
        <v>30</v>
      </c>
      <c r="AA90" s="648" t="s">
        <v>3444</v>
      </c>
      <c r="AB90" t="str">
        <f>_xlfn.XLOOKUP($H90,'[1]Baumaterialien Matériaux'!$A:$A,'[1]Baumaterialien Matériaux'!AK:AK,0,0)</f>
        <v>glass</v>
      </c>
      <c r="AC90" cm="1">
        <f t="array" ref="AC90">_xlfn.SWITCH(I90,"kg"," ",0," ",_xlfn.XLOOKUP(H90, '[1]Baumaterialien Matériaux'!$A:$A, '[1]Baumaterialien Matériaux'!$AL:$AL, "-", 0, 1))</f>
        <v>44.8</v>
      </c>
      <c r="AD90" s="1112" cm="1">
        <f t="array" ref="AD90">IFERROR(_xlfn.SWITCH(I90,"kg",1,"m3",AC90,AC90)*J90/(_xlfn.XLOOKUP(AA90,Métrés!A:A,Métrés!E:E,0)),0)</f>
        <v>34.944000000000003</v>
      </c>
      <c r="AE90" s="1092">
        <f>IFERROR(N90*$G$1/(_xlfn.XLOOKUP($AA90,Métrés!$A:$A,Métrés!$E:$E,0)),0)</f>
        <v>48.516000000000005</v>
      </c>
      <c r="AF90" s="1092">
        <f>IFERROR(O90*$G$1/(_xlfn.XLOOKUP($AA90,Métrés!$A:$A,Métrés!$E:$E,0)),0)</f>
        <v>12.714</v>
      </c>
      <c r="AG90" s="1092">
        <f>IFERROR(Q90*$G$1/(_xlfn.XLOOKUP($AA90,Métrés!$A:$A,Métrés!$E:$E,0)),0)</f>
        <v>4.4538000000000002</v>
      </c>
      <c r="AH90" s="1092">
        <f>IFERROR(R90*$G$1/(_xlfn.XLOOKUP($AA90,Métrés!$A:$A,Métrés!$E:$E,0)),0)</f>
        <v>4.68</v>
      </c>
      <c r="AI90" s="1092">
        <f>IFERROR(S90*$G$1/(_xlfn.XLOOKUP($AA90,Métrés!$A:$A,Métrés!$E:$E,0)),0)</f>
        <v>0</v>
      </c>
      <c r="AJ90" s="1022"/>
      <c r="AK90" s="638">
        <f ca="1">IF(L90=60,0,T90)</f>
        <v>0</v>
      </c>
      <c r="AL90" s="638">
        <f ca="1">IF(L90=60,0,S90)</f>
        <v>0</v>
      </c>
      <c r="AM90" s="638" t="str">
        <f ca="1">IF(L90=$L$2, "Structure", IF(L90&gt;0,"Revêtement",0))</f>
        <v>Revêtement</v>
      </c>
      <c r="AN90" s="1017">
        <f ca="1">IF(AM90="Structure",N90,0)</f>
        <v>0</v>
      </c>
      <c r="AO90" s="638">
        <f ca="1">IF(AM90="Structure",P90,0)</f>
        <v>0</v>
      </c>
      <c r="AP90" s="638">
        <f ca="1">IF(AM90="Structure",Q90,0)</f>
        <v>0</v>
      </c>
      <c r="AQ90" s="1018">
        <f ca="1">IF(AM90="Structure",S90,0)</f>
        <v>0</v>
      </c>
      <c r="AR90" s="1018">
        <f ca="1">IF(AM90="Structure",T90,0)</f>
        <v>0</v>
      </c>
      <c r="AS90" s="1017">
        <f ca="1">IF(AM90="Insulation",N90,0)</f>
        <v>0</v>
      </c>
      <c r="AT90" s="638">
        <f ca="1">IF(AM90="Insulation",P90,0)</f>
        <v>0</v>
      </c>
      <c r="AU90" s="638">
        <f ca="1">IF(AM90="Insulation",Q90,0)</f>
        <v>0</v>
      </c>
      <c r="AV90" s="1018">
        <f ca="1">IF(AM90="Insulation",S90,0)</f>
        <v>0</v>
      </c>
      <c r="AW90" s="1018">
        <f ca="1">IF(AM90="Insulation",T90,0)</f>
        <v>0</v>
      </c>
      <c r="AX90" s="1017">
        <f ca="1">IF(AM90="Revêtement",N90,0)</f>
        <v>6.742076696654367</v>
      </c>
      <c r="AY90" s="638">
        <f ca="1">IF(AM90="Revêtement",P90,0)</f>
        <v>7.361003673147879</v>
      </c>
      <c r="AZ90" s="638">
        <f ca="1">IF(AM90="Revêtement",Q90,0)</f>
        <v>0.6189269764935118</v>
      </c>
      <c r="BA90" s="638">
        <f ca="1">IF(AM90="Revêtement",S90,0)</f>
        <v>0</v>
      </c>
      <c r="BB90" s="1018">
        <f ca="1">IF(AM90="Revêtement",T90,0)</f>
        <v>0</v>
      </c>
      <c r="BC90" s="1017"/>
      <c r="BF90" s="1018"/>
      <c r="BG90" s="1017">
        <f ca="1">IF($AM90="Structure", IF($I90="kg",$J90,0), 0)</f>
        <v>0</v>
      </c>
      <c r="BH90" s="638">
        <f ca="1">IF($AM90="Insulation", IF($I90="kg",$J90,0), 0)</f>
        <v>0</v>
      </c>
      <c r="BI90" s="1018">
        <f ca="1">IF($AM90="Revêtement", IF($I90="kg",$J90,0), 0)</f>
        <v>0</v>
      </c>
      <c r="BJ90" s="638">
        <f>_xlfn.XLOOKUP(H90, 'Baumaterialien Matériaux'!A:A, 'Baumaterialien Matériaux'!E:E, "-", 0, 1)</f>
        <v>30</v>
      </c>
      <c r="BK90" s="1032">
        <f t="shared" ca="1" si="152"/>
        <v>0</v>
      </c>
      <c r="BL90" s="1030">
        <f t="shared" ca="1" si="153"/>
        <v>0</v>
      </c>
      <c r="BM90" s="1033">
        <f t="shared" ca="1" si="154"/>
        <v>0</v>
      </c>
      <c r="BN90" s="720">
        <f ca="1">IFERROR((J90*VLOOKUP(H90, 'Baumaterialien Matériaux'!$A$11:$AH$318, 32,FALSE))*($L$2/L90-1),0)/$G$1</f>
        <v>2.4171754073214209</v>
      </c>
      <c r="BO90" s="720">
        <f ca="1">IFERROR((N90+Q90)*($L$2/L90-1),0)</f>
        <v>7.361003673147879</v>
      </c>
    </row>
    <row r="91" spans="2:67">
      <c r="B91" s="1103"/>
      <c r="C91" s="1099"/>
      <c r="D91" s="478"/>
      <c r="E91" s="478"/>
      <c r="F91" s="3" t="s">
        <v>3299</v>
      </c>
      <c r="G91" s="478" t="str">
        <f>_xlfn.XLOOKUP(H91, 'Baumaterialien Matériaux'!A:A, 'Baumaterialien Matériaux'!AD:AD, "-", 0, 1)</f>
        <v>Bois massif épicéa / sapin / mélèze, séché en cellule, raboté</v>
      </c>
      <c r="H91" s="892" t="s">
        <v>129</v>
      </c>
      <c r="I91" s="641" t="str">
        <f>_xlfn.XLOOKUP(H91, 'Baumaterialien Matériaux'!A:A, 'Baumaterialien Matériaux'!F:F, "-", 0, 1)</f>
        <v>kg</v>
      </c>
      <c r="J91" s="649">
        <f>117.9*K91</f>
        <v>1425.4110000000001</v>
      </c>
      <c r="K91" s="893">
        <f>0.026*465</f>
        <v>12.09</v>
      </c>
      <c r="L91" s="647" cm="1">
        <f t="array" aca="1" ref="L91" ca="1">INDEX('Enveloppe du bâtiment hors terr'!N149:N153, 'Enveloppe du bâtiment hors terr'!W148)</f>
        <v>30</v>
      </c>
      <c r="M91" s="648">
        <f t="shared" ca="1" si="200"/>
        <v>0.57823666659757067</v>
      </c>
      <c r="N91" s="720">
        <f>IFERROR(($J91*VLOOKUP($H91, 'Baumaterialien Matériaux'!$A$11:$AH$318, 26,FALSE)),0)/$G$1</f>
        <v>0.19944289726794082</v>
      </c>
      <c r="O91" s="720">
        <f>IFERROR(($J91*VLOOKUP($H91, 'Baumaterialien Matériaux'!$A$11:$AH$318, 33,FALSE)),0)/$G$1</f>
        <v>6.3526256166825584E-2</v>
      </c>
      <c r="P91" s="720">
        <f t="shared" ca="1" si="202"/>
        <v>0.25735520521537253</v>
      </c>
      <c r="Q91" s="720">
        <f>IFERROR(($J91*VLOOKUP($H91, 'Baumaterialien Matériaux'!$A$11:$AH$318, 27,FALSE)),0)/$G$1</f>
        <v>5.7912307947431699E-2</v>
      </c>
      <c r="R91" s="720">
        <f>IFERROR(($J91*VLOOKUP($H91, 'Baumaterialien Matériaux'!$A$11:$AH$318, 34,FALSE)),0)/$G$1</f>
        <v>1.075514290452303E-2</v>
      </c>
      <c r="S91" s="720">
        <f>IFERROR((J91*VLOOKUP(H91, 'Baumaterialien Matériaux'!$A$11:$AD$318, 29,FALSE)),0)/$G$1</f>
        <v>2.4430523786327267</v>
      </c>
      <c r="T91" s="720">
        <f>S91*AJ91</f>
        <v>2.4430523786327266E-2</v>
      </c>
      <c r="U91" s="638">
        <v>0.01</v>
      </c>
      <c r="V91" s="638">
        <f t="shared" ca="1" si="156"/>
        <v>2.4430523786327266E-2</v>
      </c>
      <c r="W91" s="638">
        <f t="shared" ca="1" si="157"/>
        <v>2.4430523786327267</v>
      </c>
      <c r="X91" s="638" t="str">
        <f t="shared" ca="1" si="9"/>
        <v>Revêtement</v>
      </c>
      <c r="Z91" s="638">
        <f t="shared" ca="1" si="158"/>
        <v>30</v>
      </c>
      <c r="AA91" s="648" t="s">
        <v>3444</v>
      </c>
      <c r="AB91" t="str">
        <f>_xlfn.XLOOKUP($H91,'[1]Baumaterialien Matériaux'!$A:$A,'[1]Baumaterialien Matériaux'!AK:AK,0,0)</f>
        <v>timber</v>
      </c>
      <c r="AC91" t="str" cm="1">
        <f t="array" ref="AC91">_xlfn.SWITCH(I91,"kg"," ",0," ",_xlfn.XLOOKUP(H91, '[1]Baumaterialien Matériaux'!$A:$A, '[1]Baumaterialien Matériaux'!$AL:$AL, "-", 0, 1))</f>
        <v xml:space="preserve"> </v>
      </c>
      <c r="AD91" s="1112" cm="1">
        <f t="array" ref="AD91">IFERROR(_xlfn.SWITCH(I91,"kg",1,"m3",AC91,AC91)*J91/(_xlfn.XLOOKUP(AA91,Métrés!A:A,Métrés!E:E,0)),0)</f>
        <v>10.631048627684965</v>
      </c>
      <c r="AE91" s="1092">
        <f>IFERROR(N91*$G$1/(_xlfn.XLOOKUP($AA91,Métrés!$A:$A,Métrés!$E:$E,0)),0)</f>
        <v>1.4351915647374707</v>
      </c>
      <c r="AF91" s="1092">
        <f>IFERROR(O91*$G$1/(_xlfn.XLOOKUP($AA91,Métrés!$A:$A,Métrés!$E:$E,0)),0)</f>
        <v>0.45713509099045352</v>
      </c>
      <c r="AG91" s="1092">
        <f>IFERROR(Q91*$G$1/(_xlfn.XLOOKUP($AA91,Métrés!$A:$A,Métrés!$E:$E,0)),0)</f>
        <v>0.41673710620525067</v>
      </c>
      <c r="AH91" s="1092">
        <f>IFERROR(R91*$G$1/(_xlfn.XLOOKUP($AA91,Métrés!$A:$A,Métrés!$E:$E,0)),0)</f>
        <v>7.7394034009546558E-2</v>
      </c>
      <c r="AI91" s="1092">
        <f>IFERROR(S91*$G$1/(_xlfn.XLOOKUP($AA91,Métrés!$A:$A,Métrés!$E:$E,0)),0)</f>
        <v>17.580210747315039</v>
      </c>
      <c r="AJ91" s="1022">
        <v>0.01</v>
      </c>
      <c r="AK91" s="638">
        <f ca="1">IF(L91=60,0,T91)</f>
        <v>2.4430523786327266E-2</v>
      </c>
      <c r="AL91" s="638">
        <f ca="1">IF(L91=60,0,S91)</f>
        <v>2.4430523786327267</v>
      </c>
      <c r="AM91" s="638" t="str">
        <f ca="1">IF(L91=$L$2, "Structure", IF(L91&gt;0,"Revêtement",0))</f>
        <v>Revêtement</v>
      </c>
      <c r="AN91" s="1017">
        <f ca="1">IF(AM91="Structure",N91,0)</f>
        <v>0</v>
      </c>
      <c r="AO91" s="638">
        <f ca="1">IF(AM91="Structure",P91,0)</f>
        <v>0</v>
      </c>
      <c r="AP91" s="638">
        <f ca="1">IF(AM91="Structure",Q91,0)</f>
        <v>0</v>
      </c>
      <c r="AQ91" s="1018">
        <f ca="1">IF(AM91="Structure",S91,0)</f>
        <v>0</v>
      </c>
      <c r="AR91" s="1018">
        <f ca="1">IF(AM91="Structure",T91,0)</f>
        <v>0</v>
      </c>
      <c r="AS91" s="1017">
        <f ca="1">IF(AM91="Insulation",N91,0)</f>
        <v>0</v>
      </c>
      <c r="AT91" s="638">
        <f ca="1">IF(AM91="Insulation",P91,0)</f>
        <v>0</v>
      </c>
      <c r="AU91" s="638">
        <f ca="1">IF(AM91="Insulation",Q91,0)</f>
        <v>0</v>
      </c>
      <c r="AV91" s="1018">
        <f ca="1">IF(AM91="Insulation",S91,0)</f>
        <v>0</v>
      </c>
      <c r="AW91" s="1018">
        <f ca="1">IF(AM91="Insulation",T91,0)</f>
        <v>0</v>
      </c>
      <c r="AX91" s="1017">
        <f ca="1">IF(AM91="Revêtement",N91,0)</f>
        <v>0.19944289726794082</v>
      </c>
      <c r="AY91" s="638">
        <f ca="1">IF(AM91="Revêtement",P91,0)</f>
        <v>0.25735520521537253</v>
      </c>
      <c r="AZ91" s="638">
        <f ca="1">IF(AM91="Revêtement",Q91,0)</f>
        <v>5.7912307947431699E-2</v>
      </c>
      <c r="BA91" s="638">
        <f ca="1">IF(AM91="Revêtement",S91,0)</f>
        <v>2.4430523786327267</v>
      </c>
      <c r="BB91" s="1018">
        <f ca="1">IF(AM91="Revêtement",T91,0)</f>
        <v>2.4430523786327266E-2</v>
      </c>
      <c r="BC91" s="1017"/>
      <c r="BF91" s="1018"/>
      <c r="BG91" s="1017">
        <f ca="1">IF($AM91="Structure", IF($I91="kg",$J91,0), 0)</f>
        <v>0</v>
      </c>
      <c r="BH91" s="638">
        <f ca="1">IF($AM91="Insulation", IF($I91="kg",$J91,0), 0)</f>
        <v>0</v>
      </c>
      <c r="BI91" s="1018">
        <f ca="1">IF($AM91="Revêtement", IF($I91="kg",$J91,0), 0)</f>
        <v>1425.4110000000001</v>
      </c>
      <c r="BJ91" s="638">
        <f>_xlfn.XLOOKUP(H91, 'Baumaterialien Matériaux'!A:A, 'Baumaterialien Matériaux'!E:E, "-", 0, 1)</f>
        <v>465</v>
      </c>
      <c r="BK91" s="1032">
        <f t="shared" ca="1" si="152"/>
        <v>0</v>
      </c>
      <c r="BL91" s="1030">
        <f t="shared" ca="1" si="153"/>
        <v>0</v>
      </c>
      <c r="BM91" s="1033">
        <f t="shared" ca="1" si="154"/>
        <v>3.0654000000000003</v>
      </c>
      <c r="BN91" s="720">
        <f ca="1">IFERROR((J91*VLOOKUP(H91, 'Baumaterialien Matériaux'!$A$11:$AH$318, 32,FALSE))*($L$2/L91-1),0)/$G$1</f>
        <v>7.4310946167240155E-2</v>
      </c>
      <c r="BO91" s="720">
        <f ca="1">IFERROR((N91+Q91)*($L$2/L91-1),0)</f>
        <v>0.25735520521537253</v>
      </c>
    </row>
    <row r="92" spans="2:67">
      <c r="B92" s="1103"/>
      <c r="C92" s="1099"/>
      <c r="D92" s="478"/>
      <c r="E92" s="478"/>
      <c r="F92" s="479"/>
      <c r="G92" s="479"/>
      <c r="H92" s="479"/>
      <c r="I92" s="459" t="s">
        <v>39</v>
      </c>
      <c r="J92" s="662"/>
      <c r="K92" s="663"/>
      <c r="L92" s="663"/>
      <c r="M92" s="664">
        <f>SUM(M93:M95)</f>
        <v>14.332859265094037</v>
      </c>
      <c r="N92" s="664">
        <f t="shared" ref="N92:T92" si="203">SUM(N93:N95)</f>
        <v>5.2182227105012231</v>
      </c>
      <c r="O92" s="664">
        <f t="shared" ref="O92" si="204">SUM(O93:O95)</f>
        <v>2.5452638088525905</v>
      </c>
      <c r="P92" s="664">
        <f t="shared" si="203"/>
        <v>5.8937977281207239</v>
      </c>
      <c r="Q92" s="664">
        <f t="shared" si="203"/>
        <v>0.67557501761950167</v>
      </c>
      <c r="R92" s="664">
        <f t="shared" ref="R92" si="205">SUM(R93:R95)</f>
        <v>0.31866667994395359</v>
      </c>
      <c r="S92" s="664">
        <f t="shared" si="203"/>
        <v>5.1373084311042927</v>
      </c>
      <c r="T92" s="664">
        <f t="shared" si="203"/>
        <v>0</v>
      </c>
      <c r="V92" s="638">
        <f t="shared" si="156"/>
        <v>0</v>
      </c>
      <c r="W92" s="638">
        <f t="shared" si="157"/>
        <v>5.1373084311042927</v>
      </c>
      <c r="Z92" s="674">
        <f t="shared" si="158"/>
        <v>0</v>
      </c>
      <c r="AA92" s="1095"/>
      <c r="AB92">
        <f>_xlfn.XLOOKUP($H92,'[1]Baumaterialien Matériaux'!$A:$A,'[1]Baumaterialien Matériaux'!AK:AK,0,0)</f>
        <v>0</v>
      </c>
      <c r="AC92" cm="1">
        <f t="array" ref="AC92">_xlfn.SWITCH(I92,"kg"," ",0," ",_xlfn.XLOOKUP(H92, '[1]Baumaterialien Matériaux'!$A:$A, '[1]Baumaterialien Matériaux'!$AL:$AL, "-", 0, 1))</f>
        <v>0</v>
      </c>
      <c r="AD92" s="1112" cm="1">
        <f t="array" ref="AD92">IFERROR(_xlfn.SWITCH(I92,"kg",1,"m3",AC92,AC92)*J92/(_xlfn.XLOOKUP(AA92,Métrés!A:A,Métrés!E:E,0)),0)</f>
        <v>0</v>
      </c>
      <c r="AE92" s="1092">
        <f>IFERROR(N92*$G$1/(_xlfn.XLOOKUP($AA92,Métrés!$A:$A,Métrés!$E:$E,0)),0)</f>
        <v>0</v>
      </c>
      <c r="AF92" s="1092">
        <f>IFERROR(O92*$G$1/(_xlfn.XLOOKUP($AA92,Métrés!$A:$A,Métrés!$E:$E,0)),0)</f>
        <v>0</v>
      </c>
      <c r="AG92" s="1092">
        <f>IFERROR(Q92*$G$1/(_xlfn.XLOOKUP($AA92,Métrés!$A:$A,Métrés!$E:$E,0)),0)</f>
        <v>0</v>
      </c>
      <c r="AH92" s="1092">
        <f>IFERROR(R92*$G$1/(_xlfn.XLOOKUP($AA92,Métrés!$A:$A,Métrés!$E:$E,0)),0)</f>
        <v>0</v>
      </c>
      <c r="AI92" s="1092">
        <f>IFERROR(S92*$G$1/(_xlfn.XLOOKUP($AA92,Métrés!$A:$A,Métrés!$E:$E,0)),0)</f>
        <v>0</v>
      </c>
      <c r="AJ92" s="878"/>
      <c r="AK92" s="878"/>
      <c r="AL92" s="878"/>
      <c r="AM92" s="878"/>
      <c r="AN92" s="1053"/>
      <c r="AO92" s="878"/>
      <c r="AP92" s="878"/>
      <c r="AQ92" s="878"/>
      <c r="AR92" s="1054"/>
      <c r="AS92" s="1053"/>
      <c r="AT92" s="878"/>
      <c r="AU92" s="878"/>
      <c r="AV92" s="878"/>
      <c r="AW92" s="1054"/>
      <c r="AX92" s="1053"/>
      <c r="AY92" s="878"/>
      <c r="AZ92" s="878"/>
      <c r="BA92" s="878"/>
      <c r="BB92" s="1054"/>
      <c r="BC92" s="1053"/>
      <c r="BD92" s="878"/>
      <c r="BE92" s="878"/>
      <c r="BF92" s="1054"/>
      <c r="BG92" s="1053"/>
      <c r="BH92" s="878"/>
      <c r="BI92" s="1054"/>
      <c r="BJ92" s="878"/>
      <c r="BK92" s="1053"/>
      <c r="BL92" s="878"/>
      <c r="BM92" s="1054"/>
      <c r="BN92" s="720"/>
      <c r="BO92" s="720"/>
    </row>
    <row r="93" spans="2:67">
      <c r="B93" s="1103"/>
      <c r="C93" s="1099"/>
      <c r="D93" s="478"/>
      <c r="E93" s="478"/>
      <c r="F93" s="454" t="s">
        <v>3389</v>
      </c>
      <c r="G93" s="478" t="str">
        <f>_xlfn.XLOOKUP(H93, 'Baumaterialien Matériaux'!A:A, 'Baumaterialien Matériaux'!AD:AD, "-", 0, 1)</f>
        <v>Porte intérieure, porte fonctionnelle, bois, cadre en bois</v>
      </c>
      <c r="H93" s="885">
        <v>12.009</v>
      </c>
      <c r="I93" s="641" t="str">
        <f>_xlfn.XLOOKUP(H93, 'Baumaterialien Matériaux'!A:A, 'Baumaterialien Matériaux'!F:F, "-", 0, 1)</f>
        <v>m2</v>
      </c>
      <c r="J93" s="649">
        <v>20.54</v>
      </c>
      <c r="K93" s="647"/>
      <c r="L93" s="647">
        <v>30</v>
      </c>
      <c r="M93" s="648">
        <f t="shared" si="200"/>
        <v>2.3702620123543801</v>
      </c>
      <c r="N93" s="720">
        <f>IFERROR(($J93*VLOOKUP($H93, 'Baumaterialien Matériaux'!$A$11:$AH$318, 26,FALSE)),0)/$G$1</f>
        <v>0.79831889225156505</v>
      </c>
      <c r="O93" s="720">
        <f>IFERROR(($J93*VLOOKUP($H93, 'Baumaterialien Matériaux'!$A$11:$AH$318, 33,FALSE)),0)/$G$1</f>
        <v>0.48112018573027654</v>
      </c>
      <c r="P93" s="720">
        <f>IFERROR((N93+Q93)*($L$2/L93-1),0)</f>
        <v>0.94457091331205179</v>
      </c>
      <c r="Q93" s="720">
        <f>IFERROR(($J93*VLOOKUP($H93, 'Baumaterialien Matériaux'!$A$11:$AH$318, 27,FALSE)),0)/$G$1</f>
        <v>0.14625202106048671</v>
      </c>
      <c r="R93" s="720">
        <f>IFERROR(($J93*VLOOKUP($H93, 'Baumaterialien Matériaux'!$A$11:$AH$318, 34,FALSE)),0)/$G$1</f>
        <v>7.5574188466481479E-2</v>
      </c>
      <c r="S93" s="720">
        <f>IFERROR((J93*VLOOKUP(H93, 'Baumaterialien Matériaux'!$A$11:$AD$318, 29,FALSE)),0)/$G$1</f>
        <v>1.3504007572930916</v>
      </c>
      <c r="T93" s="720">
        <f>S93*AJ93</f>
        <v>0</v>
      </c>
      <c r="V93" s="638">
        <f t="shared" si="156"/>
        <v>0</v>
      </c>
      <c r="W93" s="638">
        <f t="shared" si="157"/>
        <v>1.3504007572930916</v>
      </c>
      <c r="Z93" s="674">
        <f t="shared" si="158"/>
        <v>30</v>
      </c>
      <c r="AA93" s="648" t="s">
        <v>3448</v>
      </c>
      <c r="AB93" t="str">
        <f>_xlfn.XLOOKUP($H93,'[1]Baumaterialien Matériaux'!$A:$A,'[1]Baumaterialien Matériaux'!AK:AK,0,0)</f>
        <v>timber</v>
      </c>
      <c r="AC93" cm="1">
        <f t="array" ref="AC93">_xlfn.SWITCH(I93,"kg"," ",0," ",_xlfn.XLOOKUP(H93, '[1]Baumaterialien Matériaux'!$A:$A, '[1]Baumaterialien Matériaux'!$AL:$AL, "-", 0, 1))</f>
        <v>41.6</v>
      </c>
      <c r="AD93" s="1112" cm="1">
        <f t="array" ref="AD93">IFERROR(_xlfn.SWITCH(I93,"kg",1,"m3",AC93,AC93)*J93/(_xlfn.XLOOKUP(AA93,Métrés!A:A,Métrés!E:E,0)),0)</f>
        <v>2.9684349487580333</v>
      </c>
      <c r="AE93" s="1092">
        <f>IFERROR(N93*$G$1/(_xlfn.XLOOKUP($AA93,Métrés!$A:$A,Métrés!$E:$E,0)),0)</f>
        <v>2.6758728504429388</v>
      </c>
      <c r="AF93" s="1092">
        <f>IFERROR(O93*$G$1/(_xlfn.XLOOKUP($AA93,Métrés!$A:$A,Métrés!$E:$E,0)),0)</f>
        <v>1.6126593712002779</v>
      </c>
      <c r="AG93" s="1092">
        <f>IFERROR(Q93*$G$1/(_xlfn.XLOOKUP($AA93,Métrés!$A:$A,Métrés!$E:$E,0)),0)</f>
        <v>0.49021990620114642</v>
      </c>
      <c r="AH93" s="1092">
        <f>IFERROR(R93*$G$1/(_xlfn.XLOOKUP($AA93,Métrés!$A:$A,Métrés!$E:$E,0)),0)</f>
        <v>0.25331596317526484</v>
      </c>
      <c r="AI93" s="1092">
        <f>IFERROR(S93*$G$1/(_xlfn.XLOOKUP($AA93,Métrés!$A:$A,Métrés!$E:$E,0)),0)</f>
        <v>4.5263875861270337</v>
      </c>
      <c r="AJ93" s="1022"/>
      <c r="AK93" s="638">
        <f>IF(L93=60,0,T93)</f>
        <v>0</v>
      </c>
      <c r="AL93" s="638">
        <f>IF(L93=60,0,S93)</f>
        <v>1.3504007572930916</v>
      </c>
      <c r="AM93" s="638" t="str">
        <f>IF(L93=$L$2, "Structure", IF(L93&gt;0,"Revêtement",0))</f>
        <v>Revêtement</v>
      </c>
      <c r="AN93" s="1017">
        <f>IF(AM93="Structure",N93,0)</f>
        <v>0</v>
      </c>
      <c r="AO93" s="638">
        <f>IF(AM93="Structure",P93,0)</f>
        <v>0</v>
      </c>
      <c r="AP93" s="638">
        <f>IF(AM93="Structure",Q93,0)</f>
        <v>0</v>
      </c>
      <c r="AQ93" s="1018">
        <f>IF(AM93="Structure",S93,0)</f>
        <v>0</v>
      </c>
      <c r="AR93" s="1018">
        <f>IF(AM93="Structure",T93,0)</f>
        <v>0</v>
      </c>
      <c r="AS93" s="1017">
        <f>IF(AM93="Insulation",N93,0)</f>
        <v>0</v>
      </c>
      <c r="AT93" s="638">
        <f>IF(AM93="Insulation",P93,0)</f>
        <v>0</v>
      </c>
      <c r="AU93" s="638">
        <f>IF(AM93="Insulation",Q93,0)</f>
        <v>0</v>
      </c>
      <c r="AV93" s="1018">
        <f>IF(AM93="Insulation",S93,0)</f>
        <v>0</v>
      </c>
      <c r="AW93" s="1018">
        <f>IF(AM93="Insulation",T93,0)</f>
        <v>0</v>
      </c>
      <c r="AX93" s="1017">
        <f>IF(AM93="Revêtement",N93,0)</f>
        <v>0.79831889225156505</v>
      </c>
      <c r="AY93" s="638">
        <f>IF(AM93="Revêtement",P93,0)</f>
        <v>0.94457091331205179</v>
      </c>
      <c r="AZ93" s="638">
        <f>IF(AM93="Revêtement",Q93,0)</f>
        <v>0.14625202106048671</v>
      </c>
      <c r="BA93" s="638">
        <f>IF(AM93="Revêtement",S93,0)</f>
        <v>1.3504007572930916</v>
      </c>
      <c r="BB93" s="1018">
        <f>IF(AM93="Revêtement",T93,0)</f>
        <v>0</v>
      </c>
      <c r="BC93" s="1017"/>
      <c r="BF93" s="1018"/>
      <c r="BG93" s="1017">
        <f>IF($AM93="Structure", IF($I93="kg",$J93,0), 0)</f>
        <v>0</v>
      </c>
      <c r="BH93" s="638">
        <f>IF($AM93="Insulation", IF($I93="kg",$J93,0), 0)</f>
        <v>0</v>
      </c>
      <c r="BI93" s="1018">
        <f>IF($AM93="Revêtement", IF($I93="kg",$J93,0), 0)</f>
        <v>0</v>
      </c>
      <c r="BJ93" s="638">
        <f>_xlfn.XLOOKUP(H93, 'Baumaterialien Matériaux'!A:A, 'Baumaterialien Matériaux'!E:E, "-", 0, 1)</f>
        <v>46.7</v>
      </c>
      <c r="BK93" s="1032">
        <f t="shared" si="152"/>
        <v>0</v>
      </c>
      <c r="BL93" s="1030">
        <f t="shared" si="153"/>
        <v>0</v>
      </c>
      <c r="BM93" s="1033">
        <f t="shared" si="154"/>
        <v>0</v>
      </c>
      <c r="BN93" s="720"/>
      <c r="BO93" s="720"/>
    </row>
    <row r="94" spans="2:67">
      <c r="B94" s="1103"/>
      <c r="C94" s="1099"/>
      <c r="D94" s="478"/>
      <c r="E94" s="478"/>
      <c r="F94" s="454" t="s">
        <v>3390</v>
      </c>
      <c r="G94" s="478" t="str">
        <f>_xlfn.XLOOKUP(H94, 'Baumaterialien Matériaux'!A:A, 'Baumaterialien Matériaux'!AD:AD, "-", 0, 1)</f>
        <v>Porte intérieure, porte fonctionnelle, bois, cadre en bois</v>
      </c>
      <c r="H94" s="885">
        <v>12.009</v>
      </c>
      <c r="I94" s="641" t="str">
        <f>_xlfn.XLOOKUP(H94, 'Baumaterialien Matériaux'!A:A, 'Baumaterialien Matériaux'!F:F, "-", 0, 1)</f>
        <v>m2</v>
      </c>
      <c r="J94" s="649">
        <v>57.6</v>
      </c>
      <c r="K94" s="647"/>
      <c r="L94" s="647">
        <v>30</v>
      </c>
      <c r="M94" s="648">
        <f t="shared" si="200"/>
        <v>6.6468886032917371</v>
      </c>
      <c r="N94" s="720">
        <f>IFERROR(($J94*VLOOKUP($H94, 'Baumaterialien Matériaux'!$A$11:$AH$318, 26,FALSE)),0)/$G$1</f>
        <v>2.2387131545126651</v>
      </c>
      <c r="O94" s="720">
        <f>IFERROR(($J94*VLOOKUP($H94, 'Baumaterialien Matériaux'!$A$11:$AH$318, 33,FALSE)),0)/$G$1</f>
        <v>1.3491977944529665</v>
      </c>
      <c r="P94" s="720">
        <f t="shared" ref="P94:P95" si="206">IFERROR((N94+Q94)*($L$2/L94-1),0)</f>
        <v>2.6488454044193852</v>
      </c>
      <c r="Q94" s="720">
        <f>IFERROR(($J94*VLOOKUP($H94, 'Baumaterialien Matériaux'!$A$11:$AH$318, 27,FALSE)),0)/$G$1</f>
        <v>0.41013224990672026</v>
      </c>
      <c r="R94" s="720">
        <f>IFERROR(($J94*VLOOKUP($H94, 'Baumaterialien Matériaux'!$A$11:$AH$318, 34,FALSE)),0)/$G$1</f>
        <v>0.21193151196053231</v>
      </c>
      <c r="S94" s="720">
        <f>IFERROR((J94*VLOOKUP(H94, 'Baumaterialien Matériaux'!$A$11:$AD$318, 29,FALSE)),0)/$G$1</f>
        <v>3.7869076738112013</v>
      </c>
      <c r="T94" s="720">
        <f>S94*AJ94</f>
        <v>0</v>
      </c>
      <c r="V94" s="638">
        <f t="shared" si="156"/>
        <v>0</v>
      </c>
      <c r="W94" s="638">
        <f t="shared" si="157"/>
        <v>3.7869076738112013</v>
      </c>
      <c r="Z94" s="674">
        <f t="shared" si="158"/>
        <v>30</v>
      </c>
      <c r="AA94" s="648" t="s">
        <v>3448</v>
      </c>
      <c r="AB94" t="str">
        <f>_xlfn.XLOOKUP($H94,'[1]Baumaterialien Matériaux'!$A:$A,'[1]Baumaterialien Matériaux'!AK:AK,0,0)</f>
        <v>timber</v>
      </c>
      <c r="AC94" cm="1">
        <f t="array" ref="AC94">_xlfn.SWITCH(I94,"kg"," ",0," ",_xlfn.XLOOKUP(H94, '[1]Baumaterialien Matériaux'!$A:$A, '[1]Baumaterialien Matériaux'!$AL:$AL, "-", 0, 1))</f>
        <v>41.6</v>
      </c>
      <c r="AD94" s="1112" cm="1">
        <f t="array" ref="AD94">IFERROR(_xlfn.SWITCH(I94,"kg",1,"m3",AC94,AC94)*J94/(_xlfn.XLOOKUP(AA94,Métrés!A:A,Métrés!E:E,0)),0)</f>
        <v>8.3243355914538828</v>
      </c>
      <c r="AE94" s="1092">
        <f>IFERROR(N94*$G$1/(_xlfn.XLOOKUP($AA94,Métrés!$A:$A,Métrés!$E:$E,0)),0)</f>
        <v>7.503908285565398</v>
      </c>
      <c r="AF94" s="1092">
        <f>IFERROR(O94*$G$1/(_xlfn.XLOOKUP($AA94,Métrés!$A:$A,Métrés!$E:$E,0)),0)</f>
        <v>4.522355393434081</v>
      </c>
      <c r="AG94" s="1092">
        <f>IFERROR(Q94*$G$1/(_xlfn.XLOOKUP($AA94,Métrés!$A:$A,Métrés!$E:$E,0)),0)</f>
        <v>1.374715997915581</v>
      </c>
      <c r="AH94" s="1092">
        <f>IFERROR(R94*$G$1/(_xlfn.XLOOKUP($AA94,Métrés!$A:$A,Métrés!$E:$E,0)),0)</f>
        <v>0.71036998436685761</v>
      </c>
      <c r="AI94" s="1092">
        <f>IFERROR(S94*$G$1/(_xlfn.XLOOKUP($AA94,Métrés!$A:$A,Métrés!$E:$E,0)),0)</f>
        <v>12.693277748827512</v>
      </c>
      <c r="AJ94" s="1022"/>
      <c r="AK94" s="638">
        <f>IF(L94=60,0,T94)</f>
        <v>0</v>
      </c>
      <c r="AL94" s="638">
        <f>IF(L94=60,0,S94)</f>
        <v>3.7869076738112013</v>
      </c>
      <c r="AM94" s="638" t="str">
        <f>IF(L94=$L$2, "Structure", IF(L94&gt;0,"Revêtement",0))</f>
        <v>Revêtement</v>
      </c>
      <c r="AN94" s="1017">
        <f>IF(AM94="Structure",N94,0)</f>
        <v>0</v>
      </c>
      <c r="AO94" s="638">
        <f>IF(AM94="Structure",P94,0)</f>
        <v>0</v>
      </c>
      <c r="AP94" s="638">
        <f>IF(AM94="Structure",Q94,0)</f>
        <v>0</v>
      </c>
      <c r="AQ94" s="1018">
        <f>IF(AM94="Structure",S94,0)</f>
        <v>0</v>
      </c>
      <c r="AR94" s="1018">
        <f>IF(AM94="Structure",T94,0)</f>
        <v>0</v>
      </c>
      <c r="AS94" s="1017">
        <f>IF(AM94="Insulation",N94,0)</f>
        <v>0</v>
      </c>
      <c r="AT94" s="638">
        <f>IF(AM94="Insulation",P94,0)</f>
        <v>0</v>
      </c>
      <c r="AU94" s="638">
        <f>IF(AM94="Insulation",Q94,0)</f>
        <v>0</v>
      </c>
      <c r="AV94" s="1018">
        <f>IF(AM94="Insulation",S94,0)</f>
        <v>0</v>
      </c>
      <c r="AW94" s="1018">
        <f>IF(AM94="Insulation",T94,0)</f>
        <v>0</v>
      </c>
      <c r="AX94" s="1017">
        <f>IF(AM94="Revêtement",N94,0)</f>
        <v>2.2387131545126651</v>
      </c>
      <c r="AY94" s="638">
        <f>IF(AM94="Revêtement",P94,0)</f>
        <v>2.6488454044193852</v>
      </c>
      <c r="AZ94" s="638">
        <f>IF(AM94="Revêtement",Q94,0)</f>
        <v>0.41013224990672026</v>
      </c>
      <c r="BA94" s="638">
        <f>IF(AM94="Revêtement",S94,0)</f>
        <v>3.7869076738112013</v>
      </c>
      <c r="BB94" s="1018">
        <f>IF(AM94="Revêtement",T94,0)</f>
        <v>0</v>
      </c>
      <c r="BC94" s="1017"/>
      <c r="BF94" s="1018"/>
      <c r="BG94" s="1017">
        <f>IF($AM94="Structure", IF($I94="kg",$J94,0), 0)</f>
        <v>0</v>
      </c>
      <c r="BH94" s="638">
        <f>IF($AM94="Insulation", IF($I94="kg",$J94,0), 0)</f>
        <v>0</v>
      </c>
      <c r="BI94" s="1018">
        <f>IF($AM94="Revêtement", IF($I94="kg",$J94,0), 0)</f>
        <v>0</v>
      </c>
      <c r="BJ94" s="638">
        <f>_xlfn.XLOOKUP(H94, 'Baumaterialien Matériaux'!A:A, 'Baumaterialien Matériaux'!E:E, "-", 0, 1)</f>
        <v>46.7</v>
      </c>
      <c r="BK94" s="1032">
        <f t="shared" si="152"/>
        <v>0</v>
      </c>
      <c r="BL94" s="1030">
        <f t="shared" si="153"/>
        <v>0</v>
      </c>
      <c r="BM94" s="1033">
        <f t="shared" si="154"/>
        <v>0</v>
      </c>
      <c r="BN94" s="720"/>
      <c r="BO94" s="720"/>
    </row>
    <row r="95" spans="2:67">
      <c r="B95" s="1103"/>
      <c r="C95" s="1099"/>
      <c r="D95" s="478"/>
      <c r="E95" s="478"/>
      <c r="F95" s="3" t="s">
        <v>3391</v>
      </c>
      <c r="G95" s="478" t="str">
        <f>_xlfn.XLOOKUP(H95, 'Baumaterialien Matériaux'!A:A, 'Baumaterialien Matériaux'!AD:AD, "-", 0, 1)</f>
        <v>Portes extérieures aluminium, avec panneau</v>
      </c>
      <c r="H95" s="885">
        <v>12.006</v>
      </c>
      <c r="I95" s="641" t="str">
        <f>_xlfn.XLOOKUP(H95, 'Baumaterialien Matériaux'!A:A, 'Baumaterialien Matériaux'!F:F, "-", 0, 1)</f>
        <v>m2</v>
      </c>
      <c r="J95" s="649">
        <v>11.5</v>
      </c>
      <c r="K95" s="647"/>
      <c r="L95" s="647">
        <v>30</v>
      </c>
      <c r="M95" s="648">
        <f t="shared" si="200"/>
        <v>5.3157086494479211</v>
      </c>
      <c r="N95" s="720">
        <f>IFERROR(($J95*VLOOKUP($H95, 'Baumaterialien Matériaux'!$A$11:$AH$318, 26,FALSE)),0)/$G$1</f>
        <v>2.1811906637369924</v>
      </c>
      <c r="O95" s="720">
        <f>IFERROR(($J95*VLOOKUP($H95, 'Baumaterialien Matériaux'!$A$11:$AH$318, 33,FALSE)),0)/$G$1</f>
        <v>0.71494582866934764</v>
      </c>
      <c r="P95" s="720">
        <f t="shared" si="206"/>
        <v>2.3003814103892872</v>
      </c>
      <c r="Q95" s="720">
        <f>IFERROR(($J95*VLOOKUP($H95, 'Baumaterialien Matériaux'!$A$11:$AH$318, 27,FALSE)),0)/$G$1</f>
        <v>0.11919074665229468</v>
      </c>
      <c r="R95" s="720">
        <f>IFERROR(($J95*VLOOKUP($H95, 'Baumaterialien Matériaux'!$A$11:$AH$318, 34,FALSE)),0)/$G$1</f>
        <v>3.1160979516939781E-2</v>
      </c>
      <c r="S95" s="720">
        <f>IFERROR((J95*VLOOKUP(H95, 'Baumaterialien Matériaux'!$A$11:$AD$318, 29,FALSE)),0)/$G$1</f>
        <v>0</v>
      </c>
      <c r="T95" s="720">
        <f>S95*AJ95</f>
        <v>0</v>
      </c>
      <c r="V95" s="638">
        <f t="shared" si="156"/>
        <v>0</v>
      </c>
      <c r="W95" s="638">
        <f t="shared" si="157"/>
        <v>0</v>
      </c>
      <c r="Z95" s="674">
        <f t="shared" si="158"/>
        <v>30</v>
      </c>
      <c r="AA95" s="648" t="s">
        <v>3446</v>
      </c>
      <c r="AB95" t="str">
        <f>_xlfn.XLOOKUP($H95,'[1]Baumaterialien Matériaux'!$A:$A,'[1]Baumaterialien Matériaux'!AK:AK,0,0)</f>
        <v>metal</v>
      </c>
      <c r="AC95" cm="1">
        <f t="array" ref="AC95">_xlfn.SWITCH(I95,"kg"," ",0," ",_xlfn.XLOOKUP(H95, '[1]Baumaterialien Matériaux'!$A:$A, '[1]Baumaterialien Matériaux'!$AL:$AL, "-", 0, 1))</f>
        <v>21.4</v>
      </c>
      <c r="AD95" s="1112" cm="1">
        <f t="array" ref="AD95">IFERROR(_xlfn.SWITCH(I95,"kg",1,"m3",AC95,AC95)*J95/(_xlfn.XLOOKUP(AA95,Métrés!A:A,Métrés!E:E,0)),0)</f>
        <v>0.25506819783591062</v>
      </c>
      <c r="AE95" s="1092">
        <f>IFERROR(N95*$G$1/(_xlfn.XLOOKUP($AA95,Métrés!$A:$A,Métrés!$E:$E,0)),0)</f>
        <v>2.1811906637369924</v>
      </c>
      <c r="AF95" s="1092">
        <f>IFERROR(O95*$G$1/(_xlfn.XLOOKUP($AA95,Métrés!$A:$A,Métrés!$E:$E,0)),0)</f>
        <v>0.71494582866934764</v>
      </c>
      <c r="AG95" s="1092">
        <f>IFERROR(Q95*$G$1/(_xlfn.XLOOKUP($AA95,Métrés!$A:$A,Métrés!$E:$E,0)),0)</f>
        <v>0.11919074665229468</v>
      </c>
      <c r="AH95" s="1092">
        <f>IFERROR(R95*$G$1/(_xlfn.XLOOKUP($AA95,Métrés!$A:$A,Métrés!$E:$E,0)),0)</f>
        <v>3.1160979516939781E-2</v>
      </c>
      <c r="AI95" s="1092">
        <f>IFERROR(S95*$G$1/(_xlfn.XLOOKUP($AA95,Métrés!$A:$A,Métrés!$E:$E,0)),0)</f>
        <v>0</v>
      </c>
      <c r="AJ95" s="1022"/>
      <c r="AK95" s="638">
        <f>IF(L95=60,0,T95)</f>
        <v>0</v>
      </c>
      <c r="AL95" s="638">
        <f>IF(L95=60,0,S95)</f>
        <v>0</v>
      </c>
      <c r="AM95" s="638" t="str">
        <f>IF(L95=$L$2, "Structure", IF(L95&gt;0,"Revêtement",0))</f>
        <v>Revêtement</v>
      </c>
      <c r="AN95" s="1017">
        <f>IF(AM95="Structure",N95,0)</f>
        <v>0</v>
      </c>
      <c r="AO95" s="638">
        <f>IF(AM95="Structure",P95,0)</f>
        <v>0</v>
      </c>
      <c r="AP95" s="638">
        <f>IF(AM95="Structure",Q95,0)</f>
        <v>0</v>
      </c>
      <c r="AQ95" s="1018">
        <f>IF(AM95="Structure",S95,0)</f>
        <v>0</v>
      </c>
      <c r="AR95" s="1018">
        <f>IF(AM95="Structure",T95,0)</f>
        <v>0</v>
      </c>
      <c r="AS95" s="1017">
        <f>IF(AM95="Insulation",N95,0)</f>
        <v>0</v>
      </c>
      <c r="AT95" s="638">
        <f>IF(AM95="Insulation",P95,0)</f>
        <v>0</v>
      </c>
      <c r="AU95" s="638">
        <f>IF(AM95="Insulation",Q95,0)</f>
        <v>0</v>
      </c>
      <c r="AV95" s="1018">
        <f>IF(AM95="Insulation",S95,0)</f>
        <v>0</v>
      </c>
      <c r="AW95" s="1018">
        <f>IF(AM95="Insulation",T95,0)</f>
        <v>0</v>
      </c>
      <c r="AX95" s="1017">
        <f>IF(AM95="Revêtement",N95,0)</f>
        <v>2.1811906637369924</v>
      </c>
      <c r="AY95" s="638">
        <f>IF(AM95="Revêtement",P95,0)</f>
        <v>2.3003814103892872</v>
      </c>
      <c r="AZ95" s="638">
        <f>IF(AM95="Revêtement",Q95,0)</f>
        <v>0.11919074665229468</v>
      </c>
      <c r="BA95" s="638">
        <f>IF(AM95="Revêtement",S95,0)</f>
        <v>0</v>
      </c>
      <c r="BB95" s="1018">
        <f>IF(AM95="Revêtement",T95,0)</f>
        <v>0</v>
      </c>
      <c r="BC95" s="1017"/>
      <c r="BF95" s="1018"/>
      <c r="BG95" s="1017">
        <f>IF($AM95="Structure", IF($I95="kg",$J95,0), 0)</f>
        <v>0</v>
      </c>
      <c r="BH95" s="638">
        <f>IF($AM95="Insulation", IF($I95="kg",$J95,0), 0)</f>
        <v>0</v>
      </c>
      <c r="BI95" s="1018">
        <f>IF($AM95="Revêtement", IF($I95="kg",$J95,0), 0)</f>
        <v>0</v>
      </c>
      <c r="BJ95" s="638">
        <f>_xlfn.XLOOKUP(H95, 'Baumaterialien Matériaux'!A:A, 'Baumaterialien Matériaux'!E:E, "-", 0, 1)</f>
        <v>25</v>
      </c>
      <c r="BK95" s="1032">
        <f t="shared" si="152"/>
        <v>0</v>
      </c>
      <c r="BL95" s="1030">
        <f t="shared" si="153"/>
        <v>0</v>
      </c>
      <c r="BM95" s="1033">
        <f t="shared" si="154"/>
        <v>0</v>
      </c>
      <c r="BN95" s="720"/>
      <c r="BO95" s="720"/>
    </row>
    <row r="96" spans="2:67" ht="15.75" customHeight="1">
      <c r="B96" s="1103"/>
      <c r="C96" s="1097" t="s">
        <v>124</v>
      </c>
      <c r="D96" s="473" t="s">
        <v>125</v>
      </c>
      <c r="E96" s="473"/>
      <c r="F96" s="473"/>
      <c r="G96" s="473"/>
      <c r="H96" s="473"/>
      <c r="I96" s="463"/>
      <c r="J96" s="654"/>
      <c r="K96" s="652"/>
      <c r="L96" s="652"/>
      <c r="M96" s="653">
        <f ca="1">M97+M102</f>
        <v>18.481979899672485</v>
      </c>
      <c r="N96" s="653">
        <f t="shared" ref="N96:Q96" si="207">N97+N102</f>
        <v>10.827314093528461</v>
      </c>
      <c r="O96" s="653">
        <f t="shared" ref="O96" si="208">O97+O102</f>
        <v>4.8563369972223374</v>
      </c>
      <c r="P96" s="653">
        <f t="shared" ca="1" si="207"/>
        <v>0.93080694830230926</v>
      </c>
      <c r="Q96" s="653">
        <f t="shared" si="207"/>
        <v>1.8675218606193773</v>
      </c>
      <c r="R96" s="653">
        <f t="shared" ref="R96" si="209">R97+R102</f>
        <v>1.2216049745035444</v>
      </c>
      <c r="S96" s="653">
        <f>S97+S102</f>
        <v>52.588222295924709</v>
      </c>
      <c r="T96" s="653">
        <f>T97+T102</f>
        <v>-12.23956588035322</v>
      </c>
      <c r="V96" s="638">
        <f t="shared" si="156"/>
        <v>-12.23956588035322</v>
      </c>
      <c r="X96" s="638">
        <f t="shared" si="9"/>
        <v>0</v>
      </c>
      <c r="Z96" s="638">
        <f t="shared" si="158"/>
        <v>0</v>
      </c>
      <c r="AB96">
        <f>_xlfn.XLOOKUP($H96,'[1]Baumaterialien Matériaux'!$A:$A,'[1]Baumaterialien Matériaux'!AK:AK,0,0)</f>
        <v>0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1112" cm="1">
        <f t="array" ref="AD96">IFERROR(_xlfn.SWITCH(I96,"kg",1,"m3",AC96,AC96)*J96/(_xlfn.XLOOKUP(AA96,Métrés!A:A,Métrés!E:E,0)),0)</f>
        <v>0</v>
      </c>
      <c r="AE96" s="1092">
        <f>IFERROR(N96*$G$1/(_xlfn.XLOOKUP($AA96,Métrés!$A:$A,Métrés!$E:$E,0)),0)</f>
        <v>0</v>
      </c>
      <c r="AF96" s="1092">
        <f>IFERROR(O96*$G$1/(_xlfn.XLOOKUP($AA96,Métrés!$A:$A,Métrés!$E:$E,0)),0)</f>
        <v>0</v>
      </c>
      <c r="AG96" s="1092">
        <f>IFERROR(Q96*$G$1/(_xlfn.XLOOKUP($AA96,Métrés!$A:$A,Métrés!$E:$E,0)),0)</f>
        <v>0</v>
      </c>
      <c r="AH96" s="1092">
        <f>IFERROR(R96*$G$1/(_xlfn.XLOOKUP($AA96,Métrés!$A:$A,Métrés!$E:$E,0)),0)</f>
        <v>0</v>
      </c>
      <c r="AI96" s="1092">
        <f>IFERROR(S96*$G$1/(_xlfn.XLOOKUP($AA96,Métrés!$A:$A,Métrés!$E:$E,0)),0)</f>
        <v>0</v>
      </c>
      <c r="AJ96" s="666"/>
      <c r="AK96" s="666"/>
      <c r="AL96" s="666"/>
      <c r="AM96" s="666"/>
      <c r="AN96" s="1051"/>
      <c r="AO96" s="666"/>
      <c r="AP96" s="666"/>
      <c r="AQ96" s="666"/>
      <c r="AR96" s="1052"/>
      <c r="AS96" s="1051"/>
      <c r="AT96" s="666"/>
      <c r="AU96" s="666"/>
      <c r="AV96" s="666"/>
      <c r="AW96" s="1052"/>
      <c r="AX96" s="1051"/>
      <c r="AY96" s="666"/>
      <c r="AZ96" s="666"/>
      <c r="BA96" s="666"/>
      <c r="BB96" s="1052"/>
      <c r="BC96" s="1051"/>
      <c r="BD96" s="666"/>
      <c r="BE96" s="666"/>
      <c r="BF96" s="1052"/>
      <c r="BG96" s="1051"/>
      <c r="BH96" s="666"/>
      <c r="BI96" s="1052"/>
      <c r="BJ96" s="666"/>
      <c r="BK96" s="1051"/>
      <c r="BL96" s="666"/>
      <c r="BM96" s="1052"/>
    </row>
    <row r="97" spans="2:67">
      <c r="B97" s="1103"/>
      <c r="C97" s="1099"/>
      <c r="D97" s="483"/>
      <c r="E97" s="479" t="str">
        <f>BillQuantities!E20</f>
        <v>Dalle en béton 25cm (avec enduit intérieur)</v>
      </c>
      <c r="F97" s="479" t="s">
        <v>238</v>
      </c>
      <c r="G97" s="479"/>
      <c r="H97" s="479"/>
      <c r="I97" s="459" t="s">
        <v>39</v>
      </c>
      <c r="J97" s="662">
        <v>257.58</v>
      </c>
      <c r="K97" s="663"/>
      <c r="L97" s="663"/>
      <c r="M97" s="664">
        <f ca="1">SUM(M98:M101)</f>
        <v>18.481979899672485</v>
      </c>
      <c r="N97" s="664">
        <f t="shared" ref="N97:S97" si="210">SUM(N98:N101)</f>
        <v>10.827314093528461</v>
      </c>
      <c r="O97" s="664">
        <f t="shared" ref="O97" si="211">SUM(O98:O101)</f>
        <v>4.8563369972223374</v>
      </c>
      <c r="P97" s="664">
        <f t="shared" ca="1" si="210"/>
        <v>0.93080694830230926</v>
      </c>
      <c r="Q97" s="664">
        <f t="shared" si="210"/>
        <v>1.8675218606193773</v>
      </c>
      <c r="R97" s="664">
        <f t="shared" ref="R97" si="212">SUM(R98:R101)</f>
        <v>1.2216049745035444</v>
      </c>
      <c r="S97" s="664">
        <f t="shared" si="210"/>
        <v>52.588222295924709</v>
      </c>
      <c r="T97" s="664">
        <f t="shared" ref="T97" si="213">SUM(T98:T101)</f>
        <v>-12.23956588035322</v>
      </c>
      <c r="U97" s="674"/>
      <c r="V97" s="674">
        <f t="shared" si="156"/>
        <v>-12.23956588035322</v>
      </c>
      <c r="W97" s="674"/>
      <c r="X97" s="674">
        <f t="shared" si="9"/>
        <v>0</v>
      </c>
      <c r="Y97" s="674"/>
      <c r="Z97" s="674">
        <f t="shared" si="158"/>
        <v>0</v>
      </c>
      <c r="AA97" s="1095" t="s">
        <v>3445</v>
      </c>
      <c r="AB97">
        <f>_xlfn.XLOOKUP($H97,'[1]Baumaterialien Matériaux'!$A:$A,'[1]Baumaterialien Matériaux'!AK:AK,0,0)</f>
        <v>0</v>
      </c>
      <c r="AC97" cm="1">
        <f t="array" ref="AC97">_xlfn.SWITCH(I97,"kg"," ",0," ",_xlfn.XLOOKUP(H97, '[1]Baumaterialien Matériaux'!$A:$A, '[1]Baumaterialien Matériaux'!$AL:$AL, "-", 0, 1))</f>
        <v>0</v>
      </c>
      <c r="AD97" s="1112" cm="1">
        <f t="array" ref="AD97">IFERROR(_xlfn.SWITCH(I97,"kg",1,"m3",AC97,AC97)*J97/(_xlfn.XLOOKUP(AA97,Métrés!A:A,Métrés!E:E,0)),0)</f>
        <v>0</v>
      </c>
      <c r="AE97" s="1092">
        <f>IFERROR(N97*$G$1/(_xlfn.XLOOKUP($AA97,Métrés!$A:$A,Métrés!$E:$E,0)),0)</f>
        <v>25.9601543947715</v>
      </c>
      <c r="AF97" s="1092">
        <f>IFERROR(O97*$G$1/(_xlfn.XLOOKUP($AA97,Métrés!$A:$A,Métrés!$E:$E,0)),0)</f>
        <v>11.643816476727714</v>
      </c>
      <c r="AG97" s="1092">
        <f>IFERROR(Q97*$G$1/(_xlfn.XLOOKUP($AA97,Métrés!$A:$A,Métrés!$E:$E,0)),0)</f>
        <v>4.4776715091573269</v>
      </c>
      <c r="AH97" s="1092">
        <f>IFERROR(R97*$G$1/(_xlfn.XLOOKUP($AA97,Métrés!$A:$A,Métrés!$E:$E,0)),0)</f>
        <v>2.9289862170423193</v>
      </c>
      <c r="AI97" s="1092">
        <f>IFERROR(S97*$G$1/(_xlfn.XLOOKUP($AA97,Métrés!$A:$A,Métrés!$E:$E,0)),0)</f>
        <v>126.08836857930964</v>
      </c>
      <c r="AJ97" s="878"/>
      <c r="AK97" s="878"/>
      <c r="AL97" s="878"/>
      <c r="AM97" s="878"/>
      <c r="AN97" s="1053"/>
      <c r="AO97" s="878"/>
      <c r="AP97" s="878"/>
      <c r="AQ97" s="878"/>
      <c r="AR97" s="1054"/>
      <c r="AS97" s="1053"/>
      <c r="AT97" s="878"/>
      <c r="AU97" s="878"/>
      <c r="AV97" s="878"/>
      <c r="AW97" s="1054"/>
      <c r="AX97" s="1053"/>
      <c r="AY97" s="878"/>
      <c r="AZ97" s="878"/>
      <c r="BA97" s="878"/>
      <c r="BB97" s="1054"/>
      <c r="BC97" s="1053"/>
      <c r="BD97" s="878"/>
      <c r="BE97" s="878"/>
      <c r="BF97" s="1054"/>
      <c r="BG97" s="1053"/>
      <c r="BH97" s="878"/>
      <c r="BI97" s="1054"/>
      <c r="BJ97" s="878"/>
      <c r="BK97" s="1053"/>
      <c r="BL97" s="878"/>
      <c r="BM97" s="1054"/>
    </row>
    <row r="98" spans="2:67">
      <c r="B98" s="1103"/>
      <c r="C98" s="1099"/>
      <c r="D98" s="478"/>
      <c r="E98" s="478"/>
      <c r="F98" s="454" t="s">
        <v>3315</v>
      </c>
      <c r="G98" s="478" t="str">
        <f>_xlfn.XLOOKUP(H98, 'Baumaterialien Matériaux'!A:A, 'Baumaterialien Matériaux'!AD:AD, "-", 0, 1)</f>
        <v>Contreplaqué de planches</v>
      </c>
      <c r="H98" s="857" t="s">
        <v>1454</v>
      </c>
      <c r="I98" s="641" t="str">
        <f>_xlfn.XLOOKUP(H98, 'Baumaterialien Matériaux'!A:A, 'Baumaterialien Matériaux'!F:F, "-", 0, 1)</f>
        <v>kg</v>
      </c>
      <c r="J98" s="649">
        <f>15.45*436</f>
        <v>6736.2</v>
      </c>
      <c r="K98" s="893"/>
      <c r="L98" s="647" cm="1">
        <f t="array" aca="1" ref="L98" ca="1">INDEX('Enveloppe du bâtiment hors terr'!N154:N190, 'Enveloppe du bâtiment hors terr'!W154)</f>
        <v>60</v>
      </c>
      <c r="M98" s="648">
        <f t="shared" ref="M98:M101" ca="1" si="214">SUM(N98:Q98)</f>
        <v>4.2773236287881922</v>
      </c>
      <c r="N98" s="720">
        <f>IFERROR(($J98*VLOOKUP($H98, 'Baumaterialien Matériaux'!$A$11:$AH$318, 26,FALSE)),0)/$G$1</f>
        <v>2.2131912026864557</v>
      </c>
      <c r="O98" s="720">
        <f>IFERROR(($J98*VLOOKUP($H98, 'Baumaterialien Matériaux'!$A$11:$AH$318, 33,FALSE)),0)/$G$1</f>
        <v>1.5055983686414327</v>
      </c>
      <c r="P98" s="720">
        <f ca="1">IFERROR((N98+Q98)*($L$2/L98-1),0)</f>
        <v>0</v>
      </c>
      <c r="Q98" s="720">
        <f>IFERROR(($J98*VLOOKUP($H98, 'Baumaterialien Matériaux'!$A$11:$AH$318, 27,FALSE)),0)/$G$1</f>
        <v>0.55853405746030427</v>
      </c>
      <c r="R98" s="720">
        <f>IFERROR(($J98*VLOOKUP($H98, 'Baumaterialien Matériaux'!$A$11:$AH$318, 34,FALSE)),0)/$G$1</f>
        <v>0.29602305045396121</v>
      </c>
      <c r="S98" s="720">
        <f>IFERROR((J98*VLOOKUP(H98, 'Baumaterialien Matériaux'!$A$11:$AD$318, 29,FALSE)),0)/$G$1</f>
        <v>11.494165457485177</v>
      </c>
      <c r="T98" s="720">
        <f>S98*AJ98</f>
        <v>-2.9884830189461464</v>
      </c>
      <c r="U98" s="674">
        <v>-0.26</v>
      </c>
      <c r="V98" s="674">
        <f t="shared" ca="1" si="156"/>
        <v>0</v>
      </c>
      <c r="W98" s="674">
        <f t="shared" ca="1" si="157"/>
        <v>0</v>
      </c>
      <c r="X98" s="674" t="str">
        <f t="shared" ca="1" si="9"/>
        <v>Structure</v>
      </c>
      <c r="Y98" s="674"/>
      <c r="Z98" s="674">
        <f t="shared" ca="1" si="158"/>
        <v>60</v>
      </c>
      <c r="AA98" s="1095" t="s">
        <v>3445</v>
      </c>
      <c r="AB98" t="str">
        <f>_xlfn.XLOOKUP($H98,'[1]Baumaterialien Matériaux'!$A:$A,'[1]Baumaterialien Matériaux'!AK:AK,0,0)</f>
        <v>timber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1112" cm="1">
        <f t="array" ref="AD98">IFERROR(_xlfn.SWITCH(I98,"kg",1,"m3",AC98,AC98)*J98/(_xlfn.XLOOKUP(AA98,Métrés!A:A,Métrés!E:E,0)),0)</f>
        <v>16.739643647026664</v>
      </c>
      <c r="AE98" s="1092">
        <f>IFERROR(N98*$G$1/(_xlfn.XLOOKUP($AA98,Métrés!$A:$A,Métrés!$E:$E,0)),0)</f>
        <v>5.3064670361074517</v>
      </c>
      <c r="AF98" s="1092">
        <f>IFERROR(O98*$G$1/(_xlfn.XLOOKUP($AA98,Métrés!$A:$A,Métrés!$E:$E,0)),0)</f>
        <v>3.6099041524813003</v>
      </c>
      <c r="AG98" s="1092">
        <f>IFERROR(Q98*$G$1/(_xlfn.XLOOKUP($AA98,Métrés!$A:$A,Métrés!$E:$E,0)),0)</f>
        <v>1.3391714917621329</v>
      </c>
      <c r="AH98" s="1092">
        <f>IFERROR(R98*$G$1/(_xlfn.XLOOKUP($AA98,Métrés!$A:$A,Métrés!$E:$E,0)),0)</f>
        <v>0.70976089063393044</v>
      </c>
      <c r="AI98" s="1092">
        <f>IFERROR(S98*$G$1/(_xlfn.XLOOKUP($AA98,Métrés!$A:$A,Métrés!$E:$E,0)),0)</f>
        <v>27.559033324221559</v>
      </c>
      <c r="AJ98" s="1022">
        <v>-0.26</v>
      </c>
      <c r="AK98" s="638">
        <f ca="1">IF(L98=60,0,T98)</f>
        <v>0</v>
      </c>
      <c r="AL98" s="638">
        <f ca="1">IF(L98=60,0,S98)</f>
        <v>0</v>
      </c>
      <c r="AM98" s="638" t="str">
        <f ca="1">IF(L98=$L$2, "Structure", IF(L98&gt;0,"Revêtement",0))</f>
        <v>Structure</v>
      </c>
      <c r="AN98" s="1017">
        <f ca="1">IF(AM98="Structure",N98,0)</f>
        <v>2.2131912026864557</v>
      </c>
      <c r="AO98" s="638">
        <f ca="1">IF(AM98="Structure",P98,0)</f>
        <v>0</v>
      </c>
      <c r="AP98" s="638">
        <f ca="1">IF(AM98="Structure",Q98,0)</f>
        <v>0.55853405746030427</v>
      </c>
      <c r="AQ98" s="1018">
        <f ca="1">IF(AM98="Structure",S98,0)</f>
        <v>11.494165457485177</v>
      </c>
      <c r="AR98" s="1018">
        <f ca="1">IF(AM98="Structure",T98,0)</f>
        <v>-2.9884830189461464</v>
      </c>
      <c r="AS98" s="1017">
        <f ca="1">IF(AM98="Insulation",N98,0)</f>
        <v>0</v>
      </c>
      <c r="AT98" s="638">
        <f ca="1">IF(AM98="Insulation",P98,0)</f>
        <v>0</v>
      </c>
      <c r="AU98" s="638">
        <f ca="1">IF(AM98="Insulation",Q98,0)</f>
        <v>0</v>
      </c>
      <c r="AV98" s="1018">
        <f ca="1">IF(AM98="Insulation",S98,0)</f>
        <v>0</v>
      </c>
      <c r="AW98" s="1018">
        <f ca="1">IF(AM98="Insulation",T98,0)</f>
        <v>0</v>
      </c>
      <c r="AX98" s="1017">
        <f ca="1">IF(AM98="Revêtement",N98,0)</f>
        <v>0</v>
      </c>
      <c r="AY98" s="638">
        <f ca="1">IF(AM98="Revêtement",P98,0)</f>
        <v>0</v>
      </c>
      <c r="AZ98" s="638">
        <f ca="1">IF(AM98="Revêtement",Q98,0)</f>
        <v>0</v>
      </c>
      <c r="BA98" s="638">
        <f ca="1">IF(AM98="Revêtement",S98,0)</f>
        <v>0</v>
      </c>
      <c r="BB98" s="1018">
        <f ca="1">IF(AM98="Revêtement",T98,0)</f>
        <v>0</v>
      </c>
      <c r="BC98" s="1017"/>
      <c r="BF98" s="1018"/>
      <c r="BG98" s="1017">
        <f ca="1">IF($AM98="Structure", IF($I98="kg",$J98,0), 0)</f>
        <v>6736.2</v>
      </c>
      <c r="BH98" s="638">
        <f ca="1">IF($AM98="Insulation", IF($I98="kg",$J98,0), 0)</f>
        <v>0</v>
      </c>
      <c r="BI98" s="1018">
        <f ca="1">IF($AM98="Revêtement", IF($I98="kg",$J98,0), 0)</f>
        <v>0</v>
      </c>
      <c r="BJ98" s="638">
        <f>_xlfn.XLOOKUP(H98, 'Baumaterialien Matériaux'!A:A, 'Baumaterialien Matériaux'!E:E, "-", 0, 1)</f>
        <v>436</v>
      </c>
      <c r="BK98" s="1032">
        <f t="shared" ca="1" si="152"/>
        <v>15.45</v>
      </c>
      <c r="BL98" s="1030">
        <f t="shared" ca="1" si="153"/>
        <v>0</v>
      </c>
      <c r="BM98" s="1033">
        <f t="shared" ca="1" si="154"/>
        <v>0</v>
      </c>
      <c r="BN98" s="720">
        <f ca="1">IFERROR((J98*VLOOKUP(H98, 'Baumaterialien Matériaux'!$A$11:$AH$318, 32,FALSE))*($L$2/L98-1),0)/$G$1</f>
        <v>0</v>
      </c>
      <c r="BO98" s="720">
        <f ca="1">IFERROR((N98+Q98)*($L$2/L98-1),0)</f>
        <v>0</v>
      </c>
    </row>
    <row r="99" spans="2:67">
      <c r="B99" s="1103"/>
      <c r="C99" s="1099"/>
      <c r="D99" s="478"/>
      <c r="E99" s="478"/>
      <c r="F99" s="638" t="s">
        <v>3300</v>
      </c>
      <c r="G99" s="478" t="str">
        <f>_xlfn.XLOOKUP(H99, 'Baumaterialien Matériaux'!A:A, 'Baumaterialien Matériaux'!AD:AD, "-", 0, 1)</f>
        <v>Bois massif 3 et 5 plis</v>
      </c>
      <c r="H99" s="892" t="s">
        <v>510</v>
      </c>
      <c r="I99" s="641" t="str">
        <f>_xlfn.XLOOKUP(H99, 'Baumaterialien Matériaux'!A:A, 'Baumaterialien Matériaux'!F:F, "-", 0, 1)</f>
        <v>kg</v>
      </c>
      <c r="J99" s="649">
        <f>453*24.14</f>
        <v>10935.42</v>
      </c>
      <c r="K99" s="894"/>
      <c r="L99" s="647" cm="1">
        <f t="array" aca="1" ref="L99" ca="1">INDEX('Enveloppe du bâtiment hors terr'!N155:N191, 'Enveloppe du bâtiment hors terr'!W155)</f>
        <v>60</v>
      </c>
      <c r="M99" s="648">
        <f t="shared" ca="1" si="214"/>
        <v>6.9193585568591685</v>
      </c>
      <c r="N99" s="720">
        <f>IFERROR(($J99*VLOOKUP($H99, 'Baumaterialien Matériaux'!$A$11:$AH$318, 26,FALSE)),0)/$G$1</f>
        <v>4.7035770697732264</v>
      </c>
      <c r="O99" s="720">
        <f>IFERROR(($J99*VLOOKUP($H99, 'Baumaterialien Matériaux'!$A$11:$AH$318, 33,FALSE)),0)/$G$1</f>
        <v>1.5867488910078356</v>
      </c>
      <c r="P99" s="720">
        <f t="shared" ref="P99:P101" ca="1" si="215">IFERROR((N99+Q99)*($L$2/L99-1),0)</f>
        <v>0</v>
      </c>
      <c r="Q99" s="720">
        <f>IFERROR(($J99*VLOOKUP($H99, 'Baumaterialien Matériaux'!$A$11:$AH$318, 27,FALSE)),0)/$G$1</f>
        <v>0.62903259607810613</v>
      </c>
      <c r="R99" s="720">
        <f>IFERROR(($J99*VLOOKUP($H99, 'Baumaterialien Matériaux'!$A$11:$AH$318, 34,FALSE)),0)/$G$1</f>
        <v>0.44088951328717713</v>
      </c>
      <c r="S99" s="720">
        <f>IFERROR((J99*VLOOKUP(H99, 'Baumaterialien Matériaux'!$A$11:$AD$318, 29,FALSE)),0)/$G$1</f>
        <v>17.99448801873886</v>
      </c>
      <c r="T99" s="720">
        <f>S99*AJ99</f>
        <v>-4.6785668848721036</v>
      </c>
      <c r="U99" s="674">
        <v>-0.26</v>
      </c>
      <c r="V99" s="674">
        <f t="shared" ca="1" si="156"/>
        <v>0</v>
      </c>
      <c r="W99" s="674">
        <f t="shared" ca="1" si="157"/>
        <v>0</v>
      </c>
      <c r="X99" s="674" t="str">
        <f t="shared" ca="1" si="9"/>
        <v>Structure</v>
      </c>
      <c r="Y99" s="674"/>
      <c r="Z99" s="674">
        <f t="shared" ca="1" si="158"/>
        <v>60</v>
      </c>
      <c r="AA99" s="1095" t="s">
        <v>3445</v>
      </c>
      <c r="AB99" t="str">
        <f>_xlfn.XLOOKUP($H99,'[1]Baumaterialien Matériaux'!$A:$A,'[1]Baumaterialien Matériaux'!AK:AK,0,0)</f>
        <v>timber</v>
      </c>
      <c r="AC99" t="str" cm="1">
        <f t="array" ref="AC99">_xlfn.SWITCH(I99,"kg"," ",0," ",_xlfn.XLOOKUP(H99, '[1]Baumaterialien Matériaux'!$A:$A, '[1]Baumaterialien Matériaux'!$AL:$AL, "-", 0, 1))</f>
        <v xml:space="preserve"> </v>
      </c>
      <c r="AD99" s="1112" cm="1">
        <f t="array" ref="AD99">IFERROR(_xlfn.SWITCH(I99,"kg",1,"m3",AC99,AC99)*J99/(_xlfn.XLOOKUP(AA99,Métrés!A:A,Métrés!E:E,0)),0)</f>
        <v>27.174821699261944</v>
      </c>
      <c r="AE99" s="1092">
        <f>IFERROR(N99*$G$1/(_xlfn.XLOOKUP($AA99,Métrés!$A:$A,Métrés!$E:$E,0)),0)</f>
        <v>11.277551005193708</v>
      </c>
      <c r="AF99" s="1092">
        <f>IFERROR(O99*$G$1/(_xlfn.XLOOKUP($AA99,Métrés!$A:$A,Métrés!$E:$E,0)),0)</f>
        <v>3.8044750378966725</v>
      </c>
      <c r="AG99" s="1092">
        <f>IFERROR(Q99*$G$1/(_xlfn.XLOOKUP($AA99,Métrés!$A:$A,Métrés!$E:$E,0)),0)</f>
        <v>1.508202604309038</v>
      </c>
      <c r="AH99" s="1092">
        <f>IFERROR(R99*$G$1/(_xlfn.XLOOKUP($AA99,Métrés!$A:$A,Métrés!$E:$E,0)),0)</f>
        <v>1.0571005641012896</v>
      </c>
      <c r="AI99" s="1092">
        <f>IFERROR(S99*$G$1/(_xlfn.XLOOKUP($AA99,Métrés!$A:$A,Métrés!$E:$E,0)),0)</f>
        <v>43.14455858452822</v>
      </c>
      <c r="AJ99" s="1022">
        <v>-0.26</v>
      </c>
      <c r="AK99" s="638">
        <f ca="1">IF(L99=60,0,T99)</f>
        <v>0</v>
      </c>
      <c r="AL99" s="638">
        <f ca="1">IF(L99=60,0,S99)</f>
        <v>0</v>
      </c>
      <c r="AM99" s="638" t="str">
        <f ca="1">IF(L99=$L$2, "Structure", IF(L99&gt;0,"Revêtement",0))</f>
        <v>Structure</v>
      </c>
      <c r="AN99" s="1017">
        <f ca="1">IF(AM99="Structure",N99,0)</f>
        <v>4.7035770697732264</v>
      </c>
      <c r="AO99" s="638">
        <f ca="1">IF(AM99="Structure",P99,0)</f>
        <v>0</v>
      </c>
      <c r="AP99" s="638">
        <f ca="1">IF(AM99="Structure",Q99,0)</f>
        <v>0.62903259607810613</v>
      </c>
      <c r="AQ99" s="1018">
        <f ca="1">IF(AM99="Structure",S99,0)</f>
        <v>17.99448801873886</v>
      </c>
      <c r="AR99" s="1018">
        <f ca="1">IF(AM99="Structure",T99,0)</f>
        <v>-4.6785668848721036</v>
      </c>
      <c r="AS99" s="1017">
        <f ca="1">IF(AM99="Insulation",N99,0)</f>
        <v>0</v>
      </c>
      <c r="AT99" s="638">
        <f ca="1">IF(AM99="Insulation",P99,0)</f>
        <v>0</v>
      </c>
      <c r="AU99" s="638">
        <f ca="1">IF(AM99="Insulation",Q99,0)</f>
        <v>0</v>
      </c>
      <c r="AV99" s="1018">
        <f ca="1">IF(AM99="Insulation",S99,0)</f>
        <v>0</v>
      </c>
      <c r="AW99" s="1018">
        <f ca="1">IF(AM99="Insulation",T99,0)</f>
        <v>0</v>
      </c>
      <c r="AX99" s="1017">
        <f ca="1">IF(AM99="Revêtement",N99,0)</f>
        <v>0</v>
      </c>
      <c r="AY99" s="638">
        <f ca="1">IF(AM99="Revêtement",P99,0)</f>
        <v>0</v>
      </c>
      <c r="AZ99" s="638">
        <f ca="1">IF(AM99="Revêtement",Q99,0)</f>
        <v>0</v>
      </c>
      <c r="BA99" s="638">
        <f ca="1">IF(AM99="Revêtement",S99,0)</f>
        <v>0</v>
      </c>
      <c r="BB99" s="1018">
        <f ca="1">IF(AM99="Revêtement",T99,0)</f>
        <v>0</v>
      </c>
      <c r="BC99" s="1017"/>
      <c r="BF99" s="1018"/>
      <c r="BG99" s="1017">
        <f ca="1">IF($AM99="Structure", IF($I99="kg",$J99,0), 0)</f>
        <v>10935.42</v>
      </c>
      <c r="BH99" s="638">
        <f ca="1">IF($AM99="Insulation", IF($I99="kg",$J99,0), 0)</f>
        <v>0</v>
      </c>
      <c r="BI99" s="1018">
        <f ca="1">IF($AM99="Revêtement", IF($I99="kg",$J99,0), 0)</f>
        <v>0</v>
      </c>
      <c r="BJ99" s="638">
        <f>_xlfn.XLOOKUP(H99, 'Baumaterialien Matériaux'!A:A, 'Baumaterialien Matériaux'!E:E, "-", 0, 1)</f>
        <v>453</v>
      </c>
      <c r="BK99" s="1032">
        <f t="shared" ca="1" si="152"/>
        <v>24.14</v>
      </c>
      <c r="BL99" s="1030">
        <f t="shared" ca="1" si="153"/>
        <v>0</v>
      </c>
      <c r="BM99" s="1033">
        <f t="shared" ca="1" si="154"/>
        <v>0</v>
      </c>
      <c r="BN99" s="720">
        <f ca="1">IFERROR((J99*VLOOKUP(H99, 'Baumaterialien Matériaux'!$A$11:$AH$318, 32,FALSE))*($L$2/L99-1),0)/$G$1</f>
        <v>0</v>
      </c>
      <c r="BO99" s="720">
        <f ca="1">IFERROR((N99+Q99)*($L$2/L99-1),0)</f>
        <v>0</v>
      </c>
    </row>
    <row r="100" spans="2:67">
      <c r="B100" s="1103"/>
      <c r="C100" s="1099"/>
      <c r="D100" s="478"/>
      <c r="E100" s="478"/>
      <c r="F100" s="638" t="s">
        <v>3434</v>
      </c>
      <c r="G100" s="478" t="str">
        <f>_xlfn.XLOOKUP(H100, 'Baumaterialien Matériaux'!A:A, 'Baumaterialien Matériaux'!AD:AD, "-", 0, 1)</f>
        <v>Bois lamellé-collé</v>
      </c>
      <c r="H100" s="857" t="s">
        <v>1451</v>
      </c>
      <c r="I100" s="641" t="str">
        <f>_xlfn.XLOOKUP(H100, 'Baumaterialien Matériaux'!A:A, 'Baumaterialien Matériaux'!F:F, "-", 0, 1)</f>
        <v>kg</v>
      </c>
      <c r="J100" s="649">
        <f>439*23.91</f>
        <v>10496.49</v>
      </c>
      <c r="K100" s="894"/>
      <c r="L100" s="647" cm="1">
        <f t="array" aca="1" ref="L100" ca="1">INDEX('Enveloppe du bâtiment hors terr'!N156:N192, 'Enveloppe du bâtiment hors terr'!W156)</f>
        <v>60</v>
      </c>
      <c r="M100" s="648">
        <f t="shared" ca="1" si="214"/>
        <v>5.2045114381659126</v>
      </c>
      <c r="N100" s="720">
        <f>IFERROR(($J100*VLOOKUP($H100, 'Baumaterialien Matériaux'!$A$11:$AH$318, 26,FALSE)),0)/$G$1</f>
        <v>3.1222717030803029</v>
      </c>
      <c r="O100" s="720">
        <f>IFERROR(($J100*VLOOKUP($H100, 'Baumaterialien Matériaux'!$A$11:$AH$318, 33,FALSE)),0)/$G$1</f>
        <v>1.5448173583184774</v>
      </c>
      <c r="P100" s="720">
        <f t="shared" ref="P100" ca="1" si="216">IFERROR((N100+Q100)*($L$2/L100-1),0)</f>
        <v>0</v>
      </c>
      <c r="Q100" s="720">
        <f>IFERROR(($J100*VLOOKUP($H100, 'Baumaterialien Matériaux'!$A$11:$AH$318, 27,FALSE)),0)/$G$1</f>
        <v>0.53742237676713234</v>
      </c>
      <c r="R100" s="720">
        <f>IFERROR(($J100*VLOOKUP($H100, 'Baumaterialien Matériaux'!$A$11:$AH$318, 34,FALSE)),0)/$G$1</f>
        <v>0.46126940839932007</v>
      </c>
      <c r="S100" s="720">
        <f>IFERROR((J100*VLOOKUP(H100, 'Baumaterialien Matériaux'!$A$11:$AD$318, 29,FALSE)),0)/$G$1</f>
        <v>17.790783943451764</v>
      </c>
      <c r="T100" s="720">
        <f>S100*AJ100</f>
        <v>-4.6256038252974587</v>
      </c>
      <c r="U100" s="674">
        <v>0.01</v>
      </c>
      <c r="V100" s="674">
        <f t="shared" ca="1" si="156"/>
        <v>0</v>
      </c>
      <c r="W100" s="674">
        <f t="shared" ca="1" si="157"/>
        <v>0</v>
      </c>
      <c r="X100" s="674" t="str">
        <f t="shared" ca="1" si="9"/>
        <v>Structure</v>
      </c>
      <c r="Y100" s="674"/>
      <c r="Z100" s="674">
        <f t="shared" ca="1" si="158"/>
        <v>60</v>
      </c>
      <c r="AA100" s="1095" t="s">
        <v>3445</v>
      </c>
      <c r="AB100" t="str">
        <f>_xlfn.XLOOKUP($H100,'[1]Baumaterialien Matériaux'!$A:$A,'[1]Baumaterialien Matériaux'!AK:AK,0,0)</f>
        <v>timber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 s="1112" cm="1">
        <f t="array" ref="AD100">IFERROR(_xlfn.SWITCH(I100,"kg",1,"m3",AC100,AC100)*J100/(_xlfn.XLOOKUP(AA100,Métrés!A:A,Métrés!E:E,0)),0)</f>
        <v>26.084068487363631</v>
      </c>
      <c r="AE100" s="1092">
        <f>IFERROR(N100*$G$1/(_xlfn.XLOOKUP($AA100,Métrés!$A:$A,Métrés!$E:$E,0)),0)</f>
        <v>7.4861276558733616</v>
      </c>
      <c r="AF100" s="1092">
        <f>IFERROR(O100*$G$1/(_xlfn.XLOOKUP($AA100,Métrés!$A:$A,Métrés!$E:$E,0)),0)</f>
        <v>3.7039377252056354</v>
      </c>
      <c r="AG100" s="1092">
        <f>IFERROR(Q100*$G$1/(_xlfn.XLOOKUP($AA100,Métrés!$A:$A,Métrés!$E:$E,0)),0)</f>
        <v>1.2885529832757634</v>
      </c>
      <c r="AH100" s="1092">
        <f>IFERROR(R100*$G$1/(_xlfn.XLOOKUP($AA100,Métrés!$A:$A,Métrés!$E:$E,0)),0)</f>
        <v>1.1059645038642181</v>
      </c>
      <c r="AI100" s="1092">
        <f>IFERROR(S100*$G$1/(_xlfn.XLOOKUP($AA100,Métrés!$A:$A,Métrés!$E:$E,0)),0)</f>
        <v>42.656146666335324</v>
      </c>
      <c r="AJ100" s="1022">
        <v>-0.26</v>
      </c>
      <c r="AK100" s="638">
        <f ca="1">IF(L100=60,0,T100)</f>
        <v>0</v>
      </c>
      <c r="AL100" s="638">
        <f ca="1">IF(L100=60,0,S100)</f>
        <v>0</v>
      </c>
      <c r="AM100" s="638" t="str">
        <f ca="1">IF(L100=$L$2, "Structure", IF(L100&gt;0,"Revêtement",0))</f>
        <v>Structure</v>
      </c>
      <c r="AN100" s="1017">
        <f ca="1">IF(AM100="Structure",N100,0)</f>
        <v>3.1222717030803029</v>
      </c>
      <c r="AO100" s="638">
        <f ca="1">IF(AM100="Structure",P100,0)</f>
        <v>0</v>
      </c>
      <c r="AP100" s="638">
        <f ca="1">IF(AM100="Structure",Q100,0)</f>
        <v>0.53742237676713234</v>
      </c>
      <c r="AQ100" s="1018">
        <f ca="1">IF(AM100="Structure",S100,0)</f>
        <v>17.790783943451764</v>
      </c>
      <c r="AR100" s="1018">
        <f ca="1">IF(AM100="Structure",T100,0)</f>
        <v>-4.6256038252974587</v>
      </c>
      <c r="AS100" s="1017">
        <f ca="1">IF(AM100="Insulation",N100,0)</f>
        <v>0</v>
      </c>
      <c r="AT100" s="638">
        <f ca="1">IF(AM100="Insulation",P100,0)</f>
        <v>0</v>
      </c>
      <c r="AU100" s="638">
        <f ca="1">IF(AM100="Insulation",Q100,0)</f>
        <v>0</v>
      </c>
      <c r="AV100" s="1018">
        <f ca="1">IF(AM100="Insulation",S100,0)</f>
        <v>0</v>
      </c>
      <c r="AW100" s="1018">
        <f ca="1">IF(AM100="Insulation",T100,0)</f>
        <v>0</v>
      </c>
      <c r="AX100" s="1017">
        <f ca="1">IF(AM100="Revêtement",N100,0)</f>
        <v>0</v>
      </c>
      <c r="AY100" s="638">
        <f ca="1">IF(AM100="Revêtement",P100,0)</f>
        <v>0</v>
      </c>
      <c r="AZ100" s="638">
        <f ca="1">IF(AM100="Revêtement",Q100,0)</f>
        <v>0</v>
      </c>
      <c r="BA100" s="638">
        <f ca="1">IF(AM100="Revêtement",S100,0)</f>
        <v>0</v>
      </c>
      <c r="BB100" s="1018">
        <f ca="1">IF(AM100="Revêtement",T100,0)</f>
        <v>0</v>
      </c>
      <c r="BC100" s="1017"/>
      <c r="BF100" s="1018"/>
      <c r="BG100" s="1017">
        <f ca="1">IF($AM100="Structure", IF($I100="kg",$J100,0), 0)</f>
        <v>10496.49</v>
      </c>
      <c r="BH100" s="638">
        <f ca="1">IF($AM100="Insulation", IF($I100="kg",$J100,0), 0)</f>
        <v>0</v>
      </c>
      <c r="BI100" s="1018">
        <f ca="1">IF($AM100="Revêtement", IF($I100="kg",$J100,0), 0)</f>
        <v>0</v>
      </c>
      <c r="BJ100" s="638">
        <f>_xlfn.XLOOKUP(H100, 'Baumaterialien Matériaux'!A:A, 'Baumaterialien Matériaux'!E:E, "-", 0, 1)</f>
        <v>439</v>
      </c>
      <c r="BK100" s="1032">
        <f t="shared" ref="BK100" ca="1" si="217">IFERROR(BG100/$BJ100,0)</f>
        <v>23.91</v>
      </c>
      <c r="BL100" s="1030">
        <f t="shared" ref="BL100" ca="1" si="218">IFERROR(BH100/$BJ100,0)</f>
        <v>0</v>
      </c>
      <c r="BM100" s="1033">
        <f t="shared" ref="BM100" ca="1" si="219">IFERROR(BI100/$BJ100,0)</f>
        <v>0</v>
      </c>
      <c r="BN100" s="720"/>
      <c r="BO100" s="720"/>
    </row>
    <row r="101" spans="2:67">
      <c r="B101" s="1103"/>
      <c r="C101" s="1099"/>
      <c r="D101" s="478"/>
      <c r="E101" s="478"/>
      <c r="F101" s="454" t="s">
        <v>3435</v>
      </c>
      <c r="G101" s="478" t="str">
        <f>_xlfn.XLOOKUP(H101, 'Baumaterialien Matériaux'!A:A, 'Baumaterialien Matériaux'!AD:AD, "-", 0, 1)</f>
        <v>Bois massif de construction</v>
      </c>
      <c r="H101" s="892" t="s">
        <v>547</v>
      </c>
      <c r="I101" s="641" t="str">
        <f>_xlfn.XLOOKUP(H101, 'Baumaterialien Matériaux'!A:A, 'Baumaterialien Matériaux'!F:F, "-", 0, 1)</f>
        <v>kg</v>
      </c>
      <c r="J101" s="649">
        <f>436*7.12</f>
        <v>3104.32</v>
      </c>
      <c r="K101" s="894"/>
      <c r="L101" s="647">
        <v>30</v>
      </c>
      <c r="M101" s="648">
        <f t="shared" si="214"/>
        <v>2.0807862758592099</v>
      </c>
      <c r="N101" s="720">
        <f>IFERROR(($J101*VLOOKUP($H101, 'Baumaterialien Matériaux'!$A$11:$AH$318, 26,FALSE)),0)/$G$1</f>
        <v>0.7882741179884748</v>
      </c>
      <c r="O101" s="720">
        <f>IFERROR(($J101*VLOOKUP($H101, 'Baumaterialien Matériaux'!$A$11:$AH$318, 33,FALSE)),0)/$G$1</f>
        <v>0.21917237925459146</v>
      </c>
      <c r="P101" s="720">
        <f t="shared" si="215"/>
        <v>0.93080694830230926</v>
      </c>
      <c r="Q101" s="720">
        <f>IFERROR(($J101*VLOOKUP($H101, 'Baumaterialien Matériaux'!$A$11:$AH$318, 27,FALSE)),0)/$G$1</f>
        <v>0.14253283031383443</v>
      </c>
      <c r="R101" s="720">
        <f>IFERROR(($J101*VLOOKUP($H101, 'Baumaterialien Matériaux'!$A$11:$AH$318, 34,FALSE)),0)/$G$1</f>
        <v>2.3423002363086108E-2</v>
      </c>
      <c r="S101" s="720">
        <f>IFERROR((J101*VLOOKUP(H101, 'Baumaterialien Matériaux'!$A$11:$AD$318, 29,FALSE)),0)/$G$1</f>
        <v>5.3087848762489109</v>
      </c>
      <c r="T101" s="720">
        <f>S101*AJ101</f>
        <v>5.3087848762489113E-2</v>
      </c>
      <c r="U101" s="674"/>
      <c r="V101" s="674">
        <f t="shared" si="156"/>
        <v>5.3087848762489113E-2</v>
      </c>
      <c r="W101" s="674">
        <f t="shared" si="157"/>
        <v>5.3087848762489109</v>
      </c>
      <c r="X101" s="674" t="str">
        <f t="shared" si="9"/>
        <v>Revêtement</v>
      </c>
      <c r="Y101" s="674"/>
      <c r="Z101" s="674">
        <f t="shared" si="158"/>
        <v>30</v>
      </c>
      <c r="AA101" s="1095" t="s">
        <v>3445</v>
      </c>
      <c r="AB101" t="str">
        <f>_xlfn.XLOOKUP($H101,'[1]Baumaterialien Matériaux'!$A:$A,'[1]Baumaterialien Matériaux'!AK:AK,0,0)</f>
        <v>timber</v>
      </c>
      <c r="AC101" t="str" cm="1">
        <f t="array" ref="AC101">_xlfn.SWITCH(I101,"kg"," ",0," ",_xlfn.XLOOKUP(H101, '[1]Baumaterialien Matériaux'!$A:$A, '[1]Baumaterialien Matériaux'!$AL:$AL, "-", 0, 1))</f>
        <v xml:space="preserve"> </v>
      </c>
      <c r="AD101" s="1112" cm="1">
        <f t="array" ref="AD101">IFERROR(_xlfn.SWITCH(I101,"kg",1,"m3",AC101,AC101)*J101/(_xlfn.XLOOKUP(AA101,Métrés!A:A,Métrés!E:E,0)),0)</f>
        <v>7.7143212146815436</v>
      </c>
      <c r="AE101" s="1092">
        <f>IFERROR(N101*$G$1/(_xlfn.XLOOKUP($AA101,Métrés!$A:$A,Métrés!$E:$E,0)),0)</f>
        <v>1.8900086975969781</v>
      </c>
      <c r="AF101" s="1092">
        <f>IFERROR(O101*$G$1/(_xlfn.XLOOKUP($AA101,Métrés!$A:$A,Métrés!$E:$E,0)),0)</f>
        <v>0.52549956114410679</v>
      </c>
      <c r="AG101" s="1092">
        <f>IFERROR(Q101*$G$1/(_xlfn.XLOOKUP($AA101,Métrés!$A:$A,Métrés!$E:$E,0)),0)</f>
        <v>0.34174442981039238</v>
      </c>
      <c r="AH101" s="1092">
        <f>IFERROR(R101*$G$1/(_xlfn.XLOOKUP($AA101,Métrés!$A:$A,Métrés!$E:$E,0)),0)</f>
        <v>5.6160258442881632E-2</v>
      </c>
      <c r="AI101" s="1092">
        <f>IFERROR(S101*$G$1/(_xlfn.XLOOKUP($AA101,Métrés!$A:$A,Métrés!$E:$E,0)),0)</f>
        <v>12.728630004224545</v>
      </c>
      <c r="AJ101" s="1022">
        <v>0.01</v>
      </c>
      <c r="AK101" s="638">
        <f>IF(L101=60,0,T101)</f>
        <v>5.3087848762489113E-2</v>
      </c>
      <c r="AL101" s="638">
        <f>IF(L101=60,0,S101)</f>
        <v>5.3087848762489109</v>
      </c>
      <c r="AM101" s="638" t="str">
        <f>IF(L101=$L$2, "Structure", IF(L101&gt;0,"Revêtement",0))</f>
        <v>Revêtement</v>
      </c>
      <c r="AN101" s="1017">
        <f>IF(AM101="Structure",N101,0)</f>
        <v>0</v>
      </c>
      <c r="AO101" s="638">
        <f>IF(AM101="Structure",P101,0)</f>
        <v>0</v>
      </c>
      <c r="AP101" s="638">
        <f>IF(AM101="Structure",Q101,0)</f>
        <v>0</v>
      </c>
      <c r="AQ101" s="1018">
        <f>IF(AM101="Structure",S101,0)</f>
        <v>0</v>
      </c>
      <c r="AR101" s="1018">
        <f>IF(AM101="Structure",T101,0)</f>
        <v>0</v>
      </c>
      <c r="AS101" s="1017">
        <f>IF(AM101="Insulation",N101,0)</f>
        <v>0</v>
      </c>
      <c r="AT101" s="638">
        <f>IF(AM101="Insulation",P101,0)</f>
        <v>0</v>
      </c>
      <c r="AU101" s="638">
        <f>IF(AM101="Insulation",Q101,0)</f>
        <v>0</v>
      </c>
      <c r="AV101" s="1018">
        <f>IF(AM101="Insulation",S101,0)</f>
        <v>0</v>
      </c>
      <c r="AW101" s="1018">
        <f>IF(AM101="Insulation",T101,0)</f>
        <v>0</v>
      </c>
      <c r="AX101" s="1017">
        <f>IF(AM101="Revêtement",N101,0)</f>
        <v>0.7882741179884748</v>
      </c>
      <c r="AY101" s="638">
        <f>IF(AM101="Revêtement",P101,0)</f>
        <v>0.93080694830230926</v>
      </c>
      <c r="AZ101" s="638">
        <f>IF(AM101="Revêtement",Q101,0)</f>
        <v>0.14253283031383443</v>
      </c>
      <c r="BA101" s="638">
        <f>IF(AM101="Revêtement",S101,0)</f>
        <v>5.3087848762489109</v>
      </c>
      <c r="BB101" s="1018">
        <f>IF(AM101="Revêtement",T101,0)</f>
        <v>5.3087848762489113E-2</v>
      </c>
      <c r="BC101" s="1017"/>
      <c r="BF101" s="1018"/>
      <c r="BG101" s="1017">
        <f>IF($AM101="Structure", IF($I101="kg",$J101,0), 0)</f>
        <v>0</v>
      </c>
      <c r="BH101" s="638">
        <f>IF($AM101="Insulation", IF($I101="kg",$J101,0), 0)</f>
        <v>0</v>
      </c>
      <c r="BI101" s="1018">
        <f>IF($AM101="Revêtement", IF($I101="kg",$J101,0), 0)</f>
        <v>3104.32</v>
      </c>
      <c r="BJ101" s="638">
        <f>_xlfn.XLOOKUP(H101, 'Baumaterialien Matériaux'!A:A, 'Baumaterialien Matériaux'!E:E, "-", 0, 1)</f>
        <v>436</v>
      </c>
      <c r="BK101" s="1032">
        <f t="shared" si="152"/>
        <v>0</v>
      </c>
      <c r="BL101" s="1030">
        <f t="shared" si="153"/>
        <v>0</v>
      </c>
      <c r="BM101" s="1033">
        <f t="shared" si="154"/>
        <v>7.12</v>
      </c>
      <c r="BN101" s="720">
        <f>IFERROR((J101*VLOOKUP(H101, 'Baumaterialien Matériaux'!$A$11:$AH$318, 32,FALSE))*($L$2/L101-1),0)/$G$1</f>
        <v>0.24259538161767755</v>
      </c>
      <c r="BO101" s="720">
        <f>IFERROR((N101+Q101)*($L$2/L101-1),0)</f>
        <v>0.93080694830230926</v>
      </c>
    </row>
    <row r="102" spans="2:67">
      <c r="B102" s="1103"/>
      <c r="C102" s="1099"/>
      <c r="D102" s="478"/>
      <c r="E102" s="478"/>
      <c r="F102" s="479"/>
      <c r="G102" s="479"/>
      <c r="H102" s="479"/>
      <c r="I102" s="459" t="s">
        <v>39</v>
      </c>
      <c r="J102" s="662"/>
      <c r="K102" s="663"/>
      <c r="L102" s="663"/>
      <c r="M102" s="664">
        <f>SUM(M103:M106)</f>
        <v>0</v>
      </c>
      <c r="N102" s="664">
        <f t="shared" ref="N102:S102" si="220">SUM(N103:N106)</f>
        <v>0</v>
      </c>
      <c r="O102" s="664">
        <f t="shared" ref="O102" si="221">SUM(O103:O106)</f>
        <v>0</v>
      </c>
      <c r="P102" s="664">
        <f t="shared" si="220"/>
        <v>0</v>
      </c>
      <c r="Q102" s="664">
        <f t="shared" si="220"/>
        <v>0</v>
      </c>
      <c r="R102" s="664">
        <f t="shared" ref="R102" si="222">SUM(R103:R106)</f>
        <v>0</v>
      </c>
      <c r="S102" s="664">
        <f t="shared" si="220"/>
        <v>0</v>
      </c>
      <c r="T102" s="878"/>
      <c r="U102" s="674"/>
      <c r="V102" s="674">
        <f t="shared" si="156"/>
        <v>0</v>
      </c>
      <c r="W102" s="674">
        <f t="shared" si="157"/>
        <v>0</v>
      </c>
      <c r="X102" s="674">
        <f t="shared" ref="X102:X188" si="223">IF(L102=$L$2, "Structure", IF(L102&gt;0,"Revêtement",0))</f>
        <v>0</v>
      </c>
      <c r="Y102" s="674"/>
      <c r="Z102" s="674">
        <f t="shared" si="158"/>
        <v>0</v>
      </c>
      <c r="AA102" s="1095" t="s">
        <v>3445</v>
      </c>
      <c r="AB102">
        <f>_xlfn.XLOOKUP($H102,'[1]Baumaterialien Matériaux'!$A:$A,'[1]Baumaterialien Matériaux'!AK:AK,0,0)</f>
        <v>0</v>
      </c>
      <c r="AC102" cm="1">
        <f t="array" ref="AC102">_xlfn.SWITCH(I102,"kg"," ",0," ",_xlfn.XLOOKUP(H102, '[1]Baumaterialien Matériaux'!$A:$A, '[1]Baumaterialien Matériaux'!$AL:$AL, "-", 0, 1))</f>
        <v>0</v>
      </c>
      <c r="AD102" s="1112" cm="1">
        <f t="array" ref="AD102">IFERROR(_xlfn.SWITCH(I102,"kg",1,"m3",AC102,AC102)*J102/(_xlfn.XLOOKUP(AA102,Métrés!A:A,Métrés!E:E,0)),0)</f>
        <v>0</v>
      </c>
      <c r="AE102" s="1092">
        <f>IFERROR(N102*$G$1/(_xlfn.XLOOKUP($AA102,Métrés!$A:$A,Métrés!$E:$E,0)),0)</f>
        <v>0</v>
      </c>
      <c r="AF102" s="1092">
        <f>IFERROR(O102*$G$1/(_xlfn.XLOOKUP($AA102,Métrés!$A:$A,Métrés!$E:$E,0)),0)</f>
        <v>0</v>
      </c>
      <c r="AG102" s="1092">
        <f>IFERROR(Q102*$G$1/(_xlfn.XLOOKUP($AA102,Métrés!$A:$A,Métrés!$E:$E,0)),0)</f>
        <v>0</v>
      </c>
      <c r="AH102" s="1092">
        <f>IFERROR(R102*$G$1/(_xlfn.XLOOKUP($AA102,Métrés!$A:$A,Métrés!$E:$E,0)),0)</f>
        <v>0</v>
      </c>
      <c r="AI102" s="1092">
        <f>IFERROR(S102*$G$1/(_xlfn.XLOOKUP($AA102,Métrés!$A:$A,Métrés!$E:$E,0)),0)</f>
        <v>0</v>
      </c>
      <c r="AJ102" s="878"/>
      <c r="AK102" s="878"/>
      <c r="AL102" s="878"/>
      <c r="AM102" s="878"/>
      <c r="AN102" s="1053"/>
      <c r="AO102" s="878"/>
      <c r="AP102" s="878"/>
      <c r="AQ102" s="878"/>
      <c r="AR102" s="1054"/>
      <c r="AS102" s="1053"/>
      <c r="AT102" s="878"/>
      <c r="AU102" s="878"/>
      <c r="AV102" s="878"/>
      <c r="AW102" s="1054"/>
      <c r="AX102" s="1053"/>
      <c r="AY102" s="878"/>
      <c r="AZ102" s="878"/>
      <c r="BA102" s="878"/>
      <c r="BB102" s="1054"/>
      <c r="BC102" s="1053"/>
      <c r="BD102" s="878"/>
      <c r="BE102" s="878"/>
      <c r="BF102" s="1054"/>
      <c r="BG102" s="1053"/>
      <c r="BH102" s="878"/>
      <c r="BI102" s="1054"/>
      <c r="BJ102" s="878"/>
      <c r="BK102" s="1053"/>
      <c r="BL102" s="878"/>
      <c r="BM102" s="1054"/>
      <c r="BN102" s="720">
        <f>IFERROR((J102*VLOOKUP(H102, 'Baumaterialien Matériaux'!$A$11:$AH$318, 32,FALSE))*($L$2/L102-1),0)/$G$1</f>
        <v>0</v>
      </c>
      <c r="BO102" s="720">
        <f>IFERROR((N102+Q102)*($L$2/L102-1),0)</f>
        <v>0</v>
      </c>
    </row>
    <row r="103" spans="2:67">
      <c r="B103" s="1103"/>
      <c r="C103" s="1099"/>
      <c r="D103" s="478"/>
      <c r="E103" s="478"/>
      <c r="F103" s="895"/>
      <c r="G103" s="478"/>
      <c r="H103" s="81"/>
      <c r="I103" s="641"/>
      <c r="J103" s="649"/>
      <c r="K103" s="647"/>
      <c r="L103" s="647"/>
      <c r="M103" s="648"/>
      <c r="N103" s="720"/>
      <c r="O103" s="720"/>
      <c r="P103" s="720"/>
      <c r="Q103" s="720"/>
      <c r="R103" s="720"/>
      <c r="S103" s="720"/>
      <c r="T103" s="720">
        <f>S103*AJ103</f>
        <v>0</v>
      </c>
      <c r="U103" s="674"/>
      <c r="V103" s="674">
        <f t="shared" si="156"/>
        <v>0</v>
      </c>
      <c r="W103" s="674">
        <f t="shared" si="157"/>
        <v>0</v>
      </c>
      <c r="X103" s="674">
        <f t="shared" si="223"/>
        <v>0</v>
      </c>
      <c r="Y103" s="674"/>
      <c r="Z103" s="674">
        <f t="shared" si="158"/>
        <v>0</v>
      </c>
      <c r="AA103" s="1095" t="s">
        <v>3445</v>
      </c>
      <c r="AB103">
        <f>_xlfn.XLOOKUP($H103,'[1]Baumaterialien Matériaux'!$A:$A,'[1]Baumaterialien Matériaux'!AK:AK,0,0)</f>
        <v>0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 s="1112" cm="1">
        <f t="array" ref="AD103">IFERROR(_xlfn.SWITCH(I103,"kg",1,"m3",AC103,AC103)*J103/(_xlfn.XLOOKUP(AA103,Métrés!A:A,Métrés!E:E,0)),0)</f>
        <v>0</v>
      </c>
      <c r="AE103" s="1092">
        <f>IFERROR(N103*$G$1/(_xlfn.XLOOKUP($AA103,Métrés!$A:$A,Métrés!$E:$E,0)),0)</f>
        <v>0</v>
      </c>
      <c r="AF103" s="1092">
        <f>IFERROR(O103*$G$1/(_xlfn.XLOOKUP($AA103,Métrés!$A:$A,Métrés!$E:$E,0)),0)</f>
        <v>0</v>
      </c>
      <c r="AG103" s="1092">
        <f>IFERROR(Q103*$G$1/(_xlfn.XLOOKUP($AA103,Métrés!$A:$A,Métrés!$E:$E,0)),0)</f>
        <v>0</v>
      </c>
      <c r="AH103" s="1092">
        <f>IFERROR(R103*$G$1/(_xlfn.XLOOKUP($AA103,Métrés!$A:$A,Métrés!$E:$E,0)),0)</f>
        <v>0</v>
      </c>
      <c r="AI103" s="1092">
        <f>IFERROR(S103*$G$1/(_xlfn.XLOOKUP($AA103,Métrés!$A:$A,Métrés!$E:$E,0)),0)</f>
        <v>0</v>
      </c>
      <c r="AJ103" s="1022"/>
      <c r="AK103" s="638">
        <f>IF(L103=60,0,T103)</f>
        <v>0</v>
      </c>
      <c r="AL103" s="638">
        <f>IF(L103=60,0,S103)</f>
        <v>0</v>
      </c>
      <c r="AM103" s="638">
        <f>IF(L103=$L$2, "Structure", IF(L103&gt;0,"Revêtement",0))</f>
        <v>0</v>
      </c>
      <c r="AN103" s="1017">
        <f>IF(AM103="Structure",N103,0)</f>
        <v>0</v>
      </c>
      <c r="AO103" s="638">
        <f>IF(AM103="Structure",P103,0)</f>
        <v>0</v>
      </c>
      <c r="AP103" s="638">
        <f>IF(AM103="Structure",Q103,0)</f>
        <v>0</v>
      </c>
      <c r="AQ103" s="1018">
        <f>IF(AM103="Structure",S103,0)</f>
        <v>0</v>
      </c>
      <c r="AR103" s="1018">
        <f>IF(AM103="Structure",T103,0)</f>
        <v>0</v>
      </c>
      <c r="AS103" s="1017">
        <f>IF(AM103="Insulation",N103,0)</f>
        <v>0</v>
      </c>
      <c r="AT103" s="638">
        <f>IF(AM103="Insulation",P103,0)</f>
        <v>0</v>
      </c>
      <c r="AU103" s="638">
        <f>IF(AM103="Insulation",Q103,0)</f>
        <v>0</v>
      </c>
      <c r="AV103" s="1018">
        <f>IF(AM103="Insulation",S103,0)</f>
        <v>0</v>
      </c>
      <c r="AW103" s="1018">
        <f>IF(AM103="Insulation",T103,0)</f>
        <v>0</v>
      </c>
      <c r="AX103" s="1017">
        <f>IF(AM103="Revêtement",N103,0)</f>
        <v>0</v>
      </c>
      <c r="AY103" s="638">
        <f>IF(AM103="Revêtement",P103,0)</f>
        <v>0</v>
      </c>
      <c r="AZ103" s="638">
        <f>IF(AM103="Revêtement",Q103,0)</f>
        <v>0</v>
      </c>
      <c r="BA103" s="638">
        <f>IF(AM103="Revêtement",S103,0)</f>
        <v>0</v>
      </c>
      <c r="BB103" s="1018">
        <f>IF(AM103="Revêtement",T103,0)</f>
        <v>0</v>
      </c>
      <c r="BC103" s="1017"/>
      <c r="BF103" s="1018"/>
      <c r="BG103" s="1017">
        <f>IF($AM103="Structure", IF($I103="kg",$J103,0), 0)</f>
        <v>0</v>
      </c>
      <c r="BH103" s="638">
        <f>IF($AM103="Insulation", IF($I103="kg",$J103,0), 0)</f>
        <v>0</v>
      </c>
      <c r="BI103" s="1018">
        <f>IF($AM103="Revêtement", IF($I103="kg",$J103,0), 0)</f>
        <v>0</v>
      </c>
      <c r="BJ103" s="638">
        <f>_xlfn.XLOOKUP(H103, 'Baumaterialien Matériaux'!A:A, 'Baumaterialien Matériaux'!E:E, "-", 0, 1)</f>
        <v>0</v>
      </c>
      <c r="BK103" s="1032">
        <f t="shared" si="152"/>
        <v>0</v>
      </c>
      <c r="BL103" s="1030">
        <f t="shared" si="153"/>
        <v>0</v>
      </c>
      <c r="BM103" s="1033">
        <f t="shared" si="154"/>
        <v>0</v>
      </c>
      <c r="BN103" s="720">
        <f>IFERROR((J103*VLOOKUP(H103, 'Baumaterialien Matériaux'!$A$11:$AH$318, 32,FALSE))*($L$2/L103-1),0)/$G$1</f>
        <v>0</v>
      </c>
      <c r="BO103" s="720">
        <f>IFERROR((N103+Q103)*($L$2/L103-1),0)</f>
        <v>0</v>
      </c>
    </row>
    <row r="104" spans="2:67">
      <c r="B104" s="1103"/>
      <c r="C104" s="1099"/>
      <c r="D104" s="478"/>
      <c r="E104" s="478"/>
      <c r="G104" s="478"/>
      <c r="H104" s="875"/>
      <c r="I104" s="641"/>
      <c r="J104" s="649"/>
      <c r="K104" s="650"/>
      <c r="L104" s="647"/>
      <c r="M104" s="648"/>
      <c r="N104" s="720"/>
      <c r="O104" s="720"/>
      <c r="P104" s="720"/>
      <c r="Q104" s="720"/>
      <c r="R104" s="720"/>
      <c r="S104" s="720"/>
      <c r="T104" s="720">
        <f>S104*AJ104</f>
        <v>0</v>
      </c>
      <c r="U104" s="674"/>
      <c r="V104" s="674">
        <f t="shared" si="156"/>
        <v>0</v>
      </c>
      <c r="W104" s="674">
        <f t="shared" si="157"/>
        <v>0</v>
      </c>
      <c r="X104" s="674">
        <f t="shared" si="223"/>
        <v>0</v>
      </c>
      <c r="Y104" s="674"/>
      <c r="Z104" s="674">
        <f t="shared" si="158"/>
        <v>0</v>
      </c>
      <c r="AA104" s="1095" t="s">
        <v>3445</v>
      </c>
      <c r="AB104">
        <f>_xlfn.XLOOKUP($H104,'[1]Baumaterialien Matériaux'!$A:$A,'[1]Baumaterialien Matériaux'!AK:AK,0,0)</f>
        <v>0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 s="1112" cm="1">
        <f t="array" ref="AD104">IFERROR(_xlfn.SWITCH(I104,"kg",1,"m3",AC104,AC104)*J104/(_xlfn.XLOOKUP(AA104,Métrés!A:A,Métrés!E:E,0)),0)</f>
        <v>0</v>
      </c>
      <c r="AE104" s="1092">
        <f>IFERROR(N104*$G$1/(_xlfn.XLOOKUP($AA104,Métrés!$A:$A,Métrés!$E:$E,0)),0)</f>
        <v>0</v>
      </c>
      <c r="AF104" s="1092">
        <f>IFERROR(O104*$G$1/(_xlfn.XLOOKUP($AA104,Métrés!$A:$A,Métrés!$E:$E,0)),0)</f>
        <v>0</v>
      </c>
      <c r="AG104" s="1092">
        <f>IFERROR(Q104*$G$1/(_xlfn.XLOOKUP($AA104,Métrés!$A:$A,Métrés!$E:$E,0)),0)</f>
        <v>0</v>
      </c>
      <c r="AH104" s="1092">
        <f>IFERROR(R104*$G$1/(_xlfn.XLOOKUP($AA104,Métrés!$A:$A,Métrés!$E:$E,0)),0)</f>
        <v>0</v>
      </c>
      <c r="AI104" s="1092">
        <f>IFERROR(S104*$G$1/(_xlfn.XLOOKUP($AA104,Métrés!$A:$A,Métrés!$E:$E,0)),0)</f>
        <v>0</v>
      </c>
      <c r="AJ104" s="1022"/>
      <c r="AK104" s="638">
        <f>IF(L104=60,0,T104)</f>
        <v>0</v>
      </c>
      <c r="AL104" s="638">
        <f>IF(L104=60,0,S104)</f>
        <v>0</v>
      </c>
      <c r="AM104" s="638">
        <f>IF(L104=$L$2, "Structure", IF(L104&gt;0,"Revêtement",0))</f>
        <v>0</v>
      </c>
      <c r="AN104" s="1017">
        <f>IF(AM104="Structure",N104,0)</f>
        <v>0</v>
      </c>
      <c r="AO104" s="638">
        <f>IF(AM104="Structure",P104,0)</f>
        <v>0</v>
      </c>
      <c r="AP104" s="638">
        <f>IF(AM104="Structure",Q104,0)</f>
        <v>0</v>
      </c>
      <c r="AQ104" s="1018">
        <f>IF(AM104="Structure",S104,0)</f>
        <v>0</v>
      </c>
      <c r="AR104" s="1018">
        <f>IF(AM104="Structure",T104,0)</f>
        <v>0</v>
      </c>
      <c r="AS104" s="1017">
        <f>IF(AM104="Insulation",N104,0)</f>
        <v>0</v>
      </c>
      <c r="AT104" s="638">
        <f>IF(AM104="Insulation",P104,0)</f>
        <v>0</v>
      </c>
      <c r="AU104" s="638">
        <f>IF(AM104="Insulation",Q104,0)</f>
        <v>0</v>
      </c>
      <c r="AV104" s="1018">
        <f>IF(AM104="Insulation",S104,0)</f>
        <v>0</v>
      </c>
      <c r="AW104" s="1018">
        <f>IF(AM104="Insulation",T104,0)</f>
        <v>0</v>
      </c>
      <c r="AX104" s="1017">
        <f>IF(AM104="Revêtement",N104,0)</f>
        <v>0</v>
      </c>
      <c r="AY104" s="638">
        <f>IF(AM104="Revêtement",P104,0)</f>
        <v>0</v>
      </c>
      <c r="AZ104" s="638">
        <f>IF(AM104="Revêtement",Q104,0)</f>
        <v>0</v>
      </c>
      <c r="BA104" s="638">
        <f>IF(AM104="Revêtement",S104,0)</f>
        <v>0</v>
      </c>
      <c r="BB104" s="1018">
        <f>IF(AM104="Revêtement",T104,0)</f>
        <v>0</v>
      </c>
      <c r="BC104" s="1017"/>
      <c r="BF104" s="1018"/>
      <c r="BG104" s="1017">
        <f>IF($AM104="Structure", IF($I104="kg",$J104,0), 0)</f>
        <v>0</v>
      </c>
      <c r="BH104" s="638">
        <f>IF($AM104="Insulation", IF($I104="kg",$J104,0), 0)</f>
        <v>0</v>
      </c>
      <c r="BI104" s="1018">
        <f>IF($AM104="Revêtement", IF($I104="kg",$J104,0), 0)</f>
        <v>0</v>
      </c>
      <c r="BJ104" s="638">
        <f>_xlfn.XLOOKUP(H104, 'Baumaterialien Matériaux'!A:A, 'Baumaterialien Matériaux'!E:E, "-", 0, 1)</f>
        <v>0</v>
      </c>
      <c r="BK104" s="1032">
        <f t="shared" si="152"/>
        <v>0</v>
      </c>
      <c r="BL104" s="1030">
        <f t="shared" si="153"/>
        <v>0</v>
      </c>
      <c r="BM104" s="1033">
        <f t="shared" si="154"/>
        <v>0</v>
      </c>
      <c r="BN104" s="720">
        <f>IFERROR((J104*VLOOKUP(H104, 'Baumaterialien Matériaux'!$A$11:$AH$318, 32,FALSE))*($L$2/L104-1),0)/$G$1</f>
        <v>0</v>
      </c>
      <c r="BO104" s="720">
        <f>IFERROR((N104+Q104)*($L$2/L104-1),0)</f>
        <v>0</v>
      </c>
    </row>
    <row r="105" spans="2:67">
      <c r="B105" s="1103"/>
      <c r="C105" s="1099"/>
      <c r="D105" s="478"/>
      <c r="E105" s="478"/>
      <c r="F105" s="454"/>
      <c r="G105" s="478"/>
      <c r="H105" s="875"/>
      <c r="I105" s="641"/>
      <c r="J105" s="649"/>
      <c r="K105" s="647"/>
      <c r="L105" s="647"/>
      <c r="M105" s="648"/>
      <c r="N105" s="720"/>
      <c r="O105" s="720"/>
      <c r="P105" s="720"/>
      <c r="Q105" s="720"/>
      <c r="R105" s="720"/>
      <c r="S105" s="720"/>
      <c r="T105" s="720">
        <f>S105*AJ105</f>
        <v>0</v>
      </c>
      <c r="U105" s="674"/>
      <c r="V105" s="674"/>
      <c r="W105" s="674"/>
      <c r="X105" s="674"/>
      <c r="Y105" s="674"/>
      <c r="Z105" s="674"/>
      <c r="AA105" s="1095"/>
      <c r="AB105">
        <f>_xlfn.XLOOKUP($H105,'[1]Baumaterialien Matériaux'!$A:$A,'[1]Baumaterialien Matériaux'!AK:AK,0,0)</f>
        <v>0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 s="1112" cm="1">
        <f t="array" ref="AD105">IFERROR(_xlfn.SWITCH(I105,"kg",1,"m3",AC105,AC105)*J105/(_xlfn.XLOOKUP(AA105,Métrés!A:A,Métrés!E:E,0)),0)</f>
        <v>0</v>
      </c>
      <c r="AE105" s="1092"/>
      <c r="AF105" s="1092"/>
      <c r="AG105" s="1092"/>
      <c r="AH105" s="1092"/>
      <c r="AI105" s="1092"/>
      <c r="AJ105" s="1022"/>
      <c r="AK105" s="638">
        <f>IF(L105=60,0,T105)</f>
        <v>0</v>
      </c>
      <c r="AL105" s="638">
        <f>IF(L105=60,0,S105)</f>
        <v>0</v>
      </c>
      <c r="AM105" s="638">
        <f>IF(L105=$L$2, "Structure", IF(L105&gt;0,"Revêtement",0))</f>
        <v>0</v>
      </c>
      <c r="AN105" s="1017">
        <f>IF(AM105="Structure",N105,0)</f>
        <v>0</v>
      </c>
      <c r="AO105" s="638">
        <f>IF(AM105="Structure",P105,0)</f>
        <v>0</v>
      </c>
      <c r="AP105" s="638">
        <f>IF(AM105="Structure",Q105,0)</f>
        <v>0</v>
      </c>
      <c r="AQ105" s="1018">
        <f>IF(AM105="Structure",S105,0)</f>
        <v>0</v>
      </c>
      <c r="AR105" s="1018">
        <f>IF(AM105="Structure",T105,0)</f>
        <v>0</v>
      </c>
      <c r="AS105" s="1017">
        <f>IF(AM105="Insulation",N105,0)</f>
        <v>0</v>
      </c>
      <c r="AT105" s="638">
        <f>IF(AM105="Insulation",P105,0)</f>
        <v>0</v>
      </c>
      <c r="AU105" s="638">
        <f>IF(AM105="Insulation",Q105,0)</f>
        <v>0</v>
      </c>
      <c r="AV105" s="1018">
        <f>IF(AM105="Insulation",S105,0)</f>
        <v>0</v>
      </c>
      <c r="AW105" s="1018">
        <f>IF(AM105="Insulation",T105,0)</f>
        <v>0</v>
      </c>
      <c r="AX105" s="1017">
        <f>IF(AM105="Revêtement",N105,0)</f>
        <v>0</v>
      </c>
      <c r="AY105" s="638">
        <f>IF(AM105="Revêtement",P105,0)</f>
        <v>0</v>
      </c>
      <c r="AZ105" s="638">
        <f>IF(AM105="Revêtement",Q105,0)</f>
        <v>0</v>
      </c>
      <c r="BA105" s="638">
        <f>IF(AM105="Revêtement",S105,0)</f>
        <v>0</v>
      </c>
      <c r="BB105" s="1018">
        <f>IF(AM105="Revêtement",T105,0)</f>
        <v>0</v>
      </c>
      <c r="BC105" s="1017"/>
      <c r="BF105" s="1018"/>
      <c r="BG105" s="1017">
        <f>IF($AM105="Structure", IF($I105="kg",$J105,0), 0)</f>
        <v>0</v>
      </c>
      <c r="BH105" s="638">
        <f>IF($AM105="Insulation", IF($I105="kg",$J105,0), 0)</f>
        <v>0</v>
      </c>
      <c r="BI105" s="1018">
        <f>IF($AM105="Revêtement", IF($I105="kg",$J105,0), 0)</f>
        <v>0</v>
      </c>
      <c r="BJ105" s="638">
        <f>_xlfn.XLOOKUP(H105, 'Baumaterialien Matériaux'!A:A, 'Baumaterialien Matériaux'!E:E, "-", 0, 1)</f>
        <v>0</v>
      </c>
      <c r="BK105" s="1032">
        <f t="shared" si="152"/>
        <v>0</v>
      </c>
      <c r="BL105" s="1030">
        <f t="shared" si="153"/>
        <v>0</v>
      </c>
      <c r="BM105" s="1033">
        <f t="shared" si="154"/>
        <v>0</v>
      </c>
    </row>
    <row r="106" spans="2:67">
      <c r="B106" s="1103"/>
      <c r="C106" s="1099"/>
      <c r="D106" s="478"/>
      <c r="E106" s="478"/>
      <c r="F106" s="478"/>
      <c r="G106" s="478"/>
      <c r="H106" s="478"/>
      <c r="I106" s="641"/>
      <c r="J106" s="649"/>
      <c r="K106" s="647"/>
      <c r="L106" s="647"/>
      <c r="M106" s="648"/>
      <c r="T106" s="720">
        <f>S106*AJ106</f>
        <v>0</v>
      </c>
      <c r="U106" s="674"/>
      <c r="V106" s="674">
        <f t="shared" si="156"/>
        <v>0</v>
      </c>
      <c r="W106" s="674">
        <f t="shared" si="157"/>
        <v>0</v>
      </c>
      <c r="X106" s="674">
        <f t="shared" si="223"/>
        <v>0</v>
      </c>
      <c r="Y106" s="674"/>
      <c r="Z106" s="674">
        <f t="shared" si="158"/>
        <v>0</v>
      </c>
      <c r="AA106" s="1095" t="s">
        <v>3445</v>
      </c>
      <c r="AB106">
        <f>_xlfn.XLOOKUP($H106,'[1]Baumaterialien Matériaux'!$A:$A,'[1]Baumaterialien Matériaux'!AK:AK,0,0)</f>
        <v>0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 s="1112" cm="1">
        <f t="array" ref="AD106">IFERROR(_xlfn.SWITCH(I106,"kg",1,"m3",AC106,AC106)*J106/(_xlfn.XLOOKUP(AA106,Métrés!A:A,Métrés!E:E,0)),0)</f>
        <v>0</v>
      </c>
      <c r="AE106" s="1092">
        <f>IFERROR(N106*$G$1/(_xlfn.XLOOKUP($AA106,Métrés!$A:$A,Métrés!$E:$E,0)),0)</f>
        <v>0</v>
      </c>
      <c r="AF106" s="1092">
        <f>IFERROR(O106*$G$1/(_xlfn.XLOOKUP($AA106,Métrés!$A:$A,Métrés!$E:$E,0)),0)</f>
        <v>0</v>
      </c>
      <c r="AG106" s="1092">
        <f>IFERROR(Q106*$G$1/(_xlfn.XLOOKUP($AA106,Métrés!$A:$A,Métrés!$E:$E,0)),0)</f>
        <v>0</v>
      </c>
      <c r="AH106" s="1092">
        <f>IFERROR(R106*$G$1/(_xlfn.XLOOKUP($AA106,Métrés!$A:$A,Métrés!$E:$E,0)),0)</f>
        <v>0</v>
      </c>
      <c r="AI106" s="1092">
        <f>IFERROR(S106*$G$1/(_xlfn.XLOOKUP($AA106,Métrés!$A:$A,Métrés!$E:$E,0)),0)</f>
        <v>0</v>
      </c>
      <c r="AJ106" s="1022"/>
      <c r="AK106" s="638">
        <f>IF(L106=60,0,T106)</f>
        <v>0</v>
      </c>
      <c r="AL106" s="638">
        <f>IF(L106=60,0,S106)</f>
        <v>0</v>
      </c>
      <c r="AM106" s="638">
        <f>IF(L106=$L$2, "Structure", IF(L106&gt;0,"Revêtement",0))</f>
        <v>0</v>
      </c>
      <c r="AN106" s="1017">
        <f>IF(AM106="Structure",N106,0)</f>
        <v>0</v>
      </c>
      <c r="AO106" s="638">
        <f>IF(AM106="Structure",P106,0)</f>
        <v>0</v>
      </c>
      <c r="AP106" s="638">
        <f>IF(AM106="Structure",Q106,0)</f>
        <v>0</v>
      </c>
      <c r="AQ106" s="1018">
        <f>IF(AM106="Structure",S106,0)</f>
        <v>0</v>
      </c>
      <c r="AR106" s="1018">
        <f>IF(AM106="Structure",T106,0)</f>
        <v>0</v>
      </c>
      <c r="AS106" s="1017">
        <f>IF(AM106="Insulation",N106,0)</f>
        <v>0</v>
      </c>
      <c r="AT106" s="638">
        <f>IF(AM106="Insulation",P106,0)</f>
        <v>0</v>
      </c>
      <c r="AU106" s="638">
        <f>IF(AM106="Insulation",Q106,0)</f>
        <v>0</v>
      </c>
      <c r="AV106" s="1018">
        <f>IF(AM106="Insulation",S106,0)</f>
        <v>0</v>
      </c>
      <c r="AW106" s="1018">
        <f>IF(AM106="Insulation",T106,0)</f>
        <v>0</v>
      </c>
      <c r="AX106" s="1017">
        <f>IF(AM106="Revêtement",N106,0)</f>
        <v>0</v>
      </c>
      <c r="AY106" s="638">
        <f>IF(AM106="Revêtement",P106,0)</f>
        <v>0</v>
      </c>
      <c r="AZ106" s="638">
        <f>IF(AM106="Revêtement",Q106,0)</f>
        <v>0</v>
      </c>
      <c r="BA106" s="638">
        <f>IF(AM106="Revêtement",S106,0)</f>
        <v>0</v>
      </c>
      <c r="BB106" s="1018">
        <f>IF(AM106="Revêtement",T106,0)</f>
        <v>0</v>
      </c>
      <c r="BC106" s="1017"/>
      <c r="BF106" s="1018"/>
      <c r="BG106" s="1017">
        <f>IF($AM106="Structure", IF($I106="kg",$J106,0), 0)</f>
        <v>0</v>
      </c>
      <c r="BH106" s="638">
        <f>IF($AM106="Insulation", IF($I106="kg",$J106,0), 0)</f>
        <v>0</v>
      </c>
      <c r="BI106" s="1018">
        <f>IF($AM106="Revêtement", IF($I106="kg",$J106,0), 0)</f>
        <v>0</v>
      </c>
      <c r="BJ106" s="638">
        <f>_xlfn.XLOOKUP(H106, 'Baumaterialien Matériaux'!A:A, 'Baumaterialien Matériaux'!E:E, "-", 0, 1)</f>
        <v>0</v>
      </c>
      <c r="BK106" s="1032">
        <f t="shared" si="152"/>
        <v>0</v>
      </c>
      <c r="BL106" s="1030">
        <f t="shared" si="153"/>
        <v>0</v>
      </c>
      <c r="BM106" s="1033">
        <f t="shared" si="154"/>
        <v>0</v>
      </c>
    </row>
    <row r="107" spans="2:67" ht="15.75" customHeight="1">
      <c r="B107" s="1103"/>
      <c r="C107" s="1097" t="s">
        <v>126</v>
      </c>
      <c r="D107" s="473" t="s">
        <v>127</v>
      </c>
      <c r="E107" s="473"/>
      <c r="F107" s="473"/>
      <c r="G107" s="473"/>
      <c r="H107" s="473"/>
      <c r="I107" s="463"/>
      <c r="J107" s="654"/>
      <c r="K107" s="652"/>
      <c r="L107" s="652"/>
      <c r="M107" s="653">
        <f>M108</f>
        <v>60.025366493619664</v>
      </c>
      <c r="N107" s="653">
        <f>N108</f>
        <v>16.602182771236681</v>
      </c>
      <c r="O107" s="653">
        <f>O108</f>
        <v>9.463163229343726</v>
      </c>
      <c r="P107" s="653">
        <f t="shared" ref="P107:R107" si="224">P108</f>
        <v>25.281101632137968</v>
      </c>
      <c r="Q107" s="653">
        <f t="shared" si="224"/>
        <v>8.6789188609012911</v>
      </c>
      <c r="R107" s="653">
        <f t="shared" si="224"/>
        <v>8.348368397869077</v>
      </c>
      <c r="S107" s="653">
        <f>S108</f>
        <v>54.214141868081754</v>
      </c>
      <c r="T107" s="653">
        <f>T108</f>
        <v>-12.469252629658804</v>
      </c>
      <c r="V107" s="638">
        <f t="shared" si="156"/>
        <v>-12.469252629658804</v>
      </c>
      <c r="X107" s="638">
        <f t="shared" si="223"/>
        <v>0</v>
      </c>
      <c r="Z107" s="638">
        <f t="shared" si="158"/>
        <v>0</v>
      </c>
      <c r="AB107">
        <f>_xlfn.XLOOKUP($H107,'[1]Baumaterialien Matériaux'!$A:$A,'[1]Baumaterialien Matériaux'!AK:AK,0,0)</f>
        <v>0</v>
      </c>
      <c r="AC107" t="str" cm="1">
        <f t="array" ref="AC107">_xlfn.SWITCH(I107,"kg"," ",0," ",_xlfn.XLOOKUP(H107, '[1]Baumaterialien Matériaux'!$A:$A, '[1]Baumaterialien Matériaux'!$AL:$AL, "-", 0, 1))</f>
        <v xml:space="preserve"> </v>
      </c>
      <c r="AD107" s="1112" cm="1">
        <f t="array" ref="AD107">IFERROR(_xlfn.SWITCH(I107,"kg",1,"m3",AC107,AC107)*J107/(_xlfn.XLOOKUP(AA107,Métrés!A:A,Métrés!E:E,0)),0)</f>
        <v>0</v>
      </c>
      <c r="AE107" s="1092">
        <f>IFERROR(N107*$G$1/(_xlfn.XLOOKUP($AA107,Métrés!$A:$A,Métrés!$E:$E,0)),0)</f>
        <v>0</v>
      </c>
      <c r="AF107" s="1092">
        <f>IFERROR(O107*$G$1/(_xlfn.XLOOKUP($AA107,Métrés!$A:$A,Métrés!$E:$E,0)),0)</f>
        <v>0</v>
      </c>
      <c r="AG107" s="1092">
        <f>IFERROR(Q107*$G$1/(_xlfn.XLOOKUP($AA107,Métrés!$A:$A,Métrés!$E:$E,0)),0)</f>
        <v>0</v>
      </c>
      <c r="AH107" s="1092">
        <f>IFERROR(R107*$G$1/(_xlfn.XLOOKUP($AA107,Métrés!$A:$A,Métrés!$E:$E,0)),0)</f>
        <v>0</v>
      </c>
      <c r="AI107" s="1092">
        <f>IFERROR(S107*$G$1/(_xlfn.XLOOKUP($AA107,Métrés!$A:$A,Métrés!$E:$E,0)),0)</f>
        <v>0</v>
      </c>
      <c r="AJ107" s="666"/>
      <c r="AK107" s="666"/>
      <c r="AL107" s="666"/>
      <c r="AM107" s="666"/>
      <c r="AN107" s="1051"/>
      <c r="AO107" s="666"/>
      <c r="AP107" s="666"/>
      <c r="AQ107" s="666"/>
      <c r="AR107" s="1052"/>
      <c r="AS107" s="1051"/>
      <c r="AT107" s="666"/>
      <c r="AU107" s="666"/>
      <c r="AV107" s="666"/>
      <c r="AW107" s="1052"/>
      <c r="AX107" s="1051"/>
      <c r="AY107" s="666"/>
      <c r="AZ107" s="666"/>
      <c r="BA107" s="666"/>
      <c r="BB107" s="1052"/>
      <c r="BC107" s="1051"/>
      <c r="BD107" s="666"/>
      <c r="BE107" s="666"/>
      <c r="BF107" s="1052"/>
      <c r="BG107" s="1051"/>
      <c r="BH107" s="666"/>
      <c r="BI107" s="1052"/>
      <c r="BJ107" s="666"/>
      <c r="BK107" s="1051"/>
      <c r="BL107" s="666"/>
      <c r="BM107" s="1052"/>
    </row>
    <row r="108" spans="2:67">
      <c r="B108" s="1103"/>
      <c r="C108" s="1099"/>
      <c r="D108" s="478"/>
      <c r="E108" s="479" t="str">
        <f>BillQuantities!E22</f>
        <v>Toiture plate isolée</v>
      </c>
      <c r="F108" s="479" t="s">
        <v>3406</v>
      </c>
      <c r="G108" s="479"/>
      <c r="H108" s="479"/>
      <c r="I108" s="459" t="s">
        <v>39</v>
      </c>
      <c r="J108" s="662">
        <v>402.41</v>
      </c>
      <c r="K108" s="663"/>
      <c r="L108" s="663"/>
      <c r="M108" s="664">
        <f>SUM(M109:M119)</f>
        <v>60.025366493619664</v>
      </c>
      <c r="N108" s="664">
        <f t="shared" ref="N108:S108" si="225">SUM(N109:N119)</f>
        <v>16.602182771236681</v>
      </c>
      <c r="O108" s="664">
        <f t="shared" ref="O108" si="226">SUM(O109:O119)</f>
        <v>9.463163229343726</v>
      </c>
      <c r="P108" s="664">
        <f t="shared" si="225"/>
        <v>25.281101632137968</v>
      </c>
      <c r="Q108" s="664">
        <f t="shared" si="225"/>
        <v>8.6789188609012911</v>
      </c>
      <c r="R108" s="664">
        <f t="shared" ref="R108" si="227">SUM(R109:R119)</f>
        <v>8.348368397869077</v>
      </c>
      <c r="S108" s="664">
        <f t="shared" si="225"/>
        <v>54.214141868081754</v>
      </c>
      <c r="T108" s="664">
        <f t="shared" ref="T108" si="228">SUM(T109:T119)</f>
        <v>-12.469252629658804</v>
      </c>
      <c r="V108" s="638">
        <f t="shared" si="156"/>
        <v>-12.469252629658804</v>
      </c>
      <c r="X108" s="638">
        <f t="shared" si="223"/>
        <v>0</v>
      </c>
      <c r="Z108" s="638">
        <f t="shared" si="158"/>
        <v>0</v>
      </c>
      <c r="AA108" s="648" t="s">
        <v>3445</v>
      </c>
      <c r="AB108">
        <f>_xlfn.XLOOKUP($H108,'[1]Baumaterialien Matériaux'!$A:$A,'[1]Baumaterialien Matériaux'!AK:AK,0,0)</f>
        <v>0</v>
      </c>
      <c r="AC108" cm="1">
        <f t="array" ref="AC108">_xlfn.SWITCH(I108,"kg"," ",0," ",_xlfn.XLOOKUP(H108, '[1]Baumaterialien Matériaux'!$A:$A, '[1]Baumaterialien Matériaux'!$AL:$AL, "-", 0, 1))</f>
        <v>0</v>
      </c>
      <c r="AD108" s="1112" cm="1">
        <f t="array" ref="AD108">IFERROR(_xlfn.SWITCH(I108,"kg",1,"m3",AC108,AC108)*J108/(_xlfn.XLOOKUP(AA108,Métrés!A:A,Métrés!E:E,0)),0)</f>
        <v>0</v>
      </c>
      <c r="AE108" s="1092">
        <f>IFERROR(N108*$G$1/(_xlfn.XLOOKUP($AA108,Métrés!$A:$A,Métrés!$E:$E,0)),0)</f>
        <v>39.806292152282495</v>
      </c>
      <c r="AF108" s="1092">
        <f>IFERROR(O108*$G$1/(_xlfn.XLOOKUP($AA108,Métrés!$A:$A,Métrés!$E:$E,0)),0)</f>
        <v>22.689392436072662</v>
      </c>
      <c r="AG108" s="1092">
        <f>IFERROR(Q108*$G$1/(_xlfn.XLOOKUP($AA108,Métrés!$A:$A,Métrés!$E:$E,0)),0)</f>
        <v>20.809045684133103</v>
      </c>
      <c r="AH108" s="1092">
        <f>IFERROR(R108*$G$1/(_xlfn.XLOOKUP($AA108,Métrés!$A:$A,Métrés!$E:$E,0)),0)</f>
        <v>20.016500000000001</v>
      </c>
      <c r="AI108" s="1092">
        <f>IFERROR(S108*$G$1/(_xlfn.XLOOKUP($AA108,Métrés!$A:$A,Métrés!$E:$E,0)),0)</f>
        <v>129.9867613627892</v>
      </c>
      <c r="AJ108" s="878"/>
      <c r="AK108" s="878"/>
      <c r="AL108" s="878"/>
      <c r="AM108" s="878"/>
      <c r="AN108" s="1053"/>
      <c r="AO108" s="878"/>
      <c r="AP108" s="878"/>
      <c r="AQ108" s="878"/>
      <c r="AR108" s="1054"/>
      <c r="AS108" s="1053"/>
      <c r="AT108" s="878"/>
      <c r="AU108" s="878"/>
      <c r="AV108" s="878"/>
      <c r="AW108" s="1054"/>
      <c r="AX108" s="1053"/>
      <c r="AY108" s="878"/>
      <c r="AZ108" s="878"/>
      <c r="BA108" s="878"/>
      <c r="BB108" s="1054"/>
      <c r="BC108" s="1053"/>
      <c r="BD108" s="878"/>
      <c r="BE108" s="878"/>
      <c r="BF108" s="1054"/>
      <c r="BG108" s="1053"/>
      <c r="BH108" s="878"/>
      <c r="BI108" s="1054"/>
      <c r="BJ108" s="878"/>
      <c r="BK108" s="1053"/>
      <c r="BL108" s="878"/>
      <c r="BM108" s="1054"/>
    </row>
    <row r="109" spans="2:67">
      <c r="B109" s="1103"/>
      <c r="C109" s="1099"/>
      <c r="D109" s="478"/>
      <c r="E109" s="478"/>
      <c r="F109" s="454" t="s">
        <v>3301</v>
      </c>
      <c r="G109" s="478" t="str">
        <f>_xlfn.XLOOKUP(H109, 'Baumaterialien Matériaux'!A:A, 'Baumaterialien Matériaux'!AD:AD, "-", 0, 1)</f>
        <v>Sable</v>
      </c>
      <c r="H109" s="896" t="s">
        <v>699</v>
      </c>
      <c r="I109" s="641" t="str">
        <f>_xlfn.XLOOKUP(H109, 'Baumaterialien Matériaux'!A:A, 'Baumaterialien Matériaux'!F:F, "-", 0, 1)</f>
        <v>kg</v>
      </c>
      <c r="J109" s="649">
        <f>$J$108*K109</f>
        <v>40241</v>
      </c>
      <c r="K109" s="897">
        <f>0.1*1000</f>
        <v>100</v>
      </c>
      <c r="L109" s="647">
        <v>30</v>
      </c>
      <c r="M109" s="648">
        <f t="shared" ref="M109:M115" si="229">SUM(N109:Q109)</f>
        <v>1.3675867397703245</v>
      </c>
      <c r="N109" s="720">
        <f>IFERROR(($J109*VLOOKUP($H109, 'Baumaterialien Matériaux'!$A$11:$AH$318, 26,FALSE)),0)/$G$1</f>
        <v>0.12845889473902408</v>
      </c>
      <c r="O109" s="720">
        <f>IFERROR(($J109*VLOOKUP($H109, 'Baumaterialien Matériaux'!$A$11:$AH$318, 33,FALSE)),0)/$G$1</f>
        <v>4.2958656357530781E-2</v>
      </c>
      <c r="P109" s="720">
        <f>IFERROR((N109+Q109)*($L$2/L109-1),0)</f>
        <v>0.66231404170639685</v>
      </c>
      <c r="Q109" s="720">
        <f>IFERROR(($J109*VLOOKUP($H109, 'Baumaterialien Matériaux'!$A$11:$AH$318, 27,FALSE)),0)/$G$1</f>
        <v>0.5338551469673728</v>
      </c>
      <c r="R109" s="720">
        <f>IFERROR(($J109*VLOOKUP($H109, 'Baumaterialien Matériaux'!$A$11:$AH$318, 34,FALSE)),0)/$G$1</f>
        <v>2.2021524812404131E-2</v>
      </c>
      <c r="S109" s="720">
        <f>IFERROR((J109*VLOOKUP(H109, 'Baumaterialien Matériaux'!$A$11:$AD$318, 29,FALSE)),0)/$G$1</f>
        <v>0</v>
      </c>
      <c r="T109" s="720">
        <f t="shared" ref="T109:T118" si="230">S109*AJ109</f>
        <v>0</v>
      </c>
      <c r="V109" s="638">
        <f t="shared" si="156"/>
        <v>0</v>
      </c>
      <c r="W109" s="638">
        <f t="shared" si="157"/>
        <v>0</v>
      </c>
      <c r="X109" s="638" t="str">
        <f t="shared" si="223"/>
        <v>Revêtement</v>
      </c>
      <c r="Z109" s="638">
        <f t="shared" si="158"/>
        <v>30</v>
      </c>
      <c r="AA109" s="648" t="s">
        <v>3445</v>
      </c>
      <c r="AB109" t="str">
        <f>_xlfn.XLOOKUP($H109,'[1]Baumaterialien Matériaux'!$A:$A,'[1]Baumaterialien Matériaux'!AK:AK,0,0)</f>
        <v>stone</v>
      </c>
      <c r="AC109" t="str" cm="1">
        <f t="array" ref="AC109">_xlfn.SWITCH(I109,"kg"," ",0," ",_xlfn.XLOOKUP(H109, '[1]Baumaterialien Matériaux'!$A:$A, '[1]Baumaterialien Matériaux'!$AL:$AL, "-", 0, 1))</f>
        <v xml:space="preserve"> </v>
      </c>
      <c r="AD109" s="1112" cm="1">
        <f t="array" ref="AD109">IFERROR(_xlfn.SWITCH(I109,"kg",1,"m3",AC109,AC109)*J109/(_xlfn.XLOOKUP(AA109,Métrés!A:A,Métrés!E:E,0)),0)</f>
        <v>100</v>
      </c>
      <c r="AE109" s="1092">
        <f>IFERROR(N109*$G$1/(_xlfn.XLOOKUP($AA109,Métrés!$A:$A,Métrés!$E:$E,0)),0)</f>
        <v>0.308</v>
      </c>
      <c r="AF109" s="1092">
        <f>IFERROR(O109*$G$1/(_xlfn.XLOOKUP($AA109,Métrés!$A:$A,Métrés!$E:$E,0)),0)</f>
        <v>0.10299999999999999</v>
      </c>
      <c r="AG109" s="1092">
        <f>IFERROR(Q109*$G$1/(_xlfn.XLOOKUP($AA109,Métrés!$A:$A,Métrés!$E:$E,0)),0)</f>
        <v>1.2799999999999998</v>
      </c>
      <c r="AH109" s="1092">
        <f>IFERROR(R109*$G$1/(_xlfn.XLOOKUP($AA109,Métrés!$A:$A,Métrés!$E:$E,0)),0)</f>
        <v>5.28E-2</v>
      </c>
      <c r="AI109" s="1092">
        <f>IFERROR(S109*$G$1/(_xlfn.XLOOKUP($AA109,Métrés!$A:$A,Métrés!$E:$E,0)),0)</f>
        <v>0</v>
      </c>
      <c r="AJ109" s="1022"/>
      <c r="AK109" s="638">
        <f t="shared" ref="AK109:AK118" si="231">IF(L109=60,0,T109)</f>
        <v>0</v>
      </c>
      <c r="AL109" s="638">
        <f t="shared" ref="AL109:AL118" si="232">IF(L109=60,0,S109)</f>
        <v>0</v>
      </c>
      <c r="AM109" s="638" t="str">
        <f t="shared" ref="AM109:AM114" si="233">IF(L109=$L$2, "Structure", IF(L109&gt;0,"Revêtement",0))</f>
        <v>Revêtement</v>
      </c>
      <c r="AN109" s="1017">
        <f t="shared" ref="AN109:AN119" si="234">IF(AM109="Structure",N109,0)</f>
        <v>0</v>
      </c>
      <c r="AO109" s="638">
        <f t="shared" ref="AO109:AO119" si="235">IF(AM109="Structure",P109,0)</f>
        <v>0</v>
      </c>
      <c r="AP109" s="638">
        <f t="shared" ref="AP109:AP119" si="236">IF(AM109="Structure",Q109,0)</f>
        <v>0</v>
      </c>
      <c r="AQ109" s="1018">
        <f t="shared" ref="AQ109:AQ119" si="237">IF(AM109="Structure",S109,0)</f>
        <v>0</v>
      </c>
      <c r="AR109" s="1018">
        <f t="shared" ref="AR109:AR119" si="238">IF(AM109="Structure",T109,0)</f>
        <v>0</v>
      </c>
      <c r="AS109" s="1017">
        <f t="shared" ref="AS109:AS119" si="239">IF(AM109="Insulation",N109,0)</f>
        <v>0</v>
      </c>
      <c r="AT109" s="638">
        <f t="shared" ref="AT109:AT119" si="240">IF(AM109="Insulation",P109,0)</f>
        <v>0</v>
      </c>
      <c r="AU109" s="638">
        <f t="shared" ref="AU109:AU119" si="241">IF(AM109="Insulation",Q109,0)</f>
        <v>0</v>
      </c>
      <c r="AV109" s="1018">
        <f t="shared" ref="AV109:AV119" si="242">IF(AM109="Insulation",S109,0)</f>
        <v>0</v>
      </c>
      <c r="AW109" s="1018">
        <f t="shared" ref="AW109:AW119" si="243">IF(AM109="Insulation",T109,0)</f>
        <v>0</v>
      </c>
      <c r="AX109" s="1017">
        <f t="shared" ref="AX109:AX119" si="244">IF(AM109="Revêtement",N109,0)</f>
        <v>0.12845889473902408</v>
      </c>
      <c r="AY109" s="638">
        <f t="shared" ref="AY109:AY119" si="245">IF(AM109="Revêtement",P109,0)</f>
        <v>0.66231404170639685</v>
      </c>
      <c r="AZ109" s="638">
        <f t="shared" ref="AZ109:AZ119" si="246">IF(AM109="Revêtement",Q109,0)</f>
        <v>0.5338551469673728</v>
      </c>
      <c r="BA109" s="638">
        <f t="shared" ref="BA109:BA119" si="247">IF(AM109="Revêtement",S109,0)</f>
        <v>0</v>
      </c>
      <c r="BB109" s="1018">
        <f t="shared" ref="BB109:BB119" si="248">IF(AM109="Revêtement",T109,0)</f>
        <v>0</v>
      </c>
      <c r="BC109" s="1017"/>
      <c r="BF109" s="1018"/>
      <c r="BG109" s="1017">
        <f t="shared" ref="BG109:BG119" si="249">IF($AM109="Structure", IF($I109="kg",$J109,0), 0)</f>
        <v>0</v>
      </c>
      <c r="BH109" s="638">
        <f t="shared" ref="BH109:BH119" si="250">IF($AM109="Insulation", IF($I109="kg",$J109,0), 0)</f>
        <v>0</v>
      </c>
      <c r="BI109" s="1018">
        <f t="shared" ref="BI109:BI119" si="251">IF($AM109="Revêtement", IF($I109="kg",$J109,0), 0)</f>
        <v>40241</v>
      </c>
      <c r="BJ109" s="638">
        <f>_xlfn.XLOOKUP(H109, 'Baumaterialien Matériaux'!A:A, 'Baumaterialien Matériaux'!E:E, "-", 0, 1)</f>
        <v>2000</v>
      </c>
      <c r="BK109" s="1032">
        <f t="shared" si="152"/>
        <v>0</v>
      </c>
      <c r="BL109" s="1030">
        <f t="shared" si="153"/>
        <v>0</v>
      </c>
      <c r="BM109" s="1033">
        <f t="shared" si="154"/>
        <v>20.1205</v>
      </c>
      <c r="BN109" s="720">
        <f>IFERROR((J109*VLOOKUP(H109, 'Baumaterialien Matériaux'!$A$11:$AH$318, 32,FALSE))*($L$2/L109-1),0)/$G$1</f>
        <v>6.5063596036648561E-2</v>
      </c>
      <c r="BO109" s="720">
        <f t="shared" ref="BO109:BO115" si="252">IFERROR((N109+Q109)*($L$2/L109-1),0)</f>
        <v>0.66231404170639685</v>
      </c>
    </row>
    <row r="110" spans="2:67">
      <c r="B110" s="1103"/>
      <c r="C110" s="1099"/>
      <c r="D110" s="478"/>
      <c r="E110" s="478"/>
      <c r="F110" s="3" t="s">
        <v>3011</v>
      </c>
      <c r="G110" s="478" t="str">
        <f>_xlfn.XLOOKUP(H110, 'Baumaterialien Matériaux'!A:A, 'Baumaterialien Matériaux'!AD:AD, "-", 0, 1)</f>
        <v>Lé d'étanchéité polyoléfine (FPO)</v>
      </c>
      <c r="H110" s="892" t="s">
        <v>1613</v>
      </c>
      <c r="I110" s="641" t="str">
        <f>_xlfn.XLOOKUP(H110, 'Baumaterialien Matériaux'!A:A, 'Baumaterialien Matériaux'!F:F, "-", 0, 1)</f>
        <v>kg</v>
      </c>
      <c r="J110" s="649">
        <f t="shared" ref="J110:J114" si="253">$J$108*K110</f>
        <v>40.241000000000007</v>
      </c>
      <c r="K110" s="898">
        <v>0.1</v>
      </c>
      <c r="L110" s="647">
        <v>30</v>
      </c>
      <c r="M110" s="648">
        <f t="shared" si="229"/>
        <v>0.53802589030305548</v>
      </c>
      <c r="N110" s="720">
        <f>IFERROR(($J110*VLOOKUP($H110, 'Baumaterialien Matériaux'!$A$11:$AH$318, 26,FALSE)),0)/$G$1</f>
        <v>0.10510273205920154</v>
      </c>
      <c r="O110" s="720">
        <f>IFERROR(($J110*VLOOKUP($H110, 'Baumaterialien Matériaux'!$A$11:$AH$318, 33,FALSE)),0)/$G$1</f>
        <v>0.10510273205920154</v>
      </c>
      <c r="P110" s="720">
        <f t="shared" ref="P110:P115" si="254">IFERROR((N110+Q110)*($L$2/L110-1),0)</f>
        <v>0.21646157912192698</v>
      </c>
      <c r="Q110" s="720">
        <f>IFERROR(($J110*VLOOKUP($H110, 'Baumaterialien Matériaux'!$A$11:$AH$318, 27,FALSE)),0)/$G$1</f>
        <v>0.11135884706272545</v>
      </c>
      <c r="R110" s="720">
        <f>IFERROR(($J110*VLOOKUP($H110, 'Baumaterialien Matériaux'!$A$11:$AH$318, 34,FALSE)),0)/$G$1</f>
        <v>0.12595644873761455</v>
      </c>
      <c r="S110" s="720">
        <f>IFERROR((J110*VLOOKUP(H110, 'Baumaterialien Matériaux'!$A$11:$AD$318, 29,FALSE)),0)/$G$1</f>
        <v>0</v>
      </c>
      <c r="T110" s="720">
        <f t="shared" si="230"/>
        <v>0</v>
      </c>
      <c r="V110" s="638">
        <f t="shared" si="156"/>
        <v>0</v>
      </c>
      <c r="W110" s="638">
        <f t="shared" si="157"/>
        <v>0</v>
      </c>
      <c r="X110" s="638" t="str">
        <f t="shared" si="223"/>
        <v>Revêtement</v>
      </c>
      <c r="Z110" s="638">
        <f t="shared" si="158"/>
        <v>30</v>
      </c>
      <c r="AA110" s="648" t="s">
        <v>3445</v>
      </c>
      <c r="AB110" t="str">
        <f>_xlfn.XLOOKUP($H110,'[1]Baumaterialien Matériaux'!$A:$A,'[1]Baumaterialien Matériaux'!AK:AK,0,0)</f>
        <v>oil_product</v>
      </c>
      <c r="AC110" t="str" cm="1">
        <f t="array" ref="AC110">_xlfn.SWITCH(I110,"kg"," ",0," ",_xlfn.XLOOKUP(H110, '[1]Baumaterialien Matériaux'!$A:$A, '[1]Baumaterialien Matériaux'!$AL:$AL, "-", 0, 1))</f>
        <v xml:space="preserve"> </v>
      </c>
      <c r="AD110" s="1112" cm="1">
        <f t="array" ref="AD110">IFERROR(_xlfn.SWITCH(I110,"kg",1,"m3",AC110,AC110)*J110/(_xlfn.XLOOKUP(AA110,Métrés!A:A,Métrés!E:E,0)),0)</f>
        <v>0.1</v>
      </c>
      <c r="AE110" s="1092">
        <f>IFERROR(N110*$G$1/(_xlfn.XLOOKUP($AA110,Métrés!$A:$A,Métrés!$E:$E,0)),0)</f>
        <v>0.252</v>
      </c>
      <c r="AF110" s="1092">
        <f>IFERROR(O110*$G$1/(_xlfn.XLOOKUP($AA110,Métrés!$A:$A,Métrés!$E:$E,0)),0)</f>
        <v>0.252</v>
      </c>
      <c r="AG110" s="1092">
        <f>IFERROR(Q110*$G$1/(_xlfn.XLOOKUP($AA110,Métrés!$A:$A,Métrés!$E:$E,0)),0)</f>
        <v>0.26700000000000002</v>
      </c>
      <c r="AH110" s="1092">
        <f>IFERROR(R110*$G$1/(_xlfn.XLOOKUP($AA110,Métrés!$A:$A,Métrés!$E:$E,0)),0)</f>
        <v>0.30200000000000005</v>
      </c>
      <c r="AI110" s="1092">
        <f>IFERROR(S110*$G$1/(_xlfn.XLOOKUP($AA110,Métrés!$A:$A,Métrés!$E:$E,0)),0)</f>
        <v>0</v>
      </c>
      <c r="AJ110" s="1022"/>
      <c r="AK110" s="638">
        <f t="shared" si="231"/>
        <v>0</v>
      </c>
      <c r="AL110" s="638">
        <f t="shared" si="232"/>
        <v>0</v>
      </c>
      <c r="AM110" s="638" t="str">
        <f t="shared" si="233"/>
        <v>Revêtement</v>
      </c>
      <c r="AN110" s="1017">
        <f t="shared" si="234"/>
        <v>0</v>
      </c>
      <c r="AO110" s="638">
        <f t="shared" si="235"/>
        <v>0</v>
      </c>
      <c r="AP110" s="638">
        <f t="shared" si="236"/>
        <v>0</v>
      </c>
      <c r="AQ110" s="1018">
        <f t="shared" si="237"/>
        <v>0</v>
      </c>
      <c r="AR110" s="1018">
        <f t="shared" si="238"/>
        <v>0</v>
      </c>
      <c r="AS110" s="1017">
        <f t="shared" si="239"/>
        <v>0</v>
      </c>
      <c r="AT110" s="638">
        <f t="shared" si="240"/>
        <v>0</v>
      </c>
      <c r="AU110" s="638">
        <f t="shared" si="241"/>
        <v>0</v>
      </c>
      <c r="AV110" s="1018">
        <f t="shared" si="242"/>
        <v>0</v>
      </c>
      <c r="AW110" s="1018">
        <f t="shared" si="243"/>
        <v>0</v>
      </c>
      <c r="AX110" s="1017">
        <f t="shared" si="244"/>
        <v>0.10510273205920154</v>
      </c>
      <c r="AY110" s="638">
        <f t="shared" si="245"/>
        <v>0.21646157912192698</v>
      </c>
      <c r="AZ110" s="638">
        <f t="shared" si="246"/>
        <v>0.11135884706272545</v>
      </c>
      <c r="BA110" s="638">
        <f t="shared" si="247"/>
        <v>0</v>
      </c>
      <c r="BB110" s="1018">
        <f t="shared" si="248"/>
        <v>0</v>
      </c>
      <c r="BC110" s="1017"/>
      <c r="BF110" s="1018"/>
      <c r="BG110" s="1017">
        <f t="shared" si="249"/>
        <v>0</v>
      </c>
      <c r="BH110" s="638">
        <f t="shared" si="250"/>
        <v>0</v>
      </c>
      <c r="BI110" s="1018">
        <f t="shared" si="251"/>
        <v>40.241000000000007</v>
      </c>
      <c r="BJ110" s="638">
        <f>_xlfn.XLOOKUP(H110, 'Baumaterialien Matériaux'!A:A, 'Baumaterialien Matériaux'!E:E, "-", 0, 1)</f>
        <v>1000</v>
      </c>
      <c r="BK110" s="1032">
        <f t="shared" si="152"/>
        <v>0</v>
      </c>
      <c r="BL110" s="1030">
        <f t="shared" si="153"/>
        <v>0</v>
      </c>
      <c r="BM110" s="1033">
        <f t="shared" si="154"/>
        <v>4.0241000000000006E-2</v>
      </c>
      <c r="BN110" s="720">
        <f>IFERROR((J110*VLOOKUP(H110, 'Baumaterialien Matériaux'!$A$11:$AH$318, 32,FALSE))*($L$2/L110-1),0)/$G$1</f>
        <v>0.23105918079681609</v>
      </c>
      <c r="BO110" s="720">
        <f t="shared" si="252"/>
        <v>0.21646157912192698</v>
      </c>
    </row>
    <row r="111" spans="2:67">
      <c r="B111" s="1103"/>
      <c r="C111" s="1099"/>
      <c r="D111" s="478"/>
      <c r="E111" s="478"/>
      <c r="F111" s="3" t="s">
        <v>3012</v>
      </c>
      <c r="G111" s="478" t="str">
        <f>_xlfn.XLOOKUP(H111, 'Baumaterialien Matériaux'!A:A, 'Baumaterialien Matériaux'!AD:AD, "-", 0, 1)</f>
        <v>Voile de polyéthylène (PE)</v>
      </c>
      <c r="H111" s="892" t="s">
        <v>528</v>
      </c>
      <c r="I111" s="641" t="str">
        <f>_xlfn.XLOOKUP(H111, 'Baumaterialien Matériaux'!A:A, 'Baumaterialien Matériaux'!F:F, "-", 0, 1)</f>
        <v>kg</v>
      </c>
      <c r="J111" s="649">
        <f t="shared" si="253"/>
        <v>217.30140000000003</v>
      </c>
      <c r="K111" s="898">
        <v>0.54</v>
      </c>
      <c r="L111" s="647">
        <v>30</v>
      </c>
      <c r="M111" s="648">
        <f t="shared" si="229"/>
        <v>3.1665951701836574</v>
      </c>
      <c r="N111" s="720">
        <f>IFERROR(($J111*VLOOKUP($H111, 'Baumaterialien Matériaux'!$A$11:$AH$318, 26,FALSE)),0)/$G$1</f>
        <v>0.66665161477550683</v>
      </c>
      <c r="O111" s="720">
        <f>IFERROR(($J111*VLOOKUP($H111, 'Baumaterialien Matériaux'!$A$11:$AH$318, 33,FALSE)),0)/$G$1</f>
        <v>0.63061639235520917</v>
      </c>
      <c r="P111" s="720">
        <f t="shared" si="254"/>
        <v>1.2679893889142242</v>
      </c>
      <c r="Q111" s="720">
        <f>IFERROR(($J111*VLOOKUP($H111, 'Baumaterialien Matériaux'!$A$11:$AH$318, 27,FALSE)),0)/$G$1</f>
        <v>0.60133777413871736</v>
      </c>
      <c r="R111" s="720">
        <f>IFERROR(($J111*VLOOKUP($H111, 'Baumaterialien Matériaux'!$A$11:$AH$318, 34,FALSE)),0)/$G$1</f>
        <v>0.57881576012603131</v>
      </c>
      <c r="S111" s="720">
        <f>IFERROR((J111*VLOOKUP(H111, 'Baumaterialien Matériaux'!$A$11:$AD$318, 29,FALSE)),0)/$G$1</f>
        <v>0</v>
      </c>
      <c r="T111" s="720">
        <f t="shared" si="230"/>
        <v>0</v>
      </c>
      <c r="V111" s="638">
        <f t="shared" si="156"/>
        <v>0</v>
      </c>
      <c r="W111" s="638">
        <f t="shared" si="157"/>
        <v>0</v>
      </c>
      <c r="X111" s="638" t="str">
        <f t="shared" si="223"/>
        <v>Revêtement</v>
      </c>
      <c r="Z111" s="638">
        <f t="shared" si="158"/>
        <v>30</v>
      </c>
      <c r="AA111" s="648" t="s">
        <v>3445</v>
      </c>
      <c r="AB111" t="str">
        <f>_xlfn.XLOOKUP($H111,'[1]Baumaterialien Matériaux'!$A:$A,'[1]Baumaterialien Matériaux'!AK:AK,0,0)</f>
        <v>oil_product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 s="1112" cm="1">
        <f t="array" ref="AD111">IFERROR(_xlfn.SWITCH(I111,"kg",1,"m3",AC111,AC111)*J111/(_xlfn.XLOOKUP(AA111,Métrés!A:A,Métrés!E:E,0)),0)</f>
        <v>0.54</v>
      </c>
      <c r="AE111" s="1092">
        <f>IFERROR(N111*$G$1/(_xlfn.XLOOKUP($AA111,Métrés!$A:$A,Métrés!$E:$E,0)),0)</f>
        <v>1.5984</v>
      </c>
      <c r="AF111" s="1092">
        <f>IFERROR(O111*$G$1/(_xlfn.XLOOKUP($AA111,Métrés!$A:$A,Métrés!$E:$E,0)),0)</f>
        <v>1.512</v>
      </c>
      <c r="AG111" s="1092">
        <f>IFERROR(Q111*$G$1/(_xlfn.XLOOKUP($AA111,Métrés!$A:$A,Métrés!$E:$E,0)),0)</f>
        <v>1.4418</v>
      </c>
      <c r="AH111" s="1092">
        <f>IFERROR(R111*$G$1/(_xlfn.XLOOKUP($AA111,Métrés!$A:$A,Métrés!$E:$E,0)),0)</f>
        <v>1.3877999999999999</v>
      </c>
      <c r="AI111" s="1092">
        <f>IFERROR(S111*$G$1/(_xlfn.XLOOKUP($AA111,Métrés!$A:$A,Métrés!$E:$E,0)),0)</f>
        <v>0</v>
      </c>
      <c r="AJ111" s="1022"/>
      <c r="AK111" s="638">
        <f t="shared" si="231"/>
        <v>0</v>
      </c>
      <c r="AL111" s="638">
        <f t="shared" si="232"/>
        <v>0</v>
      </c>
      <c r="AM111" s="638" t="str">
        <f t="shared" si="233"/>
        <v>Revêtement</v>
      </c>
      <c r="AN111" s="1017">
        <f t="shared" si="234"/>
        <v>0</v>
      </c>
      <c r="AO111" s="638">
        <f t="shared" si="235"/>
        <v>0</v>
      </c>
      <c r="AP111" s="638">
        <f t="shared" si="236"/>
        <v>0</v>
      </c>
      <c r="AQ111" s="1018">
        <f t="shared" si="237"/>
        <v>0</v>
      </c>
      <c r="AR111" s="1018">
        <f t="shared" si="238"/>
        <v>0</v>
      </c>
      <c r="AS111" s="1017">
        <f t="shared" si="239"/>
        <v>0</v>
      </c>
      <c r="AT111" s="638">
        <f t="shared" si="240"/>
        <v>0</v>
      </c>
      <c r="AU111" s="638">
        <f t="shared" si="241"/>
        <v>0</v>
      </c>
      <c r="AV111" s="1018">
        <f t="shared" si="242"/>
        <v>0</v>
      </c>
      <c r="AW111" s="1018">
        <f t="shared" si="243"/>
        <v>0</v>
      </c>
      <c r="AX111" s="1017">
        <f t="shared" si="244"/>
        <v>0.66665161477550683</v>
      </c>
      <c r="AY111" s="638">
        <f t="shared" si="245"/>
        <v>1.2679893889142242</v>
      </c>
      <c r="AZ111" s="638">
        <f t="shared" si="246"/>
        <v>0.60133777413871736</v>
      </c>
      <c r="BA111" s="638">
        <f t="shared" si="247"/>
        <v>0</v>
      </c>
      <c r="BB111" s="1018">
        <f t="shared" si="248"/>
        <v>0</v>
      </c>
      <c r="BC111" s="1017"/>
      <c r="BF111" s="1018"/>
      <c r="BG111" s="1017">
        <f t="shared" si="249"/>
        <v>0</v>
      </c>
      <c r="BH111" s="638">
        <f t="shared" si="250"/>
        <v>0</v>
      </c>
      <c r="BI111" s="1018">
        <f t="shared" si="251"/>
        <v>217.30140000000003</v>
      </c>
      <c r="BJ111" s="638">
        <f>_xlfn.XLOOKUP(H111, 'Baumaterialien Matériaux'!A:A, 'Baumaterialien Matériaux'!E:E, "-", 0, 1)</f>
        <v>920</v>
      </c>
      <c r="BK111" s="1032">
        <f t="shared" si="152"/>
        <v>0</v>
      </c>
      <c r="BL111" s="1030">
        <f t="shared" si="153"/>
        <v>0</v>
      </c>
      <c r="BM111" s="1033">
        <f t="shared" si="154"/>
        <v>0.23619717391304351</v>
      </c>
      <c r="BN111" s="720">
        <f>IFERROR((J111*VLOOKUP(H111, 'Baumaterialien Matériaux'!$A$11:$AH$318, 32,FALSE))*($L$2/L111-1),0)/$G$1</f>
        <v>1.2071799510799719</v>
      </c>
      <c r="BO111" s="720">
        <f t="shared" si="252"/>
        <v>1.2679893889142242</v>
      </c>
    </row>
    <row r="112" spans="2:67">
      <c r="B112" s="1103"/>
      <c r="C112" s="1099"/>
      <c r="D112" s="478"/>
      <c r="E112" s="478"/>
      <c r="F112" s="3" t="s">
        <v>3013</v>
      </c>
      <c r="G112" s="478" t="str">
        <f>_xlfn.XLOOKUP(H112, 'Baumaterialien Matériaux'!A:A, 'Baumaterialien Matériaux'!AD:AD, "-", 0, 1)</f>
        <v>Feuille de polyéthylène (PE)</v>
      </c>
      <c r="H112" s="892" t="s">
        <v>716</v>
      </c>
      <c r="I112" s="641" t="str">
        <f>_xlfn.XLOOKUP(H112, 'Baumaterialien Matériaux'!A:A, 'Baumaterialien Matériaux'!F:F, "-", 0, 1)</f>
        <v>kg</v>
      </c>
      <c r="J112" s="649">
        <f t="shared" si="253"/>
        <v>189.1327</v>
      </c>
      <c r="K112" s="898">
        <f>0.47</f>
        <v>0.47</v>
      </c>
      <c r="L112" s="647">
        <v>30</v>
      </c>
      <c r="M112" s="648">
        <f t="shared" si="229"/>
        <v>2.5992906616641096</v>
      </c>
      <c r="N112" s="720">
        <f>IFERROR(($J112*VLOOKUP($H112, 'Baumaterialien Matériaux'!$A$11:$AH$318, 26,FALSE)),0)/$G$1</f>
        <v>0.53906857613697601</v>
      </c>
      <c r="O112" s="720">
        <f>IFERROR(($J112*VLOOKUP($H112, 'Baumaterialien Matériaux'!$A$11:$AH$318, 33,FALSE)),0)/$G$1</f>
        <v>0.47438034700053888</v>
      </c>
      <c r="P112" s="720">
        <f t="shared" si="254"/>
        <v>1.0624551573317855</v>
      </c>
      <c r="Q112" s="720">
        <f>IFERROR(($J112*VLOOKUP($H112, 'Baumaterialien Matériaux'!$A$11:$AH$318, 27,FALSE)),0)/$G$1</f>
        <v>0.52338658119480952</v>
      </c>
      <c r="R112" s="720">
        <f>IFERROR(($J112*VLOOKUP($H112, 'Baumaterialien Matériaux'!$A$11:$AH$318, 34,FALSE)),0)/$G$1</f>
        <v>0.50378408751710124</v>
      </c>
      <c r="S112" s="720">
        <f>IFERROR((J112*VLOOKUP(H112, 'Baumaterialien Matériaux'!$A$11:$AD$318, 29,FALSE)),0)/$G$1</f>
        <v>0</v>
      </c>
      <c r="T112" s="720">
        <f t="shared" si="230"/>
        <v>0</v>
      </c>
      <c r="V112" s="638">
        <f t="shared" si="156"/>
        <v>0</v>
      </c>
      <c r="W112" s="638">
        <f t="shared" si="157"/>
        <v>0</v>
      </c>
      <c r="X112" s="638" t="str">
        <f t="shared" si="223"/>
        <v>Revêtement</v>
      </c>
      <c r="Z112" s="638">
        <f t="shared" si="158"/>
        <v>30</v>
      </c>
      <c r="AA112" s="648" t="s">
        <v>3445</v>
      </c>
      <c r="AB112" t="str">
        <f>_xlfn.XLOOKUP($H112,'[1]Baumaterialien Matériaux'!$A:$A,'[1]Baumaterialien Matériaux'!AK:AK,0,0)</f>
        <v>oil_product</v>
      </c>
      <c r="AC112" t="str" cm="1">
        <f t="array" ref="AC112">_xlfn.SWITCH(I112,"kg"," ",0," ",_xlfn.XLOOKUP(H112, '[1]Baumaterialien Matériaux'!$A:$A, '[1]Baumaterialien Matériaux'!$AL:$AL, "-", 0, 1))</f>
        <v xml:space="preserve"> </v>
      </c>
      <c r="AD112" s="1112" cm="1">
        <f t="array" ref="AD112">IFERROR(_xlfn.SWITCH(I112,"kg",1,"m3",AC112,AC112)*J112/(_xlfn.XLOOKUP(AA112,Métrés!A:A,Métrés!E:E,0)),0)</f>
        <v>0.47</v>
      </c>
      <c r="AE112" s="1092">
        <f>IFERROR(N112*$G$1/(_xlfn.XLOOKUP($AA112,Métrés!$A:$A,Métrés!$E:$E,0)),0)</f>
        <v>1.2924999999999998</v>
      </c>
      <c r="AF112" s="1092">
        <f>IFERROR(O112*$G$1/(_xlfn.XLOOKUP($AA112,Métrés!$A:$A,Métrés!$E:$E,0)),0)</f>
        <v>1.1373999999999997</v>
      </c>
      <c r="AG112" s="1092">
        <f>IFERROR(Q112*$G$1/(_xlfn.XLOOKUP($AA112,Métrés!$A:$A,Métrés!$E:$E,0)),0)</f>
        <v>1.2549000000000001</v>
      </c>
      <c r="AH112" s="1092">
        <f>IFERROR(R112*$G$1/(_xlfn.XLOOKUP($AA112,Métrés!$A:$A,Métrés!$E:$E,0)),0)</f>
        <v>1.2079</v>
      </c>
      <c r="AI112" s="1092">
        <f>IFERROR(S112*$G$1/(_xlfn.XLOOKUP($AA112,Métrés!$A:$A,Métrés!$E:$E,0)),0)</f>
        <v>0</v>
      </c>
      <c r="AJ112" s="1022"/>
      <c r="AK112" s="638">
        <f t="shared" si="231"/>
        <v>0</v>
      </c>
      <c r="AL112" s="638">
        <f t="shared" si="232"/>
        <v>0</v>
      </c>
      <c r="AM112" s="638" t="str">
        <f t="shared" si="233"/>
        <v>Revêtement</v>
      </c>
      <c r="AN112" s="1017">
        <f t="shared" si="234"/>
        <v>0</v>
      </c>
      <c r="AO112" s="638">
        <f t="shared" si="235"/>
        <v>0</v>
      </c>
      <c r="AP112" s="638">
        <f t="shared" si="236"/>
        <v>0</v>
      </c>
      <c r="AQ112" s="1018">
        <f t="shared" si="237"/>
        <v>0</v>
      </c>
      <c r="AR112" s="1018">
        <f t="shared" si="238"/>
        <v>0</v>
      </c>
      <c r="AS112" s="1017">
        <f t="shared" si="239"/>
        <v>0</v>
      </c>
      <c r="AT112" s="638">
        <f t="shared" si="240"/>
        <v>0</v>
      </c>
      <c r="AU112" s="638">
        <f t="shared" si="241"/>
        <v>0</v>
      </c>
      <c r="AV112" s="1018">
        <f t="shared" si="242"/>
        <v>0</v>
      </c>
      <c r="AW112" s="1018">
        <f t="shared" si="243"/>
        <v>0</v>
      </c>
      <c r="AX112" s="1017">
        <f t="shared" si="244"/>
        <v>0.53906857613697601</v>
      </c>
      <c r="AY112" s="638">
        <f t="shared" si="245"/>
        <v>1.0624551573317855</v>
      </c>
      <c r="AZ112" s="638">
        <f t="shared" si="246"/>
        <v>0.52338658119480952</v>
      </c>
      <c r="BA112" s="638">
        <f t="shared" si="247"/>
        <v>0</v>
      </c>
      <c r="BB112" s="1018">
        <f t="shared" si="248"/>
        <v>0</v>
      </c>
      <c r="BC112" s="1017"/>
      <c r="BF112" s="1018"/>
      <c r="BG112" s="1017">
        <f t="shared" si="249"/>
        <v>0</v>
      </c>
      <c r="BH112" s="638">
        <f t="shared" si="250"/>
        <v>0</v>
      </c>
      <c r="BI112" s="1018">
        <f t="shared" si="251"/>
        <v>189.1327</v>
      </c>
      <c r="BJ112" s="638">
        <f>_xlfn.XLOOKUP(H112, 'Baumaterialien Matériaux'!A:A, 'Baumaterialien Matériaux'!E:E, "-", 0, 1)</f>
        <v>920</v>
      </c>
      <c r="BK112" s="1032">
        <f t="shared" si="152"/>
        <v>0</v>
      </c>
      <c r="BL112" s="1030">
        <f t="shared" si="153"/>
        <v>0</v>
      </c>
      <c r="BM112" s="1033">
        <f t="shared" si="154"/>
        <v>0.20557902173913042</v>
      </c>
      <c r="BN112" s="720">
        <f>IFERROR((J112*VLOOKUP(H112, 'Baumaterialien Matériaux'!$A$11:$AH$318, 32,FALSE))*($L$2/L112-1),0)/$G$1</f>
        <v>0.97620418514986951</v>
      </c>
      <c r="BO112" s="720">
        <f t="shared" si="252"/>
        <v>1.0624551573317855</v>
      </c>
    </row>
    <row r="113" spans="2:67">
      <c r="B113" s="1103"/>
      <c r="C113" s="1099"/>
      <c r="D113" s="478"/>
      <c r="E113" s="478"/>
      <c r="F113" s="3" t="s">
        <v>3014</v>
      </c>
      <c r="G113" s="478" t="str">
        <f>_xlfn.XLOOKUP(H113, 'Baumaterialien Matériaux'!A:A, 'Baumaterialien Matériaux'!AD:AD, "-", 0, 1)</f>
        <v>Lé d'étanchéité polyoléfine (FPO)</v>
      </c>
      <c r="H113" s="892" t="s">
        <v>1613</v>
      </c>
      <c r="I113" s="641" t="str">
        <f>_xlfn.XLOOKUP(H113, 'Baumaterialien Matériaux'!A:A, 'Baumaterialien Matériaux'!F:F, "-", 0, 1)</f>
        <v>kg</v>
      </c>
      <c r="J113" s="649">
        <f t="shared" si="253"/>
        <v>482.892</v>
      </c>
      <c r="K113" s="893">
        <v>1.2</v>
      </c>
      <c r="L113" s="647">
        <v>30</v>
      </c>
      <c r="M113" s="648">
        <f t="shared" si="229"/>
        <v>6.4563106836366648</v>
      </c>
      <c r="N113" s="720">
        <f>IFERROR(($J113*VLOOKUP($H113, 'Baumaterialien Matériaux'!$A$11:$AH$318, 26,FALSE)),0)/$G$1</f>
        <v>1.2612327847104183</v>
      </c>
      <c r="O113" s="720">
        <f>IFERROR(($J113*VLOOKUP($H113, 'Baumaterialien Matériaux'!$A$11:$AH$318, 33,FALSE)),0)/$G$1</f>
        <v>1.2612327847104183</v>
      </c>
      <c r="P113" s="720">
        <f t="shared" si="254"/>
        <v>2.5975389494631234</v>
      </c>
      <c r="Q113" s="720">
        <f>IFERROR(($J113*VLOOKUP($H113, 'Baumaterialien Matériaux'!$A$11:$AH$318, 27,FALSE)),0)/$G$1</f>
        <v>1.336306164752705</v>
      </c>
      <c r="R113" s="720">
        <f>IFERROR(($J113*VLOOKUP($H113, 'Baumaterialien Matériaux'!$A$11:$AH$318, 34,FALSE)),0)/$G$1</f>
        <v>1.5114773848513743</v>
      </c>
      <c r="S113" s="720">
        <f>IFERROR((J113*VLOOKUP(H113, 'Baumaterialien Matériaux'!$A$11:$AD$318, 29,FALSE)),0)/$G$1</f>
        <v>0</v>
      </c>
      <c r="T113" s="720">
        <f t="shared" si="230"/>
        <v>0</v>
      </c>
      <c r="V113" s="638">
        <f t="shared" si="156"/>
        <v>0</v>
      </c>
      <c r="W113" s="638">
        <f t="shared" si="157"/>
        <v>0</v>
      </c>
      <c r="X113" s="638" t="str">
        <f t="shared" si="223"/>
        <v>Revêtement</v>
      </c>
      <c r="Z113" s="638">
        <f t="shared" si="158"/>
        <v>30</v>
      </c>
      <c r="AA113" s="648" t="s">
        <v>3445</v>
      </c>
      <c r="AB113" t="str">
        <f>_xlfn.XLOOKUP($H113,'[1]Baumaterialien Matériaux'!$A:$A,'[1]Baumaterialien Matériaux'!AK:AK,0,0)</f>
        <v>oil_product</v>
      </c>
      <c r="AC113" t="str" cm="1">
        <f t="array" ref="AC113">_xlfn.SWITCH(I113,"kg"," ",0," ",_xlfn.XLOOKUP(H113, '[1]Baumaterialien Matériaux'!$A:$A, '[1]Baumaterialien Matériaux'!$AL:$AL, "-", 0, 1))</f>
        <v xml:space="preserve"> </v>
      </c>
      <c r="AD113" s="1112" cm="1">
        <f t="array" ref="AD113">IFERROR(_xlfn.SWITCH(I113,"kg",1,"m3",AC113,AC113)*J113/(_xlfn.XLOOKUP(AA113,Métrés!A:A,Métrés!E:E,0)),0)</f>
        <v>1.2</v>
      </c>
      <c r="AE113" s="1092">
        <f>IFERROR(N113*$G$1/(_xlfn.XLOOKUP($AA113,Métrés!$A:$A,Métrés!$E:$E,0)),0)</f>
        <v>3.024</v>
      </c>
      <c r="AF113" s="1092">
        <f>IFERROR(O113*$G$1/(_xlfn.XLOOKUP($AA113,Métrés!$A:$A,Métrés!$E:$E,0)),0)</f>
        <v>3.024</v>
      </c>
      <c r="AG113" s="1092">
        <f>IFERROR(Q113*$G$1/(_xlfn.XLOOKUP($AA113,Métrés!$A:$A,Métrés!$E:$E,0)),0)</f>
        <v>3.2039999999999997</v>
      </c>
      <c r="AH113" s="1092">
        <f>IFERROR(R113*$G$1/(_xlfn.XLOOKUP($AA113,Métrés!$A:$A,Métrés!$E:$E,0)),0)</f>
        <v>3.6239999999999997</v>
      </c>
      <c r="AI113" s="1092">
        <f>IFERROR(S113*$G$1/(_xlfn.XLOOKUP($AA113,Métrés!$A:$A,Métrés!$E:$E,0)),0)</f>
        <v>0</v>
      </c>
      <c r="AJ113" s="1022"/>
      <c r="AK113" s="638">
        <f t="shared" si="231"/>
        <v>0</v>
      </c>
      <c r="AL113" s="638">
        <f t="shared" si="232"/>
        <v>0</v>
      </c>
      <c r="AM113" s="638" t="str">
        <f t="shared" si="233"/>
        <v>Revêtement</v>
      </c>
      <c r="AN113" s="1017">
        <f t="shared" si="234"/>
        <v>0</v>
      </c>
      <c r="AO113" s="638">
        <f t="shared" si="235"/>
        <v>0</v>
      </c>
      <c r="AP113" s="638">
        <f t="shared" si="236"/>
        <v>0</v>
      </c>
      <c r="AQ113" s="1018">
        <f t="shared" si="237"/>
        <v>0</v>
      </c>
      <c r="AR113" s="1018">
        <f t="shared" si="238"/>
        <v>0</v>
      </c>
      <c r="AS113" s="1017">
        <f t="shared" si="239"/>
        <v>0</v>
      </c>
      <c r="AT113" s="638">
        <f t="shared" si="240"/>
        <v>0</v>
      </c>
      <c r="AU113" s="638">
        <f t="shared" si="241"/>
        <v>0</v>
      </c>
      <c r="AV113" s="1018">
        <f t="shared" si="242"/>
        <v>0</v>
      </c>
      <c r="AW113" s="1018">
        <f t="shared" si="243"/>
        <v>0</v>
      </c>
      <c r="AX113" s="1017">
        <f t="shared" si="244"/>
        <v>1.2612327847104183</v>
      </c>
      <c r="AY113" s="638">
        <f t="shared" si="245"/>
        <v>2.5975389494631234</v>
      </c>
      <c r="AZ113" s="638">
        <f t="shared" si="246"/>
        <v>1.336306164752705</v>
      </c>
      <c r="BA113" s="638">
        <f t="shared" si="247"/>
        <v>0</v>
      </c>
      <c r="BB113" s="1018">
        <f t="shared" si="248"/>
        <v>0</v>
      </c>
      <c r="BC113" s="1017"/>
      <c r="BF113" s="1018"/>
      <c r="BG113" s="1017">
        <f t="shared" si="249"/>
        <v>0</v>
      </c>
      <c r="BH113" s="638">
        <f t="shared" si="250"/>
        <v>0</v>
      </c>
      <c r="BI113" s="1018">
        <f t="shared" si="251"/>
        <v>482.892</v>
      </c>
      <c r="BJ113" s="638">
        <f>_xlfn.XLOOKUP(H113, 'Baumaterialien Matériaux'!A:A, 'Baumaterialien Matériaux'!E:E, "-", 0, 1)</f>
        <v>1000</v>
      </c>
      <c r="BK113" s="1032">
        <f t="shared" si="152"/>
        <v>0</v>
      </c>
      <c r="BL113" s="1030">
        <f t="shared" si="153"/>
        <v>0</v>
      </c>
      <c r="BM113" s="1033">
        <f t="shared" si="154"/>
        <v>0.48289199999999999</v>
      </c>
      <c r="BN113" s="720">
        <f>IFERROR((J113*VLOOKUP(H113, 'Baumaterialien Matériaux'!$A$11:$AH$318, 32,FALSE))*($L$2/L113-1),0)/$G$1</f>
        <v>2.7727101695617926</v>
      </c>
      <c r="BO113" s="720">
        <f t="shared" si="252"/>
        <v>2.5975389494631234</v>
      </c>
    </row>
    <row r="114" spans="2:67">
      <c r="B114" s="1103"/>
      <c r="C114" s="1099"/>
      <c r="D114" s="478"/>
      <c r="E114" s="478"/>
      <c r="F114" s="3" t="s">
        <v>2994</v>
      </c>
      <c r="G114" s="478" t="str">
        <f>_xlfn.XLOOKUP(H114, 'Baumaterialien Matériaux'!A:A, 'Baumaterialien Matériaux'!AD:AD, "-", 0, 1)</f>
        <v>Lé d'étanchéité bitumineux</v>
      </c>
      <c r="H114" s="892" t="s">
        <v>696</v>
      </c>
      <c r="I114" s="641" t="str">
        <f>_xlfn.XLOOKUP(H114, 'Baumaterialien Matériaux'!A:A, 'Baumaterialien Matériaux'!F:F, "-", 0, 1)</f>
        <v>kg</v>
      </c>
      <c r="J114" s="649">
        <f t="shared" si="253"/>
        <v>2301.7852000000003</v>
      </c>
      <c r="K114" s="893">
        <f>0.0052*1100</f>
        <v>5.72</v>
      </c>
      <c r="L114" s="647">
        <v>30</v>
      </c>
      <c r="M114" s="648">
        <f t="shared" si="229"/>
        <v>17.26983029600763</v>
      </c>
      <c r="N114" s="720">
        <f>IFERROR(($J114*VLOOKUP($H114, 'Baumaterialien Matériaux'!$A$11:$AH$318, 26,FALSE)),0)/$G$1</f>
        <v>2.409521839890552</v>
      </c>
      <c r="O114" s="720">
        <f>IFERROR(($J114*VLOOKUP($H114, 'Baumaterialien Matériaux'!$A$11:$AH$318, 33,FALSE)),0)/$G$1</f>
        <v>1.3335868400978403</v>
      </c>
      <c r="P114" s="720">
        <f t="shared" si="254"/>
        <v>7.9681217279548946</v>
      </c>
      <c r="Q114" s="720">
        <f>IFERROR(($J114*VLOOKUP($H114, 'Baumaterialien Matériaux'!$A$11:$AH$318, 27,FALSE)),0)/$G$1</f>
        <v>5.558599888064343</v>
      </c>
      <c r="R114" s="720">
        <f>IFERROR(($J114*VLOOKUP($H114, 'Baumaterialien Matériaux'!$A$11:$AH$318, 34,FALSE)),0)/$G$1</f>
        <v>5.6063131918245519</v>
      </c>
      <c r="S114" s="720">
        <f>IFERROR((J114*VLOOKUP(H114, 'Baumaterialien Matériaux'!$A$11:$AD$318, 29,FALSE)),0)/$G$1</f>
        <v>0</v>
      </c>
      <c r="T114" s="720">
        <f t="shared" si="230"/>
        <v>0</v>
      </c>
      <c r="V114" s="638">
        <f t="shared" si="156"/>
        <v>0</v>
      </c>
      <c r="W114" s="638">
        <f t="shared" si="157"/>
        <v>0</v>
      </c>
      <c r="X114" s="638" t="str">
        <f t="shared" si="223"/>
        <v>Revêtement</v>
      </c>
      <c r="Z114" s="638">
        <f t="shared" si="158"/>
        <v>30</v>
      </c>
      <c r="AA114" s="648" t="s">
        <v>3445</v>
      </c>
      <c r="AB114" t="str">
        <f>_xlfn.XLOOKUP($H114,'[1]Baumaterialien Matériaux'!$A:$A,'[1]Baumaterialien Matériaux'!AK:AK,0,0)</f>
        <v>oil_product</v>
      </c>
      <c r="AC114" t="str" cm="1">
        <f t="array" ref="AC114">_xlfn.SWITCH(I114,"kg"," ",0," ",_xlfn.XLOOKUP(H114, '[1]Baumaterialien Matériaux'!$A:$A, '[1]Baumaterialien Matériaux'!$AL:$AL, "-", 0, 1))</f>
        <v xml:space="preserve"> </v>
      </c>
      <c r="AD114" s="1112" cm="1">
        <f t="array" ref="AD114">IFERROR(_xlfn.SWITCH(I114,"kg",1,"m3",AC114,AC114)*J114/(_xlfn.XLOOKUP(AA114,Métrés!A:A,Métrés!E:E,0)),0)</f>
        <v>5.7200000000000006</v>
      </c>
      <c r="AE114" s="1092">
        <f>IFERROR(N114*$G$1/(_xlfn.XLOOKUP($AA114,Métrés!$A:$A,Métrés!$E:$E,0)),0)</f>
        <v>5.7772000000000006</v>
      </c>
      <c r="AF114" s="1092">
        <f>IFERROR(O114*$G$1/(_xlfn.XLOOKUP($AA114,Métrés!$A:$A,Métrés!$E:$E,0)),0)</f>
        <v>3.1974800000000005</v>
      </c>
      <c r="AG114" s="1092">
        <f>IFERROR(Q114*$G$1/(_xlfn.XLOOKUP($AA114,Métrés!$A:$A,Métrés!$E:$E,0)),0)</f>
        <v>13.3276</v>
      </c>
      <c r="AH114" s="1092">
        <f>IFERROR(R114*$G$1/(_xlfn.XLOOKUP($AA114,Métrés!$A:$A,Métrés!$E:$E,0)),0)</f>
        <v>13.442</v>
      </c>
      <c r="AI114" s="1092">
        <f>IFERROR(S114*$G$1/(_xlfn.XLOOKUP($AA114,Métrés!$A:$A,Métrés!$E:$E,0)),0)</f>
        <v>0</v>
      </c>
      <c r="AJ114" s="1022"/>
      <c r="AK114" s="638">
        <f t="shared" si="231"/>
        <v>0</v>
      </c>
      <c r="AL114" s="638">
        <f t="shared" si="232"/>
        <v>0</v>
      </c>
      <c r="AM114" s="638" t="str">
        <f t="shared" si="233"/>
        <v>Revêtement</v>
      </c>
      <c r="AN114" s="1017">
        <f t="shared" si="234"/>
        <v>0</v>
      </c>
      <c r="AO114" s="638">
        <f t="shared" si="235"/>
        <v>0</v>
      </c>
      <c r="AP114" s="638">
        <f t="shared" si="236"/>
        <v>0</v>
      </c>
      <c r="AQ114" s="1018">
        <f t="shared" si="237"/>
        <v>0</v>
      </c>
      <c r="AR114" s="1018">
        <f t="shared" si="238"/>
        <v>0</v>
      </c>
      <c r="AS114" s="1017">
        <f t="shared" si="239"/>
        <v>0</v>
      </c>
      <c r="AT114" s="638">
        <f t="shared" si="240"/>
        <v>0</v>
      </c>
      <c r="AU114" s="638">
        <f t="shared" si="241"/>
        <v>0</v>
      </c>
      <c r="AV114" s="1018">
        <f t="shared" si="242"/>
        <v>0</v>
      </c>
      <c r="AW114" s="1018">
        <f t="shared" si="243"/>
        <v>0</v>
      </c>
      <c r="AX114" s="1017">
        <f t="shared" si="244"/>
        <v>2.409521839890552</v>
      </c>
      <c r="AY114" s="638">
        <f t="shared" si="245"/>
        <v>7.9681217279548946</v>
      </c>
      <c r="AZ114" s="638">
        <f t="shared" si="246"/>
        <v>5.558599888064343</v>
      </c>
      <c r="BA114" s="638">
        <f t="shared" si="247"/>
        <v>0</v>
      </c>
      <c r="BB114" s="1018">
        <f t="shared" si="248"/>
        <v>0</v>
      </c>
      <c r="BC114" s="1017"/>
      <c r="BF114" s="1018"/>
      <c r="BG114" s="1017">
        <f t="shared" si="249"/>
        <v>0</v>
      </c>
      <c r="BH114" s="638">
        <f t="shared" si="250"/>
        <v>0</v>
      </c>
      <c r="BI114" s="1018">
        <f t="shared" si="251"/>
        <v>2301.7852000000003</v>
      </c>
      <c r="BJ114" s="638">
        <f>_xlfn.XLOOKUP(H114, 'Baumaterialien Matériaux'!A:A, 'Baumaterialien Matériaux'!E:E, "-", 0, 1)</f>
        <v>1100</v>
      </c>
      <c r="BK114" s="1032">
        <f t="shared" si="152"/>
        <v>0</v>
      </c>
      <c r="BL114" s="1030">
        <f t="shared" si="153"/>
        <v>0</v>
      </c>
      <c r="BM114" s="1033">
        <f t="shared" si="154"/>
        <v>2.0925320000000003</v>
      </c>
      <c r="BN114" s="720">
        <f>IFERROR((J114*VLOOKUP(H114, 'Baumaterialien Matériaux'!$A$11:$AH$318, 32,FALSE))*($L$2/L114-1),0)/$G$1</f>
        <v>6.9422856971104032</v>
      </c>
      <c r="BO114" s="720">
        <f t="shared" si="252"/>
        <v>7.9681217279548946</v>
      </c>
    </row>
    <row r="115" spans="2:67">
      <c r="B115" s="1103"/>
      <c r="C115" s="1099"/>
      <c r="D115" s="478"/>
      <c r="E115" s="478"/>
      <c r="F115" s="454" t="s">
        <v>3302</v>
      </c>
      <c r="G115" s="478" t="str">
        <f>_xlfn.XLOOKUP(H115, 'Baumaterialien Matériaux'!A:A, 'Baumaterialien Matériaux'!AD:AD, "-", 0, 1)</f>
        <v>Botte de paille pour la construction</v>
      </c>
      <c r="H115" s="892">
        <v>10.015000000000001</v>
      </c>
      <c r="I115" s="641" t="str">
        <f>_xlfn.XLOOKUP(H115, 'Baumaterialien Matériaux'!A:A, 'Baumaterialien Matériaux'!F:F, "-", 0, 1)</f>
        <v>kg</v>
      </c>
      <c r="J115" s="649">
        <f>257.58*K115</f>
        <v>38765.79</v>
      </c>
      <c r="K115" s="528">
        <f>0.7*215</f>
        <v>150.5</v>
      </c>
      <c r="L115" s="647">
        <v>30</v>
      </c>
      <c r="M115" s="648">
        <f t="shared" si="229"/>
        <v>10.49461501181543</v>
      </c>
      <c r="N115" s="720">
        <f>IFERROR(($J115*VLOOKUP($H115, 'Baumaterialien Matériaux'!$A$11:$AH$318, 26,FALSE)),0)/$G$1</f>
        <v>3.841061237096306</v>
      </c>
      <c r="O115" s="720">
        <f>IFERROR(($J115*VLOOKUP($H115, 'Baumaterialien Matériaux'!$A$11:$AH$318, 33,FALSE)),0)/$G$1</f>
        <v>2.8124925376228185</v>
      </c>
      <c r="P115" s="720">
        <f t="shared" si="254"/>
        <v>3.841061237096306</v>
      </c>
      <c r="Q115" s="720">
        <f>IFERROR(($J115*VLOOKUP($H115, 'Baumaterialien Matériaux'!$A$11:$AH$318, 27,FALSE)),0)/$G$1</f>
        <v>0</v>
      </c>
      <c r="R115" s="720">
        <f>IFERROR(($J115*VLOOKUP($H115, 'Baumaterialien Matériaux'!$A$11:$AH$318, 34,FALSE)),0)/$G$1</f>
        <v>0</v>
      </c>
      <c r="S115" s="720">
        <f>IFERROR((J115*VLOOKUP(H115, 'Baumaterialien Matériaux'!$A$11:$AD$318, 29,FALSE)),0)/$G$1</f>
        <v>54.214141868081754</v>
      </c>
      <c r="T115" s="720">
        <f t="shared" si="230"/>
        <v>-12.469252629658804</v>
      </c>
      <c r="U115" s="638">
        <v>-0.23</v>
      </c>
      <c r="V115" s="638">
        <f t="shared" si="156"/>
        <v>-12.469252629658804</v>
      </c>
      <c r="W115" s="638">
        <f t="shared" si="157"/>
        <v>54.214141868081754</v>
      </c>
      <c r="X115" s="638" t="str">
        <f t="shared" si="223"/>
        <v>Revêtement</v>
      </c>
      <c r="Z115" s="638">
        <f t="shared" si="158"/>
        <v>30</v>
      </c>
      <c r="AA115" s="648" t="s">
        <v>3445</v>
      </c>
      <c r="AB115" t="str">
        <f>_xlfn.XLOOKUP($H115,'[1]Baumaterialien Matériaux'!$A:$A,'[1]Baumaterialien Matériaux'!AK:AK,0,0)</f>
        <v>vegetal_fiber</v>
      </c>
      <c r="AC115" t="str" cm="1">
        <f t="array" ref="AC115">_xlfn.SWITCH(I115,"kg"," ",0," ",_xlfn.XLOOKUP(H115, '[1]Baumaterialien Matériaux'!$A:$A, '[1]Baumaterialien Matériaux'!$AL:$AL, "-", 0, 1))</f>
        <v xml:space="preserve"> </v>
      </c>
      <c r="AD115" s="1112" cm="1">
        <f t="array" ref="AD115">IFERROR(_xlfn.SWITCH(I115,"kg",1,"m3",AC115,AC115)*J115/(_xlfn.XLOOKUP(AA115,Métrés!A:A,Métrés!E:E,0)),0)</f>
        <v>96.334062274794363</v>
      </c>
      <c r="AE115" s="1092">
        <f>IFERROR(N115*$G$1/(_xlfn.XLOOKUP($AA115,Métrés!$A:$A,Métrés!$E:$E,0)),0)</f>
        <v>9.2095363534703409</v>
      </c>
      <c r="AF115" s="1092">
        <f>IFERROR(O115*$G$1/(_xlfn.XLOOKUP($AA115,Métrés!$A:$A,Métrés!$E:$E,0)),0)</f>
        <v>6.7433843592356055</v>
      </c>
      <c r="AG115" s="1092">
        <f>IFERROR(Q115*$G$1/(_xlfn.XLOOKUP($AA115,Métrés!$A:$A,Métrés!$E:$E,0)),0)</f>
        <v>0</v>
      </c>
      <c r="AH115" s="1092">
        <f>IFERROR(R115*$G$1/(_xlfn.XLOOKUP($AA115,Métrés!$A:$A,Métrés!$E:$E,0)),0)</f>
        <v>0</v>
      </c>
      <c r="AI115" s="1092">
        <f>IFERROR(S115*$G$1/(_xlfn.XLOOKUP($AA115,Métrés!$A:$A,Métrés!$E:$E,0)),0)</f>
        <v>129.9867613627892</v>
      </c>
      <c r="AJ115" s="1022">
        <v>-0.23</v>
      </c>
      <c r="AK115" s="638">
        <f t="shared" si="231"/>
        <v>-12.469252629658804</v>
      </c>
      <c r="AL115" s="638">
        <f t="shared" si="232"/>
        <v>54.214141868081754</v>
      </c>
      <c r="AM115" s="638" t="s">
        <v>3388</v>
      </c>
      <c r="AN115" s="1017">
        <f t="shared" si="234"/>
        <v>0</v>
      </c>
      <c r="AO115" s="638">
        <f t="shared" si="235"/>
        <v>0</v>
      </c>
      <c r="AP115" s="638">
        <f t="shared" si="236"/>
        <v>0</v>
      </c>
      <c r="AQ115" s="1018">
        <f t="shared" si="237"/>
        <v>0</v>
      </c>
      <c r="AR115" s="1018">
        <f t="shared" si="238"/>
        <v>0</v>
      </c>
      <c r="AS115" s="1017">
        <f t="shared" si="239"/>
        <v>3.841061237096306</v>
      </c>
      <c r="AT115" s="638">
        <f t="shared" si="240"/>
        <v>3.841061237096306</v>
      </c>
      <c r="AU115" s="638">
        <f t="shared" si="241"/>
        <v>0</v>
      </c>
      <c r="AV115" s="1018">
        <f t="shared" si="242"/>
        <v>54.214141868081754</v>
      </c>
      <c r="AW115" s="1018">
        <f t="shared" si="243"/>
        <v>-12.469252629658804</v>
      </c>
      <c r="AX115" s="1017">
        <f t="shared" si="244"/>
        <v>0</v>
      </c>
      <c r="AY115" s="638">
        <f t="shared" si="245"/>
        <v>0</v>
      </c>
      <c r="AZ115" s="638">
        <f t="shared" si="246"/>
        <v>0</v>
      </c>
      <c r="BA115" s="638">
        <f t="shared" si="247"/>
        <v>0</v>
      </c>
      <c r="BB115" s="1018">
        <f t="shared" si="248"/>
        <v>0</v>
      </c>
      <c r="BC115" s="1017"/>
      <c r="BF115" s="1018"/>
      <c r="BG115" s="1017">
        <f t="shared" si="249"/>
        <v>0</v>
      </c>
      <c r="BH115" s="638">
        <f t="shared" si="250"/>
        <v>38765.79</v>
      </c>
      <c r="BI115" s="1018">
        <f t="shared" si="251"/>
        <v>0</v>
      </c>
      <c r="BJ115" s="638">
        <f>_xlfn.XLOOKUP(H115, 'Baumaterialien Matériaux'!A:A, 'Baumaterialien Matériaux'!E:E, "-", 0, 1)</f>
        <v>215</v>
      </c>
      <c r="BK115" s="1032">
        <f t="shared" si="152"/>
        <v>0</v>
      </c>
      <c r="BL115" s="1030">
        <f t="shared" si="153"/>
        <v>180.30600000000001</v>
      </c>
      <c r="BM115" s="1033">
        <f t="shared" si="154"/>
        <v>0</v>
      </c>
      <c r="BN115" s="720">
        <f>IFERROR((J115*VLOOKUP(H115, 'Baumaterialien Matériaux'!$A$11:$AH$318, 32,FALSE))*($L$2/L115-1),0)/$G$1</f>
        <v>2.8124925376228185</v>
      </c>
      <c r="BO115" s="720">
        <f t="shared" si="252"/>
        <v>3.841061237096306</v>
      </c>
    </row>
    <row r="116" spans="2:67">
      <c r="B116" s="1104"/>
      <c r="C116" s="1099"/>
      <c r="D116" s="478"/>
      <c r="E116" s="478"/>
      <c r="F116" s="483"/>
      <c r="G116" s="478"/>
      <c r="H116" s="892"/>
      <c r="I116" s="641"/>
      <c r="J116" s="649"/>
      <c r="K116" s="893"/>
      <c r="L116" s="647"/>
      <c r="M116" s="648"/>
      <c r="N116" s="720"/>
      <c r="O116" s="720"/>
      <c r="P116" s="720"/>
      <c r="Q116" s="720"/>
      <c r="R116" s="720"/>
      <c r="S116" s="720"/>
      <c r="T116" s="720">
        <f t="shared" si="230"/>
        <v>0</v>
      </c>
      <c r="U116" s="674"/>
      <c r="V116" s="674">
        <f t="shared" si="156"/>
        <v>0</v>
      </c>
      <c r="W116" s="674">
        <f t="shared" si="157"/>
        <v>0</v>
      </c>
      <c r="X116" s="674">
        <f t="shared" si="223"/>
        <v>0</v>
      </c>
      <c r="Y116" s="674"/>
      <c r="Z116" s="674">
        <f t="shared" si="158"/>
        <v>0</v>
      </c>
      <c r="AA116" s="1095" t="s">
        <v>3445</v>
      </c>
      <c r="AB116">
        <f>_xlfn.XLOOKUP($H116,'[1]Baumaterialien Matériaux'!$A:$A,'[1]Baumaterialien Matériaux'!AK:AK,0,0)</f>
        <v>0</v>
      </c>
      <c r="AC116" t="str" cm="1">
        <f t="array" ref="AC116">_xlfn.SWITCH(I116,"kg"," ",0," ",_xlfn.XLOOKUP(H116, '[1]Baumaterialien Matériaux'!$A:$A, '[1]Baumaterialien Matériaux'!$AL:$AL, "-", 0, 1))</f>
        <v xml:space="preserve"> </v>
      </c>
      <c r="AD116" s="1112" cm="1">
        <f t="array" ref="AD116">IFERROR(_xlfn.SWITCH(I116,"kg",1,"m3",AC116,AC116)*J116/(_xlfn.XLOOKUP(AA116,Métrés!A:A,Métrés!E:E,0)),0)</f>
        <v>0</v>
      </c>
      <c r="AE116" s="1092">
        <f>IFERROR(N116*$G$1/(_xlfn.XLOOKUP($AA116,Métrés!$A:$A,Métrés!$E:$E,0)),0)</f>
        <v>0</v>
      </c>
      <c r="AF116" s="1092">
        <f>IFERROR(O116*$G$1/(_xlfn.XLOOKUP($AA116,Métrés!$A:$A,Métrés!$E:$E,0)),0)</f>
        <v>0</v>
      </c>
      <c r="AG116" s="1092">
        <f>IFERROR(Q116*$G$1/(_xlfn.XLOOKUP($AA116,Métrés!$A:$A,Métrés!$E:$E,0)),0)</f>
        <v>0</v>
      </c>
      <c r="AH116" s="1092">
        <f>IFERROR(R116*$G$1/(_xlfn.XLOOKUP($AA116,Métrés!$A:$A,Métrés!$E:$E,0)),0)</f>
        <v>0</v>
      </c>
      <c r="AI116" s="1092">
        <f>IFERROR(S116*$G$1/(_xlfn.XLOOKUP($AA116,Métrés!$A:$A,Métrés!$E:$E,0)),0)</f>
        <v>0</v>
      </c>
      <c r="AJ116" s="1022"/>
      <c r="AK116" s="638">
        <f t="shared" si="231"/>
        <v>0</v>
      </c>
      <c r="AL116" s="638">
        <f t="shared" si="232"/>
        <v>0</v>
      </c>
      <c r="AM116" s="638">
        <f>IF(L116=$L$2, "Structure", IF(L116&gt;0,"Revêtement",0))</f>
        <v>0</v>
      </c>
      <c r="AN116" s="1017">
        <f t="shared" si="234"/>
        <v>0</v>
      </c>
      <c r="AO116" s="638">
        <f t="shared" si="235"/>
        <v>0</v>
      </c>
      <c r="AP116" s="638">
        <f t="shared" si="236"/>
        <v>0</v>
      </c>
      <c r="AQ116" s="1018">
        <f t="shared" si="237"/>
        <v>0</v>
      </c>
      <c r="AR116" s="1018">
        <f t="shared" si="238"/>
        <v>0</v>
      </c>
      <c r="AS116" s="1017">
        <f t="shared" si="239"/>
        <v>0</v>
      </c>
      <c r="AT116" s="638">
        <f t="shared" si="240"/>
        <v>0</v>
      </c>
      <c r="AU116" s="638">
        <f t="shared" si="241"/>
        <v>0</v>
      </c>
      <c r="AV116" s="1018">
        <f t="shared" si="242"/>
        <v>0</v>
      </c>
      <c r="AW116" s="1018">
        <f t="shared" si="243"/>
        <v>0</v>
      </c>
      <c r="AX116" s="1017">
        <f t="shared" si="244"/>
        <v>0</v>
      </c>
      <c r="AY116" s="638">
        <f t="shared" si="245"/>
        <v>0</v>
      </c>
      <c r="AZ116" s="638">
        <f t="shared" si="246"/>
        <v>0</v>
      </c>
      <c r="BA116" s="638">
        <f t="shared" si="247"/>
        <v>0</v>
      </c>
      <c r="BB116" s="1018">
        <f t="shared" si="248"/>
        <v>0</v>
      </c>
      <c r="BC116" s="1017"/>
      <c r="BF116" s="1018"/>
      <c r="BG116" s="1017">
        <f t="shared" si="249"/>
        <v>0</v>
      </c>
      <c r="BH116" s="638">
        <f t="shared" si="250"/>
        <v>0</v>
      </c>
      <c r="BI116" s="1018">
        <f t="shared" si="251"/>
        <v>0</v>
      </c>
      <c r="BJ116" s="638">
        <f>_xlfn.XLOOKUP(H116, 'Baumaterialien Matériaux'!A:A, 'Baumaterialien Matériaux'!E:E, "-", 0, 1)</f>
        <v>0</v>
      </c>
      <c r="BK116" s="1032">
        <f t="shared" si="152"/>
        <v>0</v>
      </c>
      <c r="BL116" s="1030">
        <f t="shared" si="153"/>
        <v>0</v>
      </c>
      <c r="BM116" s="1033">
        <f t="shared" si="154"/>
        <v>0</v>
      </c>
    </row>
    <row r="117" spans="2:67">
      <c r="B117" s="1100"/>
      <c r="C117" s="1099"/>
      <c r="D117" s="478"/>
      <c r="E117" s="478"/>
      <c r="F117" s="483"/>
      <c r="G117" s="478"/>
      <c r="H117" s="892"/>
      <c r="I117" s="641"/>
      <c r="J117" s="649"/>
      <c r="K117" s="893"/>
      <c r="L117" s="647"/>
      <c r="M117" s="648"/>
      <c r="N117" s="720"/>
      <c r="O117" s="720"/>
      <c r="P117" s="720"/>
      <c r="Q117" s="720"/>
      <c r="R117" s="720"/>
      <c r="S117" s="720"/>
      <c r="T117" s="720">
        <f t="shared" si="230"/>
        <v>0</v>
      </c>
      <c r="U117" s="674"/>
      <c r="V117" s="674">
        <f t="shared" si="156"/>
        <v>0</v>
      </c>
      <c r="W117" s="674">
        <f t="shared" si="157"/>
        <v>0</v>
      </c>
      <c r="X117" s="674">
        <f t="shared" si="223"/>
        <v>0</v>
      </c>
      <c r="Y117" s="674"/>
      <c r="Z117" s="674">
        <f t="shared" si="158"/>
        <v>0</v>
      </c>
      <c r="AA117" s="1095" t="s">
        <v>3445</v>
      </c>
      <c r="AB117">
        <f>_xlfn.XLOOKUP($H117,'[1]Baumaterialien Matériaux'!$A:$A,'[1]Baumaterialien Matériaux'!AK:AK,0,0)</f>
        <v>0</v>
      </c>
      <c r="AC117" t="str" cm="1">
        <f t="array" ref="AC117">_xlfn.SWITCH(I117,"kg"," ",0," ",_xlfn.XLOOKUP(H117, '[1]Baumaterialien Matériaux'!$A:$A, '[1]Baumaterialien Matériaux'!$AL:$AL, "-", 0, 1))</f>
        <v xml:space="preserve"> </v>
      </c>
      <c r="AD117" s="1112" cm="1">
        <f t="array" ref="AD117">IFERROR(_xlfn.SWITCH(I117,"kg",1,"m3",AC117,AC117)*J117/(_xlfn.XLOOKUP(AA117,Métrés!A:A,Métrés!E:E,0)),0)</f>
        <v>0</v>
      </c>
      <c r="AE117" s="1092">
        <f>IFERROR(N117*$G$1/(_xlfn.XLOOKUP($AA117,Métrés!$A:$A,Métrés!$E:$E,0)),0)</f>
        <v>0</v>
      </c>
      <c r="AF117" s="1092">
        <f>IFERROR(O117*$G$1/(_xlfn.XLOOKUP($AA117,Métrés!$A:$A,Métrés!$E:$E,0)),0)</f>
        <v>0</v>
      </c>
      <c r="AG117" s="1092">
        <f>IFERROR(Q117*$G$1/(_xlfn.XLOOKUP($AA117,Métrés!$A:$A,Métrés!$E:$E,0)),0)</f>
        <v>0</v>
      </c>
      <c r="AH117" s="1092">
        <f>IFERROR(R117*$G$1/(_xlfn.XLOOKUP($AA117,Métrés!$A:$A,Métrés!$E:$E,0)),0)</f>
        <v>0</v>
      </c>
      <c r="AI117" s="1092">
        <f>IFERROR(S117*$G$1/(_xlfn.XLOOKUP($AA117,Métrés!$A:$A,Métrés!$E:$E,0)),0)</f>
        <v>0</v>
      </c>
      <c r="AJ117" s="1022"/>
      <c r="AK117" s="638">
        <f t="shared" si="231"/>
        <v>0</v>
      </c>
      <c r="AL117" s="638">
        <f t="shared" si="232"/>
        <v>0</v>
      </c>
      <c r="AM117" s="638">
        <f>IF(L117=$L$2, "Structure", IF(L117&gt;0,"Revêtement",0))</f>
        <v>0</v>
      </c>
      <c r="AN117" s="1017">
        <f t="shared" si="234"/>
        <v>0</v>
      </c>
      <c r="AO117" s="638">
        <f t="shared" si="235"/>
        <v>0</v>
      </c>
      <c r="AP117" s="638">
        <f t="shared" si="236"/>
        <v>0</v>
      </c>
      <c r="AQ117" s="1018">
        <f t="shared" si="237"/>
        <v>0</v>
      </c>
      <c r="AR117" s="1018">
        <f t="shared" si="238"/>
        <v>0</v>
      </c>
      <c r="AS117" s="1017">
        <f t="shared" si="239"/>
        <v>0</v>
      </c>
      <c r="AT117" s="638">
        <f t="shared" si="240"/>
        <v>0</v>
      </c>
      <c r="AU117" s="638">
        <f t="shared" si="241"/>
        <v>0</v>
      </c>
      <c r="AV117" s="1018">
        <f t="shared" si="242"/>
        <v>0</v>
      </c>
      <c r="AW117" s="1018">
        <f t="shared" si="243"/>
        <v>0</v>
      </c>
      <c r="AX117" s="1017">
        <f t="shared" si="244"/>
        <v>0</v>
      </c>
      <c r="AY117" s="638">
        <f t="shared" si="245"/>
        <v>0</v>
      </c>
      <c r="AZ117" s="638">
        <f t="shared" si="246"/>
        <v>0</v>
      </c>
      <c r="BA117" s="638">
        <f t="shared" si="247"/>
        <v>0</v>
      </c>
      <c r="BB117" s="1018">
        <f t="shared" si="248"/>
        <v>0</v>
      </c>
      <c r="BC117" s="1017"/>
      <c r="BF117" s="1018"/>
      <c r="BG117" s="1017">
        <f t="shared" si="249"/>
        <v>0</v>
      </c>
      <c r="BH117" s="638">
        <f t="shared" si="250"/>
        <v>0</v>
      </c>
      <c r="BI117" s="1018">
        <f t="shared" si="251"/>
        <v>0</v>
      </c>
      <c r="BJ117" s="638">
        <f>_xlfn.XLOOKUP(H117, 'Baumaterialien Matériaux'!A:A, 'Baumaterialien Matériaux'!E:E, "-", 0, 1)</f>
        <v>0</v>
      </c>
      <c r="BK117" s="1032">
        <f t="shared" si="152"/>
        <v>0</v>
      </c>
      <c r="BL117" s="1030">
        <f t="shared" si="153"/>
        <v>0</v>
      </c>
      <c r="BM117" s="1033">
        <f t="shared" si="154"/>
        <v>0</v>
      </c>
    </row>
    <row r="118" spans="2:67">
      <c r="B118" s="1100"/>
      <c r="C118" s="1099"/>
      <c r="D118" s="478"/>
      <c r="E118" s="478"/>
      <c r="F118" s="483" t="s">
        <v>3349</v>
      </c>
      <c r="G118" s="478" t="str">
        <f>_xlfn.XLOOKUP(H118, 'Baumaterialien Matériaux'!A:A, 'Baumaterialien Matériaux'!AD:AD, "-", 0, 1)</f>
        <v>Tôle de cuivre, nue</v>
      </c>
      <c r="H118" s="892" t="s">
        <v>1415</v>
      </c>
      <c r="I118" s="641" t="str">
        <f>_xlfn.XLOOKUP(H118, 'Baumaterialien Matériaux'!A:A, 'Baumaterialien Matériaux'!F:F, "-", 0, 1)</f>
        <v>kg</v>
      </c>
      <c r="J118" s="649">
        <f>K118*85.81</f>
        <v>458.22539999999998</v>
      </c>
      <c r="K118" s="893">
        <f>8900*0.0006</f>
        <v>5.34</v>
      </c>
      <c r="L118" s="647">
        <v>30</v>
      </c>
      <c r="M118" s="648">
        <f t="shared" ref="M118" si="255">SUM(N118:Q118)</f>
        <v>2.3399301612536796</v>
      </c>
      <c r="N118" s="720">
        <f>IFERROR(($J118*VLOOKUP($H118, 'Baumaterialien Matériaux'!$A$11:$AH$318, 26,FALSE)),0)/$G$1</f>
        <v>1.0448321794287136</v>
      </c>
      <c r="O118" s="720">
        <f>IFERROR(($J118*VLOOKUP($H118, 'Baumaterialien Matériaux'!$A$11:$AH$318, 33,FALSE)),0)/$G$1</f>
        <v>0.24268601985821484</v>
      </c>
      <c r="P118" s="720">
        <f t="shared" ref="P118" si="256">IFERROR((N118+Q118)*($L$2/L118-1),0)</f>
        <v>1.0486220706977323</v>
      </c>
      <c r="Q118" s="720">
        <f>IFERROR(($J118*VLOOKUP($H118, 'Baumaterialien Matériaux'!$A$11:$AH$318, 27,FALSE)),0)/$G$1</f>
        <v>3.7898912690186967E-3</v>
      </c>
      <c r="R118" s="720">
        <f>IFERROR(($J118*VLOOKUP($H118, 'Baumaterialien Matériaux'!$A$11:$AH$318, 34,FALSE)),0)/$G$1</f>
        <v>0</v>
      </c>
      <c r="S118" s="720">
        <f>IFERROR((J118*VLOOKUP(H118, 'Baumaterialien Matériaux'!$A$11:$AD$318, 29,FALSE)),0)/$G$1</f>
        <v>0</v>
      </c>
      <c r="T118" s="720">
        <f t="shared" si="230"/>
        <v>0</v>
      </c>
      <c r="V118" s="638">
        <f t="shared" si="156"/>
        <v>0</v>
      </c>
      <c r="W118" s="638">
        <f t="shared" si="157"/>
        <v>0</v>
      </c>
      <c r="Z118" s="638">
        <f t="shared" si="158"/>
        <v>30</v>
      </c>
      <c r="AA118" s="648" t="s">
        <v>3445</v>
      </c>
      <c r="AB118" t="str">
        <f>_xlfn.XLOOKUP($H118,'[1]Baumaterialien Matériaux'!$A:$A,'[1]Baumaterialien Matériaux'!AK:AK,0,0)</f>
        <v>metal</v>
      </c>
      <c r="AC118" t="str" cm="1">
        <f t="array" ref="AC118">_xlfn.SWITCH(I118,"kg"," ",0," ",_xlfn.XLOOKUP(H118, '[1]Baumaterialien Matériaux'!$A:$A, '[1]Baumaterialien Matériaux'!$AL:$AL, "-", 0, 1))</f>
        <v xml:space="preserve"> </v>
      </c>
      <c r="AD118" s="1112" cm="1">
        <f t="array" ref="AD118">IFERROR(_xlfn.SWITCH(I118,"kg",1,"m3",AC118,AC118)*J118/(_xlfn.XLOOKUP(AA118,Métrés!A:A,Métrés!E:E,0)),0)</f>
        <v>1.1387028155363932</v>
      </c>
      <c r="AE118" s="1092">
        <f>IFERROR(N118*$G$1/(_xlfn.XLOOKUP($AA118,Métrés!$A:$A,Métrés!$E:$E,0)),0)</f>
        <v>2.5051461941800652</v>
      </c>
      <c r="AF118" s="1092">
        <f>IFERROR(O118*$G$1/(_xlfn.XLOOKUP($AA118,Métrés!$A:$A,Métrés!$E:$E,0)),0)</f>
        <v>0.58187713873909686</v>
      </c>
      <c r="AG118" s="1092">
        <f>IFERROR(Q118*$G$1/(_xlfn.XLOOKUP($AA118,Métrés!$A:$A,Métrés!$E:$E,0)),0)</f>
        <v>9.0868484679804164E-3</v>
      </c>
      <c r="AH118" s="1092">
        <f>IFERROR(R118*$G$1/(_xlfn.XLOOKUP($AA118,Métrés!$A:$A,Métrés!$E:$E,0)),0)</f>
        <v>0</v>
      </c>
      <c r="AI118" s="1092">
        <f>IFERROR(S118*$G$1/(_xlfn.XLOOKUP($AA118,Métrés!$A:$A,Métrés!$E:$E,0)),0)</f>
        <v>0</v>
      </c>
      <c r="AJ118" s="1022"/>
      <c r="AK118" s="638">
        <f t="shared" si="231"/>
        <v>0</v>
      </c>
      <c r="AL118" s="638">
        <f t="shared" si="232"/>
        <v>0</v>
      </c>
      <c r="AM118" s="638" t="str">
        <f>IF(L118=$L$2, "Structure", IF(L118&gt;0,"Revêtement",0))</f>
        <v>Revêtement</v>
      </c>
      <c r="AN118" s="1017">
        <f t="shared" si="234"/>
        <v>0</v>
      </c>
      <c r="AO118" s="638">
        <f t="shared" si="235"/>
        <v>0</v>
      </c>
      <c r="AP118" s="638">
        <f t="shared" si="236"/>
        <v>0</v>
      </c>
      <c r="AQ118" s="1018">
        <f t="shared" si="237"/>
        <v>0</v>
      </c>
      <c r="AR118" s="1018">
        <f t="shared" si="238"/>
        <v>0</v>
      </c>
      <c r="AS118" s="1017">
        <f t="shared" si="239"/>
        <v>0</v>
      </c>
      <c r="AT118" s="638">
        <f t="shared" si="240"/>
        <v>0</v>
      </c>
      <c r="AU118" s="638">
        <f t="shared" si="241"/>
        <v>0</v>
      </c>
      <c r="AV118" s="1018">
        <f t="shared" si="242"/>
        <v>0</v>
      </c>
      <c r="AW118" s="1018">
        <f t="shared" si="243"/>
        <v>0</v>
      </c>
      <c r="AX118" s="1017">
        <f t="shared" si="244"/>
        <v>1.0448321794287136</v>
      </c>
      <c r="AY118" s="638">
        <f t="shared" si="245"/>
        <v>1.0486220706977323</v>
      </c>
      <c r="AZ118" s="638">
        <f t="shared" si="246"/>
        <v>3.7898912690186967E-3</v>
      </c>
      <c r="BA118" s="638">
        <f t="shared" si="247"/>
        <v>0</v>
      </c>
      <c r="BB118" s="1018">
        <f t="shared" si="248"/>
        <v>0</v>
      </c>
      <c r="BC118" s="1017"/>
      <c r="BF118" s="1018"/>
      <c r="BG118" s="1017">
        <f t="shared" si="249"/>
        <v>0</v>
      </c>
      <c r="BH118" s="638">
        <f t="shared" si="250"/>
        <v>0</v>
      </c>
      <c r="BI118" s="1018">
        <f t="shared" si="251"/>
        <v>458.22539999999998</v>
      </c>
      <c r="BJ118" s="638">
        <f>_xlfn.XLOOKUP(H118, 'Baumaterialien Matériaux'!A:A, 'Baumaterialien Matériaux'!E:E, "-", 0, 1)</f>
        <v>8900</v>
      </c>
      <c r="BK118" s="1032">
        <f t="shared" si="152"/>
        <v>0</v>
      </c>
      <c r="BL118" s="1030">
        <f t="shared" si="153"/>
        <v>0</v>
      </c>
      <c r="BM118" s="1033">
        <f t="shared" si="154"/>
        <v>5.1485999999999997E-2</v>
      </c>
    </row>
    <row r="119" spans="2:67">
      <c r="B119" s="1100"/>
      <c r="C119" s="1099"/>
      <c r="D119" s="478"/>
      <c r="E119" s="478"/>
      <c r="F119" s="483" t="s">
        <v>3352</v>
      </c>
      <c r="G119" s="478" t="str">
        <f>_xlfn.XLOOKUP(H119, 'Baumaterialien Matériaux'!A:A, 'Baumaterialien Matériaux'!AD:AD, "-", 0, 1)</f>
        <v>Tôle d'acier, zinguée</v>
      </c>
      <c r="H119" s="892" t="s">
        <v>618</v>
      </c>
      <c r="I119" s="641" t="str">
        <f>_xlfn.XLOOKUP(H119, 'Baumaterialien Matériaux'!A:A, 'Baumaterialien Matériaux'!F:F, "-", 0, 1)</f>
        <v>kg</v>
      </c>
      <c r="J119" s="649">
        <f>K119*60.28</f>
        <v>1419.5940000000001</v>
      </c>
      <c r="K119" s="893">
        <f>7850*0.003</f>
        <v>23.55</v>
      </c>
      <c r="L119" s="647">
        <v>30</v>
      </c>
      <c r="M119" s="648">
        <f t="shared" ref="M119" si="257">SUM(N119:Q119)</f>
        <v>15.793181878985118</v>
      </c>
      <c r="N119" s="720">
        <f>IFERROR(($J119*VLOOKUP($H119, 'Baumaterialien Matériaux'!$A$11:$AH$318, 26,FALSE)),0)/$G$1</f>
        <v>6.6062529123999836</v>
      </c>
      <c r="O119" s="720">
        <f>IFERROR(($J119*VLOOKUP($H119, 'Baumaterialien Matériaux'!$A$11:$AH$318, 33,FALSE)),0)/$G$1</f>
        <v>2.5601069192819534</v>
      </c>
      <c r="P119" s="720">
        <f t="shared" ref="P119" si="258">IFERROR((N119+Q119)*($L$2/L119-1),0)</f>
        <v>6.6165374798515817</v>
      </c>
      <c r="Q119" s="720">
        <f>IFERROR(($J119*VLOOKUP($H119, 'Baumaterialien Matériaux'!$A$11:$AH$318, 27,FALSE)),0)/$G$1</f>
        <v>1.0284567451598193E-2</v>
      </c>
      <c r="R119" s="720">
        <f>IFERROR(($J119*VLOOKUP($H119, 'Baumaterialien Matériaux'!$A$11:$AH$318, 34,FALSE)),0)/$G$1</f>
        <v>0</v>
      </c>
      <c r="S119" s="720">
        <f>IFERROR((J119*VLOOKUP(H119, 'Baumaterialien Matériaux'!$A$11:$AD$318, 29,FALSE)),0)/$G$1</f>
        <v>0</v>
      </c>
      <c r="T119" s="720"/>
      <c r="Z119" s="638">
        <f t="shared" si="158"/>
        <v>30</v>
      </c>
      <c r="AA119" s="648" t="s">
        <v>3445</v>
      </c>
      <c r="AB119" t="str">
        <f>_xlfn.XLOOKUP($H119,'[1]Baumaterialien Matériaux'!$A:$A,'[1]Baumaterialien Matériaux'!AK:AK,0,0)</f>
        <v>metal</v>
      </c>
      <c r="AC119" t="str" cm="1">
        <f t="array" ref="AC119">_xlfn.SWITCH(I119,"kg"," ",0," ",_xlfn.XLOOKUP(H119, '[1]Baumaterialien Matériaux'!$A:$A, '[1]Baumaterialien Matériaux'!$AL:$AL, "-", 0, 1))</f>
        <v xml:space="preserve"> </v>
      </c>
      <c r="AD119" s="1112" cm="1">
        <f t="array" ref="AD119">IFERROR(_xlfn.SWITCH(I119,"kg",1,"m3",AC119,AC119)*J119/(_xlfn.XLOOKUP(AA119,Métrés!A:A,Métrés!E:E,0)),0)</f>
        <v>3.5277304241942296</v>
      </c>
      <c r="AE119" s="1092">
        <f>IFERROR(N119*$G$1/(_xlfn.XLOOKUP($AA119,Métrés!$A:$A,Métrés!$E:$E,0)),0)</f>
        <v>15.839509604632092</v>
      </c>
      <c r="AF119" s="1092">
        <f>IFERROR(O119*$G$1/(_xlfn.XLOOKUP($AA119,Métrés!$A:$A,Métrés!$E:$E,0)),0)</f>
        <v>6.1382509380979604</v>
      </c>
      <c r="AG119" s="1092">
        <f>IFERROR(Q119*$G$1/(_xlfn.XLOOKUP($AA119,Métrés!$A:$A,Métrés!$E:$E,0)),0)</f>
        <v>2.4658835665117663E-2</v>
      </c>
      <c r="AH119" s="1092">
        <f>IFERROR(R119*$G$1/(_xlfn.XLOOKUP($AA119,Métrés!$A:$A,Métrés!$E:$E,0)),0)</f>
        <v>0</v>
      </c>
      <c r="AI119" s="1092">
        <f>IFERROR(S119*$G$1/(_xlfn.XLOOKUP($AA119,Métrés!$A:$A,Métrés!$E:$E,0)),0)</f>
        <v>0</v>
      </c>
      <c r="AJ119" s="1022"/>
      <c r="AM119" s="638" t="str">
        <f>IF(L119=$L$2, "Structure", IF(L119&gt;0,"Revêtement",0))</f>
        <v>Revêtement</v>
      </c>
      <c r="AN119" s="1017">
        <f t="shared" si="234"/>
        <v>0</v>
      </c>
      <c r="AO119" s="638">
        <f t="shared" si="235"/>
        <v>0</v>
      </c>
      <c r="AP119" s="638">
        <f t="shared" si="236"/>
        <v>0</v>
      </c>
      <c r="AQ119" s="1018">
        <f t="shared" si="237"/>
        <v>0</v>
      </c>
      <c r="AR119" s="1018">
        <f t="shared" si="238"/>
        <v>0</v>
      </c>
      <c r="AS119" s="1017">
        <f t="shared" si="239"/>
        <v>0</v>
      </c>
      <c r="AT119" s="638">
        <f t="shared" si="240"/>
        <v>0</v>
      </c>
      <c r="AU119" s="638">
        <f t="shared" si="241"/>
        <v>0</v>
      </c>
      <c r="AV119" s="1018">
        <f t="shared" si="242"/>
        <v>0</v>
      </c>
      <c r="AW119" s="1018">
        <f t="shared" si="243"/>
        <v>0</v>
      </c>
      <c r="AX119" s="1017">
        <f t="shared" si="244"/>
        <v>6.6062529123999836</v>
      </c>
      <c r="AY119" s="638">
        <f t="shared" si="245"/>
        <v>6.6165374798515817</v>
      </c>
      <c r="AZ119" s="638">
        <f t="shared" si="246"/>
        <v>1.0284567451598193E-2</v>
      </c>
      <c r="BA119" s="638">
        <f t="shared" si="247"/>
        <v>0</v>
      </c>
      <c r="BB119" s="1018">
        <f t="shared" si="248"/>
        <v>0</v>
      </c>
      <c r="BC119" s="1017"/>
      <c r="BF119" s="1018"/>
      <c r="BG119" s="1017">
        <f t="shared" si="249"/>
        <v>0</v>
      </c>
      <c r="BH119" s="638">
        <f t="shared" si="250"/>
        <v>0</v>
      </c>
      <c r="BI119" s="1018">
        <f t="shared" si="251"/>
        <v>1419.5940000000001</v>
      </c>
      <c r="BJ119" s="638">
        <f>_xlfn.XLOOKUP(H119, 'Baumaterialien Matériaux'!A:A, 'Baumaterialien Matériaux'!E:E, "-", 0, 1)</f>
        <v>7850</v>
      </c>
      <c r="BK119" s="1032">
        <f t="shared" si="152"/>
        <v>0</v>
      </c>
      <c r="BL119" s="1030">
        <f t="shared" si="153"/>
        <v>0</v>
      </c>
      <c r="BM119" s="1033">
        <f t="shared" si="154"/>
        <v>0.18084</v>
      </c>
    </row>
    <row r="120" spans="2:67" ht="15.6" customHeight="1">
      <c r="B120" s="1102" t="s">
        <v>131</v>
      </c>
      <c r="C120" s="1097" t="s">
        <v>132</v>
      </c>
      <c r="D120" s="473" t="s">
        <v>133</v>
      </c>
      <c r="E120" s="473"/>
      <c r="F120" s="473"/>
      <c r="G120" s="473"/>
      <c r="H120" s="473"/>
      <c r="I120" s="463"/>
      <c r="J120" s="654"/>
      <c r="K120" s="652"/>
      <c r="L120" s="652"/>
      <c r="M120" s="653">
        <f>M121+M125+M129+M132+M136+M141+M144+M147+M152+M155</f>
        <v>69.00814573877534</v>
      </c>
      <c r="N120" s="653">
        <f t="shared" ref="N120:S120" si="259">N121+N125+N129+N132+N136+N141+N144+N147+N152+N155</f>
        <v>41.913779151983753</v>
      </c>
      <c r="O120" s="653">
        <f t="shared" ref="O120" si="260">O121+O125+O129+O132+O136+O141+O144+O147+O152+O155</f>
        <v>12.159253536130342</v>
      </c>
      <c r="P120" s="653">
        <f t="shared" si="259"/>
        <v>9.7690933624227849</v>
      </c>
      <c r="Q120" s="653">
        <f t="shared" si="259"/>
        <v>5.1660196882384639</v>
      </c>
      <c r="R120" s="653">
        <f t="shared" ref="R120" si="261">R121+R125+R129+R132+R136+R141+R144+R147+R152+R155</f>
        <v>0.77818784420214748</v>
      </c>
      <c r="S120" s="653">
        <f t="shared" si="259"/>
        <v>42.432415553874229</v>
      </c>
      <c r="T120" s="653">
        <f t="shared" ref="T120" si="262">T121+T125+T129+T132+T136+T141+T144+T147+T152+T155</f>
        <v>-3.0144555198685792</v>
      </c>
      <c r="V120" s="638">
        <f t="shared" si="156"/>
        <v>-3.0144555198685792</v>
      </c>
      <c r="X120" s="638">
        <f t="shared" si="223"/>
        <v>0</v>
      </c>
      <c r="Z120" s="638">
        <f t="shared" si="158"/>
        <v>0</v>
      </c>
      <c r="AA120" s="648"/>
      <c r="AB120">
        <f>_xlfn.XLOOKUP($H120,'[1]Baumaterialien Matériaux'!$A:$A,'[1]Baumaterialien Matériaux'!AK:AK,0,0)</f>
        <v>0</v>
      </c>
      <c r="AC120" t="str" cm="1">
        <f t="array" ref="AC120">_xlfn.SWITCH(I120,"kg"," ",0," ",_xlfn.XLOOKUP(H120, '[1]Baumaterialien Matériaux'!$A:$A, '[1]Baumaterialien Matériaux'!$AL:$AL, "-", 0, 1))</f>
        <v xml:space="preserve"> </v>
      </c>
      <c r="AD120" s="1112" cm="1">
        <f t="array" ref="AD120">IFERROR(_xlfn.SWITCH(I120,"kg",1,"m3",AC120,AC120)*J120/(_xlfn.XLOOKUP(AA120,Métrés!A:A,Métrés!E:E,0)),0)</f>
        <v>0</v>
      </c>
      <c r="AE120" s="1092">
        <f>IFERROR(N120*$G$1/(_xlfn.XLOOKUP($AA120,Métrés!$A:$A,Métrés!$E:$E,0)),0)</f>
        <v>0</v>
      </c>
      <c r="AF120" s="1092">
        <f>IFERROR(O120*$G$1/(_xlfn.XLOOKUP($AA120,Métrés!$A:$A,Métrés!$E:$E,0)),0)</f>
        <v>0</v>
      </c>
      <c r="AG120" s="1092">
        <f>IFERROR(Q120*$G$1/(_xlfn.XLOOKUP($AA120,Métrés!$A:$A,Métrés!$E:$E,0)),0)</f>
        <v>0</v>
      </c>
      <c r="AH120" s="1092">
        <f>IFERROR(R120*$G$1/(_xlfn.XLOOKUP($AA120,Métrés!$A:$A,Métrés!$E:$E,0)),0)</f>
        <v>0</v>
      </c>
      <c r="AI120" s="1092">
        <f>IFERROR(S120*$G$1/(_xlfn.XLOOKUP($AA120,Métrés!$A:$A,Métrés!$E:$E,0)),0)</f>
        <v>0</v>
      </c>
      <c r="AJ120" s="666"/>
      <c r="AK120" s="666"/>
      <c r="AL120" s="666"/>
      <c r="AM120" s="666"/>
      <c r="AN120" s="1051"/>
      <c r="AO120" s="666"/>
      <c r="AP120" s="666"/>
      <c r="AQ120" s="666"/>
      <c r="AR120" s="1052"/>
      <c r="AS120" s="1051"/>
      <c r="AT120" s="666"/>
      <c r="AU120" s="666"/>
      <c r="AV120" s="666"/>
      <c r="AW120" s="1052"/>
      <c r="AX120" s="1051"/>
      <c r="AY120" s="666"/>
      <c r="AZ120" s="666"/>
      <c r="BA120" s="666"/>
      <c r="BB120" s="1052"/>
      <c r="BC120" s="1051"/>
      <c r="BD120" s="666"/>
      <c r="BE120" s="666"/>
      <c r="BF120" s="1052"/>
      <c r="BG120" s="1051"/>
      <c r="BH120" s="666"/>
      <c r="BI120" s="1052"/>
      <c r="BJ120" s="666"/>
      <c r="BK120" s="1051"/>
      <c r="BL120" s="666"/>
      <c r="BM120" s="1052"/>
    </row>
    <row r="121" spans="2:67">
      <c r="B121" s="1103"/>
      <c r="C121" s="1099"/>
      <c r="D121" s="478" t="s">
        <v>134</v>
      </c>
      <c r="E121" s="479" t="str">
        <f>BillQuantities!E24</f>
        <v>Porteuse (moyenne) (avec enduit intérieur)</v>
      </c>
      <c r="F121" s="479" t="s">
        <v>3043</v>
      </c>
      <c r="G121" s="479"/>
      <c r="H121" s="479"/>
      <c r="I121" s="460" t="s">
        <v>39</v>
      </c>
      <c r="J121" s="662">
        <v>357.06</v>
      </c>
      <c r="K121" s="663"/>
      <c r="L121" s="663"/>
      <c r="M121" s="664">
        <f>SUM(M122:M124)</f>
        <v>9.0285376352555886</v>
      </c>
      <c r="N121" s="664">
        <f t="shared" ref="N121:S121" si="263">SUM(N122:N124)</f>
        <v>4.8080877451183621</v>
      </c>
      <c r="O121" s="664">
        <f t="shared" ref="O121" si="264">SUM(O122:O124)</f>
        <v>1.5997255926371212</v>
      </c>
      <c r="P121" s="664">
        <f t="shared" si="263"/>
        <v>1.7983129430786455</v>
      </c>
      <c r="Q121" s="664">
        <f t="shared" si="263"/>
        <v>0.82241135442145841</v>
      </c>
      <c r="R121" s="664">
        <f t="shared" ref="R121" si="265">SUM(R122:R124)</f>
        <v>0.13398784478255463</v>
      </c>
      <c r="S121" s="664">
        <f t="shared" si="263"/>
        <v>29.180042390448158</v>
      </c>
      <c r="T121" s="664">
        <f t="shared" ref="T121" si="266">SUM(T122:T124)</f>
        <v>-2.9775759701090334</v>
      </c>
      <c r="V121" s="638">
        <f t="shared" si="156"/>
        <v>-2.9775759701090334</v>
      </c>
      <c r="X121" s="638">
        <f t="shared" si="223"/>
        <v>0</v>
      </c>
      <c r="Z121" s="638">
        <f t="shared" si="158"/>
        <v>0</v>
      </c>
      <c r="AA121" s="648" t="s">
        <v>3456</v>
      </c>
      <c r="AB121">
        <f>_xlfn.XLOOKUP($H121,'[1]Baumaterialien Matériaux'!$A:$A,'[1]Baumaterialien Matériaux'!AK:AK,0,0)</f>
        <v>0</v>
      </c>
      <c r="AC121" cm="1">
        <f t="array" ref="AC121">_xlfn.SWITCH(I121,"kg"," ",0," ",_xlfn.XLOOKUP(H121, '[1]Baumaterialien Matériaux'!$A:$A, '[1]Baumaterialien Matériaux'!$AL:$AL, "-", 0, 1))</f>
        <v>0</v>
      </c>
      <c r="AD121" s="1112" cm="1">
        <f t="array" ref="AD121">IFERROR(_xlfn.SWITCH(I121,"kg",1,"m3",AC121,AC121)*J121/(_xlfn.XLOOKUP(AA121,Métrés!A:A,Métrés!E:E,0)),0)</f>
        <v>0</v>
      </c>
      <c r="AE121" s="1092">
        <f>IFERROR(N121*$G$1/(_xlfn.XLOOKUP($AA121,Métrés!$A:$A,Métrés!$E:$E,0)),0)</f>
        <v>6.8919424462569268</v>
      </c>
      <c r="AF121" s="1092">
        <f>IFERROR(O121*$G$1/(_xlfn.XLOOKUP($AA121,Métrés!$A:$A,Métrés!$E:$E,0)),0)</f>
        <v>2.293056470413454</v>
      </c>
      <c r="AG121" s="1092">
        <f>IFERROR(Q121*$G$1/(_xlfn.XLOOKUP($AA121,Métrés!$A:$A,Métrés!$E:$E,0)),0)</f>
        <v>1.178849476608578</v>
      </c>
      <c r="AH121" s="1092">
        <f>IFERROR(R121*$G$1/(_xlfn.XLOOKUP($AA121,Métrés!$A:$A,Métrés!$E:$E,0)),0)</f>
        <v>0.19205899802409709</v>
      </c>
      <c r="AI121" s="1092">
        <f>IFERROR(S121*$G$1/(_xlfn.XLOOKUP($AA121,Métrés!$A:$A,Métrés!$E:$E,0)),0)</f>
        <v>41.82685162900566</v>
      </c>
      <c r="AJ121" s="878"/>
      <c r="AK121" s="878"/>
      <c r="AL121" s="878"/>
      <c r="AM121" s="878"/>
      <c r="AN121" s="1053"/>
      <c r="AO121" s="878"/>
      <c r="AP121" s="878"/>
      <c r="AQ121" s="878"/>
      <c r="AR121" s="1054"/>
      <c r="AS121" s="1053"/>
      <c r="AT121" s="878"/>
      <c r="AU121" s="878"/>
      <c r="AV121" s="878"/>
      <c r="AW121" s="1054"/>
      <c r="AX121" s="1053"/>
      <c r="AY121" s="878"/>
      <c r="AZ121" s="878"/>
      <c r="BA121" s="878"/>
      <c r="BB121" s="1054"/>
      <c r="BC121" s="1053"/>
      <c r="BD121" s="878"/>
      <c r="BE121" s="878"/>
      <c r="BF121" s="1054"/>
      <c r="BG121" s="1053"/>
      <c r="BH121" s="878"/>
      <c r="BI121" s="1054"/>
      <c r="BJ121" s="878"/>
      <c r="BK121" s="1053"/>
      <c r="BL121" s="878"/>
      <c r="BM121" s="1054"/>
    </row>
    <row r="122" spans="2:67">
      <c r="B122" s="1103"/>
      <c r="C122" s="1099"/>
      <c r="D122" s="478"/>
      <c r="E122" s="478"/>
      <c r="F122" s="478" t="s">
        <v>3404</v>
      </c>
      <c r="G122" s="478" t="str">
        <f>_xlfn.XLOOKUP(H122, 'Baumaterialien Matériaux'!A:A, 'Baumaterialien Matériaux'!AD:AD, "-", 0, 1)</f>
        <v>Bois massif épicéa / sapin / mélèze, séché en cellule, raboté</v>
      </c>
      <c r="H122" s="892" t="s">
        <v>129</v>
      </c>
      <c r="I122" s="641" t="str">
        <f>_xlfn.XLOOKUP(H122, 'Baumaterialien Matériaux'!A:A, 'Baumaterialien Matériaux'!F:F, "-", 0, 1)</f>
        <v>kg</v>
      </c>
      <c r="J122" s="649">
        <f>465*21.42</f>
        <v>9960.3000000000011</v>
      </c>
      <c r="K122" s="647"/>
      <c r="L122" s="643">
        <v>30</v>
      </c>
      <c r="M122" s="648">
        <f t="shared" ref="M122:M131" si="267">SUM(N122:Q122)</f>
        <v>4.0405263256083916</v>
      </c>
      <c r="N122" s="720">
        <f>IFERROR(($J122*VLOOKUP($H122, 'Baumaterialien Matériaux'!$A$11:$AH$318, 26,FALSE)),0)/$G$1</f>
        <v>1.3936409145557815</v>
      </c>
      <c r="O122" s="720">
        <f>IFERROR(($J122*VLOOKUP($H122, 'Baumaterialien Matériaux'!$A$11:$AH$318, 33,FALSE)),0)/$G$1</f>
        <v>0.44390043945110069</v>
      </c>
      <c r="P122" s="720">
        <f>IFERROR((N122+Q122)*($L$2/L122-1),0)</f>
        <v>1.7983129430786455</v>
      </c>
      <c r="Q122" s="720">
        <f>IFERROR(($J122*VLOOKUP($H122, 'Baumaterialien Matériaux'!$A$11:$AH$318, 27,FALSE)),0)/$G$1</f>
        <v>0.40467202852286394</v>
      </c>
      <c r="R122" s="720">
        <f>IFERROR(($J122*VLOOKUP($H122, 'Baumaterialien Matériaux'!$A$11:$AH$318, 34,FALSE)),0)/$G$1</f>
        <v>7.5153376725674723E-2</v>
      </c>
      <c r="S122" s="720">
        <f>IFERROR((J122*VLOOKUP(H122, 'Baumaterialien Matériaux'!$A$11:$AD$318, 29,FALSE)),0)/$G$1</f>
        <v>17.071240931138842</v>
      </c>
      <c r="T122" s="720">
        <f>S122*AJ122</f>
        <v>0.17071240931138842</v>
      </c>
      <c r="U122" s="638">
        <v>0.01</v>
      </c>
      <c r="V122" s="638">
        <f t="shared" si="156"/>
        <v>0.17071240931138842</v>
      </c>
      <c r="W122" s="638">
        <f t="shared" si="157"/>
        <v>17.071240931138842</v>
      </c>
      <c r="X122" s="638" t="str">
        <f t="shared" si="223"/>
        <v>Revêtement</v>
      </c>
      <c r="Z122" s="638">
        <f t="shared" si="158"/>
        <v>30</v>
      </c>
      <c r="AA122" s="648" t="s">
        <v>3456</v>
      </c>
      <c r="AB122" t="str">
        <f>_xlfn.XLOOKUP($H122,'[1]Baumaterialien Matériaux'!$A:$A,'[1]Baumaterialien Matériaux'!AK:AK,0,0)</f>
        <v>timber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 s="1112" cm="1">
        <f t="array" ref="AD122">IFERROR(_xlfn.SWITCH(I122,"kg",1,"m3",AC122,AC122)*J122/(_xlfn.XLOOKUP(AA122,Métrés!A:A,Métrés!E:E,0)),0)</f>
        <v>14.797432811873247</v>
      </c>
      <c r="AE122" s="1092">
        <f>IFERROR(N122*$G$1/(_xlfn.XLOOKUP($AA122,Métrés!$A:$A,Métrés!$E:$E,0)),0)</f>
        <v>1.9976534296028883</v>
      </c>
      <c r="AF122" s="1092">
        <f>IFERROR(O122*$G$1/(_xlfn.XLOOKUP($AA122,Métrés!$A:$A,Métrés!$E:$E,0)),0)</f>
        <v>0.63628961091054959</v>
      </c>
      <c r="AG122" s="1092">
        <f>IFERROR(Q122*$G$1/(_xlfn.XLOOKUP($AA122,Métrés!$A:$A,Métrés!$E:$E,0)),0)</f>
        <v>0.58005936622543131</v>
      </c>
      <c r="AH122" s="1092">
        <f>IFERROR(R122*$G$1/(_xlfn.XLOOKUP($AA122,Métrés!$A:$A,Métrés!$E:$E,0)),0)</f>
        <v>0.10772531087043723</v>
      </c>
      <c r="AI122" s="1092">
        <f>IFERROR(S122*$G$1/(_xlfn.XLOOKUP($AA122,Métrés!$A:$A,Métrés!$E:$E,0)),0)</f>
        <v>24.47002139323439</v>
      </c>
      <c r="AJ122" s="1022">
        <v>0.01</v>
      </c>
      <c r="AK122" s="638">
        <f>IF(L122=60,0,T122)</f>
        <v>0.17071240931138842</v>
      </c>
      <c r="AL122" s="638">
        <f>IF(L122=60,0,S122)</f>
        <v>17.071240931138842</v>
      </c>
      <c r="AM122" s="638" t="str">
        <f>IF(L122=$L$2, "Structure", IF(L122&gt;0,"Revêtement",0))</f>
        <v>Revêtement</v>
      </c>
      <c r="AN122" s="1017">
        <f>IF(AM122="Structure",N122,0)</f>
        <v>0</v>
      </c>
      <c r="AO122" s="638">
        <f>IF(AM122="Structure",P122,0)</f>
        <v>0</v>
      </c>
      <c r="AP122" s="638">
        <f>IF(AM122="Structure",Q122,0)</f>
        <v>0</v>
      </c>
      <c r="AQ122" s="1018">
        <f>IF(AM122="Structure",S122,0)</f>
        <v>0</v>
      </c>
      <c r="AR122" s="1018">
        <f>IF(AM122="Structure",T122,0)</f>
        <v>0</v>
      </c>
      <c r="AS122" s="1017">
        <f>IF(AM122="Insulation",N122,0)</f>
        <v>0</v>
      </c>
      <c r="AT122" s="638">
        <f>IF(AM122="Insulation",P122,0)</f>
        <v>0</v>
      </c>
      <c r="AU122" s="638">
        <f>IF(AM122="Insulation",Q122,0)</f>
        <v>0</v>
      </c>
      <c r="AV122" s="1018">
        <f>IF(AM122="Insulation",S122,0)</f>
        <v>0</v>
      </c>
      <c r="AW122" s="1018">
        <f>IF(AM122="Insulation",T122,0)</f>
        <v>0</v>
      </c>
      <c r="AX122" s="1017">
        <f>IF(AM122="Revêtement",N122,0)</f>
        <v>1.3936409145557815</v>
      </c>
      <c r="AY122" s="638">
        <f>IF(AM122="Revêtement",P122,0)</f>
        <v>1.7983129430786455</v>
      </c>
      <c r="AZ122" s="638">
        <f>IF(AM122="Revêtement",Q122,0)</f>
        <v>0.40467202852286394</v>
      </c>
      <c r="BA122" s="638">
        <f>IF(AM122="Revêtement",S122,0)</f>
        <v>17.071240931138842</v>
      </c>
      <c r="BB122" s="1018">
        <f>IF(AM122="Revêtement",T122,0)</f>
        <v>0.17071240931138842</v>
      </c>
      <c r="BC122" s="1017"/>
      <c r="BF122" s="1018"/>
      <c r="BG122" s="1017">
        <f>IF($AM122="Structure", IF($I122="kg",$J122,0), 0)</f>
        <v>0</v>
      </c>
      <c r="BH122" s="638">
        <f>IF($AM122="Insulation", IF($I122="kg",$J122,0), 0)</f>
        <v>0</v>
      </c>
      <c r="BI122" s="1018">
        <f>IF($AM122="Revêtement", IF($I122="kg",$J122,0), 0)</f>
        <v>9960.3000000000011</v>
      </c>
      <c r="BJ122" s="638">
        <f>_xlfn.XLOOKUP(H122, 'Baumaterialien Matériaux'!A:A, 'Baumaterialien Matériaux'!E:E, "-", 0, 1)</f>
        <v>465</v>
      </c>
      <c r="BK122" s="1032">
        <f t="shared" si="152"/>
        <v>0</v>
      </c>
      <c r="BL122" s="1030">
        <f t="shared" si="153"/>
        <v>0</v>
      </c>
      <c r="BM122" s="1033">
        <f t="shared" si="154"/>
        <v>21.42</v>
      </c>
      <c r="BN122" s="720">
        <f>IFERROR((J122*VLOOKUP(H122, 'Baumaterialien Matériaux'!$A$11:$AH$318, 32,FALSE))*($L$2/L122-1),0)/$G$1</f>
        <v>0.5192602814974504</v>
      </c>
      <c r="BO122" s="720">
        <f>IFERROR((N122+Q122)*($L$2/L122-1),0)</f>
        <v>1.7983129430786455</v>
      </c>
    </row>
    <row r="123" spans="2:67">
      <c r="B123" s="1103"/>
      <c r="C123" s="1099"/>
      <c r="D123" s="478"/>
      <c r="E123" s="478"/>
      <c r="F123" s="638" t="s">
        <v>3304</v>
      </c>
      <c r="G123" s="478" t="str">
        <f>_xlfn.XLOOKUP(H123, 'Baumaterialien Matériaux'!A:A, 'Baumaterialien Matériaux'!AD:AD, "-", 0, 1)</f>
        <v>Bois massif de construction</v>
      </c>
      <c r="H123" s="892" t="s">
        <v>547</v>
      </c>
      <c r="I123" s="641" t="str">
        <f>_xlfn.XLOOKUP(H123, 'Baumaterialien Matériaux'!A:A, 'Baumaterialien Matériaux'!F:F, "-", 0, 1)</f>
        <v>kg</v>
      </c>
      <c r="J123" s="649">
        <f>436*16.24</f>
        <v>7080.6399999999994</v>
      </c>
      <c r="K123" s="893"/>
      <c r="L123" s="643">
        <f>'Eléments de constr. inté. et ex'!N5</f>
        <v>60</v>
      </c>
      <c r="M123" s="648">
        <f t="shared" si="267"/>
        <v>2.6229865561129304</v>
      </c>
      <c r="N123" s="720">
        <f>IFERROR(($J123*VLOOKUP($H123, 'Baumaterialien Matériaux'!$A$11:$AH$318, 26,FALSE)),0)/$G$1</f>
        <v>1.7979735500186558</v>
      </c>
      <c r="O123" s="720">
        <f>IFERROR(($J123*VLOOKUP($H123, 'Baumaterialien Matériaux'!$A$11:$AH$318, 33,FALSE)),0)/$G$1</f>
        <v>0.49991003358069724</v>
      </c>
      <c r="P123" s="720">
        <f t="shared" ref="P123:P131" si="268">IFERROR((N123+Q123)*($L$2/L123-1),0)</f>
        <v>0</v>
      </c>
      <c r="Q123" s="720">
        <f>IFERROR(($J123*VLOOKUP($H123, 'Baumaterialien Matériaux'!$A$11:$AH$318, 27,FALSE)),0)/$G$1</f>
        <v>0.32510297251357734</v>
      </c>
      <c r="R123" s="720">
        <f>IFERROR(($J123*VLOOKUP($H123, 'Baumaterialien Matériaux'!$A$11:$AH$318, 34,FALSE)),0)/$G$1</f>
        <v>5.3425499771982909E-2</v>
      </c>
      <c r="S123" s="720">
        <f>IFERROR((J123*VLOOKUP(H123, 'Baumaterialien Matériaux'!$A$11:$AD$318, 29,FALSE)),0)/$G$1</f>
        <v>12.108801459309314</v>
      </c>
      <c r="T123" s="720">
        <f>S123*AJ123</f>
        <v>-3.1482883794204217</v>
      </c>
      <c r="U123" s="638">
        <v>-0.26</v>
      </c>
      <c r="V123" s="638">
        <f t="shared" si="156"/>
        <v>0</v>
      </c>
      <c r="W123" s="638">
        <f t="shared" si="157"/>
        <v>0</v>
      </c>
      <c r="X123" s="638" t="str">
        <f t="shared" si="223"/>
        <v>Structure</v>
      </c>
      <c r="Z123" s="638">
        <f t="shared" si="158"/>
        <v>60</v>
      </c>
      <c r="AA123" s="648" t="s">
        <v>3456</v>
      </c>
      <c r="AB123" t="str">
        <f>_xlfn.XLOOKUP($H123,'[1]Baumaterialien Matériaux'!$A:$A,'[1]Baumaterialien Matériaux'!AK:AK,0,0)</f>
        <v>timber</v>
      </c>
      <c r="AC123" t="str" cm="1">
        <f t="array" ref="AC123">_xlfn.SWITCH(I123,"kg"," ",0," ",_xlfn.XLOOKUP(H123, '[1]Baumaterialien Matériaux'!$A:$A, '[1]Baumaterialien Matériaux'!$AL:$AL, "-", 0, 1))</f>
        <v xml:space="preserve"> </v>
      </c>
      <c r="AD123" s="1112" cm="1">
        <f t="array" ref="AD123">IFERROR(_xlfn.SWITCH(I123,"kg",1,"m3",AC123,AC123)*J123/(_xlfn.XLOOKUP(AA123,Métrés!A:A,Métrés!E:E,0)),0)</f>
        <v>10.519291051982588</v>
      </c>
      <c r="AE123" s="1092">
        <f>IFERROR(N123*$G$1/(_xlfn.XLOOKUP($AA123,Métrés!$A:$A,Métrés!$E:$E,0)),0)</f>
        <v>2.5772263077357338</v>
      </c>
      <c r="AF123" s="1092">
        <f>IFERROR(O123*$G$1/(_xlfn.XLOOKUP($AA123,Métrés!$A:$A,Métrés!$E:$E,0)),0)</f>
        <v>0.71657410646105379</v>
      </c>
      <c r="AG123" s="1092">
        <f>IFERROR(Q123*$G$1/(_xlfn.XLOOKUP($AA123,Métrés!$A:$A,Métrés!$E:$E,0)),0)</f>
        <v>0.46600459360282864</v>
      </c>
      <c r="AH123" s="1092">
        <f>IFERROR(R123*$G$1/(_xlfn.XLOOKUP($AA123,Métrés!$A:$A,Métrés!$E:$E,0)),0)</f>
        <v>7.6580438858433228E-2</v>
      </c>
      <c r="AI123" s="1092">
        <f>IFERROR(S123*$G$1/(_xlfn.XLOOKUP($AA123,Métrés!$A:$A,Métrés!$E:$E,0)),0)</f>
        <v>17.35683023577127</v>
      </c>
      <c r="AJ123" s="1022">
        <v>-0.26</v>
      </c>
      <c r="AK123" s="638">
        <f>IF(L123=60,0,T123)</f>
        <v>0</v>
      </c>
      <c r="AL123" s="638">
        <f>IF(L123=60,0,S123)</f>
        <v>0</v>
      </c>
      <c r="AM123" s="638" t="str">
        <f>IF(L123=$L$2, "Structure", IF(L123&gt;0,"Revêtement",0))</f>
        <v>Structure</v>
      </c>
      <c r="AN123" s="1017">
        <f>IF(AM123="Structure",N123,0)</f>
        <v>1.7979735500186558</v>
      </c>
      <c r="AO123" s="638">
        <f>IF(AM123="Structure",P123,0)</f>
        <v>0</v>
      </c>
      <c r="AP123" s="638">
        <f>IF(AM123="Structure",Q123,0)</f>
        <v>0.32510297251357734</v>
      </c>
      <c r="AQ123" s="1018">
        <f>IF(AM123="Structure",S123,0)</f>
        <v>12.108801459309314</v>
      </c>
      <c r="AR123" s="1018">
        <f>IF(AM123="Structure",T123,0)</f>
        <v>-3.1482883794204217</v>
      </c>
      <c r="AS123" s="1017">
        <f>IF(AM123="Insulation",N123,0)</f>
        <v>0</v>
      </c>
      <c r="AT123" s="638">
        <f>IF(AM123="Insulation",P123,0)</f>
        <v>0</v>
      </c>
      <c r="AU123" s="638">
        <f>IF(AM123="Insulation",Q123,0)</f>
        <v>0</v>
      </c>
      <c r="AV123" s="1018">
        <f>IF(AM123="Insulation",S123,0)</f>
        <v>0</v>
      </c>
      <c r="AW123" s="1018">
        <f>IF(AM123="Insulation",T123,0)</f>
        <v>0</v>
      </c>
      <c r="AX123" s="1017">
        <f>IF(AM123="Revêtement",N123,0)</f>
        <v>0</v>
      </c>
      <c r="AY123" s="638">
        <f>IF(AM123="Revêtement",P123,0)</f>
        <v>0</v>
      </c>
      <c r="AZ123" s="638">
        <f>IF(AM123="Revêtement",Q123,0)</f>
        <v>0</v>
      </c>
      <c r="BA123" s="638">
        <f>IF(AM123="Revêtement",S123,0)</f>
        <v>0</v>
      </c>
      <c r="BB123" s="1018">
        <f>IF(AM123="Revêtement",T123,0)</f>
        <v>0</v>
      </c>
      <c r="BC123" s="1017"/>
      <c r="BF123" s="1018"/>
      <c r="BG123" s="1017">
        <f>IF($AM123="Structure", IF($I123="kg",$J123,0), 0)</f>
        <v>7080.6399999999994</v>
      </c>
      <c r="BH123" s="638">
        <f>IF($AM123="Insulation", IF($I123="kg",$J123,0), 0)</f>
        <v>0</v>
      </c>
      <c r="BI123" s="1018">
        <f>IF($AM123="Revêtement", IF($I123="kg",$J123,0), 0)</f>
        <v>0</v>
      </c>
      <c r="BJ123" s="638">
        <f>_xlfn.XLOOKUP(H123, 'Baumaterialien Matériaux'!A:A, 'Baumaterialien Matériaux'!E:E, "-", 0, 1)</f>
        <v>436</v>
      </c>
      <c r="BK123" s="1032">
        <f t="shared" si="152"/>
        <v>16.239999999999998</v>
      </c>
      <c r="BL123" s="1030">
        <f t="shared" si="153"/>
        <v>0</v>
      </c>
      <c r="BM123" s="1033">
        <f t="shared" si="154"/>
        <v>0</v>
      </c>
      <c r="BN123" s="720">
        <f>IFERROR((J123*VLOOKUP(H123, 'Baumaterialien Matériaux'!$A$11:$AH$318, 32,FALSE))*($L$2/L123-1),0)/$G$1</f>
        <v>0</v>
      </c>
      <c r="BO123" s="720">
        <f>IFERROR((N123+Q123)*($L$2/L123-1),0)</f>
        <v>0</v>
      </c>
    </row>
    <row r="124" spans="2:67">
      <c r="B124" s="1103"/>
      <c r="C124" s="1099"/>
      <c r="D124" s="478"/>
      <c r="E124" s="478"/>
      <c r="F124" s="478" t="s">
        <v>3278</v>
      </c>
      <c r="G124" s="478" t="str">
        <f>_xlfn.XLOOKUP(H124, 'Baumaterialien Matériaux'!A:A, 'Baumaterialien Matériaux'!AD:AD, "-", 0, 1)</f>
        <v>Laine de verre</v>
      </c>
      <c r="H124" s="875" t="s">
        <v>130</v>
      </c>
      <c r="I124" s="641" t="str">
        <f>_xlfn.XLOOKUP(H124, 'Baumaterialien Matériaux'!A:A, 'Baumaterialien Matériaux'!F:F, "-", 0, 1)</f>
        <v>kg</v>
      </c>
      <c r="J124" s="649">
        <f t="shared" ref="J124" si="269">$J$121*K124</f>
        <v>1499.652</v>
      </c>
      <c r="K124" s="894">
        <f>0.14*30</f>
        <v>4.2</v>
      </c>
      <c r="L124" s="643">
        <f>'Eléments de constr. inté. et ex'!N6</f>
        <v>60</v>
      </c>
      <c r="M124" s="648">
        <f t="shared" si="267"/>
        <v>2.3650247535342652</v>
      </c>
      <c r="N124" s="720">
        <f>IFERROR(($J124*VLOOKUP($H124, 'Baumaterialien Matériaux'!$A$11:$AH$318, 26,FALSE)),0)/$G$1</f>
        <v>1.6164732805439246</v>
      </c>
      <c r="O124" s="720">
        <f>IFERROR(($J124*VLOOKUP($H124, 'Baumaterialien Matériaux'!$A$11:$AH$318, 33,FALSE)),0)/$G$1</f>
        <v>0.65591511960532323</v>
      </c>
      <c r="P124" s="720">
        <f t="shared" si="268"/>
        <v>0</v>
      </c>
      <c r="Q124" s="720">
        <f>IFERROR(($J124*VLOOKUP($H124, 'Baumaterialien Matériaux'!$A$11:$AH$318, 27,FALSE)),0)/$G$1</f>
        <v>9.2636353385017203E-2</v>
      </c>
      <c r="R124" s="720">
        <f>IFERROR(($J124*VLOOKUP($H124, 'Baumaterialien Matériaux'!$A$11:$AH$318, 34,FALSE)),0)/$G$1</f>
        <v>5.4089682848969776E-3</v>
      </c>
      <c r="S124" s="720">
        <f>IFERROR((J124*VLOOKUP(H124, 'Baumaterialien Matériaux'!$A$11:$AD$318, 29,FALSE)),0)/$G$1</f>
        <v>0</v>
      </c>
      <c r="T124" s="720">
        <f>S124*AJ124</f>
        <v>0</v>
      </c>
      <c r="V124" s="638">
        <f t="shared" si="156"/>
        <v>0</v>
      </c>
      <c r="W124" s="638">
        <f t="shared" si="157"/>
        <v>0</v>
      </c>
      <c r="X124" s="638" t="str">
        <f t="shared" si="223"/>
        <v>Structure</v>
      </c>
      <c r="Z124" s="638">
        <f t="shared" si="158"/>
        <v>60</v>
      </c>
      <c r="AA124" s="648" t="s">
        <v>3456</v>
      </c>
      <c r="AB124" t="str">
        <f>_xlfn.XLOOKUP($H124,'[1]Baumaterialien Matériaux'!$A:$A,'[1]Baumaterialien Matériaux'!AK:AK,0,0)</f>
        <v>mineral_fiber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 s="1112" cm="1">
        <f t="array" ref="AD124">IFERROR(_xlfn.SWITCH(I124,"kg",1,"m3",AC124,AC124)*J124/(_xlfn.XLOOKUP(AA124,Métrés!A:A,Métrés!E:E,0)),0)</f>
        <v>2.2279449124214468</v>
      </c>
      <c r="AE124" s="1092">
        <f>IFERROR(N124*$G$1/(_xlfn.XLOOKUP($AA124,Métrés!$A:$A,Métrés!$E:$E,0)),0)</f>
        <v>2.3170627089183049</v>
      </c>
      <c r="AF124" s="1092">
        <f>IFERROR(O124*$G$1/(_xlfn.XLOOKUP($AA124,Métrés!$A:$A,Métrés!$E:$E,0)),0)</f>
        <v>0.94019275304185057</v>
      </c>
      <c r="AG124" s="1092">
        <f>IFERROR(Q124*$G$1/(_xlfn.XLOOKUP($AA124,Métrés!$A:$A,Métrés!$E:$E,0)),0)</f>
        <v>0.13278551678031822</v>
      </c>
      <c r="AH124" s="1092">
        <f>IFERROR(R124*$G$1/(_xlfn.XLOOKUP($AA124,Métrés!$A:$A,Métrés!$E:$E,0)),0)</f>
        <v>7.7532482952266347E-3</v>
      </c>
      <c r="AI124" s="1092">
        <f>IFERROR(S124*$G$1/(_xlfn.XLOOKUP($AA124,Métrés!$A:$A,Métrés!$E:$E,0)),0)</f>
        <v>0</v>
      </c>
      <c r="AJ124" s="1022"/>
      <c r="AK124" s="638">
        <f>IF(L124=60,0,T124)</f>
        <v>0</v>
      </c>
      <c r="AL124" s="638">
        <f>IF(L124=60,0,S124)</f>
        <v>0</v>
      </c>
      <c r="AM124" s="638" t="s">
        <v>3388</v>
      </c>
      <c r="AN124" s="1017">
        <f>IF(AM124="Structure",N124,0)</f>
        <v>0</v>
      </c>
      <c r="AO124" s="638">
        <f>IF(AM124="Structure",P124,0)</f>
        <v>0</v>
      </c>
      <c r="AP124" s="638">
        <f>IF(AM124="Structure",Q124,0)</f>
        <v>0</v>
      </c>
      <c r="AQ124" s="1018">
        <f>IF(AM124="Structure",S124,0)</f>
        <v>0</v>
      </c>
      <c r="AR124" s="1018">
        <f>IF(AM124="Structure",T124,0)</f>
        <v>0</v>
      </c>
      <c r="AS124" s="1017">
        <f>IF(AM124="Insulation",N124,0)</f>
        <v>1.6164732805439246</v>
      </c>
      <c r="AT124" s="638">
        <f>IF(AM124="Insulation",P124,0)</f>
        <v>0</v>
      </c>
      <c r="AU124" s="638">
        <f>IF(AM124="Insulation",Q124,0)</f>
        <v>9.2636353385017203E-2</v>
      </c>
      <c r="AV124" s="1018">
        <f>IF(AM124="Insulation",S124,0)</f>
        <v>0</v>
      </c>
      <c r="AW124" s="1018">
        <f>IF(AM124="Insulation",T124,0)</f>
        <v>0</v>
      </c>
      <c r="AX124" s="1017">
        <f>IF(AM124="Revêtement",N124,0)</f>
        <v>0</v>
      </c>
      <c r="AY124" s="638">
        <f>IF(AM124="Revêtement",P124,0)</f>
        <v>0</v>
      </c>
      <c r="AZ124" s="638">
        <f>IF(AM124="Revêtement",Q124,0)</f>
        <v>0</v>
      </c>
      <c r="BA124" s="638">
        <f>IF(AM124="Revêtement",S124,0)</f>
        <v>0</v>
      </c>
      <c r="BB124" s="1018">
        <f>IF(AM124="Revêtement",T124,0)</f>
        <v>0</v>
      </c>
      <c r="BC124" s="1017"/>
      <c r="BF124" s="1018"/>
      <c r="BG124" s="1017">
        <f>IF($AM124="Structure", IF($I124="kg",$J124,0), 0)</f>
        <v>0</v>
      </c>
      <c r="BH124" s="638">
        <f>IF($AM124="Insulation", IF($I124="kg",$J124,0), 0)</f>
        <v>1499.652</v>
      </c>
      <c r="BI124" s="1018">
        <f>IF($AM124="Revêtement", IF($I124="kg",$J124,0), 0)</f>
        <v>0</v>
      </c>
      <c r="BJ124" s="638">
        <v>30</v>
      </c>
      <c r="BK124" s="1032">
        <f t="shared" si="152"/>
        <v>0</v>
      </c>
      <c r="BL124" s="1030">
        <f t="shared" si="153"/>
        <v>49.988399999999999</v>
      </c>
      <c r="BM124" s="1033">
        <f t="shared" si="154"/>
        <v>0</v>
      </c>
      <c r="BN124" s="720">
        <f>IFERROR((J124*VLOOKUP(H124, 'Baumaterialien Matériaux'!$A$11:$AH$318, 32,FALSE))*($L$2/L124-1),0)/$G$1</f>
        <v>0</v>
      </c>
      <c r="BO124" s="720">
        <f>IFERROR((N124+Q124)*($L$2/L124-1),0)</f>
        <v>0</v>
      </c>
    </row>
    <row r="125" spans="2:67">
      <c r="B125" s="1103"/>
      <c r="C125" s="1099"/>
      <c r="D125" s="478"/>
      <c r="E125" s="478"/>
      <c r="F125" s="479" t="s">
        <v>3043</v>
      </c>
      <c r="G125" s="479"/>
      <c r="H125" s="479"/>
      <c r="I125" s="460" t="s">
        <v>39</v>
      </c>
      <c r="J125" s="662">
        <v>41.87</v>
      </c>
      <c r="K125" s="663"/>
      <c r="L125" s="663"/>
      <c r="M125" s="664">
        <f>SUM(M126:M128)</f>
        <v>1.79398334521786</v>
      </c>
      <c r="N125" s="664">
        <f t="shared" ref="N125:T125" si="270">SUM(N126:N128)</f>
        <v>0.7926234090626425</v>
      </c>
      <c r="O125" s="664">
        <f t="shared" ref="O125" si="271">SUM(O126:O128)</f>
        <v>0.2754145238588781</v>
      </c>
      <c r="P125" s="664">
        <f t="shared" si="270"/>
        <v>0.61155802703038842</v>
      </c>
      <c r="Q125" s="664">
        <f t="shared" si="270"/>
        <v>0.11438738526595081</v>
      </c>
      <c r="R125" s="664">
        <f t="shared" ref="R125" si="272">SUM(R126:R128)</f>
        <v>1.7509863438497572E-2</v>
      </c>
      <c r="S125" s="664">
        <f t="shared" si="270"/>
        <v>3.6855033477053185</v>
      </c>
      <c r="T125" s="664">
        <f t="shared" si="270"/>
        <v>0</v>
      </c>
      <c r="V125" s="638">
        <f t="shared" si="156"/>
        <v>0</v>
      </c>
      <c r="W125" s="638">
        <f t="shared" si="157"/>
        <v>3.6855033477053185</v>
      </c>
      <c r="X125" s="638">
        <f t="shared" si="223"/>
        <v>0</v>
      </c>
      <c r="Z125" s="638">
        <f t="shared" si="158"/>
        <v>0</v>
      </c>
      <c r="AA125" s="648" t="s">
        <v>3456</v>
      </c>
      <c r="AB125">
        <f>_xlfn.XLOOKUP($H125,'[1]Baumaterialien Matériaux'!$A:$A,'[1]Baumaterialien Matériaux'!AK:AK,0,0)</f>
        <v>0</v>
      </c>
      <c r="AC125" cm="1">
        <f t="array" ref="AC125">_xlfn.SWITCH(I125,"kg"," ",0," ",_xlfn.XLOOKUP(H125, '[1]Baumaterialien Matériaux'!$A:$A, '[1]Baumaterialien Matériaux'!$AL:$AL, "-", 0, 1))</f>
        <v>0</v>
      </c>
      <c r="AD125" s="1112" cm="1">
        <f t="array" ref="AD125">IFERROR(_xlfn.SWITCH(I125,"kg",1,"m3",AC125,AC125)*J125/(_xlfn.XLOOKUP(AA125,Métrés!A:A,Métrés!E:E,0)),0)</f>
        <v>0</v>
      </c>
      <c r="AE125" s="1092">
        <f>IFERROR(N125*$G$1/(_xlfn.XLOOKUP($AA125,Métrés!$A:$A,Métrés!$E:$E,0)),0)</f>
        <v>1.1361512531384172</v>
      </c>
      <c r="AF125" s="1092">
        <f>IFERROR(O125*$G$1/(_xlfn.XLOOKUP($AA125,Métrés!$A:$A,Métrés!$E:$E,0)),0)</f>
        <v>0.39478086672312096</v>
      </c>
      <c r="AG125" s="1092">
        <f>IFERROR(Q125*$G$1/(_xlfn.XLOOKUP($AA125,Métrés!$A:$A,Métrés!$E:$E,0)),0)</f>
        <v>0.16396357920696467</v>
      </c>
      <c r="AH125" s="1092">
        <f>IFERROR(R125*$G$1/(_xlfn.XLOOKUP($AA125,Métrés!$A:$A,Métrés!$E:$E,0)),0)</f>
        <v>2.5098745583931305E-2</v>
      </c>
      <c r="AI125" s="1092">
        <f>IFERROR(S125*$G$1/(_xlfn.XLOOKUP($AA125,Métrés!$A:$A,Métrés!$E:$E,0)),0)</f>
        <v>5.282823089836727</v>
      </c>
      <c r="AJ125" s="878"/>
      <c r="AK125" s="878"/>
      <c r="AL125" s="878"/>
      <c r="AM125" s="878"/>
      <c r="AN125" s="1053"/>
      <c r="AO125" s="878"/>
      <c r="AP125" s="878"/>
      <c r="AQ125" s="878"/>
      <c r="AR125" s="1054"/>
      <c r="AS125" s="1053"/>
      <c r="AT125" s="878"/>
      <c r="AU125" s="878"/>
      <c r="AV125" s="878"/>
      <c r="AW125" s="1054"/>
      <c r="AX125" s="1053"/>
      <c r="AY125" s="878"/>
      <c r="AZ125" s="878"/>
      <c r="BA125" s="878"/>
      <c r="BB125" s="1054"/>
      <c r="BC125" s="1053"/>
      <c r="BD125" s="878"/>
      <c r="BE125" s="878"/>
      <c r="BF125" s="1054"/>
      <c r="BG125" s="1053"/>
      <c r="BH125" s="878"/>
      <c r="BI125" s="1054"/>
      <c r="BJ125" s="878"/>
      <c r="BK125" s="1053"/>
      <c r="BL125" s="878"/>
      <c r="BM125" s="1054"/>
      <c r="BN125" s="720">
        <f>IFERROR((J125*VLOOKUP(H125, 'Baumaterialien Matériaux'!$A$11:$AH$318, 32,FALSE))*($L$2/L125-1),0)/$G$1</f>
        <v>0</v>
      </c>
      <c r="BO125" s="720">
        <f>IFERROR((N125+Q125)*($L$2/L125-1),0)</f>
        <v>0</v>
      </c>
    </row>
    <row r="126" spans="2:67">
      <c r="B126" s="1103"/>
      <c r="C126" s="1099"/>
      <c r="D126" s="478"/>
      <c r="E126" s="478"/>
      <c r="F126" s="478" t="s">
        <v>3404</v>
      </c>
      <c r="G126" s="478" t="str">
        <f>_xlfn.XLOOKUP(H126, 'Baumaterialien Matériaux'!A:A, 'Baumaterialien Matériaux'!AD:AD, "-", 0, 1)</f>
        <v>Bois massif épicéa / sapin / mélèze, séché en cellule, raboté</v>
      </c>
      <c r="H126" s="892" t="s">
        <v>129</v>
      </c>
      <c r="I126" s="641" t="str">
        <f>_xlfn.XLOOKUP(H126, 'Baumaterialien Matériaux'!A:A, 'Baumaterialien Matériaux'!F:F, "-", 0, 1)</f>
        <v>kg</v>
      </c>
      <c r="J126" s="649">
        <f>465*2.51</f>
        <v>1167.1499999999999</v>
      </c>
      <c r="K126" s="647"/>
      <c r="L126" s="643">
        <v>30</v>
      </c>
      <c r="M126" s="648">
        <f t="shared" ref="M126:M128" si="273">SUM(N126:Q126)</f>
        <v>0.47346970482152473</v>
      </c>
      <c r="N126" s="720">
        <f>IFERROR(($J126*VLOOKUP($H126, 'Baumaterialien Matériaux'!$A$11:$AH$318, 26,FALSE)),0)/$G$1</f>
        <v>0.16330712864309108</v>
      </c>
      <c r="O126" s="720">
        <f>IFERROR(($J126*VLOOKUP($H126, 'Baumaterialien Matériaux'!$A$11:$AH$318, 33,FALSE)),0)/$G$1</f>
        <v>5.2016344678910482E-2</v>
      </c>
      <c r="P126" s="720">
        <f t="shared" ref="P126:P128" si="274">IFERROR((N126+Q126)*($L$2/L126-1),0)</f>
        <v>0.21072668007130713</v>
      </c>
      <c r="Q126" s="720">
        <f>IFERROR(($J126*VLOOKUP($H126, 'Baumaterialien Matériaux'!$A$11:$AH$318, 27,FALSE)),0)/$G$1</f>
        <v>4.7419551428216064E-2</v>
      </c>
      <c r="R126" s="720">
        <f>IFERROR(($J126*VLOOKUP($H126, 'Baumaterialien Matériaux'!$A$11:$AH$318, 34,FALSE)),0)/$G$1</f>
        <v>8.8064881223829834E-3</v>
      </c>
      <c r="S126" s="720">
        <f>IFERROR((J126*VLOOKUP(H126, 'Baumaterialien Matériaux'!$A$11:$AD$318, 29,FALSE)),0)/$G$1</f>
        <v>2.0004115190083325</v>
      </c>
      <c r="T126" s="720"/>
      <c r="Z126" s="638">
        <f t="shared" si="158"/>
        <v>30</v>
      </c>
      <c r="AA126" s="648" t="s">
        <v>3456</v>
      </c>
      <c r="AB126" t="str">
        <f>_xlfn.XLOOKUP($H126,'[1]Baumaterialien Matériaux'!$A:$A,'[1]Baumaterialien Matériaux'!AK:AK,0,0)</f>
        <v>timber</v>
      </c>
      <c r="AC126" t="str" cm="1">
        <f t="array" ref="AC126">_xlfn.SWITCH(I126,"kg"," ",0," ",_xlfn.XLOOKUP(H126, '[1]Baumaterialien Matériaux'!$A:$A, '[1]Baumaterialien Matériaux'!$AL:$AL, "-", 0, 1))</f>
        <v xml:space="preserve"> </v>
      </c>
      <c r="AD126" s="1112" cm="1">
        <f t="array" ref="AD126">IFERROR(_xlfn.SWITCH(I126,"kg",1,"m3",AC126,AC126)*J126/(_xlfn.XLOOKUP(AA126,Métrés!A:A,Métrés!E:E,0)),0)</f>
        <v>1.7339662165173595</v>
      </c>
      <c r="AE126" s="1092">
        <f>IFERROR(N126*$G$1/(_xlfn.XLOOKUP($AA126,Métrés!$A:$A,Métrés!$E:$E,0)),0)</f>
        <v>0.23408543922984354</v>
      </c>
      <c r="AF126" s="1092">
        <f>IFERROR(O126*$G$1/(_xlfn.XLOOKUP($AA126,Métrés!$A:$A,Métrés!$E:$E,0)),0)</f>
        <v>7.4560547310246458E-2</v>
      </c>
      <c r="AG126" s="1092">
        <f>IFERROR(Q126*$G$1/(_xlfn.XLOOKUP($AA126,Métrés!$A:$A,Métrés!$E:$E,0)),0)</f>
        <v>6.7971475687480493E-2</v>
      </c>
      <c r="AH126" s="1092">
        <f>IFERROR(R126*$G$1/(_xlfn.XLOOKUP($AA126,Métrés!$A:$A,Métrés!$E:$E,0)),0)</f>
        <v>1.2623274056246376E-2</v>
      </c>
      <c r="AI126" s="1092">
        <f>IFERROR(S126*$G$1/(_xlfn.XLOOKUP($AA126,Métrés!$A:$A,Métrés!$E:$E,0)),0)</f>
        <v>2.8674021333808732</v>
      </c>
      <c r="AJ126" s="1022"/>
      <c r="AM126" s="638" t="str">
        <f>IF(L126=$L$2, "Structure", IF(L126&gt;0,"Revêtement",0))</f>
        <v>Revêtement</v>
      </c>
      <c r="AN126" s="1017">
        <f>IF(AM126="Structure",N126,0)</f>
        <v>0</v>
      </c>
      <c r="AO126" s="638">
        <f>IF(AM126="Structure",P126,0)</f>
        <v>0</v>
      </c>
      <c r="AP126" s="638">
        <f>IF(AM126="Structure",Q126,0)</f>
        <v>0</v>
      </c>
      <c r="AQ126" s="1018">
        <f>IF(AM126="Structure",S126,0)</f>
        <v>0</v>
      </c>
      <c r="AR126" s="1018">
        <f>IF(AM126="Structure",T126,0)</f>
        <v>0</v>
      </c>
      <c r="AS126" s="1017">
        <f>IF(AM126="Insulation",N126,0)</f>
        <v>0</v>
      </c>
      <c r="AT126" s="638">
        <f>IF(AM126="Insulation",P126,0)</f>
        <v>0</v>
      </c>
      <c r="AU126" s="638">
        <f>IF(AM126="Insulation",Q126,0)</f>
        <v>0</v>
      </c>
      <c r="AV126" s="1018">
        <f>IF(AM126="Insulation",S126,0)</f>
        <v>0</v>
      </c>
      <c r="AW126" s="1018">
        <f>IF(AM126="Insulation",T126,0)</f>
        <v>0</v>
      </c>
      <c r="AX126" s="1017">
        <f>IF(AM126="Revêtement",N126,0)</f>
        <v>0.16330712864309108</v>
      </c>
      <c r="AY126" s="638">
        <f>IF(AM126="Revêtement",P126,0)</f>
        <v>0.21072668007130713</v>
      </c>
      <c r="AZ126" s="638">
        <f>IF(AM126="Revêtement",Q126,0)</f>
        <v>4.7419551428216064E-2</v>
      </c>
      <c r="BA126" s="638">
        <f>IF(AM126="Revêtement",S126,0)</f>
        <v>2.0004115190083325</v>
      </c>
      <c r="BB126" s="1018">
        <f>IF(AM126="Revêtement",T126,0)</f>
        <v>0</v>
      </c>
      <c r="BC126" s="1017"/>
      <c r="BF126" s="1018"/>
      <c r="BG126" s="1017">
        <f>IF($AM126="Structure", IF($I126="kg",$J126,0), 0)</f>
        <v>0</v>
      </c>
      <c r="BH126" s="638">
        <f>IF($AM126="Insulation", IF($I126="kg",$J126,0), 0)</f>
        <v>0</v>
      </c>
      <c r="BI126" s="1018">
        <f>IF($AM126="Revêtement", IF($I126="kg",$J126,0), 0)</f>
        <v>1167.1499999999999</v>
      </c>
      <c r="BJ126" s="638">
        <f>_xlfn.XLOOKUP(H126, 'Baumaterialien Matériaux'!A:A, 'Baumaterialien Matériaux'!E:E, "-", 0, 1)</f>
        <v>465</v>
      </c>
      <c r="BK126" s="1032">
        <f t="shared" si="152"/>
        <v>0</v>
      </c>
      <c r="BL126" s="1030">
        <f t="shared" si="153"/>
        <v>0</v>
      </c>
      <c r="BM126" s="1033">
        <f t="shared" si="154"/>
        <v>2.5099999999999998</v>
      </c>
      <c r="BN126" s="720"/>
      <c r="BO126" s="720"/>
    </row>
    <row r="127" spans="2:67">
      <c r="B127" s="1103"/>
      <c r="C127" s="1099"/>
      <c r="D127" s="478"/>
      <c r="E127" s="478"/>
      <c r="F127" s="638" t="s">
        <v>3366</v>
      </c>
      <c r="G127" s="478" t="str">
        <f>_xlfn.XLOOKUP(H127, 'Baumaterialien Matériaux'!A:A, 'Baumaterialien Matériaux'!AD:AD, "-", 0, 1)</f>
        <v>Bois massif de construction</v>
      </c>
      <c r="H127" s="892" t="s">
        <v>547</v>
      </c>
      <c r="I127" s="641" t="str">
        <f>_xlfn.XLOOKUP(H127, 'Baumaterialien Matériaux'!A:A, 'Baumaterialien Matériaux'!F:F, "-", 0, 1)</f>
        <v>kg</v>
      </c>
      <c r="J127" s="649">
        <f>436*2.26</f>
        <v>985.3599999999999</v>
      </c>
      <c r="K127" s="647"/>
      <c r="L127" s="643">
        <v>60</v>
      </c>
      <c r="M127" s="648">
        <f t="shared" si="273"/>
        <v>0.36502152812901617</v>
      </c>
      <c r="N127" s="720">
        <f>IFERROR(($J127*VLOOKUP($H127, 'Baumaterialien Matériaux'!$A$11:$AH$318, 26,FALSE)),0)/$G$1</f>
        <v>0.25021060486712821</v>
      </c>
      <c r="O127" s="720">
        <f>IFERROR(($J127*VLOOKUP($H127, 'Baumaterialien Matériaux'!$A$11:$AH$318, 33,FALSE)),0)/$G$1</f>
        <v>6.9568760830811316E-2</v>
      </c>
      <c r="P127" s="720">
        <f t="shared" si="274"/>
        <v>0</v>
      </c>
      <c r="Q127" s="720">
        <f>IFERROR(($J127*VLOOKUP($H127, 'Baumaterialien Matériaux'!$A$11:$AH$318, 27,FALSE)),0)/$G$1</f>
        <v>4.5242162431076649E-2</v>
      </c>
      <c r="R127" s="720">
        <f>IFERROR(($J127*VLOOKUP($H127, 'Baumaterialien Matériaux'!$A$11:$AH$318, 34,FALSE)),0)/$G$1</f>
        <v>7.4348294017660957E-3</v>
      </c>
      <c r="S127" s="720">
        <f>IFERROR((J127*VLOOKUP(H127, 'Baumaterialien Matériaux'!$A$11:$AD$318, 29,FALSE)),0)/$G$1</f>
        <v>1.6850918286969858</v>
      </c>
      <c r="T127" s="720"/>
      <c r="Z127" s="638">
        <f t="shared" si="158"/>
        <v>60</v>
      </c>
      <c r="AA127" s="648" t="s">
        <v>3456</v>
      </c>
      <c r="AB127" t="str">
        <f>_xlfn.XLOOKUP($H127,'[1]Baumaterialien Matériaux'!$A:$A,'[1]Baumaterialien Matériaux'!AK:AK,0,0)</f>
        <v>timber</v>
      </c>
      <c r="AC127" t="str" cm="1">
        <f t="array" ref="AC127">_xlfn.SWITCH(I127,"kg"," ",0," ",_xlfn.XLOOKUP(H127, '[1]Baumaterialien Matériaux'!$A:$A, '[1]Baumaterialien Matériaux'!$AL:$AL, "-", 0, 1))</f>
        <v xml:space="preserve"> </v>
      </c>
      <c r="AD127" s="1112" cm="1">
        <f t="array" ref="AD127">IFERROR(_xlfn.SWITCH(I127,"kg",1,"m3",AC127,AC127)*J127/(_xlfn.XLOOKUP(AA127,Métrés!A:A,Métrés!E:E,0)),0)</f>
        <v>1.4638914887611236</v>
      </c>
      <c r="AE127" s="1092">
        <f>IFERROR(N127*$G$1/(_xlfn.XLOOKUP($AA127,Métrés!$A:$A,Métrés!$E:$E,0)),0)</f>
        <v>0.35865341474647527</v>
      </c>
      <c r="AF127" s="1092">
        <f>IFERROR(O127*$G$1/(_xlfn.XLOOKUP($AA127,Métrés!$A:$A,Métrés!$E:$E,0)),0)</f>
        <v>9.9720288214407746E-2</v>
      </c>
      <c r="AG127" s="1092">
        <f>IFERROR(Q127*$G$1/(_xlfn.XLOOKUP($AA127,Métrés!$A:$A,Métrés!$E:$E,0)),0)</f>
        <v>6.4850392952117766E-2</v>
      </c>
      <c r="AH127" s="1092">
        <f>IFERROR(R127*$G$1/(_xlfn.XLOOKUP($AA127,Métrés!$A:$A,Métrés!$E:$E,0)),0)</f>
        <v>1.065713003818098E-2</v>
      </c>
      <c r="AI127" s="1092">
        <f>IFERROR(S127*$G$1/(_xlfn.XLOOKUP($AA127,Métrés!$A:$A,Métrés!$E:$E,0)),0)</f>
        <v>2.4154209564558538</v>
      </c>
      <c r="AJ127" s="1022"/>
      <c r="AM127" s="638" t="str">
        <f>IF(L127=$L$2, "Structure", IF(L127&gt;0,"Revêtement",0))</f>
        <v>Structure</v>
      </c>
      <c r="AN127" s="1017">
        <f>IF(AM127="Structure",N127,0)</f>
        <v>0.25021060486712821</v>
      </c>
      <c r="AO127" s="638">
        <f>IF(AM127="Structure",P127,0)</f>
        <v>0</v>
      </c>
      <c r="AP127" s="638">
        <f>IF(AM127="Structure",Q127,0)</f>
        <v>4.5242162431076649E-2</v>
      </c>
      <c r="AQ127" s="1018">
        <f>IF(AM127="Structure",S127,0)</f>
        <v>1.6850918286969858</v>
      </c>
      <c r="AR127" s="1018">
        <f>IF(AM127="Structure",T127,0)</f>
        <v>0</v>
      </c>
      <c r="AS127" s="1017">
        <f>IF(AM127="Insulation",N127,0)</f>
        <v>0</v>
      </c>
      <c r="AT127" s="638">
        <f>IF(AM127="Insulation",P127,0)</f>
        <v>0</v>
      </c>
      <c r="AU127" s="638">
        <f>IF(AM127="Insulation",Q127,0)</f>
        <v>0</v>
      </c>
      <c r="AV127" s="1018">
        <f>IF(AM127="Insulation",S127,0)</f>
        <v>0</v>
      </c>
      <c r="AW127" s="1018">
        <f>IF(AM127="Insulation",T127,0)</f>
        <v>0</v>
      </c>
      <c r="AX127" s="1017">
        <f>IF(AM127="Revêtement",N127,0)</f>
        <v>0</v>
      </c>
      <c r="AY127" s="638">
        <f>IF(AM127="Revêtement",P127,0)</f>
        <v>0</v>
      </c>
      <c r="AZ127" s="638">
        <f>IF(AM127="Revêtement",Q127,0)</f>
        <v>0</v>
      </c>
      <c r="BA127" s="638">
        <f>IF(AM127="Revêtement",S127,0)</f>
        <v>0</v>
      </c>
      <c r="BB127" s="1018">
        <f>IF(AM127="Revêtement",T127,0)</f>
        <v>0</v>
      </c>
      <c r="BC127" s="1017"/>
      <c r="BF127" s="1018"/>
      <c r="BG127" s="1017">
        <f>IF($AM127="Structure", IF($I127="kg",$J127,0), 0)</f>
        <v>985.3599999999999</v>
      </c>
      <c r="BH127" s="638">
        <f>IF($AM127="Insulation", IF($I127="kg",$J127,0), 0)</f>
        <v>0</v>
      </c>
      <c r="BI127" s="1018">
        <f>IF($AM127="Revêtement", IF($I127="kg",$J127,0), 0)</f>
        <v>0</v>
      </c>
      <c r="BJ127" s="638">
        <f>_xlfn.XLOOKUP(H127, 'Baumaterialien Matériaux'!A:A, 'Baumaterialien Matériaux'!E:E, "-", 0, 1)</f>
        <v>436</v>
      </c>
      <c r="BK127" s="1032">
        <f t="shared" si="152"/>
        <v>2.2599999999999998</v>
      </c>
      <c r="BL127" s="1030">
        <f t="shared" si="153"/>
        <v>0</v>
      </c>
      <c r="BM127" s="1033">
        <f t="shared" si="154"/>
        <v>0</v>
      </c>
      <c r="BN127" s="720"/>
      <c r="BO127" s="720"/>
    </row>
    <row r="128" spans="2:67">
      <c r="B128" s="1103"/>
      <c r="C128" s="1099"/>
      <c r="D128" s="478"/>
      <c r="E128" s="478"/>
      <c r="F128" s="478" t="s">
        <v>3367</v>
      </c>
      <c r="G128" s="478" t="str">
        <f>_xlfn.XLOOKUP(H128, 'Baumaterialien Matériaux'!A:A, 'Baumaterialien Matériaux'!AD:AD, "-", 0, 1)</f>
        <v>Laine de verre</v>
      </c>
      <c r="H128" s="875" t="s">
        <v>130</v>
      </c>
      <c r="I128" s="641" t="str">
        <f>_xlfn.XLOOKUP(H128, 'Baumaterialien Matériaux'!A:A, 'Baumaterialien Matériaux'!F:F, "-", 0, 1)</f>
        <v>kg</v>
      </c>
      <c r="J128" s="649">
        <f>$J$125*K128</f>
        <v>351.70799999999997</v>
      </c>
      <c r="K128" s="894">
        <f>0.28*30</f>
        <v>8.4</v>
      </c>
      <c r="L128" s="643">
        <v>30</v>
      </c>
      <c r="M128" s="648">
        <f t="shared" si="273"/>
        <v>0.955492112267319</v>
      </c>
      <c r="N128" s="720">
        <f>IFERROR(($J128*VLOOKUP($H128, 'Baumaterialien Matériaux'!$A$11:$AH$318, 26,FALSE)),0)/$G$1</f>
        <v>0.37910567555242319</v>
      </c>
      <c r="O128" s="720">
        <f>IFERROR(($J128*VLOOKUP($H128, 'Baumaterialien Matériaux'!$A$11:$AH$318, 33,FALSE)),0)/$G$1</f>
        <v>0.15382941834915631</v>
      </c>
      <c r="P128" s="720">
        <f t="shared" si="274"/>
        <v>0.40083134695908129</v>
      </c>
      <c r="Q128" s="720">
        <f>IFERROR(($J128*VLOOKUP($H128, 'Baumaterialien Matériaux'!$A$11:$AH$318, 27,FALSE)),0)/$G$1</f>
        <v>2.1725671406658098E-2</v>
      </c>
      <c r="R128" s="720">
        <f>IFERROR(($J128*VLOOKUP($H128, 'Baumaterialien Matériaux'!$A$11:$AH$318, 34,FALSE)),0)/$G$1</f>
        <v>1.268545914348493E-3</v>
      </c>
      <c r="S128" s="720">
        <f>IFERROR((J128*VLOOKUP(H128, 'Baumaterialien Matériaux'!$A$11:$AD$318, 29,FALSE)),0)/$G$1</f>
        <v>0</v>
      </c>
      <c r="T128" s="720"/>
      <c r="Z128" s="638">
        <f t="shared" si="158"/>
        <v>30</v>
      </c>
      <c r="AA128" s="648" t="s">
        <v>3456</v>
      </c>
      <c r="AB128" t="str">
        <f>_xlfn.XLOOKUP($H128,'[1]Baumaterialien Matériaux'!$A:$A,'[1]Baumaterialien Matériaux'!AK:AK,0,0)</f>
        <v>mineral_fiber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 s="1112" cm="1">
        <f t="array" ref="AD128">IFERROR(_xlfn.SWITCH(I128,"kg",1,"m3",AC128,AC128)*J128/(_xlfn.XLOOKUP(AA128,Métrés!A:A,Métrés!E:E,0)),0)</f>
        <v>0.52251192227124832</v>
      </c>
      <c r="AE128" s="1092">
        <f>IFERROR(N128*$G$1/(_xlfn.XLOOKUP($AA128,Métrés!$A:$A,Métrés!$E:$E,0)),0)</f>
        <v>0.54341239916209827</v>
      </c>
      <c r="AF128" s="1092">
        <f>IFERROR(O128*$G$1/(_xlfn.XLOOKUP($AA128,Métrés!$A:$A,Métrés!$E:$E,0)),0)</f>
        <v>0.22050003119846681</v>
      </c>
      <c r="AG128" s="1092">
        <f>IFERROR(Q128*$G$1/(_xlfn.XLOOKUP($AA128,Métrés!$A:$A,Métrés!$E:$E,0)),0)</f>
        <v>3.11417105673664E-2</v>
      </c>
      <c r="AH128" s="1092">
        <f>IFERROR(R128*$G$1/(_xlfn.XLOOKUP($AA128,Métrés!$A:$A,Métrés!$E:$E,0)),0)</f>
        <v>1.8183414895039443E-3</v>
      </c>
      <c r="AI128" s="1092">
        <f>IFERROR(S128*$G$1/(_xlfn.XLOOKUP($AA128,Métrés!$A:$A,Métrés!$E:$E,0)),0)</f>
        <v>0</v>
      </c>
      <c r="AJ128" s="1022"/>
      <c r="AM128" s="638" t="s">
        <v>3388</v>
      </c>
      <c r="AN128" s="1017">
        <f>IF(AM128="Structure",N128,0)</f>
        <v>0</v>
      </c>
      <c r="AO128" s="638">
        <f>IF(AM128="Structure",P128,0)</f>
        <v>0</v>
      </c>
      <c r="AP128" s="638">
        <f>IF(AM128="Structure",Q128,0)</f>
        <v>0</v>
      </c>
      <c r="AQ128" s="1018">
        <f>IF(AM128="Structure",S128,0)</f>
        <v>0</v>
      </c>
      <c r="AR128" s="1018">
        <f>IF(AM128="Structure",T128,0)</f>
        <v>0</v>
      </c>
      <c r="AS128" s="1017">
        <f>IF(AM128="Insulation",N128,0)</f>
        <v>0.37910567555242319</v>
      </c>
      <c r="AT128" s="638">
        <f>IF(AM128="Insulation",P128,0)</f>
        <v>0.40083134695908129</v>
      </c>
      <c r="AU128" s="638">
        <f>IF(AM128="Insulation",Q128,0)</f>
        <v>2.1725671406658098E-2</v>
      </c>
      <c r="AV128" s="1018">
        <f>IF(AM128="Insulation",S128,0)</f>
        <v>0</v>
      </c>
      <c r="AW128" s="1018">
        <f>IF(AM128="Insulation",T128,0)</f>
        <v>0</v>
      </c>
      <c r="AX128" s="1017">
        <f>IF(AM128="Revêtement",N128,0)</f>
        <v>0</v>
      </c>
      <c r="AY128" s="638">
        <f>IF(AM128="Revêtement",P128,0)</f>
        <v>0</v>
      </c>
      <c r="AZ128" s="638">
        <f>IF(AM128="Revêtement",Q128,0)</f>
        <v>0</v>
      </c>
      <c r="BA128" s="638">
        <f>IF(AM128="Revêtement",S128,0)</f>
        <v>0</v>
      </c>
      <c r="BB128" s="1018">
        <f>IF(AM128="Revêtement",T128,0)</f>
        <v>0</v>
      </c>
      <c r="BC128" s="1017"/>
      <c r="BF128" s="1018"/>
      <c r="BG128" s="1017">
        <f>IF($AM128="Structure", IF($I128="kg",$J128,0), 0)</f>
        <v>0</v>
      </c>
      <c r="BH128" s="638">
        <f>IF($AM128="Insulation", IF($I128="kg",$J128,0), 0)</f>
        <v>351.70799999999997</v>
      </c>
      <c r="BI128" s="1018">
        <f>IF($AM128="Revêtement", IF($I128="kg",$J128,0), 0)</f>
        <v>0</v>
      </c>
      <c r="BJ128" s="638">
        <v>30</v>
      </c>
      <c r="BK128" s="1032">
        <f t="shared" si="152"/>
        <v>0</v>
      </c>
      <c r="BL128" s="1030">
        <f t="shared" si="153"/>
        <v>11.723599999999999</v>
      </c>
      <c r="BM128" s="1033">
        <f t="shared" si="154"/>
        <v>0</v>
      </c>
      <c r="BN128" s="720"/>
      <c r="BO128" s="720"/>
    </row>
    <row r="129" spans="2:67">
      <c r="B129" s="1103"/>
      <c r="C129" s="1099"/>
      <c r="D129" s="478"/>
      <c r="E129" s="478"/>
      <c r="F129" s="479" t="s">
        <v>3051</v>
      </c>
      <c r="G129" s="479"/>
      <c r="H129" s="479"/>
      <c r="I129" s="460" t="s">
        <v>39</v>
      </c>
      <c r="J129" s="662"/>
      <c r="K129" s="663"/>
      <c r="L129" s="663"/>
      <c r="M129" s="664">
        <f>SUM(M130:M131)</f>
        <v>13.638321379710627</v>
      </c>
      <c r="N129" s="664">
        <f t="shared" ref="N129:T129" si="275">SUM(N130:N131)</f>
        <v>4.0828095850089134</v>
      </c>
      <c r="O129" s="664">
        <f t="shared" ref="O129" si="276">SUM(O130:O131)</f>
        <v>3.06934621284358</v>
      </c>
      <c r="P129" s="664">
        <f t="shared" si="275"/>
        <v>5.2844875834335223</v>
      </c>
      <c r="Q129" s="664">
        <f t="shared" si="275"/>
        <v>1.2016779984246095</v>
      </c>
      <c r="R129" s="664">
        <f t="shared" ref="R129" si="277">SUM(R130:R131)</f>
        <v>1.3290848223539655E-2</v>
      </c>
      <c r="S129" s="664">
        <f t="shared" si="275"/>
        <v>0</v>
      </c>
      <c r="T129" s="664">
        <f t="shared" si="275"/>
        <v>0</v>
      </c>
      <c r="V129" s="638">
        <f t="shared" si="156"/>
        <v>0</v>
      </c>
      <c r="W129" s="638">
        <f t="shared" si="157"/>
        <v>0</v>
      </c>
      <c r="X129" s="638">
        <f t="shared" si="223"/>
        <v>0</v>
      </c>
      <c r="Z129" s="638">
        <f t="shared" si="158"/>
        <v>0</v>
      </c>
      <c r="AA129" s="648" t="s">
        <v>3456</v>
      </c>
      <c r="AB129">
        <f>_xlfn.XLOOKUP($H129,'[1]Baumaterialien Matériaux'!$A:$A,'[1]Baumaterialien Matériaux'!AK:AK,0,0)</f>
        <v>0</v>
      </c>
      <c r="AC129" cm="1">
        <f t="array" ref="AC129">_xlfn.SWITCH(I129,"kg"," ",0," ",_xlfn.XLOOKUP(H129, '[1]Baumaterialien Matériaux'!$A:$A, '[1]Baumaterialien Matériaux'!$AL:$AL, "-", 0, 1))</f>
        <v>0</v>
      </c>
      <c r="AD129" s="1112" cm="1">
        <f t="array" ref="AD129">IFERROR(_xlfn.SWITCH(I129,"kg",1,"m3",AC129,AC129)*J129/(_xlfn.XLOOKUP(AA129,Métrés!A:A,Métrés!E:E,0)),0)</f>
        <v>0</v>
      </c>
      <c r="AE129" s="1092">
        <f>IFERROR(N129*$G$1/(_xlfn.XLOOKUP($AA129,Métrés!$A:$A,Métrés!$E:$E,0)),0)</f>
        <v>5.8523242857779563</v>
      </c>
      <c r="AF129" s="1092">
        <f>IFERROR(O129*$G$1/(_xlfn.XLOOKUP($AA129,Métrés!$A:$A,Métrés!$E:$E,0)),0)</f>
        <v>4.3996196758330735</v>
      </c>
      <c r="AG129" s="1092">
        <f>IFERROR(Q129*$G$1/(_xlfn.XLOOKUP($AA129,Métrés!$A:$A,Métrés!$E:$E,0)),0)</f>
        <v>1.7224926089346471</v>
      </c>
      <c r="AH129" s="1092">
        <f>IFERROR(R129*$G$1/(_xlfn.XLOOKUP($AA129,Métrés!$A:$A,Métrés!$E:$E,0)),0)</f>
        <v>1.9051183313277178E-2</v>
      </c>
      <c r="AI129" s="1092">
        <f>IFERROR(S129*$G$1/(_xlfn.XLOOKUP($AA129,Métrés!$A:$A,Métrés!$E:$E,0)),0)</f>
        <v>0</v>
      </c>
      <c r="AJ129" s="878"/>
      <c r="AK129" s="878"/>
      <c r="AL129" s="878"/>
      <c r="AM129" s="878"/>
      <c r="AN129" s="1053"/>
      <c r="AO129" s="878"/>
      <c r="AP129" s="878"/>
      <c r="AQ129" s="878"/>
      <c r="AR129" s="1054"/>
      <c r="AS129" s="1053"/>
      <c r="AT129" s="878"/>
      <c r="AU129" s="878"/>
      <c r="AV129" s="878"/>
      <c r="AW129" s="1054"/>
      <c r="AX129" s="1053"/>
      <c r="AY129" s="878"/>
      <c r="AZ129" s="878"/>
      <c r="BA129" s="878"/>
      <c r="BB129" s="1054"/>
      <c r="BC129" s="1053"/>
      <c r="BD129" s="878"/>
      <c r="BE129" s="878"/>
      <c r="BF129" s="1054"/>
      <c r="BG129" s="1053"/>
      <c r="BH129" s="878"/>
      <c r="BI129" s="1054"/>
      <c r="BJ129" s="878"/>
      <c r="BK129" s="1053"/>
      <c r="BL129" s="878"/>
      <c r="BM129" s="1054"/>
      <c r="BN129" s="720">
        <f>IFERROR((J129*VLOOKUP(H129, 'Baumaterialien Matériaux'!$A$11:$AH$318, 32,FALSE))*($L$2/L129-1),0)/$G$1</f>
        <v>0</v>
      </c>
      <c r="BO129" s="720">
        <f>IFERROR((N129+Q129)*($L$2/L129-1),0)</f>
        <v>0</v>
      </c>
    </row>
    <row r="130" spans="2:67">
      <c r="B130" s="1103"/>
      <c r="C130" s="1099"/>
      <c r="D130" s="478"/>
      <c r="E130" s="478"/>
      <c r="F130" s="478" t="s">
        <v>3052</v>
      </c>
      <c r="G130" s="478" t="str">
        <f>_xlfn.XLOOKUP(H130, 'Baumaterialien Matériaux'!A:A, 'Baumaterialien Matériaux'!AD:AD, "-", 0, 1)</f>
        <v>Dalle en céramique/grès, 9 mm</v>
      </c>
      <c r="H130" s="902" t="s">
        <v>786</v>
      </c>
      <c r="I130" s="641" t="str">
        <f>_xlfn.XLOOKUP(H130, 'Baumaterialien Matériaux'!A:A, 'Baumaterialien Matériaux'!F:F, "-", 0, 1)</f>
        <v>m2</v>
      </c>
      <c r="J130" s="890">
        <v>12.21</v>
      </c>
      <c r="K130" s="743"/>
      <c r="L130" s="643">
        <f>'Eléments de constr. inté. et ex'!N9</f>
        <v>30</v>
      </c>
      <c r="M130" s="648">
        <f t="shared" si="267"/>
        <v>0.5960480494175201</v>
      </c>
      <c r="N130" s="720">
        <f>IFERROR(($J130*VLOOKUP($H130, 'Baumaterialien Matériaux'!$A$11:$AH$318, 26,FALSE)),0)/$G$1</f>
        <v>0.17843476638613656</v>
      </c>
      <c r="O130" s="720">
        <f>IFERROR(($J130*VLOOKUP($H130, 'Baumaterialien Matériaux'!$A$11:$AH$318, 33,FALSE)),0)/$G$1</f>
        <v>0.13414244848886864</v>
      </c>
      <c r="P130" s="720">
        <f t="shared" si="268"/>
        <v>0.2309528004643257</v>
      </c>
      <c r="Q130" s="720">
        <f>IFERROR(($J130*VLOOKUP($H130, 'Baumaterialien Matériaux'!$A$11:$AH$318, 27,FALSE)),0)/$G$1</f>
        <v>5.2518034078189134E-2</v>
      </c>
      <c r="R130" s="720">
        <f>IFERROR(($J130*VLOOKUP($H130, 'Baumaterialien Matériaux'!$A$11:$AH$318, 34,FALSE)),0)/$G$1</f>
        <v>5.8086211185274259E-4</v>
      </c>
      <c r="S130" s="720">
        <f>IFERROR((J130*VLOOKUP(H130, 'Baumaterialien Matériaux'!$A$11:$AD$318, 29,FALSE)),0)/$G$1</f>
        <v>0</v>
      </c>
      <c r="T130" s="720">
        <f>S130*AJ130</f>
        <v>0</v>
      </c>
      <c r="V130" s="638">
        <f t="shared" si="156"/>
        <v>0</v>
      </c>
      <c r="W130" s="638">
        <f t="shared" si="157"/>
        <v>0</v>
      </c>
      <c r="X130" s="638" t="str">
        <f t="shared" si="223"/>
        <v>Revêtement</v>
      </c>
      <c r="Z130" s="638">
        <f t="shared" si="158"/>
        <v>30</v>
      </c>
      <c r="AA130" s="648" t="s">
        <v>3456</v>
      </c>
      <c r="AB130" t="str">
        <f>_xlfn.XLOOKUP($H130,'[1]Baumaterialien Matériaux'!$A:$A,'[1]Baumaterialien Matériaux'!AK:AK,0,0)</f>
        <v>stone</v>
      </c>
      <c r="AC130" cm="1">
        <f t="array" ref="AC130">_xlfn.SWITCH(I130,"kg"," ",0," ",_xlfn.XLOOKUP(H130, '[1]Baumaterialien Matériaux'!$A:$A, '[1]Baumaterialien Matériaux'!$AL:$AL, "-", 0, 1))</f>
        <v>18</v>
      </c>
      <c r="AD130" s="1112" cm="1">
        <f t="array" ref="AD130">IFERROR(_xlfn.SWITCH(I130,"kg",1,"m3",AC130,AC130)*J130/(_xlfn.XLOOKUP(AA130,Métrés!A:A,Métrés!E:E,0)),0)</f>
        <v>0.32651423987164063</v>
      </c>
      <c r="AE130" s="1092">
        <f>IFERROR(N130*$G$1/(_xlfn.XLOOKUP($AA130,Métrés!$A:$A,Métrés!$E:$E,0)),0)</f>
        <v>0.25576948789945181</v>
      </c>
      <c r="AF130" s="1092">
        <f>IFERROR(O130*$G$1/(_xlfn.XLOOKUP($AA130,Métrés!$A:$A,Métrés!$E:$E,0)),0)</f>
        <v>0.1922806079244106</v>
      </c>
      <c r="AG130" s="1092">
        <f>IFERROR(Q130*$G$1/(_xlfn.XLOOKUP($AA130,Métrés!$A:$A,Métrés!$E:$E,0)),0)</f>
        <v>7.527967197040604E-2</v>
      </c>
      <c r="AH130" s="1092">
        <f>IFERROR(R130*$G$1/(_xlfn.XLOOKUP($AA130,Métrés!$A:$A,Métrés!$E:$E,0)),0)</f>
        <v>8.3261131167268368E-4</v>
      </c>
      <c r="AI130" s="1092">
        <f>IFERROR(S130*$G$1/(_xlfn.XLOOKUP($AA130,Métrés!$A:$A,Métrés!$E:$E,0)),0)</f>
        <v>0</v>
      </c>
      <c r="AJ130" s="1022"/>
      <c r="AK130" s="638">
        <f>IF(L130=60,0,T130)</f>
        <v>0</v>
      </c>
      <c r="AL130" s="638">
        <f>IF(L130=60,0,S130)</f>
        <v>0</v>
      </c>
      <c r="AM130" s="638" t="str">
        <f>IF(L130=$L$2, "Structure", IF(L130&gt;0,"Revêtement",0))</f>
        <v>Revêtement</v>
      </c>
      <c r="AN130" s="1017">
        <f>IF(AM130="Structure",N130,0)</f>
        <v>0</v>
      </c>
      <c r="AO130" s="638">
        <f>IF(AM130="Structure",P130,0)</f>
        <v>0</v>
      </c>
      <c r="AP130" s="638">
        <f>IF(AM130="Structure",Q130,0)</f>
        <v>0</v>
      </c>
      <c r="AQ130" s="1018">
        <f>IF(AM130="Structure",S130,0)</f>
        <v>0</v>
      </c>
      <c r="AR130" s="1018">
        <f>IF(AM130="Structure",T130,0)</f>
        <v>0</v>
      </c>
      <c r="AS130" s="1017">
        <f>IF(AM130="Insulation",N130,0)</f>
        <v>0</v>
      </c>
      <c r="AT130" s="638">
        <f>IF(AM130="Insulation",P130,0)</f>
        <v>0</v>
      </c>
      <c r="AU130" s="638">
        <f>IF(AM130="Insulation",Q130,0)</f>
        <v>0</v>
      </c>
      <c r="AV130" s="1018">
        <f>IF(AM130="Insulation",S130,0)</f>
        <v>0</v>
      </c>
      <c r="AW130" s="1018">
        <f>IF(AM130="Insulation",T130,0)</f>
        <v>0</v>
      </c>
      <c r="AX130" s="1017">
        <f>IF(AM130="Revêtement",N130,0)</f>
        <v>0.17843476638613656</v>
      </c>
      <c r="AY130" s="638">
        <f>IF(AM130="Revêtement",P130,0)</f>
        <v>0.2309528004643257</v>
      </c>
      <c r="AZ130" s="638">
        <f>IF(AM130="Revêtement",Q130,0)</f>
        <v>5.2518034078189134E-2</v>
      </c>
      <c r="BA130" s="638">
        <f>IF(AM130="Revêtement",S130,0)</f>
        <v>0</v>
      </c>
      <c r="BB130" s="1018">
        <f>IF(AM130="Revêtement",T130,0)</f>
        <v>0</v>
      </c>
      <c r="BC130" s="1017"/>
      <c r="BF130" s="1018"/>
      <c r="BG130" s="1017">
        <f>IF($AM130="Structure", IF($I130="kg",$J130,0), 0)</f>
        <v>0</v>
      </c>
      <c r="BH130" s="638">
        <f>IF($AM130="Insulation", IF($I130="kg",$J130,0), 0)</f>
        <v>0</v>
      </c>
      <c r="BI130" s="1018">
        <f>IF($AM130="Revêtement", IF($I130="kg",$J130,0), 0)</f>
        <v>0</v>
      </c>
      <c r="BJ130" s="638">
        <f>_xlfn.XLOOKUP(H130, 'Baumaterialien Matériaux'!A:A, 'Baumaterialien Matériaux'!E:E, "-", 0, 1)</f>
        <v>18</v>
      </c>
      <c r="BK130" s="1032">
        <f t="shared" si="152"/>
        <v>0</v>
      </c>
      <c r="BL130" s="1030">
        <f t="shared" si="153"/>
        <v>0</v>
      </c>
      <c r="BM130" s="1033">
        <f t="shared" si="154"/>
        <v>0</v>
      </c>
      <c r="BN130" s="720">
        <f>IFERROR((J130*VLOOKUP(H130, 'Baumaterialien Matériaux'!$A$11:$AH$318, 32,FALSE))*($L$2/L130-1),0)/$G$1</f>
        <v>0.13540794328593342</v>
      </c>
      <c r="BO130" s="720">
        <f>IFERROR((N130+Q130)*($L$2/L130-1),0)</f>
        <v>0.2309528004643257</v>
      </c>
    </row>
    <row r="131" spans="2:67">
      <c r="B131" s="1103"/>
      <c r="C131" s="1099"/>
      <c r="D131" s="478"/>
      <c r="E131" s="478"/>
      <c r="F131" s="478" t="s">
        <v>3053</v>
      </c>
      <c r="G131" s="478" t="str">
        <f>_xlfn.XLOOKUP(H131, 'Baumaterialien Matériaux'!A:A, 'Baumaterialien Matériaux'!AD:AD, "-", 0, 1)</f>
        <v>Dalle en céramique/grès, 9 mm</v>
      </c>
      <c r="H131" s="902" t="s">
        <v>786</v>
      </c>
      <c r="I131" s="641" t="str">
        <f>_xlfn.XLOOKUP(H131, 'Baumaterialien Matériaux'!A:A, 'Baumaterialien Matériaux'!F:F, "-", 0, 1)</f>
        <v>m2</v>
      </c>
      <c r="J131" s="890">
        <v>267.17</v>
      </c>
      <c r="K131" s="647"/>
      <c r="L131" s="647">
        <v>30</v>
      </c>
      <c r="M131" s="648">
        <f t="shared" si="267"/>
        <v>13.042273330293106</v>
      </c>
      <c r="N131" s="720">
        <f>IFERROR(($J131*VLOOKUP($H131, 'Baumaterialien Matériaux'!$A$11:$AH$318, 26,FALSE)),0)/$G$1</f>
        <v>3.9043748186227769</v>
      </c>
      <c r="O131" s="720">
        <f>IFERROR(($J131*VLOOKUP($H131, 'Baumaterialien Matériaux'!$A$11:$AH$318, 33,FALSE)),0)/$G$1</f>
        <v>2.9352037643547115</v>
      </c>
      <c r="P131" s="720">
        <f t="shared" si="268"/>
        <v>5.053534782969197</v>
      </c>
      <c r="Q131" s="720">
        <f>IFERROR(($J131*VLOOKUP($H131, 'Baumaterialien Matériaux'!$A$11:$AH$318, 27,FALSE)),0)/$G$1</f>
        <v>1.1491599643464203</v>
      </c>
      <c r="R131" s="720">
        <f>IFERROR(($J131*VLOOKUP($H131, 'Baumaterialien Matériaux'!$A$11:$AH$318, 34,FALSE)),0)/$G$1</f>
        <v>1.2709986111686913E-2</v>
      </c>
      <c r="S131" s="720">
        <f>IFERROR((J131*VLOOKUP(H131, 'Baumaterialien Matériaux'!$A$11:$AD$318, 29,FALSE)),0)/$G$1</f>
        <v>0</v>
      </c>
      <c r="T131" s="720">
        <f>S131*AJ131</f>
        <v>0</v>
      </c>
      <c r="V131" s="638">
        <f t="shared" si="156"/>
        <v>0</v>
      </c>
      <c r="W131" s="638">
        <f t="shared" si="157"/>
        <v>0</v>
      </c>
      <c r="X131" s="638" t="str">
        <f t="shared" si="223"/>
        <v>Revêtement</v>
      </c>
      <c r="Z131" s="638">
        <f t="shared" si="158"/>
        <v>30</v>
      </c>
      <c r="AA131" s="648" t="s">
        <v>3456</v>
      </c>
      <c r="AB131" t="str">
        <f>_xlfn.XLOOKUP($H131,'[1]Baumaterialien Matériaux'!$A:$A,'[1]Baumaterialien Matériaux'!AK:AK,0,0)</f>
        <v>stone</v>
      </c>
      <c r="AC131" cm="1">
        <f t="array" ref="AC131">_xlfn.SWITCH(I131,"kg"," ",0," ",_xlfn.XLOOKUP(H131, '[1]Baumaterialien Matériaux'!$A:$A, '[1]Baumaterialien Matériaux'!$AL:$AL, "-", 0, 1))</f>
        <v>18</v>
      </c>
      <c r="AD131" s="1112" cm="1">
        <f t="array" ref="AD131">IFERROR(_xlfn.SWITCH(I131,"kg",1,"m3",AC131,AC131)*J131/(_xlfn.XLOOKUP(AA131,Métrés!A:A,Métrés!E:E,0)),0)</f>
        <v>7.1445380398448997</v>
      </c>
      <c r="AE131" s="1092">
        <f>IFERROR(N131*$G$1/(_xlfn.XLOOKUP($AA131,Métrés!$A:$A,Métrés!$E:$E,0)),0)</f>
        <v>5.5965547978785048</v>
      </c>
      <c r="AF131" s="1092">
        <f>IFERROR(O131*$G$1/(_xlfn.XLOOKUP($AA131,Métrés!$A:$A,Métrés!$E:$E,0)),0)</f>
        <v>4.2073390679086629</v>
      </c>
      <c r="AG131" s="1092">
        <f>IFERROR(Q131*$G$1/(_xlfn.XLOOKUP($AA131,Métrés!$A:$A,Métrés!$E:$E,0)),0)</f>
        <v>1.647212936964241</v>
      </c>
      <c r="AH131" s="1092">
        <f>IFERROR(R131*$G$1/(_xlfn.XLOOKUP($AA131,Métrés!$A:$A,Métrés!$E:$E,0)),0)</f>
        <v>1.8218572001604493E-2</v>
      </c>
      <c r="AI131" s="1092">
        <f>IFERROR(S131*$G$1/(_xlfn.XLOOKUP($AA131,Métrés!$A:$A,Métrés!$E:$E,0)),0)</f>
        <v>0</v>
      </c>
      <c r="AJ131" s="1022"/>
      <c r="AK131" s="638">
        <f>IF(L131=60,0,T131)</f>
        <v>0</v>
      </c>
      <c r="AL131" s="638">
        <f>IF(L131=60,0,S131)</f>
        <v>0</v>
      </c>
      <c r="AM131" s="638" t="str">
        <f>IF(L131=$L$2, "Structure", IF(L131&gt;0,"Revêtement",0))</f>
        <v>Revêtement</v>
      </c>
      <c r="AN131" s="1017">
        <f>IF(AM131="Structure",N131,0)</f>
        <v>0</v>
      </c>
      <c r="AO131" s="638">
        <f>IF(AM131="Structure",P131,0)</f>
        <v>0</v>
      </c>
      <c r="AP131" s="638">
        <f>IF(AM131="Structure",Q131,0)</f>
        <v>0</v>
      </c>
      <c r="AQ131" s="1018">
        <f>IF(AM131="Structure",S131,0)</f>
        <v>0</v>
      </c>
      <c r="AR131" s="1018">
        <f>IF(AM131="Structure",T131,0)</f>
        <v>0</v>
      </c>
      <c r="AS131" s="1017">
        <f>IF(AM131="Insulation",N131,0)</f>
        <v>0</v>
      </c>
      <c r="AT131" s="638">
        <f>IF(AM131="Insulation",P131,0)</f>
        <v>0</v>
      </c>
      <c r="AU131" s="638">
        <f>IF(AM131="Insulation",Q131,0)</f>
        <v>0</v>
      </c>
      <c r="AV131" s="1018">
        <f>IF(AM131="Insulation",S131,0)</f>
        <v>0</v>
      </c>
      <c r="AW131" s="1018">
        <f>IF(AM131="Insulation",T131,0)</f>
        <v>0</v>
      </c>
      <c r="AX131" s="1017">
        <f>IF(AM131="Revêtement",N131,0)</f>
        <v>3.9043748186227769</v>
      </c>
      <c r="AY131" s="638">
        <f>IF(AM131="Revêtement",P131,0)</f>
        <v>5.053534782969197</v>
      </c>
      <c r="AZ131" s="638">
        <f>IF(AM131="Revêtement",Q131,0)</f>
        <v>1.1491599643464203</v>
      </c>
      <c r="BA131" s="638">
        <f>IF(AM131="Revêtement",S131,0)</f>
        <v>0</v>
      </c>
      <c r="BB131" s="1018">
        <f>IF(AM131="Revêtement",T131,0)</f>
        <v>0</v>
      </c>
      <c r="BC131" s="1017"/>
      <c r="BF131" s="1018"/>
      <c r="BG131" s="1017">
        <f>IF($AM131="Structure", IF($I131="kg",$J131,0), 0)</f>
        <v>0</v>
      </c>
      <c r="BH131" s="638">
        <f>IF($AM131="Insulation", IF($I131="kg",$J131,0), 0)</f>
        <v>0</v>
      </c>
      <c r="BI131" s="1018">
        <f>IF($AM131="Revêtement", IF($I131="kg",$J131,0), 0)</f>
        <v>0</v>
      </c>
      <c r="BJ131" s="638">
        <f>_xlfn.XLOOKUP(H131, 'Baumaterialien Matériaux'!A:A, 'Baumaterialien Matériaux'!E:E, "-", 0, 1)</f>
        <v>18</v>
      </c>
      <c r="BK131" s="1032">
        <f t="shared" si="152"/>
        <v>0</v>
      </c>
      <c r="BL131" s="1030">
        <f t="shared" si="153"/>
        <v>0</v>
      </c>
      <c r="BM131" s="1033">
        <f t="shared" si="154"/>
        <v>0</v>
      </c>
    </row>
    <row r="132" spans="2:67">
      <c r="B132" s="1103"/>
      <c r="C132" s="1099"/>
      <c r="D132" s="478"/>
      <c r="E132" s="478"/>
      <c r="F132" s="479" t="s">
        <v>3071</v>
      </c>
      <c r="G132" s="479"/>
      <c r="H132" s="479"/>
      <c r="I132" s="460" t="s">
        <v>39</v>
      </c>
      <c r="J132" s="662">
        <v>101.05</v>
      </c>
      <c r="K132" s="663"/>
      <c r="L132" s="663"/>
      <c r="M132" s="664">
        <f>SUM(M133:M135)</f>
        <v>15.79347646241864</v>
      </c>
      <c r="N132" s="664">
        <f t="shared" ref="N132:T132" si="278">SUM(N133:N135)</f>
        <v>12.06618183325733</v>
      </c>
      <c r="O132" s="664">
        <f t="shared" ref="O132" si="279">SUM(O133:O135)</f>
        <v>2.6366906222793416</v>
      </c>
      <c r="P132" s="664">
        <f t="shared" si="278"/>
        <v>0</v>
      </c>
      <c r="Q132" s="664">
        <f t="shared" si="278"/>
        <v>1.09060400688197</v>
      </c>
      <c r="R132" s="664">
        <f t="shared" ref="R132" si="280">SUM(R133:R135)</f>
        <v>0.2219216326022968</v>
      </c>
      <c r="S132" s="664">
        <f t="shared" si="278"/>
        <v>0</v>
      </c>
      <c r="T132" s="664">
        <f t="shared" si="278"/>
        <v>0</v>
      </c>
      <c r="V132" s="638">
        <f t="shared" si="156"/>
        <v>0</v>
      </c>
      <c r="W132" s="638">
        <f t="shared" si="157"/>
        <v>0</v>
      </c>
      <c r="Z132" s="638">
        <f t="shared" si="158"/>
        <v>0</v>
      </c>
      <c r="AA132" s="648" t="s">
        <v>3456</v>
      </c>
      <c r="AB132">
        <f>_xlfn.XLOOKUP($H132,'[1]Baumaterialien Matériaux'!$A:$A,'[1]Baumaterialien Matériaux'!AK:AK,0,0)</f>
        <v>0</v>
      </c>
      <c r="AC132" cm="1">
        <f t="array" ref="AC132">_xlfn.SWITCH(I132,"kg"," ",0," ",_xlfn.XLOOKUP(H132, '[1]Baumaterialien Matériaux'!$A:$A, '[1]Baumaterialien Matériaux'!$AL:$AL, "-", 0, 1))</f>
        <v>0</v>
      </c>
      <c r="AD132" s="1112" cm="1">
        <f t="array" ref="AD132">IFERROR(_xlfn.SWITCH(I132,"kg",1,"m3",AC132,AC132)*J132/(_xlfn.XLOOKUP(AA132,Métrés!A:A,Métrés!E:E,0)),0)</f>
        <v>0</v>
      </c>
      <c r="AE132" s="1092">
        <f>IFERROR(N132*$G$1/(_xlfn.XLOOKUP($AA132,Métrés!$A:$A,Métrés!$E:$E,0)),0)</f>
        <v>17.295739002540451</v>
      </c>
      <c r="AF132" s="1092">
        <f>IFERROR(O132*$G$1/(_xlfn.XLOOKUP($AA132,Métrés!$A:$A,Métrés!$E:$E,0)),0)</f>
        <v>3.7794485002451306</v>
      </c>
      <c r="AG132" s="1092">
        <f>IFERROR(Q132*$G$1/(_xlfn.XLOOKUP($AA132,Métrés!$A:$A,Métrés!$E:$E,0)),0)</f>
        <v>1.5632784686009715</v>
      </c>
      <c r="AH132" s="1092">
        <f>IFERROR(R132*$G$1/(_xlfn.XLOOKUP($AA132,Métrés!$A:$A,Métrés!$E:$E,0)),0)</f>
        <v>0.31810382849757102</v>
      </c>
      <c r="AI132" s="1092">
        <f>IFERROR(S132*$G$1/(_xlfn.XLOOKUP($AA132,Métrés!$A:$A,Métrés!$E:$E,0)),0)</f>
        <v>0</v>
      </c>
      <c r="AJ132" s="878"/>
      <c r="AK132" s="878"/>
      <c r="AL132" s="878"/>
      <c r="AM132" s="878"/>
      <c r="AN132" s="1053"/>
      <c r="AO132" s="878"/>
      <c r="AP132" s="878"/>
      <c r="AQ132" s="878"/>
      <c r="AR132" s="1054"/>
      <c r="AS132" s="1053"/>
      <c r="AT132" s="878"/>
      <c r="AU132" s="878"/>
      <c r="AV132" s="878"/>
      <c r="AW132" s="1054"/>
      <c r="AX132" s="1053"/>
      <c r="AY132" s="878"/>
      <c r="AZ132" s="878"/>
      <c r="BA132" s="878"/>
      <c r="BB132" s="1054"/>
      <c r="BC132" s="1053"/>
      <c r="BD132" s="878"/>
      <c r="BE132" s="878"/>
      <c r="BF132" s="1054"/>
      <c r="BG132" s="1053"/>
      <c r="BH132" s="878"/>
      <c r="BI132" s="1054"/>
      <c r="BJ132" s="878"/>
      <c r="BK132" s="1053"/>
      <c r="BL132" s="878"/>
      <c r="BM132" s="1054"/>
    </row>
    <row r="133" spans="2:67">
      <c r="B133" s="1103"/>
      <c r="C133" s="1099"/>
      <c r="D133" s="478"/>
      <c r="E133" s="478"/>
      <c r="F133" s="638" t="s">
        <v>2981</v>
      </c>
      <c r="G133" s="478" t="str">
        <f>_xlfn.XLOOKUP(H133, 'Baumaterialien Matériaux'!A:A, 'Baumaterialien Matériaux'!AD:AD, "-", 0, 1)</f>
        <v>Béton pour bâtiment (sans armature)</v>
      </c>
      <c r="H133" s="891">
        <v>1.0019999999999998</v>
      </c>
      <c r="I133" s="641" t="str">
        <f>_xlfn.XLOOKUP(H133, 'Baumaterialien Matériaux'!A:A, 'Baumaterialien Matériaux'!F:F, "-", 0, 1)</f>
        <v>kg</v>
      </c>
      <c r="J133" s="649">
        <f>$J$132*K133</f>
        <v>46483</v>
      </c>
      <c r="K133" s="893">
        <f>0.2*2300</f>
        <v>460</v>
      </c>
      <c r="L133" s="643">
        <v>60</v>
      </c>
      <c r="M133" s="648">
        <f t="shared" ref="M133:M135" si="281">SUM(N133:Q133)</f>
        <v>5.8920348451556732</v>
      </c>
      <c r="N133" s="720">
        <f>IFERROR(($J133*VLOOKUP($H133, 'Baumaterialien Matériaux'!$A$11:$AH$318, 26,FALSE)),0)/$G$1</f>
        <v>4.2781087019609476</v>
      </c>
      <c r="O133" s="720">
        <f>IFERROR(($J133*VLOOKUP($H133, 'Baumaterialien Matériaux'!$A$11:$AH$318, 33,FALSE)),0)/$G$1</f>
        <v>1.0020795157746361</v>
      </c>
      <c r="P133" s="720">
        <f t="shared" ref="P133:P135" si="282">IFERROR((N133+Q133)*($L$2/L133-1),0)</f>
        <v>0</v>
      </c>
      <c r="Q133" s="720">
        <f>IFERROR(($J133*VLOOKUP($H133, 'Baumaterialien Matériaux'!$A$11:$AH$318, 27,FALSE)),0)/$G$1</f>
        <v>0.61184662742009033</v>
      </c>
      <c r="R133" s="720">
        <f>IFERROR(($J133*VLOOKUP($H133, 'Baumaterialien Matériaux'!$A$11:$AH$318, 34,FALSE)),0)/$G$1</f>
        <v>0.12911409145557814</v>
      </c>
      <c r="S133" s="720">
        <f>IFERROR((J133*VLOOKUP(H133, 'Baumaterialien Matériaux'!$A$11:$AD$318, 29,FALSE)),0)/$G$1</f>
        <v>0</v>
      </c>
      <c r="T133" s="720">
        <f>S133*AJ133</f>
        <v>0</v>
      </c>
      <c r="V133" s="638">
        <f t="shared" si="156"/>
        <v>0</v>
      </c>
      <c r="W133" s="638">
        <f t="shared" si="157"/>
        <v>0</v>
      </c>
      <c r="Z133" s="638">
        <f t="shared" si="158"/>
        <v>60</v>
      </c>
      <c r="AA133" s="648" t="s">
        <v>3456</v>
      </c>
      <c r="AB133" t="str">
        <f>_xlfn.XLOOKUP($H133,'[1]Baumaterialien Matériaux'!$A:$A,'[1]Baumaterialien Matériaux'!AK:AK,0,0)</f>
        <v>concrete</v>
      </c>
      <c r="AC133" t="str" cm="1">
        <f t="array" ref="AC133">_xlfn.SWITCH(I133,"kg"," ",0," ",_xlfn.XLOOKUP(H133, '[1]Baumaterialien Matériaux'!$A:$A, '[1]Baumaterialien Matériaux'!$AL:$AL, "-", 0, 1))</f>
        <v xml:space="preserve"> </v>
      </c>
      <c r="AD133" s="1112" cm="1">
        <f t="array" ref="AD133">IFERROR(_xlfn.SWITCH(I133,"kg",1,"m3",AC133,AC133)*J133/(_xlfn.XLOOKUP(AA133,Métrés!A:A,Métrés!E:E,0)),0)</f>
        <v>69.057063481451763</v>
      </c>
      <c r="AE133" s="1092">
        <f>IFERROR(N133*$G$1/(_xlfn.XLOOKUP($AA133,Métrés!$A:$A,Métrés!$E:$E,0)),0)</f>
        <v>6.1322672371529174</v>
      </c>
      <c r="AF133" s="1092">
        <f>IFERROR(O133*$G$1/(_xlfn.XLOOKUP($AA133,Métrés!$A:$A,Métrés!$E:$E,0)),0)</f>
        <v>1.4363869204141966</v>
      </c>
      <c r="AG133" s="1092">
        <f>IFERROR(Q133*$G$1/(_xlfn.XLOOKUP($AA133,Métrés!$A:$A,Métrés!$E:$E,0)),0)</f>
        <v>0.87702470621443729</v>
      </c>
      <c r="AH133" s="1092">
        <f>IFERROR(R133*$G$1/(_xlfn.XLOOKUP($AA133,Métrés!$A:$A,Métrés!$E:$E,0)),0)</f>
        <v>0.18507293013029077</v>
      </c>
      <c r="AI133" s="1092">
        <f>IFERROR(S133*$G$1/(_xlfn.XLOOKUP($AA133,Métrés!$A:$A,Métrés!$E:$E,0)),0)</f>
        <v>0</v>
      </c>
      <c r="AJ133" s="1022"/>
      <c r="AK133" s="638">
        <f>IF(L133=60,0,T133)</f>
        <v>0</v>
      </c>
      <c r="AL133" s="638">
        <f>IF(L133=60,0,S133)</f>
        <v>0</v>
      </c>
      <c r="AM133" s="638" t="str">
        <f>IF(L133=$L$2, "Structure", IF(L133&gt;0,"Revêtement",0))</f>
        <v>Structure</v>
      </c>
      <c r="AN133" s="1017">
        <f>IF(AM133="Structure",N133,0)</f>
        <v>4.2781087019609476</v>
      </c>
      <c r="AO133" s="638">
        <f>IF(AM133="Structure",P133,0)</f>
        <v>0</v>
      </c>
      <c r="AP133" s="638">
        <f>IF(AM133="Structure",Q133,0)</f>
        <v>0.61184662742009033</v>
      </c>
      <c r="AQ133" s="1018">
        <f>IF(AM133="Structure",S133,0)</f>
        <v>0</v>
      </c>
      <c r="AR133" s="1018">
        <f>IF(AM133="Structure",T133,0)</f>
        <v>0</v>
      </c>
      <c r="AS133" s="1017">
        <f>IF(AM133="Insulation",N133,0)</f>
        <v>0</v>
      </c>
      <c r="AT133" s="638">
        <f>IF(AM133="Insulation",P133,0)</f>
        <v>0</v>
      </c>
      <c r="AU133" s="638">
        <f>IF(AM133="Insulation",Q133,0)</f>
        <v>0</v>
      </c>
      <c r="AV133" s="1018">
        <f>IF(AM133="Insulation",S133,0)</f>
        <v>0</v>
      </c>
      <c r="AW133" s="1018">
        <f>IF(AM133="Insulation",T133,0)</f>
        <v>0</v>
      </c>
      <c r="AX133" s="1017">
        <f>IF(AM133="Revêtement",N133,0)</f>
        <v>0</v>
      </c>
      <c r="AY133" s="638">
        <f>IF(AM133="Revêtement",P133,0)</f>
        <v>0</v>
      </c>
      <c r="AZ133" s="638">
        <f>IF(AM133="Revêtement",Q133,0)</f>
        <v>0</v>
      </c>
      <c r="BA133" s="638">
        <f>IF(AM133="Revêtement",S133,0)</f>
        <v>0</v>
      </c>
      <c r="BB133" s="1018">
        <f>IF(AM133="Revêtement",T133,0)</f>
        <v>0</v>
      </c>
      <c r="BC133" s="1017"/>
      <c r="BF133" s="1018"/>
      <c r="BG133" s="1017">
        <f>IF($AM133="Structure", IF($I133="kg",$J133,0), 0)</f>
        <v>46483</v>
      </c>
      <c r="BH133" s="638">
        <f>IF($AM133="Insulation", IF($I133="kg",$J133,0), 0)</f>
        <v>0</v>
      </c>
      <c r="BI133" s="1018">
        <f>IF($AM133="Revêtement", IF($I133="kg",$J133,0), 0)</f>
        <v>0</v>
      </c>
      <c r="BJ133" s="638">
        <f>_xlfn.XLOOKUP(H133, 'Baumaterialien Matériaux'!A:A, 'Baumaterialien Matériaux'!E:E, "-", 0, 1)</f>
        <v>2300</v>
      </c>
      <c r="BK133" s="1032">
        <f t="shared" si="152"/>
        <v>20.21</v>
      </c>
      <c r="BL133" s="1030">
        <f t="shared" si="153"/>
        <v>0</v>
      </c>
      <c r="BM133" s="1033">
        <f t="shared" si="154"/>
        <v>0</v>
      </c>
    </row>
    <row r="134" spans="2:67">
      <c r="B134" s="1103"/>
      <c r="C134" s="1099"/>
      <c r="D134" s="478"/>
      <c r="E134" s="478"/>
      <c r="F134" s="478" t="s">
        <v>3004</v>
      </c>
      <c r="G134" s="478" t="str">
        <f>_xlfn.XLOOKUP(H134, 'Baumaterialien Matériaux'!A:A, 'Baumaterialien Matériaux'!AD:AD, "-", 0, 1)</f>
        <v>Acier d'armature</v>
      </c>
      <c r="H134" s="892" t="s">
        <v>497</v>
      </c>
      <c r="I134" s="641" t="str">
        <f>_xlfn.XLOOKUP(H134, 'Baumaterialien Matériaux'!A:A, 'Baumaterialien Matériaux'!F:F, "-", 0, 1)</f>
        <v>kg</v>
      </c>
      <c r="J134" s="649">
        <f>$J$132*K134</f>
        <v>3031.5</v>
      </c>
      <c r="K134" s="894">
        <f>0.2*150</f>
        <v>30</v>
      </c>
      <c r="L134" s="647">
        <v>60</v>
      </c>
      <c r="M134" s="648">
        <f t="shared" si="281"/>
        <v>5.6662318104556197</v>
      </c>
      <c r="N134" s="720">
        <f>IFERROR(($J134*VLOOKUP($H134, 'Baumaterialien Matériaux'!$A$11:$AH$318, 26,FALSE)),0)/$G$1</f>
        <v>4.7129575888230173</v>
      </c>
      <c r="O134" s="720">
        <f>IFERROR(($J134*VLOOKUP($H134, 'Baumaterialien Matériaux'!$A$11:$AH$318, 33,FALSE)),0)/$G$1</f>
        <v>0.91431377223166521</v>
      </c>
      <c r="P134" s="720">
        <f t="shared" si="282"/>
        <v>0</v>
      </c>
      <c r="Q134" s="720">
        <f>IFERROR(($J134*VLOOKUP($H134, 'Baumaterialien Matériaux'!$A$11:$AH$318, 27,FALSE)),0)/$G$1</f>
        <v>3.8960449400936945E-2</v>
      </c>
      <c r="R134" s="720">
        <f>IFERROR(($J134*VLOOKUP($H134, 'Baumaterialien Matériaux'!$A$11:$AH$318, 34,FALSE)),0)/$G$1</f>
        <v>0</v>
      </c>
      <c r="S134" s="720">
        <f>IFERROR((J134*VLOOKUP(H134, 'Baumaterialien Matériaux'!$A$11:$AD$318, 29,FALSE)),0)/$G$1</f>
        <v>0</v>
      </c>
      <c r="T134" s="720">
        <f>S134*AJ134</f>
        <v>0</v>
      </c>
      <c r="V134" s="638">
        <f t="shared" si="156"/>
        <v>0</v>
      </c>
      <c r="W134" s="638">
        <f t="shared" si="157"/>
        <v>0</v>
      </c>
      <c r="Z134" s="638">
        <f t="shared" si="158"/>
        <v>60</v>
      </c>
      <c r="AA134" s="648" t="s">
        <v>3456</v>
      </c>
      <c r="AB134" t="str">
        <f>_xlfn.XLOOKUP($H134,'[1]Baumaterialien Matériaux'!$A:$A,'[1]Baumaterialien Matériaux'!AK:AK,0,0)</f>
        <v>metal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 s="1112" cm="1">
        <f t="array" ref="AD134">IFERROR(_xlfn.SWITCH(I134,"kg",1,"m3",AC134,AC134)*J134/(_xlfn.XLOOKUP(AA134,Métrés!A:A,Métrés!E:E,0)),0)</f>
        <v>4.5037215313990284</v>
      </c>
      <c r="AE134" s="1092">
        <f>IFERROR(N134*$G$1/(_xlfn.XLOOKUP($AA134,Métrés!$A:$A,Métrés!$E:$E,0)),0)</f>
        <v>6.7555822970985426</v>
      </c>
      <c r="AF134" s="1092">
        <f>IFERROR(O134*$G$1/(_xlfn.XLOOKUP($AA134,Métrés!$A:$A,Métrés!$E:$E,0)),0)</f>
        <v>1.3105829656371171</v>
      </c>
      <c r="AG134" s="1092">
        <f>IFERROR(Q134*$G$1/(_xlfn.XLOOKUP($AA134,Métrés!$A:$A,Métrés!$E:$E,0)),0)</f>
        <v>5.5846146989347957E-2</v>
      </c>
      <c r="AH134" s="1092">
        <f>IFERROR(R134*$G$1/(_xlfn.XLOOKUP($AA134,Métrés!$A:$A,Métrés!$E:$E,0)),0)</f>
        <v>0</v>
      </c>
      <c r="AI134" s="1092">
        <f>IFERROR(S134*$G$1/(_xlfn.XLOOKUP($AA134,Métrés!$A:$A,Métrés!$E:$E,0)),0)</f>
        <v>0</v>
      </c>
      <c r="AJ134" s="1022"/>
      <c r="AK134" s="638">
        <f>IF(L134=60,0,T134)</f>
        <v>0</v>
      </c>
      <c r="AL134" s="638">
        <f>IF(L134=60,0,S134)</f>
        <v>0</v>
      </c>
      <c r="AM134" s="638" t="str">
        <f>IF(L134=$L$2, "Structure", IF(L134&gt;0,"Revêtement",0))</f>
        <v>Structure</v>
      </c>
      <c r="AN134" s="1017">
        <f>IF(AM134="Structure",N134,0)</f>
        <v>4.7129575888230173</v>
      </c>
      <c r="AO134" s="638">
        <f>IF(AM134="Structure",P134,0)</f>
        <v>0</v>
      </c>
      <c r="AP134" s="638">
        <f>IF(AM134="Structure",Q134,0)</f>
        <v>3.8960449400936945E-2</v>
      </c>
      <c r="AQ134" s="1018">
        <f>IF(AM134="Structure",S134,0)</f>
        <v>0</v>
      </c>
      <c r="AR134" s="1018">
        <f>IF(AM134="Structure",T134,0)</f>
        <v>0</v>
      </c>
      <c r="AS134" s="1017">
        <f>IF(AM134="Insulation",N134,0)</f>
        <v>0</v>
      </c>
      <c r="AT134" s="638">
        <f>IF(AM134="Insulation",P134,0)</f>
        <v>0</v>
      </c>
      <c r="AU134" s="638">
        <f>IF(AM134="Insulation",Q134,0)</f>
        <v>0</v>
      </c>
      <c r="AV134" s="1018">
        <f>IF(AM134="Insulation",S134,0)</f>
        <v>0</v>
      </c>
      <c r="AW134" s="1018">
        <f>IF(AM134="Insulation",T134,0)</f>
        <v>0</v>
      </c>
      <c r="AX134" s="1017">
        <f>IF(AM134="Revêtement",N134,0)</f>
        <v>0</v>
      </c>
      <c r="AY134" s="638">
        <f>IF(AM134="Revêtement",P134,0)</f>
        <v>0</v>
      </c>
      <c r="AZ134" s="638">
        <f>IF(AM134="Revêtement",Q134,0)</f>
        <v>0</v>
      </c>
      <c r="BA134" s="638">
        <f>IF(AM134="Revêtement",S134,0)</f>
        <v>0</v>
      </c>
      <c r="BB134" s="1018">
        <f>IF(AM134="Revêtement",T134,0)</f>
        <v>0</v>
      </c>
      <c r="BC134" s="1017"/>
      <c r="BF134" s="1018"/>
      <c r="BG134" s="1017">
        <f>IF($AM134="Structure", IF($I134="kg",$J134,0), 0)</f>
        <v>3031.5</v>
      </c>
      <c r="BH134" s="638">
        <f>IF($AM134="Insulation", IF($I134="kg",$J134,0), 0)</f>
        <v>0</v>
      </c>
      <c r="BI134" s="1018">
        <f>IF($AM134="Revêtement", IF($I134="kg",$J134,0), 0)</f>
        <v>0</v>
      </c>
      <c r="BJ134" s="638">
        <f>_xlfn.XLOOKUP(H134, 'Baumaterialien Matériaux'!A:A, 'Baumaterialien Matériaux'!E:E, "-", 0, 1)</f>
        <v>7850</v>
      </c>
      <c r="BK134" s="1032">
        <f t="shared" ref="BK134:BK197" si="283">IFERROR(BG134/$BJ134,0)</f>
        <v>0.3861783439490446</v>
      </c>
      <c r="BL134" s="1030">
        <f t="shared" ref="BL134:BL197" si="284">IFERROR(BH134/$BJ134,0)</f>
        <v>0</v>
      </c>
      <c r="BM134" s="1033">
        <f t="shared" ref="BM134:BM197" si="285">IFERROR(BI134/$BJ134,0)</f>
        <v>0</v>
      </c>
    </row>
    <row r="135" spans="2:67">
      <c r="B135" s="1103"/>
      <c r="C135" s="1099"/>
      <c r="D135" s="478"/>
      <c r="E135" s="478"/>
      <c r="F135" s="478" t="s">
        <v>3362</v>
      </c>
      <c r="G135" s="478" t="str">
        <f>_xlfn.XLOOKUP(H135, 'Baumaterialien Matériaux'!A:A, 'Baumaterialien Matériaux'!AD:AD, "-", 0, 1)</f>
        <v>Béton pour bâtiment (sans armature)</v>
      </c>
      <c r="H135" s="891">
        <v>1.0019999999999998</v>
      </c>
      <c r="I135" s="641" t="str">
        <f>_xlfn.XLOOKUP(H135, 'Baumaterialien Matériaux'!A:A, 'Baumaterialien Matériaux'!F:F, "-", 0, 1)</f>
        <v>kg</v>
      </c>
      <c r="J135" s="649">
        <f>K135*145.27</f>
        <v>33412.100000000006</v>
      </c>
      <c r="K135" s="893">
        <f>0.1*2300</f>
        <v>230</v>
      </c>
      <c r="L135" s="647">
        <v>60</v>
      </c>
      <c r="M135" s="648">
        <f t="shared" si="281"/>
        <v>4.2352098068073474</v>
      </c>
      <c r="N135" s="720">
        <f>IFERROR(($J135*VLOOKUP($H135, 'Baumaterialien Matériaux'!$A$11:$AH$318, 26,FALSE)),0)/$G$1</f>
        <v>3.0751155424733643</v>
      </c>
      <c r="O135" s="720">
        <f>IFERROR(($J135*VLOOKUP($H135, 'Baumaterialien Matériaux'!$A$11:$AH$318, 33,FALSE)),0)/$G$1</f>
        <v>0.72029733427304021</v>
      </c>
      <c r="P135" s="720">
        <f t="shared" si="282"/>
        <v>0</v>
      </c>
      <c r="Q135" s="720">
        <f>IFERROR(($J135*VLOOKUP($H135, 'Baumaterialien Matériaux'!$A$11:$AH$318, 27,FALSE)),0)/$G$1</f>
        <v>0.43979693006094278</v>
      </c>
      <c r="R135" s="720">
        <f>IFERROR(($J135*VLOOKUP($H135, 'Baumaterialien Matériaux'!$A$11:$AH$318, 34,FALSE)),0)/$G$1</f>
        <v>9.2807541146718645E-2</v>
      </c>
      <c r="S135" s="720">
        <f>IFERROR((J135*VLOOKUP(H135, 'Baumaterialien Matériaux'!$A$11:$AD$318, 29,FALSE)),0)/$G$1</f>
        <v>0</v>
      </c>
      <c r="T135" s="720"/>
      <c r="Z135" s="638">
        <f t="shared" si="158"/>
        <v>60</v>
      </c>
      <c r="AA135" s="648" t="s">
        <v>3456</v>
      </c>
      <c r="AB135" t="str">
        <f>_xlfn.XLOOKUP($H135,'[1]Baumaterialien Matériaux'!$A:$A,'[1]Baumaterialien Matériaux'!AK:AK,0,0)</f>
        <v>concrete</v>
      </c>
      <c r="AC135" t="str" cm="1">
        <f t="array" ref="AC135">_xlfn.SWITCH(I135,"kg"," ",0," ",_xlfn.XLOOKUP(H135, '[1]Baumaterialien Matériaux'!$A:$A, '[1]Baumaterialien Matériaux'!$AL:$AL, "-", 0, 1))</f>
        <v xml:space="preserve"> </v>
      </c>
      <c r="AD135" s="1112" cm="1">
        <f t="array" ref="AD135">IFERROR(_xlfn.SWITCH(I135,"kg",1,"m3",AC135,AC135)*J135/(_xlfn.XLOOKUP(AA135,Métrés!A:A,Métrés!E:E,0)),0)</f>
        <v>49.638394913164277</v>
      </c>
      <c r="AE135" s="1092">
        <f>IFERROR(N135*$G$1/(_xlfn.XLOOKUP($AA135,Métrés!$A:$A,Métrés!$E:$E,0)),0)</f>
        <v>4.407889468288988</v>
      </c>
      <c r="AF135" s="1092">
        <f>IFERROR(O135*$G$1/(_xlfn.XLOOKUP($AA135,Métrés!$A:$A,Métrés!$E:$E,0)),0)</f>
        <v>1.0324786141938169</v>
      </c>
      <c r="AG135" s="1092">
        <f>IFERROR(Q135*$G$1/(_xlfn.XLOOKUP($AA135,Métrés!$A:$A,Métrés!$E:$E,0)),0)</f>
        <v>0.63040761539718626</v>
      </c>
      <c r="AH135" s="1092">
        <f>IFERROR(R135*$G$1/(_xlfn.XLOOKUP($AA135,Métrés!$A:$A,Métrés!$E:$E,0)),0)</f>
        <v>0.13303089836728027</v>
      </c>
      <c r="AI135" s="1092">
        <f>IFERROR(S135*$G$1/(_xlfn.XLOOKUP($AA135,Métrés!$A:$A,Métrés!$E:$E,0)),0)</f>
        <v>0</v>
      </c>
      <c r="AJ135" s="1022"/>
      <c r="AM135" s="638" t="str">
        <f>IF(L135=$L$2, "Structure", IF(L135&gt;0,"Revêtement",0))</f>
        <v>Structure</v>
      </c>
      <c r="AN135" s="1017">
        <f>IF(AM135="Structure",N135,0)</f>
        <v>3.0751155424733643</v>
      </c>
      <c r="AO135" s="638">
        <f>IF(AM135="Structure",P135,0)</f>
        <v>0</v>
      </c>
      <c r="AP135" s="638">
        <f>IF(AM135="Structure",Q135,0)</f>
        <v>0.43979693006094278</v>
      </c>
      <c r="AQ135" s="1018">
        <f>IF(AM135="Structure",S135,0)</f>
        <v>0</v>
      </c>
      <c r="AR135" s="1018">
        <f>IF(AM135="Structure",T135,0)</f>
        <v>0</v>
      </c>
      <c r="AS135" s="1017">
        <f>IF(AM135="Insulation",N135,0)</f>
        <v>0</v>
      </c>
      <c r="AT135" s="638">
        <f>IF(AM135="Insulation",P135,0)</f>
        <v>0</v>
      </c>
      <c r="AU135" s="638">
        <f>IF(AM135="Insulation",Q135,0)</f>
        <v>0</v>
      </c>
      <c r="AV135" s="1018">
        <f>IF(AM135="Insulation",S135,0)</f>
        <v>0</v>
      </c>
      <c r="AW135" s="1018">
        <f>IF(AM135="Insulation",T135,0)</f>
        <v>0</v>
      </c>
      <c r="AX135" s="1017">
        <f>IF(AM135="Revêtement",N135,0)</f>
        <v>0</v>
      </c>
      <c r="AY135" s="638">
        <f>IF(AM135="Revêtement",P135,0)</f>
        <v>0</v>
      </c>
      <c r="AZ135" s="638">
        <f>IF(AM135="Revêtement",Q135,0)</f>
        <v>0</v>
      </c>
      <c r="BA135" s="638">
        <f>IF(AM135="Revêtement",S135,0)</f>
        <v>0</v>
      </c>
      <c r="BB135" s="1018">
        <f>IF(AM135="Revêtement",T135,0)</f>
        <v>0</v>
      </c>
      <c r="BC135" s="1017"/>
      <c r="BF135" s="1018"/>
      <c r="BG135" s="1017">
        <f>IF($AM135="Structure", IF($I135="kg",$J135,0), 0)</f>
        <v>33412.100000000006</v>
      </c>
      <c r="BH135" s="638">
        <f>IF($AM135="Insulation", IF($I135="kg",$J135,0), 0)</f>
        <v>0</v>
      </c>
      <c r="BI135" s="1018">
        <f>IF($AM135="Revêtement", IF($I135="kg",$J135,0), 0)</f>
        <v>0</v>
      </c>
      <c r="BJ135" s="638">
        <f>_xlfn.XLOOKUP(H135, 'Baumaterialien Matériaux'!A:A, 'Baumaterialien Matériaux'!E:E, "-", 0, 1)</f>
        <v>2300</v>
      </c>
      <c r="BK135" s="1032">
        <f t="shared" si="283"/>
        <v>14.527000000000003</v>
      </c>
      <c r="BL135" s="1030">
        <f t="shared" si="284"/>
        <v>0</v>
      </c>
      <c r="BM135" s="1033">
        <f t="shared" si="285"/>
        <v>0</v>
      </c>
    </row>
    <row r="136" spans="2:67">
      <c r="B136" s="1103"/>
      <c r="C136" s="1099"/>
      <c r="D136" s="478"/>
      <c r="E136" s="478"/>
      <c r="F136" s="479" t="s">
        <v>3072</v>
      </c>
      <c r="G136" s="479"/>
      <c r="H136" s="479"/>
      <c r="I136" s="460" t="s">
        <v>39</v>
      </c>
      <c r="J136" s="662">
        <v>50.78</v>
      </c>
      <c r="K136" s="663"/>
      <c r="L136" s="663"/>
      <c r="M136" s="664">
        <f>SUM(M137:M140)</f>
        <v>7.8599501834501062</v>
      </c>
      <c r="N136" s="664">
        <f t="shared" ref="N136:T136" si="286">SUM(N137:N140)</f>
        <v>5.057820327722732</v>
      </c>
      <c r="O136" s="664">
        <f t="shared" ref="O136" si="287">SUM(O137:O140)</f>
        <v>1.2004471881348202</v>
      </c>
      <c r="P136" s="664">
        <f t="shared" si="286"/>
        <v>0.90711750652958001</v>
      </c>
      <c r="Q136" s="664">
        <f t="shared" si="286"/>
        <v>0.69456516106297406</v>
      </c>
      <c r="R136" s="664">
        <f t="shared" ref="R136" si="288">SUM(R137:R140)</f>
        <v>0.14878462335724058</v>
      </c>
      <c r="S136" s="664">
        <f t="shared" si="286"/>
        <v>6.7743019568011278E-2</v>
      </c>
      <c r="T136" s="664">
        <f t="shared" si="286"/>
        <v>6.7743019568011276E-4</v>
      </c>
      <c r="V136" s="638">
        <f t="shared" si="156"/>
        <v>6.7743019568011276E-4</v>
      </c>
      <c r="Z136" s="638">
        <f t="shared" si="158"/>
        <v>0</v>
      </c>
      <c r="AA136" s="648" t="s">
        <v>3456</v>
      </c>
      <c r="AB136">
        <f>_xlfn.XLOOKUP($H136,'[1]Baumaterialien Matériaux'!$A:$A,'[1]Baumaterialien Matériaux'!AK:AK,0,0)</f>
        <v>0</v>
      </c>
      <c r="AC136" cm="1">
        <f t="array" ref="AC136">_xlfn.SWITCH(I136,"kg"," ",0," ",_xlfn.XLOOKUP(H136, '[1]Baumaterialien Matériaux'!$A:$A, '[1]Baumaterialien Matériaux'!$AL:$AL, "-", 0, 1))</f>
        <v>0</v>
      </c>
      <c r="AD136" s="1112" cm="1">
        <f t="array" ref="AD136">IFERROR(_xlfn.SWITCH(I136,"kg",1,"m3",AC136,AC136)*J136/(_xlfn.XLOOKUP(AA136,Métrés!A:A,Métrés!E:E,0)),0)</f>
        <v>0</v>
      </c>
      <c r="AE136" s="1092">
        <f>IFERROR(N136*$G$1/(_xlfn.XLOOKUP($AA136,Métrés!$A:$A,Métrés!$E:$E,0)),0)</f>
        <v>7.2499106609618051</v>
      </c>
      <c r="AF136" s="1092">
        <f>IFERROR(O136*$G$1/(_xlfn.XLOOKUP($AA136,Métrés!$A:$A,Métrés!$E:$E,0)),0)</f>
        <v>1.7207283579206962</v>
      </c>
      <c r="AG136" s="1092">
        <f>IFERROR(Q136*$G$1/(_xlfn.XLOOKUP($AA136,Métrés!$A:$A,Métrés!$E:$E,0)),0)</f>
        <v>0.99559395938256734</v>
      </c>
      <c r="AH136" s="1092">
        <f>IFERROR(R136*$G$1/(_xlfn.XLOOKUP($AA136,Métrés!$A:$A,Métrés!$E:$E,0)),0)</f>
        <v>0.21326879113369288</v>
      </c>
      <c r="AI136" s="1092">
        <f>IFERROR(S136*$G$1/(_xlfn.XLOOKUP($AA136,Métrés!$A:$A,Métrés!$E:$E,0)),0)</f>
        <v>9.7103259496961872E-2</v>
      </c>
      <c r="AJ136" s="878"/>
      <c r="AK136" s="878"/>
      <c r="AL136" s="878"/>
      <c r="AM136" s="878"/>
      <c r="AN136" s="1053"/>
      <c r="AO136" s="878"/>
      <c r="AP136" s="878"/>
      <c r="AQ136" s="878"/>
      <c r="AR136" s="1054"/>
      <c r="AS136" s="1053"/>
      <c r="AT136" s="878"/>
      <c r="AU136" s="878"/>
      <c r="AV136" s="878"/>
      <c r="AW136" s="1054"/>
      <c r="AX136" s="1053"/>
      <c r="AY136" s="878"/>
      <c r="AZ136" s="878"/>
      <c r="BA136" s="878"/>
      <c r="BB136" s="1054"/>
      <c r="BC136" s="1053"/>
      <c r="BD136" s="878"/>
      <c r="BE136" s="878"/>
      <c r="BF136" s="1054"/>
      <c r="BG136" s="1053"/>
      <c r="BH136" s="878"/>
      <c r="BI136" s="1054"/>
      <c r="BJ136" s="878"/>
      <c r="BK136" s="1053"/>
      <c r="BL136" s="878"/>
      <c r="BM136" s="1054"/>
    </row>
    <row r="137" spans="2:67">
      <c r="B137" s="1103"/>
      <c r="C137" s="1099"/>
      <c r="D137" s="478"/>
      <c r="E137" s="478"/>
      <c r="F137" s="638" t="s">
        <v>2981</v>
      </c>
      <c r="G137" s="478" t="str">
        <f>_xlfn.XLOOKUP(H137, 'Baumaterialien Matériaux'!A:A, 'Baumaterialien Matériaux'!AD:AD, "-", 0, 1)</f>
        <v>Béton pour bâtiment (sans armature)</v>
      </c>
      <c r="H137" s="891">
        <v>1.0019999999999998</v>
      </c>
      <c r="I137" s="641" t="str">
        <f>_xlfn.XLOOKUP(H137, 'Baumaterialien Matériaux'!A:A, 'Baumaterialien Matériaux'!F:F, "-", 0, 1)</f>
        <v>kg</v>
      </c>
      <c r="J137" s="649">
        <f>$J$136*K137</f>
        <v>23358.799999999999</v>
      </c>
      <c r="K137" s="893">
        <f>0.2*2300</f>
        <v>460</v>
      </c>
      <c r="L137" s="643">
        <v>60</v>
      </c>
      <c r="M137" s="648">
        <f t="shared" ref="M137:M140" si="289">SUM(N137:Q137)</f>
        <v>2.9608859914597243</v>
      </c>
      <c r="N137" s="720">
        <f>IFERROR(($J137*VLOOKUP($H137, 'Baumaterialien Matériaux'!$A$11:$AH$318, 26,FALSE)),0)/$G$1</f>
        <v>2.149850172049252</v>
      </c>
      <c r="O137" s="720">
        <f>IFERROR(($J137*VLOOKUP($H137, 'Baumaterialien Matériaux'!$A$11:$AH$318, 33,FALSE)),0)/$G$1</f>
        <v>0.50356850876829318</v>
      </c>
      <c r="P137" s="720">
        <f t="shared" ref="P137:P140" si="290">IFERROR((N137+Q137)*($L$2/L137-1),0)</f>
        <v>0</v>
      </c>
      <c r="Q137" s="720">
        <f>IFERROR(($J137*VLOOKUP($H137, 'Baumaterialien Matériaux'!$A$11:$AH$318, 27,FALSE)),0)/$G$1</f>
        <v>0.30746731064217897</v>
      </c>
      <c r="R137" s="720">
        <f>IFERROR(($J137*VLOOKUP($H137, 'Baumaterialien Matériaux'!$A$11:$AH$318, 34,FALSE)),0)/$G$1</f>
        <v>6.4882865552837773E-2</v>
      </c>
      <c r="S137" s="720">
        <f>IFERROR((J137*VLOOKUP(H137, 'Baumaterialien Matériaux'!$A$11:$AD$318, 29,FALSE)),0)/$G$1</f>
        <v>0</v>
      </c>
      <c r="T137" s="720">
        <f>S137*AJ137</f>
        <v>0</v>
      </c>
      <c r="V137" s="638">
        <f t="shared" si="156"/>
        <v>0</v>
      </c>
      <c r="W137" s="638">
        <f t="shared" si="157"/>
        <v>0</v>
      </c>
      <c r="Z137" s="638">
        <f t="shared" si="158"/>
        <v>60</v>
      </c>
      <c r="AA137" s="648" t="s">
        <v>3456</v>
      </c>
      <c r="AB137" t="str">
        <f>_xlfn.XLOOKUP($H137,'[1]Baumaterialien Matériaux'!$A:$A,'[1]Baumaterialien Matériaux'!AK:AK,0,0)</f>
        <v>concrete</v>
      </c>
      <c r="AC137" t="str" cm="1">
        <f t="array" ref="AC137">_xlfn.SWITCH(I137,"kg"," ",0," ",_xlfn.XLOOKUP(H137, '[1]Baumaterialien Matériaux'!$A:$A, '[1]Baumaterialien Matériaux'!$AL:$AL, "-", 0, 1))</f>
        <v xml:space="preserve"> </v>
      </c>
      <c r="AD137" s="1112" cm="1">
        <f t="array" ref="AD137">IFERROR(_xlfn.SWITCH(I137,"kg",1,"m3",AC137,AC137)*J137/(_xlfn.XLOOKUP(AA137,Métrés!A:A,Métrés!E:E,0)),0)</f>
        <v>34.7027974625247</v>
      </c>
      <c r="AE137" s="1092">
        <f>IFERROR(N137*$G$1/(_xlfn.XLOOKUP($AA137,Métrés!$A:$A,Métrés!$E:$E,0)),0)</f>
        <v>3.0816084146721936</v>
      </c>
      <c r="AF137" s="1092">
        <f>IFERROR(O137*$G$1/(_xlfn.XLOOKUP($AA137,Métrés!$A:$A,Métrés!$E:$E,0)),0)</f>
        <v>0.72181818722051372</v>
      </c>
      <c r="AG137" s="1092">
        <f>IFERROR(Q137*$G$1/(_xlfn.XLOOKUP($AA137,Métrés!$A:$A,Métrés!$E:$E,0)),0)</f>
        <v>0.4407255277740636</v>
      </c>
      <c r="AH137" s="1092">
        <f>IFERROR(R137*$G$1/(_xlfn.XLOOKUP($AA137,Métrés!$A:$A,Métrés!$E:$E,0)),0)</f>
        <v>9.3003497199566201E-2</v>
      </c>
      <c r="AI137" s="1092">
        <f>IFERROR(S137*$G$1/(_xlfn.XLOOKUP($AA137,Métrés!$A:$A,Métrés!$E:$E,0)),0)</f>
        <v>0</v>
      </c>
      <c r="AJ137" s="1022"/>
      <c r="AK137" s="638">
        <f>IF(L137=60,0,T137)</f>
        <v>0</v>
      </c>
      <c r="AL137" s="638">
        <f>IF(L137=60,0,S137)</f>
        <v>0</v>
      </c>
      <c r="AM137" s="638" t="str">
        <f>IF(L137=$L$2, "Structure", IF(L137&gt;0,"Revêtement",0))</f>
        <v>Structure</v>
      </c>
      <c r="AN137" s="1017">
        <f>IF(AM137="Structure",N137,0)</f>
        <v>2.149850172049252</v>
      </c>
      <c r="AO137" s="638">
        <f>IF(AM137="Structure",P137,0)</f>
        <v>0</v>
      </c>
      <c r="AP137" s="638">
        <f>IF(AM137="Structure",Q137,0)</f>
        <v>0.30746731064217897</v>
      </c>
      <c r="AQ137" s="1018">
        <f>IF(AM137="Structure",S137,0)</f>
        <v>0</v>
      </c>
      <c r="AR137" s="1018">
        <f>IF(AM137="Structure",T137,0)</f>
        <v>0</v>
      </c>
      <c r="AS137" s="1017">
        <f>IF(AM137="Insulation",N137,0)</f>
        <v>0</v>
      </c>
      <c r="AT137" s="638">
        <f>IF(AM137="Insulation",P137,0)</f>
        <v>0</v>
      </c>
      <c r="AU137" s="638">
        <f>IF(AM137="Insulation",Q137,0)</f>
        <v>0</v>
      </c>
      <c r="AV137" s="1018">
        <f>IF(AM137="Insulation",S137,0)</f>
        <v>0</v>
      </c>
      <c r="AW137" s="1018">
        <f>IF(AM137="Insulation",T137,0)</f>
        <v>0</v>
      </c>
      <c r="AX137" s="1017">
        <f>IF(AM137="Revêtement",N137,0)</f>
        <v>0</v>
      </c>
      <c r="AY137" s="638">
        <f>IF(AM137="Revêtement",P137,0)</f>
        <v>0</v>
      </c>
      <c r="AZ137" s="638">
        <f>IF(AM137="Revêtement",Q137,0)</f>
        <v>0</v>
      </c>
      <c r="BA137" s="638">
        <f>IF(AM137="Revêtement",S137,0)</f>
        <v>0</v>
      </c>
      <c r="BB137" s="1018">
        <f>IF(AM137="Revêtement",T137,0)</f>
        <v>0</v>
      </c>
      <c r="BC137" s="1017"/>
      <c r="BF137" s="1018"/>
      <c r="BG137" s="1017">
        <f>IF($AM137="Structure", IF($I137="kg",$J137,0), 0)</f>
        <v>23358.799999999999</v>
      </c>
      <c r="BH137" s="638">
        <f>IF($AM137="Insulation", IF($I137="kg",$J137,0), 0)</f>
        <v>0</v>
      </c>
      <c r="BI137" s="1018">
        <f>IF($AM137="Revêtement", IF($I137="kg",$J137,0), 0)</f>
        <v>0</v>
      </c>
      <c r="BJ137" s="638">
        <f>_xlfn.XLOOKUP(H137, 'Baumaterialien Matériaux'!A:A, 'Baumaterialien Matériaux'!E:E, "-", 0, 1)</f>
        <v>2300</v>
      </c>
      <c r="BK137" s="1032">
        <f t="shared" si="283"/>
        <v>10.155999999999999</v>
      </c>
      <c r="BL137" s="1030">
        <f t="shared" si="284"/>
        <v>0</v>
      </c>
      <c r="BM137" s="1033">
        <f t="shared" si="285"/>
        <v>0</v>
      </c>
    </row>
    <row r="138" spans="2:67">
      <c r="B138" s="1103"/>
      <c r="C138" s="1099"/>
      <c r="D138" s="478"/>
      <c r="E138" s="478"/>
      <c r="F138" s="478" t="s">
        <v>3004</v>
      </c>
      <c r="G138" s="478" t="str">
        <f>_xlfn.XLOOKUP(H138, 'Baumaterialien Matériaux'!A:A, 'Baumaterialien Matériaux'!AD:AD, "-", 0, 1)</f>
        <v>Acier d'armature</v>
      </c>
      <c r="H138" s="892" t="s">
        <v>497</v>
      </c>
      <c r="I138" s="641" t="str">
        <f>_xlfn.XLOOKUP(H138, 'Baumaterialien Matériaux'!A:A, 'Baumaterialien Matériaux'!F:F, "-", 0, 1)</f>
        <v>kg</v>
      </c>
      <c r="J138" s="649">
        <f t="shared" ref="J138:J139" si="291">$J$136*K138</f>
        <v>1523.4</v>
      </c>
      <c r="K138" s="894">
        <f>0.2*150</f>
        <v>30</v>
      </c>
      <c r="L138" s="647">
        <v>60</v>
      </c>
      <c r="M138" s="648">
        <f t="shared" si="289"/>
        <v>2.8474146594253971</v>
      </c>
      <c r="N138" s="720">
        <f>IFERROR(($J138*VLOOKUP($H138, 'Baumaterialien Matériaux'!$A$11:$AH$318, 26,FALSE)),0)/$G$1</f>
        <v>2.3683719580448575</v>
      </c>
      <c r="O138" s="720">
        <f>IFERROR(($J138*VLOOKUP($H138, 'Baumaterialien Matériaux'!$A$11:$AH$318, 33,FALSE)),0)/$G$1</f>
        <v>0.45946415986070227</v>
      </c>
      <c r="P138" s="720">
        <f t="shared" si="290"/>
        <v>0</v>
      </c>
      <c r="Q138" s="720">
        <f>IFERROR(($J138*VLOOKUP($H138, 'Baumaterialien Matériaux'!$A$11:$AH$318, 27,FALSE)),0)/$G$1</f>
        <v>1.9578541519837487E-2</v>
      </c>
      <c r="R138" s="720">
        <f>IFERROR(($J138*VLOOKUP($H138, 'Baumaterialien Matériaux'!$A$11:$AH$318, 34,FALSE)),0)/$G$1</f>
        <v>0</v>
      </c>
      <c r="S138" s="720">
        <f>IFERROR((J138*VLOOKUP(H138, 'Baumaterialien Matériaux'!$A$11:$AD$318, 29,FALSE)),0)/$G$1</f>
        <v>0</v>
      </c>
      <c r="T138" s="720">
        <f>S138*AJ138</f>
        <v>0</v>
      </c>
      <c r="V138" s="638">
        <f t="shared" si="156"/>
        <v>0</v>
      </c>
      <c r="W138" s="638">
        <f t="shared" si="157"/>
        <v>0</v>
      </c>
      <c r="Z138" s="638">
        <f t="shared" ref="Z138:Z201" si="292">L138</f>
        <v>60</v>
      </c>
      <c r="AA138" s="648" t="s">
        <v>3456</v>
      </c>
      <c r="AB138" t="str">
        <f>_xlfn.XLOOKUP($H138,'[1]Baumaterialien Matériaux'!$A:$A,'[1]Baumaterialien Matériaux'!AK:AK,0,0)</f>
        <v>metal</v>
      </c>
      <c r="AC138" t="str" cm="1">
        <f t="array" ref="AC138">_xlfn.SWITCH(I138,"kg"," ",0," ",_xlfn.XLOOKUP(H138, '[1]Baumaterialien Matériaux'!$A:$A, '[1]Baumaterialien Matériaux'!$AL:$AL, "-", 0, 1))</f>
        <v xml:space="preserve"> </v>
      </c>
      <c r="AD138" s="1112" cm="1">
        <f t="array" ref="AD138">IFERROR(_xlfn.SWITCH(I138,"kg",1,"m3",AC138,AC138)*J138/(_xlfn.XLOOKUP(AA138,Métrés!A:A,Métrés!E:E,0)),0)</f>
        <v>2.2632259214690023</v>
      </c>
      <c r="AE138" s="1092">
        <f>IFERROR(N138*$G$1/(_xlfn.XLOOKUP($AA138,Métrés!$A:$A,Métrés!$E:$E,0)),0)</f>
        <v>3.3948388822035036</v>
      </c>
      <c r="AF138" s="1092">
        <f>IFERROR(O138*$G$1/(_xlfn.XLOOKUP($AA138,Métrés!$A:$A,Métrés!$E:$E,0)),0)</f>
        <v>0.65859874314747957</v>
      </c>
      <c r="AG138" s="1092">
        <f>IFERROR(Q138*$G$1/(_xlfn.XLOOKUP($AA138,Métrés!$A:$A,Métrés!$E:$E,0)),0)</f>
        <v>2.8064001426215627E-2</v>
      </c>
      <c r="AH138" s="1092">
        <f>IFERROR(R138*$G$1/(_xlfn.XLOOKUP($AA138,Métrés!$A:$A,Métrés!$E:$E,0)),0)</f>
        <v>0</v>
      </c>
      <c r="AI138" s="1092">
        <f>IFERROR(S138*$G$1/(_xlfn.XLOOKUP($AA138,Métrés!$A:$A,Métrés!$E:$E,0)),0)</f>
        <v>0</v>
      </c>
      <c r="AJ138" s="1022"/>
      <c r="AK138" s="638">
        <f>IF(L138=60,0,T138)</f>
        <v>0</v>
      </c>
      <c r="AL138" s="638">
        <f>IF(L138=60,0,S138)</f>
        <v>0</v>
      </c>
      <c r="AM138" s="638" t="str">
        <f>IF(L138=$L$2, "Structure", IF(L138&gt;0,"Revêtement",0))</f>
        <v>Structure</v>
      </c>
      <c r="AN138" s="1017">
        <f>IF(AM138="Structure",N138,0)</f>
        <v>2.3683719580448575</v>
      </c>
      <c r="AO138" s="638">
        <f>IF(AM138="Structure",P138,0)</f>
        <v>0</v>
      </c>
      <c r="AP138" s="638">
        <f>IF(AM138="Structure",Q138,0)</f>
        <v>1.9578541519837487E-2</v>
      </c>
      <c r="AQ138" s="1018">
        <f>IF(AM138="Structure",S138,0)</f>
        <v>0</v>
      </c>
      <c r="AR138" s="1018">
        <f>IF(AM138="Structure",T138,0)</f>
        <v>0</v>
      </c>
      <c r="AS138" s="1017">
        <f>IF(AM138="Insulation",N138,0)</f>
        <v>0</v>
      </c>
      <c r="AT138" s="638">
        <f>IF(AM138="Insulation",P138,0)</f>
        <v>0</v>
      </c>
      <c r="AU138" s="638">
        <f>IF(AM138="Insulation",Q138,0)</f>
        <v>0</v>
      </c>
      <c r="AV138" s="1018">
        <f>IF(AM138="Insulation",S138,0)</f>
        <v>0</v>
      </c>
      <c r="AW138" s="1018">
        <f>IF(AM138="Insulation",T138,0)</f>
        <v>0</v>
      </c>
      <c r="AX138" s="1017">
        <f>IF(AM138="Revêtement",N138,0)</f>
        <v>0</v>
      </c>
      <c r="AY138" s="638">
        <f>IF(AM138="Revêtement",P138,0)</f>
        <v>0</v>
      </c>
      <c r="AZ138" s="638">
        <f>IF(AM138="Revêtement",Q138,0)</f>
        <v>0</v>
      </c>
      <c r="BA138" s="638">
        <f>IF(AM138="Revêtement",S138,0)</f>
        <v>0</v>
      </c>
      <c r="BB138" s="1018">
        <f>IF(AM138="Revêtement",T138,0)</f>
        <v>0</v>
      </c>
      <c r="BC138" s="1017"/>
      <c r="BF138" s="1018"/>
      <c r="BG138" s="1017">
        <f>IF($AM138="Structure", IF($I138="kg",$J138,0), 0)</f>
        <v>1523.4</v>
      </c>
      <c r="BH138" s="638">
        <f>IF($AM138="Insulation", IF($I138="kg",$J138,0), 0)</f>
        <v>0</v>
      </c>
      <c r="BI138" s="1018">
        <f>IF($AM138="Revêtement", IF($I138="kg",$J138,0), 0)</f>
        <v>0</v>
      </c>
      <c r="BJ138" s="638">
        <f>_xlfn.XLOOKUP(H138, 'Baumaterialien Matériaux'!A:A, 'Baumaterialien Matériaux'!E:E, "-", 0, 1)</f>
        <v>7850</v>
      </c>
      <c r="BK138" s="1032">
        <f t="shared" si="283"/>
        <v>0.19406369426751593</v>
      </c>
      <c r="BL138" s="1030">
        <f t="shared" si="284"/>
        <v>0</v>
      </c>
      <c r="BM138" s="1033">
        <f t="shared" si="285"/>
        <v>0</v>
      </c>
    </row>
    <row r="139" spans="2:67">
      <c r="B139" s="1103"/>
      <c r="C139" s="1099"/>
      <c r="D139" s="478"/>
      <c r="E139" s="478"/>
      <c r="F139" s="478" t="s">
        <v>3074</v>
      </c>
      <c r="G139" s="478" t="str">
        <f>_xlfn.XLOOKUP(H139, 'Baumaterialien Matériaux'!A:A, 'Baumaterialien Matériaux'!AD:AD, "-", 0, 1)</f>
        <v>Polystyrène expansé (EPS)</v>
      </c>
      <c r="H139" s="902" t="s">
        <v>118</v>
      </c>
      <c r="I139" s="641" t="str">
        <f>_xlfn.XLOOKUP(H139, 'Baumaterialien Matériaux'!A:A, 'Baumaterialien Matériaux'!F:F, "-", 0, 1)</f>
        <v>kg</v>
      </c>
      <c r="J139" s="649">
        <f t="shared" si="291"/>
        <v>114.255</v>
      </c>
      <c r="K139" s="647">
        <f>0.15*15</f>
        <v>2.25</v>
      </c>
      <c r="L139" s="647">
        <v>30</v>
      </c>
      <c r="M139" s="648">
        <f t="shared" si="289"/>
        <v>2.0356156979395545</v>
      </c>
      <c r="N139" s="720">
        <f>IFERROR(($J139*VLOOKUP($H139, 'Baumaterialien Matériaux'!$A$11:$AH$318, 26,FALSE)),0)/$G$1</f>
        <v>0.53406787653911525</v>
      </c>
      <c r="O139" s="720">
        <f>IFERROR(($J139*VLOOKUP($H139, 'Baumaterialien Matériaux'!$A$11:$AH$318, 33,FALSE)),0)/$G$1</f>
        <v>0.23565300982546328</v>
      </c>
      <c r="P139" s="720">
        <f t="shared" si="290"/>
        <v>0.89998134405704566</v>
      </c>
      <c r="Q139" s="720">
        <f>IFERROR(($J139*VLOOKUP($H139, 'Baumaterialien Matériaux'!$A$11:$AH$318, 27,FALSE)),0)/$G$1</f>
        <v>0.36591346751793036</v>
      </c>
      <c r="R139" s="720">
        <f>IFERROR(($J139*VLOOKUP($H139, 'Baumaterialien Matériaux'!$A$11:$AH$318, 34,FALSE)),0)/$G$1</f>
        <v>8.3603530118983457E-2</v>
      </c>
      <c r="S139" s="720">
        <f>IFERROR((J139*VLOOKUP(H139, 'Baumaterialien Matériaux'!$A$11:$AD$318, 29,FALSE)),0)/$G$1</f>
        <v>0</v>
      </c>
      <c r="T139" s="720">
        <f>S139*AJ139</f>
        <v>0</v>
      </c>
      <c r="V139" s="638">
        <f t="shared" si="156"/>
        <v>0</v>
      </c>
      <c r="W139" s="638">
        <f t="shared" si="157"/>
        <v>0</v>
      </c>
      <c r="Z139" s="638">
        <f t="shared" si="292"/>
        <v>30</v>
      </c>
      <c r="AA139" s="648" t="s">
        <v>3456</v>
      </c>
      <c r="AB139" t="str">
        <f>_xlfn.XLOOKUP($H139,'[1]Baumaterialien Matériaux'!$A:$A,'[1]Baumaterialien Matériaux'!AK:AK,0,0)</f>
        <v>oil_product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 s="1112" cm="1">
        <f t="array" ref="AD139">IFERROR(_xlfn.SWITCH(I139,"kg",1,"m3",AC139,AC139)*J139/(_xlfn.XLOOKUP(AA139,Métrés!A:A,Métrés!E:E,0)),0)</f>
        <v>0.16974194411017515</v>
      </c>
      <c r="AE139" s="1092">
        <f>IFERROR(N139*$G$1/(_xlfn.XLOOKUP($AA139,Métrés!$A:$A,Métrés!$E:$E,0)),0)</f>
        <v>0.76553616793688983</v>
      </c>
      <c r="AF139" s="1092">
        <f>IFERROR(O139*$G$1/(_xlfn.XLOOKUP($AA139,Métrés!$A:$A,Métrés!$E:$E,0)),0)</f>
        <v>0.33778646877924856</v>
      </c>
      <c r="AG139" s="1092">
        <f>IFERROR(Q139*$G$1/(_xlfn.XLOOKUP($AA139,Métrés!$A:$A,Métrés!$E:$E,0)),0)</f>
        <v>0.52450260730044118</v>
      </c>
      <c r="AH139" s="1092">
        <f>IFERROR(R139*$G$1/(_xlfn.XLOOKUP($AA139,Métrés!$A:$A,Métrés!$E:$E,0)),0)</f>
        <v>0.11983781254178365</v>
      </c>
      <c r="AI139" s="1092">
        <f>IFERROR(S139*$G$1/(_xlfn.XLOOKUP($AA139,Métrés!$A:$A,Métrés!$E:$E,0)),0)</f>
        <v>0</v>
      </c>
      <c r="AJ139" s="1022"/>
      <c r="AK139" s="638">
        <f>IF(L139=60,0,T139)</f>
        <v>0</v>
      </c>
      <c r="AL139" s="638">
        <f>IF(L139=60,0,S139)</f>
        <v>0</v>
      </c>
      <c r="AM139" s="638" t="s">
        <v>3388</v>
      </c>
      <c r="AN139" s="1017">
        <f>IF(AM139="Structure",N139,0)</f>
        <v>0</v>
      </c>
      <c r="AO139" s="638">
        <f>IF(AM139="Structure",P139,0)</f>
        <v>0</v>
      </c>
      <c r="AP139" s="638">
        <f>IF(AM139="Structure",Q139,0)</f>
        <v>0</v>
      </c>
      <c r="AQ139" s="1018">
        <f>IF(AM139="Structure",S139,0)</f>
        <v>0</v>
      </c>
      <c r="AR139" s="1018">
        <f>IF(AM139="Structure",T139,0)</f>
        <v>0</v>
      </c>
      <c r="AS139" s="1017">
        <f>IF(AM139="Insulation",N139,0)</f>
        <v>0.53406787653911525</v>
      </c>
      <c r="AT139" s="638">
        <f>IF(AM139="Insulation",P139,0)</f>
        <v>0.89998134405704566</v>
      </c>
      <c r="AU139" s="638">
        <f>IF(AM139="Insulation",Q139,0)</f>
        <v>0.36591346751793036</v>
      </c>
      <c r="AV139" s="1018">
        <f>IF(AM139="Insulation",S139,0)</f>
        <v>0</v>
      </c>
      <c r="AW139" s="1018">
        <f>IF(AM139="Insulation",T139,0)</f>
        <v>0</v>
      </c>
      <c r="AX139" s="1017">
        <f>IF(AM139="Revêtement",N139,0)</f>
        <v>0</v>
      </c>
      <c r="AY139" s="638">
        <f>IF(AM139="Revêtement",P139,0)</f>
        <v>0</v>
      </c>
      <c r="AZ139" s="638">
        <f>IF(AM139="Revêtement",Q139,0)</f>
        <v>0</v>
      </c>
      <c r="BA139" s="638">
        <f>IF(AM139="Revêtement",S139,0)</f>
        <v>0</v>
      </c>
      <c r="BB139" s="1018">
        <f>IF(AM139="Revêtement",T139,0)</f>
        <v>0</v>
      </c>
      <c r="BC139" s="1017"/>
      <c r="BF139" s="1018"/>
      <c r="BG139" s="1017">
        <f>IF($AM139="Structure", IF($I139="kg",$J139,0), 0)</f>
        <v>0</v>
      </c>
      <c r="BH139" s="638">
        <f>IF($AM139="Insulation", IF($I139="kg",$J139,0), 0)</f>
        <v>114.255</v>
      </c>
      <c r="BI139" s="1018">
        <f>IF($AM139="Revêtement", IF($I139="kg",$J139,0), 0)</f>
        <v>0</v>
      </c>
      <c r="BJ139" s="638">
        <v>15</v>
      </c>
      <c r="BK139" s="1032">
        <f t="shared" si="283"/>
        <v>0</v>
      </c>
      <c r="BL139" s="1030">
        <f t="shared" si="284"/>
        <v>7.617</v>
      </c>
      <c r="BM139" s="1033">
        <f t="shared" si="285"/>
        <v>0</v>
      </c>
    </row>
    <row r="140" spans="2:67">
      <c r="B140" s="1103"/>
      <c r="C140" s="1099"/>
      <c r="D140" s="478"/>
      <c r="E140" s="478"/>
      <c r="F140" s="478" t="s">
        <v>3073</v>
      </c>
      <c r="G140" s="478" t="str">
        <f>_xlfn.XLOOKUP(H140, 'Baumaterialien Matériaux'!A:A, 'Baumaterialien Matériaux'!AD:AD, "-", 0, 1)</f>
        <v>Bois massif épicéa / sapin / mélèze, séché en cellule, raboté</v>
      </c>
      <c r="H140" s="902" t="s">
        <v>129</v>
      </c>
      <c r="I140" s="641" t="str">
        <f>_xlfn.XLOOKUP(H140, 'Baumaterialien Matériaux'!A:A, 'Baumaterialien Matériaux'!F:F, "-", 0, 1)</f>
        <v>kg</v>
      </c>
      <c r="J140" s="649">
        <f>465*0.085</f>
        <v>39.525000000000006</v>
      </c>
      <c r="K140" s="647"/>
      <c r="L140" s="647">
        <v>30</v>
      </c>
      <c r="M140" s="648">
        <f t="shared" si="289"/>
        <v>1.6033834625430125E-2</v>
      </c>
      <c r="N140" s="720">
        <f>IFERROR(($J140*VLOOKUP($H140, 'Baumaterialien Matériaux'!$A$11:$AH$318, 26,FALSE)),0)/$G$1</f>
        <v>5.5303210895070697E-3</v>
      </c>
      <c r="O140" s="720">
        <f>IFERROR(($J140*VLOOKUP($H140, 'Baumaterialien Matériaux'!$A$11:$AH$318, 33,FALSE)),0)/$G$1</f>
        <v>1.7615096803615107E-3</v>
      </c>
      <c r="P140" s="720">
        <f t="shared" si="290"/>
        <v>7.1361624725343074E-3</v>
      </c>
      <c r="Q140" s="720">
        <f>IFERROR(($J140*VLOOKUP($H140, 'Baumaterialien Matériaux'!$A$11:$AH$318, 27,FALSE)),0)/$G$1</f>
        <v>1.6058413830272377E-3</v>
      </c>
      <c r="R140" s="720">
        <f>IFERROR(($J140*VLOOKUP($H140, 'Baumaterialien Matériaux'!$A$11:$AH$318, 34,FALSE)),0)/$G$1</f>
        <v>2.982276854193442E-4</v>
      </c>
      <c r="S140" s="720">
        <f>IFERROR((J140*VLOOKUP(H140, 'Baumaterialien Matériaux'!$A$11:$AD$318, 29,FALSE)),0)/$G$1</f>
        <v>6.7743019568011278E-2</v>
      </c>
      <c r="T140" s="720">
        <f>S140*AJ140</f>
        <v>6.7743019568011276E-4</v>
      </c>
      <c r="U140" s="638">
        <v>0.01</v>
      </c>
      <c r="V140" s="638">
        <f t="shared" si="156"/>
        <v>6.7743019568011276E-4</v>
      </c>
      <c r="W140" s="638">
        <f t="shared" si="157"/>
        <v>6.7743019568011278E-2</v>
      </c>
      <c r="Z140" s="638">
        <f t="shared" si="292"/>
        <v>30</v>
      </c>
      <c r="AA140" s="648" t="s">
        <v>3456</v>
      </c>
      <c r="AB140" t="str">
        <f>_xlfn.XLOOKUP($H140,'[1]Baumaterialien Matériaux'!$A:$A,'[1]Baumaterialien Matériaux'!AK:AK,0,0)</f>
        <v>timber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 s="1112" cm="1">
        <f t="array" ref="AD140">IFERROR(_xlfn.SWITCH(I140,"kg",1,"m3",AC140,AC140)*J140/(_xlfn.XLOOKUP(AA140,Métrés!A:A,Métrés!E:E,0)),0)</f>
        <v>5.8719971475687485E-2</v>
      </c>
      <c r="AE140" s="1092">
        <f>IFERROR(N140*$G$1/(_xlfn.XLOOKUP($AA140,Métrés!$A:$A,Métrés!$E:$E,0)),0)</f>
        <v>7.9271961492178127E-3</v>
      </c>
      <c r="AF140" s="1092">
        <f>IFERROR(O140*$G$1/(_xlfn.XLOOKUP($AA140,Métrés!$A:$A,Métrés!$E:$E,0)),0)</f>
        <v>2.5249587734545616E-3</v>
      </c>
      <c r="AG140" s="1092">
        <f>IFERROR(Q140*$G$1/(_xlfn.XLOOKUP($AA140,Métrés!$A:$A,Métrés!$E:$E,0)),0)</f>
        <v>2.3018228818469494E-3</v>
      </c>
      <c r="AH140" s="1092">
        <f>IFERROR(R140*$G$1/(_xlfn.XLOOKUP($AA140,Métrés!$A:$A,Métrés!$E:$E,0)),0)</f>
        <v>4.2748139234300494E-4</v>
      </c>
      <c r="AI140" s="1092">
        <f>IFERROR(S140*$G$1/(_xlfn.XLOOKUP($AA140,Métrés!$A:$A,Métrés!$E:$E,0)),0)</f>
        <v>9.7103259496961872E-2</v>
      </c>
      <c r="AJ140" s="1022">
        <v>0.01</v>
      </c>
      <c r="AK140" s="638">
        <f>IF(L140=60,0,T140)</f>
        <v>6.7743019568011276E-4</v>
      </c>
      <c r="AL140" s="638">
        <f>IF(L140=60,0,S140)</f>
        <v>6.7743019568011278E-2</v>
      </c>
      <c r="AM140" s="638" t="str">
        <f>IF(L140=$L$2, "Structure", IF(L140&gt;0,"Revêtement",0))</f>
        <v>Revêtement</v>
      </c>
      <c r="AN140" s="1017">
        <f>IF(AM140="Structure",N140,0)</f>
        <v>0</v>
      </c>
      <c r="AO140" s="638">
        <f>IF(AM140="Structure",P140,0)</f>
        <v>0</v>
      </c>
      <c r="AP140" s="638">
        <f>IF(AM140="Structure",Q140,0)</f>
        <v>0</v>
      </c>
      <c r="AQ140" s="1018">
        <f>IF(AM140="Structure",S140,0)</f>
        <v>0</v>
      </c>
      <c r="AR140" s="1018">
        <f>IF(AM140="Structure",T140,0)</f>
        <v>0</v>
      </c>
      <c r="AS140" s="1017">
        <f>IF(AM140="Insulation",N140,0)</f>
        <v>0</v>
      </c>
      <c r="AT140" s="638">
        <f>IF(AM140="Insulation",P140,0)</f>
        <v>0</v>
      </c>
      <c r="AU140" s="638">
        <f>IF(AM140="Insulation",Q140,0)</f>
        <v>0</v>
      </c>
      <c r="AV140" s="1018">
        <f>IF(AM140="Insulation",S140,0)</f>
        <v>0</v>
      </c>
      <c r="AW140" s="1018">
        <f>IF(AM140="Insulation",T140,0)</f>
        <v>0</v>
      </c>
      <c r="AX140" s="1017">
        <f>IF(AM140="Revêtement",N140,0)</f>
        <v>5.5303210895070697E-3</v>
      </c>
      <c r="AY140" s="638">
        <f>IF(AM140="Revêtement",P140,0)</f>
        <v>7.1361624725343074E-3</v>
      </c>
      <c r="AZ140" s="638">
        <f>IF(AM140="Revêtement",Q140,0)</f>
        <v>1.6058413830272377E-3</v>
      </c>
      <c r="BA140" s="638">
        <f>IF(AM140="Revêtement",S140,0)</f>
        <v>6.7743019568011278E-2</v>
      </c>
      <c r="BB140" s="1018">
        <f>IF(AM140="Revêtement",T140,0)</f>
        <v>6.7743019568011276E-4</v>
      </c>
      <c r="BC140" s="1017"/>
      <c r="BF140" s="1018"/>
      <c r="BG140" s="1017">
        <f>IF($AM140="Structure", IF($I140="kg",$J140,0), 0)</f>
        <v>0</v>
      </c>
      <c r="BH140" s="638">
        <f>IF($AM140="Insulation", IF($I140="kg",$J140,0), 0)</f>
        <v>0</v>
      </c>
      <c r="BI140" s="1018">
        <f>IF($AM140="Revêtement", IF($I140="kg",$J140,0), 0)</f>
        <v>39.525000000000006</v>
      </c>
      <c r="BJ140" s="638">
        <f>_xlfn.XLOOKUP(H140, 'Baumaterialien Matériaux'!A:A, 'Baumaterialien Matériaux'!E:E, "-", 0, 1)</f>
        <v>465</v>
      </c>
      <c r="BK140" s="1032">
        <f t="shared" si="283"/>
        <v>0</v>
      </c>
      <c r="BL140" s="1030">
        <f t="shared" si="284"/>
        <v>0</v>
      </c>
      <c r="BM140" s="1033">
        <f t="shared" si="285"/>
        <v>8.5000000000000006E-2</v>
      </c>
    </row>
    <row r="141" spans="2:67">
      <c r="B141" s="1103"/>
      <c r="C141" s="1099"/>
      <c r="D141" s="478"/>
      <c r="E141" s="478"/>
      <c r="F141" s="479" t="s">
        <v>3075</v>
      </c>
      <c r="G141" s="479"/>
      <c r="H141" s="479"/>
      <c r="I141" s="460" t="s">
        <v>39</v>
      </c>
      <c r="J141" s="662">
        <v>91.88</v>
      </c>
      <c r="K141" s="663"/>
      <c r="L141" s="663"/>
      <c r="M141" s="664">
        <f>SUM(M142:M143)</f>
        <v>14.713141577878197</v>
      </c>
      <c r="N141" s="664">
        <f t="shared" ref="N141:T141" si="293">SUM(N142:N143)</f>
        <v>11.445213647858713</v>
      </c>
      <c r="O141" s="664">
        <f t="shared" ref="O141" si="294">SUM(O142:O143)</f>
        <v>2.4394804693006096</v>
      </c>
      <c r="P141" s="664">
        <f t="shared" si="293"/>
        <v>0</v>
      </c>
      <c r="Q141" s="664">
        <f t="shared" si="293"/>
        <v>0.82844746071887565</v>
      </c>
      <c r="R141" s="664">
        <f t="shared" ref="R141" si="295">SUM(R142:R143)</f>
        <v>0.16435629700261184</v>
      </c>
      <c r="S141" s="664">
        <f t="shared" si="293"/>
        <v>0</v>
      </c>
      <c r="T141" s="664">
        <f t="shared" si="293"/>
        <v>0</v>
      </c>
      <c r="V141" s="638">
        <f t="shared" ref="V141:V204" si="296">IF(L141=60,0,T141)</f>
        <v>0</v>
      </c>
      <c r="W141" s="638">
        <f t="shared" ref="W141:W204" si="297">IF(L141=60,0,S141)</f>
        <v>0</v>
      </c>
      <c r="X141" s="638">
        <f t="shared" si="223"/>
        <v>0</v>
      </c>
      <c r="Z141" s="638">
        <f t="shared" si="292"/>
        <v>0</v>
      </c>
      <c r="AA141" s="648" t="s">
        <v>3456</v>
      </c>
      <c r="AB141">
        <f>_xlfn.XLOOKUP($H141,'[1]Baumaterialien Matériaux'!$A:$A,'[1]Baumaterialien Matériaux'!AK:AK,0,0)</f>
        <v>0</v>
      </c>
      <c r="AC141" cm="1">
        <f t="array" ref="AC141">_xlfn.SWITCH(I141,"kg"," ",0," ",_xlfn.XLOOKUP(H141, '[1]Baumaterialien Matériaux'!$A:$A, '[1]Baumaterialien Matériaux'!$AL:$AL, "-", 0, 1))</f>
        <v>0</v>
      </c>
      <c r="AD141" s="1112" cm="1">
        <f t="array" ref="AD141">IFERROR(_xlfn.SWITCH(I141,"kg",1,"m3",AC141,AC141)*J141/(_xlfn.XLOOKUP(AA141,Métrés!A:A,Métrés!E:E,0)),0)</f>
        <v>0</v>
      </c>
      <c r="AE141" s="1092">
        <f>IFERROR(N141*$G$1/(_xlfn.XLOOKUP($AA141,Métrés!$A:$A,Métrés!$E:$E,0)),0)</f>
        <v>16.40563939920667</v>
      </c>
      <c r="AF141" s="1092">
        <f>IFERROR(O141*$G$1/(_xlfn.XLOOKUP($AA141,Métrés!$A:$A,Métrés!$E:$E,0)),0)</f>
        <v>3.4967662581153158</v>
      </c>
      <c r="AG141" s="1092">
        <f>IFERROR(Q141*$G$1/(_xlfn.XLOOKUP($AA141,Métrés!$A:$A,Métrés!$E:$E,0)),0)</f>
        <v>1.187501668375154</v>
      </c>
      <c r="AH141" s="1092">
        <f>IFERROR(R141*$G$1/(_xlfn.XLOOKUP($AA141,Métrés!$A:$A,Métrés!$E:$E,0)),0)</f>
        <v>0.23558932358752657</v>
      </c>
      <c r="AI141" s="1092">
        <f>IFERROR(S141*$G$1/(_xlfn.XLOOKUP($AA141,Métrés!$A:$A,Métrés!$E:$E,0)),0)</f>
        <v>0</v>
      </c>
      <c r="AJ141" s="878"/>
      <c r="AK141" s="878"/>
      <c r="AL141" s="878"/>
      <c r="AM141" s="878"/>
      <c r="AN141" s="1053"/>
      <c r="AO141" s="878"/>
      <c r="AP141" s="878"/>
      <c r="AQ141" s="878"/>
      <c r="AR141" s="1054"/>
      <c r="AS141" s="1053"/>
      <c r="AT141" s="878"/>
      <c r="AU141" s="878"/>
      <c r="AV141" s="878"/>
      <c r="AW141" s="1054"/>
      <c r="AX141" s="1053"/>
      <c r="AY141" s="878"/>
      <c r="AZ141" s="878"/>
      <c r="BA141" s="878"/>
      <c r="BB141" s="1054"/>
      <c r="BC141" s="1053"/>
      <c r="BD141" s="878"/>
      <c r="BE141" s="878"/>
      <c r="BF141" s="1054"/>
      <c r="BG141" s="1053"/>
      <c r="BH141" s="878"/>
      <c r="BI141" s="1054"/>
      <c r="BJ141" s="878"/>
      <c r="BK141" s="1053"/>
      <c r="BL141" s="878"/>
      <c r="BM141" s="1054"/>
    </row>
    <row r="142" spans="2:67">
      <c r="B142" s="1103"/>
      <c r="C142" s="1099"/>
      <c r="D142" s="478"/>
      <c r="E142" s="478"/>
      <c r="F142" s="638" t="s">
        <v>3076</v>
      </c>
      <c r="G142" s="478" t="str">
        <f>_xlfn.XLOOKUP(H142, 'Baumaterialien Matériaux'!A:A, 'Baumaterialien Matériaux'!AD:AD, "-", 0, 1)</f>
        <v>Béton pour bâtiment (sans armature)</v>
      </c>
      <c r="H142" s="891">
        <v>1.0019999999999998</v>
      </c>
      <c r="I142" s="641" t="str">
        <f>_xlfn.XLOOKUP(H142, 'Baumaterialien Matériaux'!A:A, 'Baumaterialien Matériaux'!F:F, "-", 0, 1)</f>
        <v>kg</v>
      </c>
      <c r="J142" s="649">
        <f>$J$141*K142</f>
        <v>59170.720000000008</v>
      </c>
      <c r="K142" s="893">
        <f>0.28*2300</f>
        <v>644.00000000000011</v>
      </c>
      <c r="L142" s="643">
        <v>60</v>
      </c>
      <c r="M142" s="648">
        <f t="shared" ref="M142:M143" si="298">SUM(N142:Q142)</f>
        <v>7.5002892251565028</v>
      </c>
      <c r="N142" s="720">
        <f>IFERROR(($J142*VLOOKUP($H142, 'Baumaterialien Matériaux'!$A$11:$AH$318, 26,FALSE)),0)/$G$1</f>
        <v>5.4458355126238551</v>
      </c>
      <c r="O142" s="720">
        <f>IFERROR(($J142*VLOOKUP($H142, 'Baumaterialien Matériaux'!$A$11:$AH$318, 33,FALSE)),0)/$G$1</f>
        <v>1.2756011110650471</v>
      </c>
      <c r="P142" s="720">
        <f t="shared" ref="P142:P143" si="299">IFERROR((N142+Q142)*($L$2/L142-1),0)</f>
        <v>0</v>
      </c>
      <c r="Q142" s="720">
        <f>IFERROR(($J142*VLOOKUP($H142, 'Baumaterialien Matériaux'!$A$11:$AH$318, 27,FALSE)),0)/$G$1</f>
        <v>0.77885260146760082</v>
      </c>
      <c r="R142" s="720">
        <f>IFERROR(($J142*VLOOKUP($H142, 'Baumaterialien Matériaux'!$A$11:$AH$318, 34,FALSE)),0)/$G$1</f>
        <v>0.16435629700261184</v>
      </c>
      <c r="S142" s="720">
        <f>IFERROR((J142*VLOOKUP(H142, 'Baumaterialien Matériaux'!$A$11:$AD$318, 29,FALSE)),0)/$G$1</f>
        <v>0</v>
      </c>
      <c r="T142" s="720">
        <f>S142*AJ142</f>
        <v>0</v>
      </c>
      <c r="V142" s="638">
        <f t="shared" si="296"/>
        <v>0</v>
      </c>
      <c r="W142" s="638">
        <f t="shared" si="297"/>
        <v>0</v>
      </c>
      <c r="Z142" s="638">
        <f t="shared" si="292"/>
        <v>60</v>
      </c>
      <c r="AA142" s="648" t="s">
        <v>3456</v>
      </c>
      <c r="AB142" t="str">
        <f>_xlfn.XLOOKUP($H142,'[1]Baumaterialien Matériaux'!$A:$A,'[1]Baumaterialien Matériaux'!AK:AK,0,0)</f>
        <v>concrete</v>
      </c>
      <c r="AC142" t="str" cm="1">
        <f t="array" ref="AC142">_xlfn.SWITCH(I142,"kg"," ",0," ",_xlfn.XLOOKUP(H142, '[1]Baumaterialien Matériaux'!$A:$A, '[1]Baumaterialien Matériaux'!$AL:$AL, "-", 0, 1))</f>
        <v xml:space="preserve"> </v>
      </c>
      <c r="AD142" s="1112" cm="1">
        <f t="array" ref="AD142">IFERROR(_xlfn.SWITCH(I142,"kg",1,"m3",AC142,AC142)*J142/(_xlfn.XLOOKUP(AA142,Métrés!A:A,Métrés!E:E,0)),0)</f>
        <v>87.906464025196485</v>
      </c>
      <c r="AE142" s="1092">
        <f>IFERROR(N142*$G$1/(_xlfn.XLOOKUP($AA142,Métrés!$A:$A,Métrés!$E:$E,0)),0)</f>
        <v>7.8060940054374477</v>
      </c>
      <c r="AF142" s="1092">
        <f>IFERROR(O142*$G$1/(_xlfn.XLOOKUP($AA142,Métrés!$A:$A,Métrés!$E:$E,0)),0)</f>
        <v>1.8284544517240868</v>
      </c>
      <c r="AG142" s="1092">
        <f>IFERROR(Q142*$G$1/(_xlfn.XLOOKUP($AA142,Métrés!$A:$A,Métrés!$E:$E,0)),0)</f>
        <v>1.1164120931199952</v>
      </c>
      <c r="AH142" s="1092">
        <f>IFERROR(R142*$G$1/(_xlfn.XLOOKUP($AA142,Métrés!$A:$A,Métrés!$E:$E,0)),0)</f>
        <v>0.23558932358752657</v>
      </c>
      <c r="AI142" s="1092">
        <f>IFERROR(S142*$G$1/(_xlfn.XLOOKUP($AA142,Métrés!$A:$A,Métrés!$E:$E,0)),0)</f>
        <v>0</v>
      </c>
      <c r="AJ142" s="1022"/>
      <c r="AK142" s="638">
        <f>IF(L142=60,0,T142)</f>
        <v>0</v>
      </c>
      <c r="AL142" s="638">
        <f>IF(L142=60,0,S142)</f>
        <v>0</v>
      </c>
      <c r="AM142" s="638" t="str">
        <f>IF(L142=$L$2, "Structure", IF(L142&gt;0,"Revêtement",0))</f>
        <v>Structure</v>
      </c>
      <c r="AN142" s="1017">
        <f>IF(AM142="Structure",N142,0)</f>
        <v>5.4458355126238551</v>
      </c>
      <c r="AO142" s="638">
        <f>IF(AM142="Structure",P142,0)</f>
        <v>0</v>
      </c>
      <c r="AP142" s="638">
        <f>IF(AM142="Structure",Q142,0)</f>
        <v>0.77885260146760082</v>
      </c>
      <c r="AQ142" s="1018">
        <f>IF(AM142="Structure",S142,0)</f>
        <v>0</v>
      </c>
      <c r="AR142" s="1018">
        <f>IF(AM142="Structure",T142,0)</f>
        <v>0</v>
      </c>
      <c r="AS142" s="1017">
        <f>IF(AM142="Insulation",N142,0)</f>
        <v>0</v>
      </c>
      <c r="AT142" s="638">
        <f>IF(AM142="Insulation",P142,0)</f>
        <v>0</v>
      </c>
      <c r="AU142" s="638">
        <f>IF(AM142="Insulation",Q142,0)</f>
        <v>0</v>
      </c>
      <c r="AV142" s="1018">
        <f>IF(AM142="Insulation",S142,0)</f>
        <v>0</v>
      </c>
      <c r="AW142" s="1018">
        <f>IF(AM142="Insulation",T142,0)</f>
        <v>0</v>
      </c>
      <c r="AX142" s="1017">
        <f>IF(AM142="Revêtement",N142,0)</f>
        <v>0</v>
      </c>
      <c r="AY142" s="638">
        <f>IF(AM142="Revêtement",P142,0)</f>
        <v>0</v>
      </c>
      <c r="AZ142" s="638">
        <f>IF(AM142="Revêtement",Q142,0)</f>
        <v>0</v>
      </c>
      <c r="BA142" s="638">
        <f>IF(AM142="Revêtement",S142,0)</f>
        <v>0</v>
      </c>
      <c r="BB142" s="1018">
        <f>IF(AM142="Revêtement",T142,0)</f>
        <v>0</v>
      </c>
      <c r="BC142" s="1017"/>
      <c r="BF142" s="1018"/>
      <c r="BG142" s="1017">
        <f>IF($AM142="Structure", IF($I142="kg",$J142,0), 0)</f>
        <v>59170.720000000008</v>
      </c>
      <c r="BH142" s="638">
        <f>IF($AM142="Insulation", IF($I142="kg",$J142,0), 0)</f>
        <v>0</v>
      </c>
      <c r="BI142" s="1018">
        <f>IF($AM142="Revêtement", IF($I142="kg",$J142,0), 0)</f>
        <v>0</v>
      </c>
      <c r="BJ142" s="638">
        <f>_xlfn.XLOOKUP(H142, 'Baumaterialien Matériaux'!A:A, 'Baumaterialien Matériaux'!E:E, "-", 0, 1)</f>
        <v>2300</v>
      </c>
      <c r="BK142" s="1032">
        <f t="shared" si="283"/>
        <v>25.726400000000005</v>
      </c>
      <c r="BL142" s="1030">
        <f t="shared" si="284"/>
        <v>0</v>
      </c>
      <c r="BM142" s="1033">
        <f t="shared" si="285"/>
        <v>0</v>
      </c>
    </row>
    <row r="143" spans="2:67">
      <c r="B143" s="1103"/>
      <c r="C143" s="1099"/>
      <c r="D143" s="478"/>
      <c r="E143" s="478"/>
      <c r="F143" s="478" t="s">
        <v>3004</v>
      </c>
      <c r="G143" s="478" t="str">
        <f>_xlfn.XLOOKUP(H143, 'Baumaterialien Matériaux'!A:A, 'Baumaterialien Matériaux'!AD:AD, "-", 0, 1)</f>
        <v>Acier d'armature</v>
      </c>
      <c r="H143" s="892" t="s">
        <v>497</v>
      </c>
      <c r="I143" s="641" t="str">
        <f>_xlfn.XLOOKUP(H143, 'Baumaterialien Matériaux'!A:A, 'Baumaterialien Matériaux'!F:F, "-", 0, 1)</f>
        <v>kg</v>
      </c>
      <c r="J143" s="649">
        <f>$J$141*K143</f>
        <v>3858.9600000000005</v>
      </c>
      <c r="K143" s="894">
        <f>0.28*150</f>
        <v>42.000000000000007</v>
      </c>
      <c r="L143" s="647">
        <v>60</v>
      </c>
      <c r="M143" s="648">
        <f t="shared" si="298"/>
        <v>7.2128523527216952</v>
      </c>
      <c r="N143" s="720">
        <f>IFERROR(($J143*VLOOKUP($H143, 'Baumaterialien Matériaux'!$A$11:$AH$318, 26,FALSE)),0)/$G$1</f>
        <v>5.9993781352348581</v>
      </c>
      <c r="O143" s="720">
        <f>IFERROR(($J143*VLOOKUP($H143, 'Baumaterialien Matériaux'!$A$11:$AH$318, 33,FALSE)),0)/$G$1</f>
        <v>1.1638793582355624</v>
      </c>
      <c r="P143" s="720">
        <f t="shared" si="299"/>
        <v>0</v>
      </c>
      <c r="Q143" s="720">
        <f>IFERROR(($J143*VLOOKUP($H143, 'Baumaterialien Matériaux'!$A$11:$AH$318, 27,FALSE)),0)/$G$1</f>
        <v>4.9594859251274825E-2</v>
      </c>
      <c r="R143" s="720">
        <f>IFERROR(($J143*VLOOKUP($H143, 'Baumaterialien Matériaux'!$A$11:$AH$318, 34,FALSE)),0)/$G$1</f>
        <v>0</v>
      </c>
      <c r="S143" s="720">
        <f>IFERROR((J143*VLOOKUP(H143, 'Baumaterialien Matériaux'!$A$11:$AD$318, 29,FALSE)),0)/$G$1</f>
        <v>0</v>
      </c>
      <c r="T143" s="720">
        <f>S143*AJ143</f>
        <v>0</v>
      </c>
      <c r="V143" s="638">
        <f t="shared" si="296"/>
        <v>0</v>
      </c>
      <c r="W143" s="638">
        <f t="shared" si="297"/>
        <v>0</v>
      </c>
      <c r="Z143" s="638">
        <f t="shared" si="292"/>
        <v>60</v>
      </c>
      <c r="AA143" s="648" t="s">
        <v>3456</v>
      </c>
      <c r="AB143" t="str">
        <f>_xlfn.XLOOKUP($H143,'[1]Baumaterialien Matériaux'!$A:$A,'[1]Baumaterialien Matériaux'!AK:AK,0,0)</f>
        <v>metal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 s="1112" cm="1">
        <f t="array" ref="AD143">IFERROR(_xlfn.SWITCH(I143,"kg",1,"m3",AC143,AC143)*J143/(_xlfn.XLOOKUP(AA143,Métrés!A:A,Métrés!E:E,0)),0)</f>
        <v>5.7330302625128144</v>
      </c>
      <c r="AE143" s="1092">
        <f>IFERROR(N143*$G$1/(_xlfn.XLOOKUP($AA143,Métrés!$A:$A,Métrés!$E:$E,0)),0)</f>
        <v>8.5995453937692208</v>
      </c>
      <c r="AF143" s="1092">
        <f>IFERROR(O143*$G$1/(_xlfn.XLOOKUP($AA143,Métrés!$A:$A,Métrés!$E:$E,0)),0)</f>
        <v>1.668311806391229</v>
      </c>
      <c r="AG143" s="1092">
        <f>IFERROR(Q143*$G$1/(_xlfn.XLOOKUP($AA143,Métrés!$A:$A,Métrés!$E:$E,0)),0)</f>
        <v>7.1089575255158896E-2</v>
      </c>
      <c r="AH143" s="1092">
        <f>IFERROR(R143*$G$1/(_xlfn.XLOOKUP($AA143,Métrés!$A:$A,Métrés!$E:$E,0)),0)</f>
        <v>0</v>
      </c>
      <c r="AI143" s="1092">
        <f>IFERROR(S143*$G$1/(_xlfn.XLOOKUP($AA143,Métrés!$A:$A,Métrés!$E:$E,0)),0)</f>
        <v>0</v>
      </c>
      <c r="AJ143" s="1022"/>
      <c r="AK143" s="638">
        <f>IF(L143=60,0,T143)</f>
        <v>0</v>
      </c>
      <c r="AL143" s="638">
        <f>IF(L143=60,0,S143)</f>
        <v>0</v>
      </c>
      <c r="AM143" s="638" t="str">
        <f>IF(L143=$L$2, "Structure", IF(L143&gt;0,"Revêtement",0))</f>
        <v>Structure</v>
      </c>
      <c r="AN143" s="1017">
        <f>IF(AM143="Structure",N143,0)</f>
        <v>5.9993781352348581</v>
      </c>
      <c r="AO143" s="638">
        <f>IF(AM143="Structure",P143,0)</f>
        <v>0</v>
      </c>
      <c r="AP143" s="638">
        <f>IF(AM143="Structure",Q143,0)</f>
        <v>4.9594859251274825E-2</v>
      </c>
      <c r="AQ143" s="1018">
        <f>IF(AM143="Structure",S143,0)</f>
        <v>0</v>
      </c>
      <c r="AR143" s="1018">
        <f>IF(AM143="Structure",T143,0)</f>
        <v>0</v>
      </c>
      <c r="AS143" s="1017">
        <f>IF(AM143="Insulation",N143,0)</f>
        <v>0</v>
      </c>
      <c r="AT143" s="638">
        <f>IF(AM143="Insulation",P143,0)</f>
        <v>0</v>
      </c>
      <c r="AU143" s="638">
        <f>IF(AM143="Insulation",Q143,0)</f>
        <v>0</v>
      </c>
      <c r="AV143" s="1018">
        <f>IF(AM143="Insulation",S143,0)</f>
        <v>0</v>
      </c>
      <c r="AW143" s="1018">
        <f>IF(AM143="Insulation",T143,0)</f>
        <v>0</v>
      </c>
      <c r="AX143" s="1017">
        <f>IF(AM143="Revêtement",N143,0)</f>
        <v>0</v>
      </c>
      <c r="AY143" s="638">
        <f>IF(AM143="Revêtement",P143,0)</f>
        <v>0</v>
      </c>
      <c r="AZ143" s="638">
        <f>IF(AM143="Revêtement",Q143,0)</f>
        <v>0</v>
      </c>
      <c r="BA143" s="638">
        <f>IF(AM143="Revêtement",S143,0)</f>
        <v>0</v>
      </c>
      <c r="BB143" s="1018">
        <f>IF(AM143="Revêtement",T143,0)</f>
        <v>0</v>
      </c>
      <c r="BC143" s="1017"/>
      <c r="BF143" s="1018"/>
      <c r="BG143" s="1017">
        <f>IF($AM143="Structure", IF($I143="kg",$J143,0), 0)</f>
        <v>3858.9600000000005</v>
      </c>
      <c r="BH143" s="638">
        <f>IF($AM143="Insulation", IF($I143="kg",$J143,0), 0)</f>
        <v>0</v>
      </c>
      <c r="BI143" s="1018">
        <f>IF($AM143="Revêtement", IF($I143="kg",$J143,0), 0)</f>
        <v>0</v>
      </c>
      <c r="BJ143" s="638">
        <f>_xlfn.XLOOKUP(H143, 'Baumaterialien Matériaux'!A:A, 'Baumaterialien Matériaux'!E:E, "-", 0, 1)</f>
        <v>7850</v>
      </c>
      <c r="BK143" s="1032">
        <f t="shared" si="283"/>
        <v>0.49158726114649687</v>
      </c>
      <c r="BL143" s="1030">
        <f t="shared" si="284"/>
        <v>0</v>
      </c>
      <c r="BM143" s="1033">
        <f t="shared" si="285"/>
        <v>0</v>
      </c>
    </row>
    <row r="144" spans="2:67">
      <c r="B144" s="1103"/>
      <c r="C144" s="1099"/>
      <c r="D144" s="478"/>
      <c r="E144" s="478"/>
      <c r="F144" s="479" t="s">
        <v>3077</v>
      </c>
      <c r="G144" s="479"/>
      <c r="H144" s="479"/>
      <c r="I144" s="460" t="s">
        <v>39</v>
      </c>
      <c r="J144" s="662">
        <v>30.47</v>
      </c>
      <c r="K144" s="663"/>
      <c r="L144" s="663"/>
      <c r="M144" s="664">
        <f>SUM(M145:M146)</f>
        <v>3.4852091538493424</v>
      </c>
      <c r="N144" s="664">
        <f t="shared" ref="N144:T144" si="300">SUM(N145:N146)</f>
        <v>2.7111112308776582</v>
      </c>
      <c r="O144" s="664">
        <f t="shared" ref="O144" si="301">SUM(O145:O146)</f>
        <v>0.57785753078230573</v>
      </c>
      <c r="P144" s="664">
        <f t="shared" si="300"/>
        <v>0</v>
      </c>
      <c r="Q144" s="664">
        <f t="shared" si="300"/>
        <v>0.1962403921893785</v>
      </c>
      <c r="R144" s="664">
        <f t="shared" ref="R144" si="302">SUM(R145:R146)</f>
        <v>3.8932274781310887E-2</v>
      </c>
      <c r="S144" s="664">
        <f t="shared" si="300"/>
        <v>0</v>
      </c>
      <c r="T144" s="664">
        <f t="shared" si="300"/>
        <v>0</v>
      </c>
      <c r="V144" s="638">
        <f t="shared" si="296"/>
        <v>0</v>
      </c>
      <c r="W144" s="638">
        <f t="shared" si="297"/>
        <v>0</v>
      </c>
      <c r="Z144" s="638">
        <f t="shared" si="292"/>
        <v>0</v>
      </c>
      <c r="AA144" s="648" t="s">
        <v>3456</v>
      </c>
      <c r="AB144">
        <f>_xlfn.XLOOKUP($H144,'[1]Baumaterialien Matériaux'!$A:$A,'[1]Baumaterialien Matériaux'!AK:AK,0,0)</f>
        <v>0</v>
      </c>
      <c r="AC144" cm="1">
        <f t="array" ref="AC144">_xlfn.SWITCH(I144,"kg"," ",0," ",_xlfn.XLOOKUP(H144, '[1]Baumaterialien Matériaux'!$A:$A, '[1]Baumaterialien Matériaux'!$AL:$AL, "-", 0, 1))</f>
        <v>0</v>
      </c>
      <c r="AD144" s="1112" cm="1">
        <f t="array" ref="AD144">IFERROR(_xlfn.SWITCH(I144,"kg",1,"m3",AC144,AC144)*J144/(_xlfn.XLOOKUP(AA144,Métrés!A:A,Métrés!E:E,0)),0)</f>
        <v>0</v>
      </c>
      <c r="AE144" s="1092">
        <f>IFERROR(N144*$G$1/(_xlfn.XLOOKUP($AA144,Métrés!$A:$A,Métrés!$E:$E,0)),0)</f>
        <v>3.8861234567901235</v>
      </c>
      <c r="AF144" s="1092">
        <f>IFERROR(O144*$G$1/(_xlfn.XLOOKUP($AA144,Métrés!$A:$A,Métrés!$E:$E,0)),0)</f>
        <v>0.82830452674897104</v>
      </c>
      <c r="AG144" s="1092">
        <f>IFERROR(Q144*$G$1/(_xlfn.XLOOKUP($AA144,Métrés!$A:$A,Métrés!$E:$E,0)),0)</f>
        <v>0.28129218106995879</v>
      </c>
      <c r="AH144" s="1092">
        <f>IFERROR(R144*$G$1/(_xlfn.XLOOKUP($AA144,Métrés!$A:$A,Métrés!$E:$E,0)),0)</f>
        <v>5.580576131687242E-2</v>
      </c>
      <c r="AI144" s="1092">
        <f>IFERROR(S144*$G$1/(_xlfn.XLOOKUP($AA144,Métrés!$A:$A,Métrés!$E:$E,0)),0)</f>
        <v>0</v>
      </c>
      <c r="AJ144" s="878"/>
      <c r="AK144" s="878"/>
      <c r="AL144" s="878"/>
      <c r="AM144" s="878"/>
      <c r="AN144" s="1053"/>
      <c r="AO144" s="878"/>
      <c r="AP144" s="878"/>
      <c r="AQ144" s="878"/>
      <c r="AR144" s="1054"/>
      <c r="AS144" s="1053"/>
      <c r="AT144" s="878"/>
      <c r="AU144" s="878"/>
      <c r="AV144" s="878"/>
      <c r="AW144" s="1054"/>
      <c r="AX144" s="1053"/>
      <c r="AY144" s="878"/>
      <c r="AZ144" s="878"/>
      <c r="BA144" s="878"/>
      <c r="BB144" s="1054"/>
      <c r="BC144" s="1053"/>
      <c r="BD144" s="878"/>
      <c r="BE144" s="878"/>
      <c r="BF144" s="1054"/>
      <c r="BG144" s="1053"/>
      <c r="BH144" s="878"/>
      <c r="BI144" s="1054"/>
      <c r="BJ144" s="878"/>
      <c r="BK144" s="1053"/>
      <c r="BL144" s="878"/>
      <c r="BM144" s="1054"/>
    </row>
    <row r="145" spans="2:67">
      <c r="B145" s="1103"/>
      <c r="C145" s="1099"/>
      <c r="D145" s="478"/>
      <c r="E145" s="478"/>
      <c r="F145" s="638" t="s">
        <v>2981</v>
      </c>
      <c r="G145" s="478" t="str">
        <f>_xlfn.XLOOKUP(H145, 'Baumaterialien Matériaux'!A:A, 'Baumaterialien Matériaux'!AD:AD, "-", 0, 1)</f>
        <v>Béton pour bâtiment (sans armature)</v>
      </c>
      <c r="H145" s="891">
        <v>1.0019999999999998</v>
      </c>
      <c r="I145" s="641" t="str">
        <f>_xlfn.XLOOKUP(H145, 'Baumaterialien Matériaux'!A:A, 'Baumaterialien Matériaux'!F:F, "-", 0, 1)</f>
        <v>kg</v>
      </c>
      <c r="J145" s="649">
        <f>$J$144*K145</f>
        <v>14016.199999999999</v>
      </c>
      <c r="K145" s="893">
        <f>0.2*2300</f>
        <v>460</v>
      </c>
      <c r="L145" s="643">
        <v>60</v>
      </c>
      <c r="M145" s="648">
        <f t="shared" ref="M145:M146" si="303">SUM(N145:Q145)</f>
        <v>1.7766482111023587</v>
      </c>
      <c r="N145" s="720">
        <f>IFERROR(($J145*VLOOKUP($H145, 'Baumaterialien Matériaux'!$A$11:$AH$318, 26,FALSE)),0)/$G$1</f>
        <v>1.2899947763359727</v>
      </c>
      <c r="O145" s="720">
        <f>IFERROR(($J145*VLOOKUP($H145, 'Baumaterialien Matériaux'!$A$11:$AH$318, 33,FALSE)),0)/$G$1</f>
        <v>0.30216093860121879</v>
      </c>
      <c r="P145" s="720">
        <f t="shared" ref="P145:P146" si="304">IFERROR((N145+Q145)*($L$2/L145-1),0)</f>
        <v>0</v>
      </c>
      <c r="Q145" s="720">
        <f>IFERROR(($J145*VLOOKUP($H145, 'Baumaterialien Matériaux'!$A$11:$AH$318, 27,FALSE)),0)/$G$1</f>
        <v>0.18449249616516725</v>
      </c>
      <c r="R145" s="720">
        <f>IFERROR(($J145*VLOOKUP($H145, 'Baumaterialien Matériaux'!$A$11:$AH$318, 34,FALSE)),0)/$G$1</f>
        <v>3.8932274781310887E-2</v>
      </c>
      <c r="S145" s="720">
        <f>IFERROR((J145*VLOOKUP(H145, 'Baumaterialien Matériaux'!$A$11:$AD$318, 29,FALSE)),0)/$G$1</f>
        <v>0</v>
      </c>
      <c r="T145" s="720">
        <f>S145*AJ145</f>
        <v>0</v>
      </c>
      <c r="V145" s="638">
        <f t="shared" si="296"/>
        <v>0</v>
      </c>
      <c r="W145" s="638">
        <f t="shared" si="297"/>
        <v>0</v>
      </c>
      <c r="Z145" s="638">
        <f t="shared" si="292"/>
        <v>60</v>
      </c>
      <c r="AA145" s="648" t="s">
        <v>3456</v>
      </c>
      <c r="AB145" t="str">
        <f>_xlfn.XLOOKUP($H145,'[1]Baumaterialien Matériaux'!$A:$A,'[1]Baumaterialien Matériaux'!AK:AK,0,0)</f>
        <v>concrete</v>
      </c>
      <c r="AC145" t="str" cm="1">
        <f t="array" ref="AC145">_xlfn.SWITCH(I145,"kg"," ",0," ",_xlfn.XLOOKUP(H145, '[1]Baumaterialien Matériaux'!$A:$A, '[1]Baumaterialien Matériaux'!$AL:$AL, "-", 0, 1))</f>
        <v xml:space="preserve"> </v>
      </c>
      <c r="AD145" s="1112" cm="1">
        <f t="array" ref="AD145">IFERROR(_xlfn.SWITCH(I145,"kg",1,"m3",AC145,AC145)*J145/(_xlfn.XLOOKUP(AA145,Métrés!A:A,Métrés!E:E,0)),0)</f>
        <v>20.823045267489711</v>
      </c>
      <c r="AE145" s="1092">
        <f>IFERROR(N145*$G$1/(_xlfn.XLOOKUP($AA145,Métrés!$A:$A,Métrés!$E:$E,0)),0)</f>
        <v>1.8490864197530863</v>
      </c>
      <c r="AF145" s="1092">
        <f>IFERROR(O145*$G$1/(_xlfn.XLOOKUP($AA145,Métrés!$A:$A,Métrés!$E:$E,0)),0)</f>
        <v>0.43311934156378595</v>
      </c>
      <c r="AG145" s="1092">
        <f>IFERROR(Q145*$G$1/(_xlfn.XLOOKUP($AA145,Métrés!$A:$A,Métrés!$E:$E,0)),0)</f>
        <v>0.26445267489711932</v>
      </c>
      <c r="AH145" s="1092">
        <f>IFERROR(R145*$G$1/(_xlfn.XLOOKUP($AA145,Métrés!$A:$A,Métrés!$E:$E,0)),0)</f>
        <v>5.580576131687242E-2</v>
      </c>
      <c r="AI145" s="1092">
        <f>IFERROR(S145*$G$1/(_xlfn.XLOOKUP($AA145,Métrés!$A:$A,Métrés!$E:$E,0)),0)</f>
        <v>0</v>
      </c>
      <c r="AJ145" s="1022"/>
      <c r="AK145" s="638">
        <f>IF(L145=60,0,T145)</f>
        <v>0</v>
      </c>
      <c r="AL145" s="638">
        <f>IF(L145=60,0,S145)</f>
        <v>0</v>
      </c>
      <c r="AM145" s="638" t="str">
        <f>IF(L145=$L$2, "Structure", IF(L145&gt;0,"Revêtement",0))</f>
        <v>Structure</v>
      </c>
      <c r="AN145" s="1017">
        <f>IF(AM145="Structure",N145,0)</f>
        <v>1.2899947763359727</v>
      </c>
      <c r="AO145" s="638">
        <f>IF(AM145="Structure",P145,0)</f>
        <v>0</v>
      </c>
      <c r="AP145" s="638">
        <f>IF(AM145="Structure",Q145,0)</f>
        <v>0.18449249616516725</v>
      </c>
      <c r="AQ145" s="1018">
        <f>IF(AM145="Structure",S145,0)</f>
        <v>0</v>
      </c>
      <c r="AR145" s="1018">
        <f>IF(AM145="Structure",T145,0)</f>
        <v>0</v>
      </c>
      <c r="AS145" s="1017">
        <f>IF(AM145="Insulation",N145,0)</f>
        <v>0</v>
      </c>
      <c r="AT145" s="638">
        <f>IF(AM145="Insulation",P145,0)</f>
        <v>0</v>
      </c>
      <c r="AU145" s="638">
        <f>IF(AM145="Insulation",Q145,0)</f>
        <v>0</v>
      </c>
      <c r="AV145" s="1018">
        <f>IF(AM145="Insulation",S145,0)</f>
        <v>0</v>
      </c>
      <c r="AW145" s="1018">
        <f>IF(AM145="Insulation",T145,0)</f>
        <v>0</v>
      </c>
      <c r="AX145" s="1017">
        <f>IF(AM145="Revêtement",N145,0)</f>
        <v>0</v>
      </c>
      <c r="AY145" s="638">
        <f>IF(AM145="Revêtement",P145,0)</f>
        <v>0</v>
      </c>
      <c r="AZ145" s="638">
        <f>IF(AM145="Revêtement",Q145,0)</f>
        <v>0</v>
      </c>
      <c r="BA145" s="638">
        <f>IF(AM145="Revêtement",S145,0)</f>
        <v>0</v>
      </c>
      <c r="BB145" s="1018">
        <f>IF(AM145="Revêtement",T145,0)</f>
        <v>0</v>
      </c>
      <c r="BC145" s="1017"/>
      <c r="BF145" s="1018"/>
      <c r="BG145" s="1017">
        <f>IF($AM145="Structure", IF($I145="kg",$J145,0), 0)</f>
        <v>14016.199999999999</v>
      </c>
      <c r="BH145" s="638">
        <f>IF($AM145="Insulation", IF($I145="kg",$J145,0), 0)</f>
        <v>0</v>
      </c>
      <c r="BI145" s="1018">
        <f>IF($AM145="Revêtement", IF($I145="kg",$J145,0), 0)</f>
        <v>0</v>
      </c>
      <c r="BJ145" s="638">
        <f>_xlfn.XLOOKUP(H145, 'Baumaterialien Matériaux'!A:A, 'Baumaterialien Matériaux'!E:E, "-", 0, 1)</f>
        <v>2300</v>
      </c>
      <c r="BK145" s="1032">
        <f t="shared" si="283"/>
        <v>6.0939999999999994</v>
      </c>
      <c r="BL145" s="1030">
        <f t="shared" si="284"/>
        <v>0</v>
      </c>
      <c r="BM145" s="1033">
        <f t="shared" si="285"/>
        <v>0</v>
      </c>
    </row>
    <row r="146" spans="2:67">
      <c r="B146" s="1103"/>
      <c r="C146" s="1099"/>
      <c r="D146" s="478"/>
      <c r="E146" s="478"/>
      <c r="F146" s="478" t="s">
        <v>3004</v>
      </c>
      <c r="G146" s="478" t="str">
        <f>_xlfn.XLOOKUP(H146, 'Baumaterialien Matériaux'!A:A, 'Baumaterialien Matériaux'!AD:AD, "-", 0, 1)</f>
        <v>Acier d'armature</v>
      </c>
      <c r="H146" s="892" t="s">
        <v>497</v>
      </c>
      <c r="I146" s="641" t="str">
        <f>_xlfn.XLOOKUP(H146, 'Baumaterialien Matériaux'!A:A, 'Baumaterialien Matériaux'!F:F, "-", 0, 1)</f>
        <v>kg</v>
      </c>
      <c r="J146" s="649">
        <f>$J$144*K146</f>
        <v>914.09999999999991</v>
      </c>
      <c r="K146" s="894">
        <f>0.2*150</f>
        <v>30</v>
      </c>
      <c r="L146" s="647">
        <v>60</v>
      </c>
      <c r="M146" s="648">
        <f t="shared" si="303"/>
        <v>1.7085609427469837</v>
      </c>
      <c r="N146" s="720">
        <f>IFERROR(($J146*VLOOKUP($H146, 'Baumaterialien Matériaux'!$A$11:$AH$318, 26,FALSE)),0)/$G$1</f>
        <v>1.4211164545416854</v>
      </c>
      <c r="O146" s="720">
        <f>IFERROR(($J146*VLOOKUP($H146, 'Baumaterialien Matériaux'!$A$11:$AH$318, 33,FALSE)),0)/$G$1</f>
        <v>0.275696592181087</v>
      </c>
      <c r="P146" s="720">
        <f t="shared" si="304"/>
        <v>0</v>
      </c>
      <c r="Q146" s="720">
        <f>IFERROR(($J146*VLOOKUP($H146, 'Baumaterialien Matériaux'!$A$11:$AH$318, 27,FALSE)),0)/$G$1</f>
        <v>1.1747896024211266E-2</v>
      </c>
      <c r="R146" s="720">
        <f>IFERROR(($J146*VLOOKUP($H146, 'Baumaterialien Matériaux'!$A$11:$AH$318, 34,FALSE)),0)/$G$1</f>
        <v>0</v>
      </c>
      <c r="S146" s="720">
        <f>IFERROR((J146*VLOOKUP(H146, 'Baumaterialien Matériaux'!$A$11:$AD$318, 29,FALSE)),0)/$G$1</f>
        <v>0</v>
      </c>
      <c r="T146" s="720">
        <f>S146*AJ146</f>
        <v>0</v>
      </c>
      <c r="V146" s="638">
        <f t="shared" si="296"/>
        <v>0</v>
      </c>
      <c r="W146" s="638">
        <f t="shared" si="297"/>
        <v>0</v>
      </c>
      <c r="Z146" s="638">
        <f t="shared" si="292"/>
        <v>60</v>
      </c>
      <c r="AA146" s="648" t="s">
        <v>3456</v>
      </c>
      <c r="AB146" t="str">
        <f>_xlfn.XLOOKUP($H146,'[1]Baumaterialien Matériaux'!$A:$A,'[1]Baumaterialien Matériaux'!AK:AK,0,0)</f>
        <v>metal</v>
      </c>
      <c r="AC146" t="str" cm="1">
        <f t="array" ref="AC146">_xlfn.SWITCH(I146,"kg"," ",0," ",_xlfn.XLOOKUP(H146, '[1]Baumaterialien Matériaux'!$A:$A, '[1]Baumaterialien Matériaux'!$AL:$AL, "-", 0, 1))</f>
        <v xml:space="preserve"> </v>
      </c>
      <c r="AD146" s="1112" cm="1">
        <f t="array" ref="AD146">IFERROR(_xlfn.SWITCH(I146,"kg",1,"m3",AC146,AC146)*J146/(_xlfn.XLOOKUP(AA146,Métrés!A:A,Métrés!E:E,0)),0)</f>
        <v>1.3580246913580245</v>
      </c>
      <c r="AE146" s="1092">
        <f>IFERROR(N146*$G$1/(_xlfn.XLOOKUP($AA146,Métrés!$A:$A,Métrés!$E:$E,0)),0)</f>
        <v>2.0370370370370368</v>
      </c>
      <c r="AF146" s="1092">
        <f>IFERROR(O146*$G$1/(_xlfn.XLOOKUP($AA146,Métrés!$A:$A,Métrés!$E:$E,0)),0)</f>
        <v>0.39518518518518514</v>
      </c>
      <c r="AG146" s="1092">
        <f>IFERROR(Q146*$G$1/(_xlfn.XLOOKUP($AA146,Métrés!$A:$A,Métrés!$E:$E,0)),0)</f>
        <v>1.6839506172839504E-2</v>
      </c>
      <c r="AH146" s="1092">
        <f>IFERROR(R146*$G$1/(_xlfn.XLOOKUP($AA146,Métrés!$A:$A,Métrés!$E:$E,0)),0)</f>
        <v>0</v>
      </c>
      <c r="AI146" s="1092">
        <f>IFERROR(S146*$G$1/(_xlfn.XLOOKUP($AA146,Métrés!$A:$A,Métrés!$E:$E,0)),0)</f>
        <v>0</v>
      </c>
      <c r="AJ146" s="1022"/>
      <c r="AK146" s="638">
        <f>IF(L146=60,0,T146)</f>
        <v>0</v>
      </c>
      <c r="AL146" s="638">
        <f>IF(L146=60,0,S146)</f>
        <v>0</v>
      </c>
      <c r="AM146" s="638" t="str">
        <f>IF(L146=$L$2, "Structure", IF(L146&gt;0,"Revêtement",0))</f>
        <v>Structure</v>
      </c>
      <c r="AN146" s="1017">
        <f>IF(AM146="Structure",N146,0)</f>
        <v>1.4211164545416854</v>
      </c>
      <c r="AO146" s="638">
        <f>IF(AM146="Structure",P146,0)</f>
        <v>0</v>
      </c>
      <c r="AP146" s="638">
        <f>IF(AM146="Structure",Q146,0)</f>
        <v>1.1747896024211266E-2</v>
      </c>
      <c r="AQ146" s="1018">
        <f>IF(AM146="Structure",S146,0)</f>
        <v>0</v>
      </c>
      <c r="AR146" s="1018">
        <f>IF(AM146="Structure",T146,0)</f>
        <v>0</v>
      </c>
      <c r="AS146" s="1017">
        <f>IF(AM146="Insulation",N146,0)</f>
        <v>0</v>
      </c>
      <c r="AT146" s="638">
        <f>IF(AM146="Insulation",P146,0)</f>
        <v>0</v>
      </c>
      <c r="AU146" s="638">
        <f>IF(AM146="Insulation",Q146,0)</f>
        <v>0</v>
      </c>
      <c r="AV146" s="1018">
        <f>IF(AM146="Insulation",S146,0)</f>
        <v>0</v>
      </c>
      <c r="AW146" s="1018">
        <f>IF(AM146="Insulation",T146,0)</f>
        <v>0</v>
      </c>
      <c r="AX146" s="1017">
        <f>IF(AM146="Revêtement",N146,0)</f>
        <v>0</v>
      </c>
      <c r="AY146" s="638">
        <f>IF(AM146="Revêtement",P146,0)</f>
        <v>0</v>
      </c>
      <c r="AZ146" s="638">
        <f>IF(AM146="Revêtement",Q146,0)</f>
        <v>0</v>
      </c>
      <c r="BA146" s="638">
        <f>IF(AM146="Revêtement",S146,0)</f>
        <v>0</v>
      </c>
      <c r="BB146" s="1018">
        <f>IF(AM146="Revêtement",T146,0)</f>
        <v>0</v>
      </c>
      <c r="BC146" s="1017"/>
      <c r="BF146" s="1018"/>
      <c r="BG146" s="1017">
        <f>IF($AM146="Structure", IF($I146="kg",$J146,0), 0)</f>
        <v>914.09999999999991</v>
      </c>
      <c r="BH146" s="638">
        <f>IF($AM146="Insulation", IF($I146="kg",$J146,0), 0)</f>
        <v>0</v>
      </c>
      <c r="BI146" s="1018">
        <f>IF($AM146="Revêtement", IF($I146="kg",$J146,0), 0)</f>
        <v>0</v>
      </c>
      <c r="BJ146" s="638">
        <f>_xlfn.XLOOKUP(H146, 'Baumaterialien Matériaux'!A:A, 'Baumaterialien Matériaux'!E:E, "-", 0, 1)</f>
        <v>7850</v>
      </c>
      <c r="BK146" s="1032">
        <f t="shared" si="283"/>
        <v>0.11644585987261145</v>
      </c>
      <c r="BL146" s="1030">
        <f t="shared" si="284"/>
        <v>0</v>
      </c>
      <c r="BM146" s="1033">
        <f t="shared" si="285"/>
        <v>0</v>
      </c>
    </row>
    <row r="147" spans="2:67">
      <c r="B147" s="1103"/>
      <c r="C147" s="1099"/>
      <c r="D147" s="478" t="s">
        <v>135</v>
      </c>
      <c r="E147" s="479" t="str">
        <f>BillQuantities!E25</f>
        <v>Non porteuse (moyenne) (avec enduit intérieur)</v>
      </c>
      <c r="F147" s="479" t="s">
        <v>3044</v>
      </c>
      <c r="G147" s="479"/>
      <c r="H147" s="479"/>
      <c r="I147" s="460" t="s">
        <v>39</v>
      </c>
      <c r="J147" s="662">
        <v>77.632000000000005</v>
      </c>
      <c r="K147" s="663"/>
      <c r="L147" s="663"/>
      <c r="M147" s="664">
        <f>SUM(M148:M151)</f>
        <v>1.5533672646241863</v>
      </c>
      <c r="N147" s="664">
        <f t="shared" ref="N147:T147" si="305">SUM(N148:N151)</f>
        <v>0.54795363583599355</v>
      </c>
      <c r="O147" s="664">
        <f t="shared" ref="O147" si="306">SUM(O148:O151)</f>
        <v>0.23588397205754322</v>
      </c>
      <c r="P147" s="664">
        <f t="shared" si="305"/>
        <v>0.65874164628332166</v>
      </c>
      <c r="Q147" s="664">
        <f t="shared" si="305"/>
        <v>0.11078801044732806</v>
      </c>
      <c r="R147" s="664">
        <f t="shared" ref="R147" si="307">SUM(R148:R151)</f>
        <v>1.9898671696861658E-2</v>
      </c>
      <c r="S147" s="664">
        <f t="shared" si="305"/>
        <v>5.0696897910534391</v>
      </c>
      <c r="T147" s="664">
        <f t="shared" si="305"/>
        <v>-8.1851350006218654E-2</v>
      </c>
      <c r="V147" s="638">
        <f t="shared" si="296"/>
        <v>-8.1851350006218654E-2</v>
      </c>
      <c r="X147" s="638">
        <f t="shared" si="223"/>
        <v>0</v>
      </c>
      <c r="Z147" s="638">
        <f t="shared" si="292"/>
        <v>0</v>
      </c>
      <c r="AB147">
        <f>_xlfn.XLOOKUP($H147,'[1]Baumaterialien Matériaux'!$A:$A,'[1]Baumaterialien Matériaux'!AK:AK,0,0)</f>
        <v>0</v>
      </c>
      <c r="AC147" cm="1">
        <f t="array" ref="AC147">_xlfn.SWITCH(I147,"kg"," ",0," ",_xlfn.XLOOKUP(H147, '[1]Baumaterialien Matériaux'!$A:$A, '[1]Baumaterialien Matériaux'!$AL:$AL, "-", 0, 1))</f>
        <v>0</v>
      </c>
      <c r="AD147" s="1112" cm="1">
        <f t="array" ref="AD147">IFERROR(_xlfn.SWITCH(I147,"kg",1,"m3",AC147,AC147)*J147/(_xlfn.XLOOKUP(AA147,Métrés!A:A,Métrés!E:E,0)),0)</f>
        <v>0</v>
      </c>
      <c r="AE147" s="1092">
        <f>IFERROR(N147*$G$1/(_xlfn.XLOOKUP($AA147,Métrés!$A:$A,Métrés!$E:$E,0)),0)</f>
        <v>0</v>
      </c>
      <c r="AF147" s="1092">
        <f>IFERROR(O147*$G$1/(_xlfn.XLOOKUP($AA147,Métrés!$A:$A,Métrés!$E:$E,0)),0)</f>
        <v>0</v>
      </c>
      <c r="AG147" s="1092">
        <f>IFERROR(Q147*$G$1/(_xlfn.XLOOKUP($AA147,Métrés!$A:$A,Métrés!$E:$E,0)),0)</f>
        <v>0</v>
      </c>
      <c r="AH147" s="1092">
        <f>IFERROR(R147*$G$1/(_xlfn.XLOOKUP($AA147,Métrés!$A:$A,Métrés!$E:$E,0)),0)</f>
        <v>0</v>
      </c>
      <c r="AI147" s="1092">
        <f>IFERROR(S147*$G$1/(_xlfn.XLOOKUP($AA147,Métrés!$A:$A,Métrés!$E:$E,0)),0)</f>
        <v>0</v>
      </c>
      <c r="AJ147" s="878"/>
      <c r="AK147" s="878"/>
      <c r="AL147" s="878"/>
      <c r="AM147" s="878"/>
      <c r="AN147" s="1053"/>
      <c r="AO147" s="878"/>
      <c r="AP147" s="878"/>
      <c r="AQ147" s="878"/>
      <c r="AR147" s="1054"/>
      <c r="AS147" s="1053"/>
      <c r="AT147" s="878"/>
      <c r="AU147" s="878"/>
      <c r="AV147" s="878"/>
      <c r="AW147" s="1054"/>
      <c r="AX147" s="1053"/>
      <c r="AY147" s="878"/>
      <c r="AZ147" s="878"/>
      <c r="BA147" s="878"/>
      <c r="BB147" s="1054"/>
      <c r="BC147" s="1053"/>
      <c r="BD147" s="878"/>
      <c r="BE147" s="878"/>
      <c r="BF147" s="1054"/>
      <c r="BG147" s="1053"/>
      <c r="BH147" s="878"/>
      <c r="BI147" s="1054"/>
      <c r="BJ147" s="878"/>
      <c r="BK147" s="1053"/>
      <c r="BL147" s="878"/>
      <c r="BM147" s="1054"/>
    </row>
    <row r="148" spans="2:67">
      <c r="B148" s="1103"/>
      <c r="C148" s="1099"/>
      <c r="D148" s="478"/>
      <c r="E148" s="478"/>
      <c r="F148" s="478" t="s">
        <v>3303</v>
      </c>
      <c r="G148" s="478" t="str">
        <f>_xlfn.XLOOKUP(H148, 'Baumaterialien Matériaux'!A:A, 'Baumaterialien Matériaux'!AD:AD, "-", 0, 1)</f>
        <v>Bois massif épicéa / sapin / mélèze, séché en cellule, raboté</v>
      </c>
      <c r="H148" s="892" t="s">
        <v>129</v>
      </c>
      <c r="I148" s="641" t="str">
        <f>_xlfn.XLOOKUP(H148, 'Baumaterialien Matériaux'!A:A, 'Baumaterialien Matériaux'!F:F, "-", 0, 1)</f>
        <v>kg</v>
      </c>
      <c r="J148" s="649">
        <f>465*4.19</f>
        <v>1948.3500000000001</v>
      </c>
      <c r="K148" s="647"/>
      <c r="L148" s="643">
        <f>'Eléments de constr. inté. et ex'!N29</f>
        <v>30</v>
      </c>
      <c r="M148" s="648">
        <f t="shared" ref="M148:M151" si="308">SUM(N148:Q148)</f>
        <v>0.79037373035943792</v>
      </c>
      <c r="N148" s="720">
        <f>IFERROR(($J148*VLOOKUP($H148, 'Baumaterialien Matériaux'!$A$11:$AH$318, 26,FALSE)),0)/$G$1</f>
        <v>0.27261229841217199</v>
      </c>
      <c r="O148" s="720">
        <f>IFERROR(($J148*VLOOKUP($H148, 'Baumaterialien Matériaux'!$A$11:$AH$318, 33,FALSE)),0)/$G$1</f>
        <v>8.6832065420173285E-2</v>
      </c>
      <c r="P148" s="720">
        <f>IFERROR((N148+Q148)*($L$2/L148-1),0)</f>
        <v>0.35177083246963231</v>
      </c>
      <c r="Q148" s="720">
        <f>IFERROR(($J148*VLOOKUP($H148, 'Baumaterialien Matériaux'!$A$11:$AH$318, 27,FALSE)),0)/$G$1</f>
        <v>7.9158534057460303E-2</v>
      </c>
      <c r="R148" s="720">
        <f>IFERROR(($J148*VLOOKUP($H148, 'Baumaterialien Matériaux'!$A$11:$AH$318, 34,FALSE)),0)/$G$1</f>
        <v>1.4700870610671201E-2</v>
      </c>
      <c r="S148" s="720">
        <f>IFERROR((J148*VLOOKUP(H148, 'Baumaterialien Matériaux'!$A$11:$AD$318, 29,FALSE)),0)/$G$1</f>
        <v>3.339332376352556</v>
      </c>
      <c r="T148" s="720">
        <f>S148*AJ148</f>
        <v>3.3393323763525558E-2</v>
      </c>
      <c r="U148" s="638">
        <v>0.01</v>
      </c>
      <c r="V148" s="638">
        <f t="shared" si="296"/>
        <v>3.3393323763525558E-2</v>
      </c>
      <c r="W148" s="638">
        <f t="shared" si="297"/>
        <v>3.339332376352556</v>
      </c>
      <c r="X148" s="638" t="str">
        <f t="shared" si="223"/>
        <v>Revêtement</v>
      </c>
      <c r="Z148" s="638">
        <f t="shared" si="292"/>
        <v>30</v>
      </c>
      <c r="AA148" s="648" t="s">
        <v>3454</v>
      </c>
      <c r="AB148" t="str">
        <f>_xlfn.XLOOKUP($H148,'[1]Baumaterialien Matériaux'!$A:$A,'[1]Baumaterialien Matériaux'!AK:AK,0,0)</f>
        <v>timber</v>
      </c>
      <c r="AC148" t="str" cm="1">
        <f t="array" ref="AC148">_xlfn.SWITCH(I148,"kg"," ",0," ",_xlfn.XLOOKUP(H148, '[1]Baumaterialien Matériaux'!$A:$A, '[1]Baumaterialien Matériaux'!$AL:$AL, "-", 0, 1))</f>
        <v xml:space="preserve"> </v>
      </c>
      <c r="AD148" s="1112" cm="1">
        <f t="array" ref="AD148">IFERROR(_xlfn.SWITCH(I148,"kg",1,"m3",AC148,AC148)*J148/(_xlfn.XLOOKUP(AA148,Métrés!A:A,Métrés!E:E,0)),0)</f>
        <v>10.018665926200173</v>
      </c>
      <c r="AE148" s="1092">
        <f>IFERROR(N148*$G$1/(_xlfn.XLOOKUP($AA148,Métrés!$A:$A,Métrés!$E:$E,0)),0)</f>
        <v>1.3525199000370234</v>
      </c>
      <c r="AF148" s="1092">
        <f>IFERROR(O148*$G$1/(_xlfn.XLOOKUP($AA148,Métrés!$A:$A,Métrés!$E:$E,0)),0)</f>
        <v>0.43080263482660741</v>
      </c>
      <c r="AG148" s="1092">
        <f>IFERROR(Q148*$G$1/(_xlfn.XLOOKUP($AA148,Métrés!$A:$A,Métrés!$E:$E,0)),0)</f>
        <v>0.39273170430704679</v>
      </c>
      <c r="AH148" s="1092">
        <f>IFERROR(R148*$G$1/(_xlfn.XLOOKUP($AA148,Métrés!$A:$A,Métrés!$E:$E,0)),0)</f>
        <v>7.2935887942737254E-2</v>
      </c>
      <c r="AI148" s="1092">
        <f>IFERROR(S148*$G$1/(_xlfn.XLOOKUP($AA148,Métrés!$A:$A,Métrés!$E:$E,0)),0)</f>
        <v>16.567533886626354</v>
      </c>
      <c r="AJ148" s="1022">
        <v>0.01</v>
      </c>
      <c r="AK148" s="638">
        <f>IF(L148=60,0,T148)</f>
        <v>3.3393323763525558E-2</v>
      </c>
      <c r="AL148" s="638">
        <f>IF(L148=60,0,S148)</f>
        <v>3.339332376352556</v>
      </c>
      <c r="AM148" s="638" t="str">
        <f>IF(L148=$L$2, "Structure", IF(L148&gt;0,"Revêtement",0))</f>
        <v>Revêtement</v>
      </c>
      <c r="AN148" s="1017">
        <f>IF(AM148="Structure",N148,0)</f>
        <v>0</v>
      </c>
      <c r="AO148" s="638">
        <f>IF(AM148="Structure",P148,0)</f>
        <v>0</v>
      </c>
      <c r="AP148" s="638">
        <f>IF(AM148="Structure",Q148,0)</f>
        <v>0</v>
      </c>
      <c r="AQ148" s="1018">
        <f>IF(AM148="Structure",S148,0)</f>
        <v>0</v>
      </c>
      <c r="AR148" s="1018">
        <f>IF(AM148="Structure",T148,0)</f>
        <v>0</v>
      </c>
      <c r="AS148" s="1017">
        <f>IF(AM148="Insulation",N148,0)</f>
        <v>0</v>
      </c>
      <c r="AT148" s="638">
        <f>IF(AM148="Insulation",P148,0)</f>
        <v>0</v>
      </c>
      <c r="AU148" s="638">
        <f>IF(AM148="Insulation",Q148,0)</f>
        <v>0</v>
      </c>
      <c r="AV148" s="1018">
        <f>IF(AM148="Insulation",S148,0)</f>
        <v>0</v>
      </c>
      <c r="AW148" s="1018">
        <f>IF(AM148="Insulation",T148,0)</f>
        <v>0</v>
      </c>
      <c r="AX148" s="1017">
        <f>IF(AM148="Revêtement",N148,0)</f>
        <v>0.27261229841217199</v>
      </c>
      <c r="AY148" s="638">
        <f>IF(AM148="Revêtement",P148,0)</f>
        <v>0.35177083246963231</v>
      </c>
      <c r="AZ148" s="638">
        <f>IF(AM148="Revêtement",Q148,0)</f>
        <v>7.9158534057460303E-2</v>
      </c>
      <c r="BA148" s="638">
        <f>IF(AM148="Revêtement",S148,0)</f>
        <v>3.339332376352556</v>
      </c>
      <c r="BB148" s="1018">
        <f>IF(AM148="Revêtement",T148,0)</f>
        <v>3.3393323763525558E-2</v>
      </c>
      <c r="BC148" s="1017"/>
      <c r="BF148" s="1018"/>
      <c r="BG148" s="1017">
        <f>IF($AM148="Structure", IF($I148="kg",$J148,0), 0)</f>
        <v>0</v>
      </c>
      <c r="BH148" s="638">
        <f>IF($AM148="Insulation", IF($I148="kg",$J148,0), 0)</f>
        <v>0</v>
      </c>
      <c r="BI148" s="1018">
        <f>IF($AM148="Revêtement", IF($I148="kg",$J148,0), 0)</f>
        <v>1948.3500000000001</v>
      </c>
      <c r="BJ148" s="638">
        <f>_xlfn.XLOOKUP(H148, 'Baumaterialien Matériaux'!A:A, 'Baumaterialien Matériaux'!E:E, "-", 0, 1)</f>
        <v>465</v>
      </c>
      <c r="BK148" s="1032">
        <f t="shared" si="283"/>
        <v>0</v>
      </c>
      <c r="BL148" s="1030">
        <f t="shared" si="284"/>
        <v>0</v>
      </c>
      <c r="BM148" s="1033">
        <f t="shared" si="285"/>
        <v>4.1900000000000004</v>
      </c>
      <c r="BN148" s="720">
        <f>IFERROR((J148*VLOOKUP(H148, 'Baumaterialien Matériaux'!$A$11:$AH$318, 32,FALSE))*($L$2/L148-1),0)/$G$1</f>
        <v>0.10157332303801667</v>
      </c>
      <c r="BO148" s="720">
        <f>IFERROR((N148+Q148)*($L$2/L148-1),0)</f>
        <v>0.35177083246963231</v>
      </c>
    </row>
    <row r="149" spans="2:67">
      <c r="B149" s="1103"/>
      <c r="C149" s="1099"/>
      <c r="D149" s="478"/>
      <c r="E149" s="478"/>
      <c r="F149" s="638" t="s">
        <v>3305</v>
      </c>
      <c r="G149" s="478" t="str">
        <f>_xlfn.XLOOKUP(H149, 'Baumaterialien Matériaux'!A:A, 'Baumaterialien Matériaux'!AD:AD, "-", 0, 1)</f>
        <v>Bois massif de construction</v>
      </c>
      <c r="H149" s="892" t="s">
        <v>547</v>
      </c>
      <c r="I149" s="641" t="str">
        <f>_xlfn.XLOOKUP(H149, 'Baumaterialien Matériaux'!A:A, 'Baumaterialien Matériaux'!F:F, "-", 0, 1)</f>
        <v>kg</v>
      </c>
      <c r="J149" s="649">
        <f>436*1.58</f>
        <v>688.88</v>
      </c>
      <c r="K149" s="893"/>
      <c r="L149" s="643">
        <f>'Eléments de constr. inté. et ex'!N30</f>
        <v>30</v>
      </c>
      <c r="M149" s="648">
        <f t="shared" si="308"/>
        <v>0.46174751627212796</v>
      </c>
      <c r="N149" s="720">
        <f>IFERROR(($J149*VLOOKUP($H149, 'Baumaterialien Matériaux'!$A$11:$AH$318, 26,FALSE)),0)/$G$1</f>
        <v>0.17492599809294804</v>
      </c>
      <c r="O149" s="720">
        <f>IFERROR(($J149*VLOOKUP($H149, 'Baumaterialien Matériaux'!$A$11:$AH$318, 33,FALSE)),0)/$G$1</f>
        <v>4.863656730649641E-2</v>
      </c>
      <c r="P149" s="720">
        <f t="shared" ref="P149:P151" si="309">IFERROR((N149+Q149)*($L$2/L149-1),0)</f>
        <v>0.20655547448281578</v>
      </c>
      <c r="Q149" s="720">
        <f>IFERROR(($J149*VLOOKUP($H149, 'Baumaterialien Matériaux'!$A$11:$AH$318, 27,FALSE)),0)/$G$1</f>
        <v>3.1629476389867746E-2</v>
      </c>
      <c r="R149" s="720">
        <f>IFERROR(($J149*VLOOKUP($H149, 'Baumaterialien Matériaux'!$A$11:$AH$318, 34,FALSE)),0)/$G$1</f>
        <v>5.1978010861904568E-3</v>
      </c>
      <c r="S149" s="720">
        <f>IFERROR((J149*VLOOKUP(H149, 'Baumaterialien Matériaux'!$A$11:$AD$318, 29,FALSE)),0)/$G$1</f>
        <v>1.1780730483810786</v>
      </c>
      <c r="T149" s="720">
        <f>S149*AJ149</f>
        <v>1.1780730483810786E-2</v>
      </c>
      <c r="U149" s="638">
        <v>0.01</v>
      </c>
      <c r="V149" s="638">
        <f t="shared" si="296"/>
        <v>1.1780730483810786E-2</v>
      </c>
      <c r="W149" s="638">
        <f t="shared" si="297"/>
        <v>1.1780730483810786</v>
      </c>
      <c r="X149" s="638" t="str">
        <f t="shared" si="223"/>
        <v>Revêtement</v>
      </c>
      <c r="Z149" s="638">
        <f t="shared" si="292"/>
        <v>30</v>
      </c>
      <c r="AA149" s="648" t="s">
        <v>3454</v>
      </c>
      <c r="AB149" t="str">
        <f>_xlfn.XLOOKUP($H149,'[1]Baumaterialien Matériaux'!$A:$A,'[1]Baumaterialien Matériaux'!AK:AK,0,0)</f>
        <v>timber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 s="1112" cm="1">
        <f t="array" ref="AD149">IFERROR(_xlfn.SWITCH(I149,"kg",1,"m3",AC149,AC149)*J149/(_xlfn.XLOOKUP(AA149,Métrés!A:A,Métrés!E:E,0)),0)</f>
        <v>3.5423094327203914</v>
      </c>
      <c r="AE149" s="1092">
        <f>IFERROR(N149*$G$1/(_xlfn.XLOOKUP($AA149,Métrés!$A:$A,Métrés!$E:$E,0)),0)</f>
        <v>0.86786581101649585</v>
      </c>
      <c r="AF149" s="1092">
        <f>IFERROR(O149*$G$1/(_xlfn.XLOOKUP($AA149,Métrés!$A:$A,Métrés!$E:$E,0)),0)</f>
        <v>0.24130211855691305</v>
      </c>
      <c r="AG149" s="1092">
        <f>IFERROR(Q149*$G$1/(_xlfn.XLOOKUP($AA149,Métrés!$A:$A,Métrés!$E:$E,0)),0)</f>
        <v>0.15692430786951334</v>
      </c>
      <c r="AH149" s="1092">
        <f>IFERROR(R149*$G$1/(_xlfn.XLOOKUP($AA149,Métrés!$A:$A,Métrés!$E:$E,0)),0)</f>
        <v>2.578801267020445E-2</v>
      </c>
      <c r="AI149" s="1092">
        <f>IFERROR(S149*$G$1/(_xlfn.XLOOKUP($AA149,Métrés!$A:$A,Métrés!$E:$E,0)),0)</f>
        <v>5.8448105639886458</v>
      </c>
      <c r="AJ149" s="1022">
        <v>0.01</v>
      </c>
      <c r="AK149" s="638">
        <f>IF(L149=60,0,T149)</f>
        <v>1.1780730483810786E-2</v>
      </c>
      <c r="AL149" s="638">
        <f>IF(L149=60,0,S149)</f>
        <v>1.1780730483810786</v>
      </c>
      <c r="AM149" s="638" t="str">
        <f>IF(L149=$L$2, "Structure", IF(L149&gt;0,"Revêtement",0))</f>
        <v>Revêtement</v>
      </c>
      <c r="AN149" s="1017">
        <f>IF(AM149="Structure",N149,0)</f>
        <v>0</v>
      </c>
      <c r="AO149" s="638">
        <f>IF(AM149="Structure",P149,0)</f>
        <v>0</v>
      </c>
      <c r="AP149" s="638">
        <f>IF(AM149="Structure",Q149,0)</f>
        <v>0</v>
      </c>
      <c r="AQ149" s="1018">
        <f>IF(AM149="Structure",S149,0)</f>
        <v>0</v>
      </c>
      <c r="AR149" s="1018">
        <f>IF(AM149="Structure",T149,0)</f>
        <v>0</v>
      </c>
      <c r="AS149" s="1017">
        <f>IF(AM149="Insulation",N149,0)</f>
        <v>0</v>
      </c>
      <c r="AT149" s="638">
        <f>IF(AM149="Insulation",P149,0)</f>
        <v>0</v>
      </c>
      <c r="AU149" s="638">
        <f>IF(AM149="Insulation",Q149,0)</f>
        <v>0</v>
      </c>
      <c r="AV149" s="1018">
        <f>IF(AM149="Insulation",S149,0)</f>
        <v>0</v>
      </c>
      <c r="AW149" s="1018">
        <f>IF(AM149="Insulation",T149,0)</f>
        <v>0</v>
      </c>
      <c r="AX149" s="1017">
        <f>IF(AM149="Revêtement",N149,0)</f>
        <v>0.17492599809294804</v>
      </c>
      <c r="AY149" s="638">
        <f>IF(AM149="Revêtement",P149,0)</f>
        <v>0.20655547448281578</v>
      </c>
      <c r="AZ149" s="638">
        <f>IF(AM149="Revêtement",Q149,0)</f>
        <v>3.1629476389867746E-2</v>
      </c>
      <c r="BA149" s="638">
        <f>IF(AM149="Revêtement",S149,0)</f>
        <v>1.1780730483810786</v>
      </c>
      <c r="BB149" s="1018">
        <f>IF(AM149="Revêtement",T149,0)</f>
        <v>1.1780730483810786E-2</v>
      </c>
      <c r="BC149" s="1017"/>
      <c r="BF149" s="1018"/>
      <c r="BG149" s="1017">
        <f>IF($AM149="Structure", IF($I149="kg",$J149,0), 0)</f>
        <v>0</v>
      </c>
      <c r="BH149" s="638">
        <f>IF($AM149="Insulation", IF($I149="kg",$J149,0), 0)</f>
        <v>0</v>
      </c>
      <c r="BI149" s="1018">
        <f>IF($AM149="Revêtement", IF($I149="kg",$J149,0), 0)</f>
        <v>688.88</v>
      </c>
      <c r="BJ149" s="638">
        <f>_xlfn.XLOOKUP(H149, 'Baumaterialien Matériaux'!A:A, 'Baumaterialien Matériaux'!E:E, "-", 0, 1)</f>
        <v>436</v>
      </c>
      <c r="BK149" s="1032">
        <f t="shared" si="283"/>
        <v>0</v>
      </c>
      <c r="BL149" s="1030">
        <f t="shared" si="284"/>
        <v>0</v>
      </c>
      <c r="BM149" s="1033">
        <f t="shared" si="285"/>
        <v>1.58</v>
      </c>
      <c r="BN149" s="720">
        <f>IFERROR((J149*VLOOKUP(H149, 'Baumaterialien Matériaux'!$A$11:$AH$318, 32,FALSE))*($L$2/L149-1),0)/$G$1</f>
        <v>5.3834368392686863E-2</v>
      </c>
      <c r="BO149" s="720">
        <f>IFERROR((N149+Q149)*($L$2/L149-1),0)</f>
        <v>0.20655547448281578</v>
      </c>
    </row>
    <row r="150" spans="2:67">
      <c r="B150" s="1103"/>
      <c r="C150" s="1099"/>
      <c r="D150" s="478"/>
      <c r="E150" s="478"/>
      <c r="F150" s="478" t="s">
        <v>3306</v>
      </c>
      <c r="G150" s="478" t="str">
        <f>_xlfn.XLOOKUP(H150, 'Baumaterialien Matériaux'!A:A, 'Baumaterialien Matériaux'!AD:AD, "-", 0, 1)</f>
        <v>Gramitherm</v>
      </c>
      <c r="H150" s="875" t="s">
        <v>545</v>
      </c>
      <c r="I150" s="641" t="str">
        <f>_xlfn.XLOOKUP(H150, 'Baumaterialien Matériaux'!A:A, 'Baumaterialien Matériaux'!F:F, "-", 0, 1)</f>
        <v>kg</v>
      </c>
      <c r="J150" s="649">
        <f t="shared" ref="J150:J151" si="310">$J$147*K150</f>
        <v>372.6336</v>
      </c>
      <c r="K150" s="894">
        <f>0.12*40</f>
        <v>4.8</v>
      </c>
      <c r="L150" s="643">
        <f>'Eléments de constr. inté. et ex'!N31</f>
        <v>30</v>
      </c>
      <c r="M150" s="648">
        <f t="shared" si="308"/>
        <v>0.30124601799262052</v>
      </c>
      <c r="N150" s="720">
        <f>IFERROR(($J150*VLOOKUP($H150, 'Baumaterialien Matériaux'!$A$11:$AH$318, 26,FALSE)),0)/$G$1</f>
        <v>0.10041533933087352</v>
      </c>
      <c r="O150" s="720">
        <f>IFERROR(($J150*VLOOKUP($H150, 'Baumaterialien Matériaux'!$A$11:$AH$318, 33,FALSE)),0)/$G$1</f>
        <v>0.10041533933087352</v>
      </c>
      <c r="P150" s="720">
        <f t="shared" si="309"/>
        <v>0.10041533933087352</v>
      </c>
      <c r="Q150" s="720">
        <f>IFERROR(($J150*VLOOKUP($H150, 'Baumaterialien Matériaux'!$A$11:$AH$318, 27,FALSE)),0)/$G$1</f>
        <v>0</v>
      </c>
      <c r="R150" s="720">
        <f>IFERROR(($J150*VLOOKUP($H150, 'Baumaterialien Matériaux'!$A$11:$AH$318, 34,FALSE)),0)/$G$1</f>
        <v>0</v>
      </c>
      <c r="S150" s="720">
        <f>IFERROR((J150*VLOOKUP(H150, 'Baumaterialien Matériaux'!$A$11:$AD$318, 29,FALSE)),0)/$G$1</f>
        <v>0.55228436631980427</v>
      </c>
      <c r="T150" s="720">
        <f>S150*AJ150</f>
        <v>-0.12702540425355499</v>
      </c>
      <c r="U150" s="638">
        <v>-0.23</v>
      </c>
      <c r="V150" s="638">
        <f t="shared" si="296"/>
        <v>-0.12702540425355499</v>
      </c>
      <c r="W150" s="638">
        <f t="shared" si="297"/>
        <v>0.55228436631980427</v>
      </c>
      <c r="X150" s="638" t="str">
        <f t="shared" si="223"/>
        <v>Revêtement</v>
      </c>
      <c r="Z150" s="638">
        <f t="shared" si="292"/>
        <v>30</v>
      </c>
      <c r="AA150" s="648" t="s">
        <v>3454</v>
      </c>
      <c r="AB150" t="str">
        <f>_xlfn.XLOOKUP($H150,'[1]Baumaterialien Matériaux'!$A:$A,'[1]Baumaterialien Matériaux'!AK:AK,0,0)</f>
        <v>vegetal_fiber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 s="1112" cm="1">
        <f t="array" ref="AD150">IFERROR(_xlfn.SWITCH(I150,"kg",1,"m3",AC150,AC150)*J150/(_xlfn.XLOOKUP(AA150,Métrés!A:A,Métrés!E:E,0)),0)</f>
        <v>1.9161298284585955</v>
      </c>
      <c r="AE150" s="1092">
        <f>IFERROR(N150*$G$1/(_xlfn.XLOOKUP($AA150,Métrés!$A:$A,Métrés!$E:$E,0)),0)</f>
        <v>0.49819375539923483</v>
      </c>
      <c r="AF150" s="1092">
        <f>IFERROR(O150*$G$1/(_xlfn.XLOOKUP($AA150,Métrés!$A:$A,Métrés!$E:$E,0)),0)</f>
        <v>0.49819375539923483</v>
      </c>
      <c r="AG150" s="1092">
        <f>IFERROR(Q150*$G$1/(_xlfn.XLOOKUP($AA150,Métrés!$A:$A,Métrés!$E:$E,0)),0)</f>
        <v>0</v>
      </c>
      <c r="AH150" s="1092">
        <f>IFERROR(R150*$G$1/(_xlfn.XLOOKUP($AA150,Métrés!$A:$A,Métrés!$E:$E,0)),0)</f>
        <v>0</v>
      </c>
      <c r="AI150" s="1092">
        <f>IFERROR(S150*$G$1/(_xlfn.XLOOKUP($AA150,Métrés!$A:$A,Métrés!$E:$E,0)),0)</f>
        <v>2.7400656546957913</v>
      </c>
      <c r="AJ150" s="1022">
        <v>-0.23</v>
      </c>
      <c r="AK150" s="638">
        <f>IF(L150=60,0,T150)</f>
        <v>-0.12702540425355499</v>
      </c>
      <c r="AL150" s="638">
        <f>IF(L150=60,0,S150)</f>
        <v>0.55228436631980427</v>
      </c>
      <c r="AM150" s="638" t="s">
        <v>3388</v>
      </c>
      <c r="AN150" s="1017">
        <f>IF(AM150="Structure",N150,0)</f>
        <v>0</v>
      </c>
      <c r="AO150" s="638">
        <f>IF(AM150="Structure",P150,0)</f>
        <v>0</v>
      </c>
      <c r="AP150" s="638">
        <f>IF(AM150="Structure",Q150,0)</f>
        <v>0</v>
      </c>
      <c r="AQ150" s="1018">
        <f>IF(AM150="Structure",S150,0)</f>
        <v>0</v>
      </c>
      <c r="AR150" s="1018">
        <f>IF(AM150="Structure",T150,0)</f>
        <v>0</v>
      </c>
      <c r="AS150" s="1017">
        <f>IF(AM150="Insulation",N150,0)</f>
        <v>0.10041533933087352</v>
      </c>
      <c r="AT150" s="638">
        <f>IF(AM150="Insulation",P150,0)</f>
        <v>0.10041533933087352</v>
      </c>
      <c r="AU150" s="638">
        <f>IF(AM150="Insulation",Q150,0)</f>
        <v>0</v>
      </c>
      <c r="AV150" s="1018">
        <f>IF(AM150="Insulation",S150,0)</f>
        <v>0.55228436631980427</v>
      </c>
      <c r="AW150" s="1018">
        <f>IF(AM150="Insulation",T150,0)</f>
        <v>-0.12702540425355499</v>
      </c>
      <c r="AX150" s="1017">
        <f>IF(AM150="Revêtement",N150,0)</f>
        <v>0</v>
      </c>
      <c r="AY150" s="638">
        <f>IF(AM150="Revêtement",P150,0)</f>
        <v>0</v>
      </c>
      <c r="AZ150" s="638">
        <f>IF(AM150="Revêtement",Q150,0)</f>
        <v>0</v>
      </c>
      <c r="BA150" s="638">
        <f>IF(AM150="Revêtement",S150,0)</f>
        <v>0</v>
      </c>
      <c r="BB150" s="1018">
        <f>IF(AM150="Revêtement",T150,0)</f>
        <v>0</v>
      </c>
      <c r="BC150" s="1017"/>
      <c r="BF150" s="1018"/>
      <c r="BG150" s="1017">
        <f>IF($AM150="Structure", IF($I150="kg",$J150,0), 0)</f>
        <v>0</v>
      </c>
      <c r="BH150" s="638">
        <f>IF($AM150="Insulation", IF($I150="kg",$J150,0), 0)</f>
        <v>372.6336</v>
      </c>
      <c r="BI150" s="1018">
        <f>IF($AM150="Revêtement", IF($I150="kg",$J150,0), 0)</f>
        <v>0</v>
      </c>
      <c r="BJ150" s="638">
        <f>_xlfn.XLOOKUP(H150, 'Baumaterialien Matériaux'!A:A, 'Baumaterialien Matériaux'!E:E, "-", 0, 1)</f>
        <v>0</v>
      </c>
      <c r="BK150" s="1032">
        <f t="shared" si="283"/>
        <v>0</v>
      </c>
      <c r="BL150" s="1030">
        <f t="shared" si="284"/>
        <v>0</v>
      </c>
      <c r="BM150" s="1033">
        <f t="shared" si="285"/>
        <v>0</v>
      </c>
      <c r="BN150" s="720">
        <f>IFERROR((J150*VLOOKUP(H150, 'Baumaterialien Matériaux'!$A$11:$AH$318, 32,FALSE))*($L$2/L150-1),0)/$G$1</f>
        <v>0.10041533933087352</v>
      </c>
      <c r="BO150" s="720">
        <f>IFERROR((N150+Q150)*($L$2/L150-1),0)</f>
        <v>0.10041533933087352</v>
      </c>
    </row>
    <row r="151" spans="2:67">
      <c r="B151" s="1103"/>
      <c r="C151" s="1099"/>
      <c r="D151" s="478"/>
      <c r="E151" s="478"/>
      <c r="F151" s="478"/>
      <c r="G151" s="478" t="str">
        <f>_xlfn.XLOOKUP(H151, 'Baumaterialien Matériaux'!A:A, 'Baumaterialien Matériaux'!AD:AD, "-", 0, 1)</f>
        <v>Données écobilans dans la construction</v>
      </c>
      <c r="H151" s="875"/>
      <c r="I151" s="641">
        <f>_xlfn.XLOOKUP(H151, 'Baumaterialien Matériaux'!A:A, 'Baumaterialien Matériaux'!F:F, "-", 0, 1)</f>
        <v>0</v>
      </c>
      <c r="J151" s="649">
        <f t="shared" si="310"/>
        <v>1397.3760000000002</v>
      </c>
      <c r="K151" s="647">
        <f>0.015*1200</f>
        <v>18</v>
      </c>
      <c r="L151" s="643">
        <v>30</v>
      </c>
      <c r="M151" s="648">
        <f t="shared" si="308"/>
        <v>0</v>
      </c>
      <c r="N151" s="720">
        <f>IFERROR(($J151*VLOOKUP($H151, 'Baumaterialien Matériaux'!$A$11:$AH$318, 26,FALSE)),0)/$G$1</f>
        <v>0</v>
      </c>
      <c r="O151" s="720">
        <f>IFERROR(($J151*VLOOKUP($H151, 'Baumaterialien Matériaux'!$A$11:$AH$318, 33,FALSE)),0)/$G$1</f>
        <v>0</v>
      </c>
      <c r="P151" s="720">
        <f t="shared" si="309"/>
        <v>0</v>
      </c>
      <c r="Q151" s="720">
        <f>IFERROR(($J151*VLOOKUP($H151, 'Baumaterialien Matériaux'!$A$11:$AH$318, 27,FALSE)),0)/$G$1</f>
        <v>0</v>
      </c>
      <c r="R151" s="720">
        <f>IFERROR(($J151*VLOOKUP($H151, 'Baumaterialien Matériaux'!$A$11:$AH$318, 34,FALSE)),0)/$G$1</f>
        <v>0</v>
      </c>
      <c r="S151" s="720">
        <f>IFERROR((J151*VLOOKUP(H151, 'Baumaterialien Matériaux'!$A$11:$AD$318, 29,FALSE)),0)/$G$1</f>
        <v>0</v>
      </c>
      <c r="T151" s="720">
        <f>S151*AJ151</f>
        <v>0</v>
      </c>
      <c r="U151" s="674"/>
      <c r="V151" s="674">
        <f t="shared" si="296"/>
        <v>0</v>
      </c>
      <c r="W151" s="674">
        <f t="shared" si="297"/>
        <v>0</v>
      </c>
      <c r="X151" s="674"/>
      <c r="Y151" s="674"/>
      <c r="Z151" s="674">
        <f t="shared" si="292"/>
        <v>30</v>
      </c>
      <c r="AA151" s="1095" t="s">
        <v>3454</v>
      </c>
      <c r="AB151">
        <f>_xlfn.XLOOKUP($H151,'[1]Baumaterialien Matériaux'!$A:$A,'[1]Baumaterialien Matériaux'!AK:AK,0,0)</f>
        <v>0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 s="1112" cm="1">
        <f t="array" ref="AD151">IFERROR(_xlfn.SWITCH(I151,"kg",1,"m3",AC151,AC151)*J151/(_xlfn.XLOOKUP(AA151,Métrés!A:A,Métrés!E:E,0)),0)</f>
        <v>0</v>
      </c>
      <c r="AE151" s="1092">
        <f>IFERROR(N151*$G$1/(_xlfn.XLOOKUP($AA151,Métrés!$A:$A,Métrés!$E:$E,0)),0)</f>
        <v>0</v>
      </c>
      <c r="AF151" s="1092">
        <f>IFERROR(O151*$G$1/(_xlfn.XLOOKUP($AA151,Métrés!$A:$A,Métrés!$E:$E,0)),0)</f>
        <v>0</v>
      </c>
      <c r="AG151" s="1092">
        <f>IFERROR(Q151*$G$1/(_xlfn.XLOOKUP($AA151,Métrés!$A:$A,Métrés!$E:$E,0)),0)</f>
        <v>0</v>
      </c>
      <c r="AH151" s="1092">
        <f>IFERROR(R151*$G$1/(_xlfn.XLOOKUP($AA151,Métrés!$A:$A,Métrés!$E:$E,0)),0)</f>
        <v>0</v>
      </c>
      <c r="AI151" s="1092">
        <f>IFERROR(S151*$G$1/(_xlfn.XLOOKUP($AA151,Métrés!$A:$A,Métrés!$E:$E,0)),0)</f>
        <v>0</v>
      </c>
      <c r="AJ151" s="1022"/>
      <c r="AK151" s="638">
        <f>IF(L151=60,0,T151)</f>
        <v>0</v>
      </c>
      <c r="AL151" s="638">
        <f>IF(L151=60,0,S151)</f>
        <v>0</v>
      </c>
      <c r="AM151" s="638" t="str">
        <f>IF(L151=$L$2, "Structure", IF(L151&gt;0,"Revêtement",0))</f>
        <v>Revêtement</v>
      </c>
      <c r="AN151" s="1017">
        <f>IF(AM151="Structure",N151,0)</f>
        <v>0</v>
      </c>
      <c r="AO151" s="638">
        <f>IF(AM151="Structure",P151,0)</f>
        <v>0</v>
      </c>
      <c r="AP151" s="638">
        <f>IF(AM151="Structure",Q151,0)</f>
        <v>0</v>
      </c>
      <c r="AQ151" s="1018">
        <f>IF(AM151="Structure",S151,0)</f>
        <v>0</v>
      </c>
      <c r="AR151" s="1018">
        <f>IF(AM151="Structure",T151,0)</f>
        <v>0</v>
      </c>
      <c r="AS151" s="1017">
        <f>IF(AM151="Insulation",N151,0)</f>
        <v>0</v>
      </c>
      <c r="AT151" s="638">
        <f>IF(AM151="Insulation",P151,0)</f>
        <v>0</v>
      </c>
      <c r="AU151" s="638">
        <f>IF(AM151="Insulation",Q151,0)</f>
        <v>0</v>
      </c>
      <c r="AV151" s="1018">
        <f>IF(AM151="Insulation",S151,0)</f>
        <v>0</v>
      </c>
      <c r="AW151" s="1018">
        <f>IF(AM151="Insulation",T151,0)</f>
        <v>0</v>
      </c>
      <c r="AX151" s="1017">
        <f>IF(AM151="Revêtement",N151,0)</f>
        <v>0</v>
      </c>
      <c r="AY151" s="638">
        <f>IF(AM151="Revêtement",P151,0)</f>
        <v>0</v>
      </c>
      <c r="AZ151" s="638">
        <f>IF(AM151="Revêtement",Q151,0)</f>
        <v>0</v>
      </c>
      <c r="BA151" s="638">
        <f>IF(AM151="Revêtement",S151,0)</f>
        <v>0</v>
      </c>
      <c r="BB151" s="1018">
        <f>IF(AM151="Revêtement",T151,0)</f>
        <v>0</v>
      </c>
      <c r="BC151" s="1017"/>
      <c r="BF151" s="1018"/>
      <c r="BG151" s="1017">
        <f>IF($AM151="Structure", IF($I151="kg",$J151,0), 0)</f>
        <v>0</v>
      </c>
      <c r="BH151" s="638">
        <f>IF($AM151="Insulation", IF($I151="kg",$J151,0), 0)</f>
        <v>0</v>
      </c>
      <c r="BI151" s="1018">
        <f>IF($AM151="Revêtement", IF($I151="kg",$J151,0), 0)</f>
        <v>0</v>
      </c>
      <c r="BJ151" s="638">
        <f>_xlfn.XLOOKUP(H151, 'Baumaterialien Matériaux'!A:A, 'Baumaterialien Matériaux'!E:E, "-", 0, 1)</f>
        <v>0</v>
      </c>
      <c r="BK151" s="1032">
        <f t="shared" si="283"/>
        <v>0</v>
      </c>
      <c r="BL151" s="1030">
        <f t="shared" si="284"/>
        <v>0</v>
      </c>
      <c r="BM151" s="1033">
        <f t="shared" si="285"/>
        <v>0</v>
      </c>
      <c r="BN151" s="720"/>
      <c r="BO151" s="720"/>
    </row>
    <row r="152" spans="2:67">
      <c r="B152" s="1103"/>
      <c r="C152" s="1099"/>
      <c r="D152" s="478"/>
      <c r="E152" s="478"/>
      <c r="F152" s="479" t="s">
        <v>3048</v>
      </c>
      <c r="G152" s="479"/>
      <c r="H152" s="479"/>
      <c r="I152" s="460" t="s">
        <v>39</v>
      </c>
      <c r="J152" s="662">
        <v>116.84</v>
      </c>
      <c r="K152" s="663"/>
      <c r="L152" s="663"/>
      <c r="M152" s="664">
        <f>SUM(M153:M154)</f>
        <v>0.83091371128891844</v>
      </c>
      <c r="N152" s="664">
        <f t="shared" ref="N152:T152" si="311">SUM(N153:N154)</f>
        <v>0.29462444550391775</v>
      </c>
      <c r="O152" s="664">
        <f t="shared" ref="O152" si="312">SUM(O153:O154)</f>
        <v>9.0213412793831091E-2</v>
      </c>
      <c r="P152" s="664">
        <f t="shared" si="311"/>
        <v>0.37035014924754361</v>
      </c>
      <c r="Q152" s="664">
        <f t="shared" si="311"/>
        <v>7.5725703743625888E-2</v>
      </c>
      <c r="R152" s="664">
        <f t="shared" ref="R152" si="313">SUM(R153:R154)</f>
        <v>1.3716662659093735E-2</v>
      </c>
      <c r="S152" s="664">
        <f t="shared" si="311"/>
        <v>3.1144254487790723</v>
      </c>
      <c r="T152" s="664">
        <f t="shared" si="311"/>
        <v>3.1144254487790724E-2</v>
      </c>
      <c r="V152" s="638">
        <f t="shared" si="296"/>
        <v>3.1144254487790724E-2</v>
      </c>
      <c r="X152" s="638">
        <f t="shared" si="223"/>
        <v>0</v>
      </c>
      <c r="Z152" s="638">
        <f t="shared" si="292"/>
        <v>0</v>
      </c>
      <c r="AA152" s="648" t="s">
        <v>3454</v>
      </c>
      <c r="AB152">
        <f>_xlfn.XLOOKUP($H152,'[1]Baumaterialien Matériaux'!$A:$A,'[1]Baumaterialien Matériaux'!AK:AK,0,0)</f>
        <v>0</v>
      </c>
      <c r="AC152" cm="1">
        <f t="array" ref="AC152">_xlfn.SWITCH(I152,"kg"," ",0," ",_xlfn.XLOOKUP(H152, '[1]Baumaterialien Matériaux'!$A:$A, '[1]Baumaterialien Matériaux'!$AL:$AL, "-", 0, 1))</f>
        <v>0</v>
      </c>
      <c r="AD152" s="1112" cm="1">
        <f t="array" ref="AD152">IFERROR(_xlfn.SWITCH(I152,"kg",1,"m3",AC152,AC152)*J152/(_xlfn.XLOOKUP(AA152,Métrés!A:A,Métrés!E:E,0)),0)</f>
        <v>0</v>
      </c>
      <c r="AE152" s="1092">
        <f>IFERROR(N152*$G$1/(_xlfn.XLOOKUP($AA152,Métrés!$A:$A,Métrés!$E:$E,0)),0)</f>
        <v>1.4617294520547943</v>
      </c>
      <c r="AF152" s="1092">
        <f>IFERROR(O152*$G$1/(_xlfn.XLOOKUP($AA152,Métrés!$A:$A,Métrés!$E:$E,0)),0)</f>
        <v>0.44757861902998886</v>
      </c>
      <c r="AG152" s="1092">
        <f>IFERROR(Q152*$G$1/(_xlfn.XLOOKUP($AA152,Métrés!$A:$A,Métrés!$E:$E,0)),0)</f>
        <v>0.37570029618659762</v>
      </c>
      <c r="AH152" s="1092">
        <f>IFERROR(R152*$G$1/(_xlfn.XLOOKUP($AA152,Métrés!$A:$A,Métrés!$E:$E,0)),0)</f>
        <v>6.8052906330988525E-2</v>
      </c>
      <c r="AI152" s="1092">
        <f>IFERROR(S152*$G$1/(_xlfn.XLOOKUP($AA152,Métrés!$A:$A,Métrés!$E:$E,0)),0)</f>
        <v>15.451696131062569</v>
      </c>
      <c r="AJ152" s="878"/>
      <c r="AK152" s="878"/>
      <c r="AL152" s="878"/>
      <c r="AM152" s="878"/>
      <c r="AN152" s="1053"/>
      <c r="AO152" s="878"/>
      <c r="AP152" s="878"/>
      <c r="AQ152" s="878"/>
      <c r="AR152" s="1054"/>
      <c r="AS152" s="1053"/>
      <c r="AT152" s="878"/>
      <c r="AU152" s="878"/>
      <c r="AV152" s="878"/>
      <c r="AW152" s="1054"/>
      <c r="AX152" s="1053"/>
      <c r="AY152" s="878"/>
      <c r="AZ152" s="878"/>
      <c r="BA152" s="878"/>
      <c r="BB152" s="1054"/>
      <c r="BC152" s="1053"/>
      <c r="BD152" s="878"/>
      <c r="BE152" s="878"/>
      <c r="BF152" s="1054"/>
      <c r="BG152" s="1053"/>
      <c r="BH152" s="878"/>
      <c r="BI152" s="1054"/>
      <c r="BJ152" s="878"/>
      <c r="BK152" s="1053"/>
      <c r="BL152" s="878"/>
      <c r="BM152" s="1054"/>
      <c r="BN152" s="720">
        <f>IFERROR((J152*VLOOKUP(H152, 'Baumaterialien Matériaux'!$A$11:$AH$318, 32,FALSE))*($L$2/L152-1),0)/$G$1</f>
        <v>0</v>
      </c>
      <c r="BO152" s="720">
        <f>IFERROR((N152+Q152)*($L$2/L152-1),0)</f>
        <v>0</v>
      </c>
    </row>
    <row r="153" spans="2:67">
      <c r="B153" s="1103"/>
      <c r="C153" s="1099"/>
      <c r="D153" s="478"/>
      <c r="E153" s="478"/>
      <c r="F153" s="478" t="s">
        <v>3307</v>
      </c>
      <c r="G153" s="478" t="str">
        <f>_xlfn.XLOOKUP(H153, 'Baumaterialien Matériaux'!A:A, 'Baumaterialien Matériaux'!AD:AD, "-", 0, 1)</f>
        <v>Bois massif de construction</v>
      </c>
      <c r="H153" s="892" t="s">
        <v>547</v>
      </c>
      <c r="I153" s="641" t="str">
        <f>_xlfn.XLOOKUP(H153, 'Baumaterialien Matériaux'!A:A, 'Baumaterialien Matériaux'!F:F, "-", 0, 1)</f>
        <v>kg</v>
      </c>
      <c r="J153" s="649">
        <f>436*0.81</f>
        <v>353.16</v>
      </c>
      <c r="K153" s="1008"/>
      <c r="L153" s="643">
        <f>'Eléments de constr. inté. et ex'!N33</f>
        <v>30</v>
      </c>
      <c r="M153" s="648">
        <f t="shared" ref="M153:M154" si="314">SUM(N153:Q153)</f>
        <v>0.23671866340533149</v>
      </c>
      <c r="N153" s="720">
        <f>IFERROR(($J153*VLOOKUP($H153, 'Baumaterialien Matériaux'!$A$11:$AH$318, 26,FALSE)),0)/$G$1</f>
        <v>8.9677252186891099E-2</v>
      </c>
      <c r="O153" s="720">
        <f>IFERROR(($J153*VLOOKUP($H153, 'Baumaterialien Matériaux'!$A$11:$AH$318, 33,FALSE)),0)/$G$1</f>
        <v>2.4933936403963353E-2</v>
      </c>
      <c r="P153" s="720">
        <f>IFERROR((N153+Q153)*($L$2/L153-1),0)</f>
        <v>0.10589236350068407</v>
      </c>
      <c r="Q153" s="720">
        <f>IFERROR(($J153*VLOOKUP($H153, 'Baumaterialien Matériaux'!$A$11:$AH$318, 27,FALSE)),0)/$G$1</f>
        <v>1.6215111313792961E-2</v>
      </c>
      <c r="R153" s="720">
        <f>IFERROR(($J153*VLOOKUP($H153, 'Baumaterialien Matériaux'!$A$11:$AH$318, 34,FALSE)),0)/$G$1</f>
        <v>2.6646954935533357E-3</v>
      </c>
      <c r="S153" s="720">
        <f>IFERROR((J153*VLOOKUP(H153, 'Baumaterialien Matériaux'!$A$11:$AD$318, 29,FALSE)),0)/$G$1</f>
        <v>0.60394884125865433</v>
      </c>
      <c r="T153" s="720">
        <f>S153*AJ153</f>
        <v>6.0394884125865439E-3</v>
      </c>
      <c r="U153" s="638">
        <v>0.01</v>
      </c>
      <c r="V153" s="638">
        <f t="shared" si="296"/>
        <v>6.0394884125865439E-3</v>
      </c>
      <c r="W153" s="638">
        <f t="shared" si="297"/>
        <v>0.60394884125865433</v>
      </c>
      <c r="X153" s="638" t="str">
        <f t="shared" si="223"/>
        <v>Revêtement</v>
      </c>
      <c r="Z153" s="638">
        <f t="shared" si="292"/>
        <v>30</v>
      </c>
      <c r="AA153" s="648" t="s">
        <v>3454</v>
      </c>
      <c r="AB153" t="str">
        <f>_xlfn.XLOOKUP($H153,'[1]Baumaterialien Matériaux'!$A:$A,'[1]Baumaterialien Matériaux'!AK:AK,0,0)</f>
        <v>timber</v>
      </c>
      <c r="AC153" t="str" cm="1">
        <f t="array" ref="AC153">_xlfn.SWITCH(I153,"kg"," ",0," ",_xlfn.XLOOKUP(H153, '[1]Baumaterialien Matériaux'!$A:$A, '[1]Baumaterialien Matériaux'!$AL:$AL, "-", 0, 1))</f>
        <v xml:space="preserve"> </v>
      </c>
      <c r="AD153" s="1112" cm="1">
        <f t="array" ref="AD153">IFERROR(_xlfn.SWITCH(I153,"kg",1,"m3",AC153,AC153)*J153/(_xlfn.XLOOKUP(AA153,Métrés!A:A,Métrés!E:E,0)),0)</f>
        <v>1.8159940762680489</v>
      </c>
      <c r="AE153" s="1092">
        <f>IFERROR(N153*$G$1/(_xlfn.XLOOKUP($AA153,Métrés!$A:$A,Métrés!$E:$E,0)),0)</f>
        <v>0.44491854868567199</v>
      </c>
      <c r="AF153" s="1092">
        <f>IFERROR(O153*$G$1/(_xlfn.XLOOKUP($AA153,Métrés!$A:$A,Métrés!$E:$E,0)),0)</f>
        <v>0.12370551647537949</v>
      </c>
      <c r="AG153" s="1092">
        <f>IFERROR(Q153*$G$1/(_xlfn.XLOOKUP($AA153,Métrés!$A:$A,Métrés!$E:$E,0)),0)</f>
        <v>8.0448537578674567E-2</v>
      </c>
      <c r="AH153" s="1092">
        <f>IFERROR(R153*$G$1/(_xlfn.XLOOKUP($AA153,Métrés!$A:$A,Métrés!$E:$E,0)),0)</f>
        <v>1.3220436875231396E-2</v>
      </c>
      <c r="AI153" s="1092">
        <f>IFERROR(S153*$G$1/(_xlfn.XLOOKUP($AA153,Métrés!$A:$A,Métrés!$E:$E,0)),0)</f>
        <v>2.9963902258422808</v>
      </c>
      <c r="AJ153" s="1022">
        <v>0.01</v>
      </c>
      <c r="AK153" s="638">
        <f>IF(L153=60,0,T153)</f>
        <v>6.0394884125865439E-3</v>
      </c>
      <c r="AL153" s="638">
        <f>IF(L153=60,0,S153)</f>
        <v>0.60394884125865433</v>
      </c>
      <c r="AM153" s="638" t="str">
        <f>IF(L153=$L$2, "Structure", IF(L153&gt;0,"Revêtement",0))</f>
        <v>Revêtement</v>
      </c>
      <c r="AN153" s="1017">
        <f>IF(AM153="Structure",N153,0)</f>
        <v>0</v>
      </c>
      <c r="AO153" s="638">
        <f>IF(AM153="Structure",P153,0)</f>
        <v>0</v>
      </c>
      <c r="AP153" s="638">
        <f>IF(AM153="Structure",Q153,0)</f>
        <v>0</v>
      </c>
      <c r="AQ153" s="1018">
        <f>IF(AM153="Structure",S153,0)</f>
        <v>0</v>
      </c>
      <c r="AR153" s="1018">
        <f>IF(AM153="Structure",T153,0)</f>
        <v>0</v>
      </c>
      <c r="AS153" s="1017">
        <f>IF(AM153="Insulation",N153,0)</f>
        <v>0</v>
      </c>
      <c r="AT153" s="638">
        <f>IF(AM153="Insulation",P153,0)</f>
        <v>0</v>
      </c>
      <c r="AU153" s="638">
        <f>IF(AM153="Insulation",Q153,0)</f>
        <v>0</v>
      </c>
      <c r="AV153" s="1018">
        <f>IF(AM153="Insulation",S153,0)</f>
        <v>0</v>
      </c>
      <c r="AW153" s="1018">
        <f>IF(AM153="Insulation",T153,0)</f>
        <v>0</v>
      </c>
      <c r="AX153" s="1017">
        <f>IF(AM153="Revêtement",N153,0)</f>
        <v>8.9677252186891099E-2</v>
      </c>
      <c r="AY153" s="638">
        <f>IF(AM153="Revêtement",P153,0)</f>
        <v>0.10589236350068407</v>
      </c>
      <c r="AZ153" s="638">
        <f>IF(AM153="Revêtement",Q153,0)</f>
        <v>1.6215111313792961E-2</v>
      </c>
      <c r="BA153" s="638">
        <f>IF(AM153="Revêtement",S153,0)</f>
        <v>0.60394884125865433</v>
      </c>
      <c r="BB153" s="1018">
        <f>IF(AM153="Revêtement",T153,0)</f>
        <v>6.0394884125865439E-3</v>
      </c>
      <c r="BC153" s="1017"/>
      <c r="BF153" s="1018"/>
      <c r="BG153" s="1017">
        <f>IF($AM153="Structure", IF($I153="kg",$J153,0), 0)</f>
        <v>0</v>
      </c>
      <c r="BH153" s="638">
        <f>IF($AM153="Insulation", IF($I153="kg",$J153,0), 0)</f>
        <v>0</v>
      </c>
      <c r="BI153" s="1018">
        <f>IF($AM153="Revêtement", IF($I153="kg",$J153,0), 0)</f>
        <v>353.16</v>
      </c>
      <c r="BJ153" s="638">
        <f>_xlfn.XLOOKUP(H153, 'Baumaterialien Matériaux'!A:A, 'Baumaterialien Matériaux'!E:E, "-", 0, 1)</f>
        <v>436</v>
      </c>
      <c r="BK153" s="1032">
        <f t="shared" si="283"/>
        <v>0</v>
      </c>
      <c r="BL153" s="1030">
        <f t="shared" si="284"/>
        <v>0</v>
      </c>
      <c r="BM153" s="1033">
        <f t="shared" si="285"/>
        <v>0.81</v>
      </c>
      <c r="BN153" s="720">
        <f>IFERROR((J153*VLOOKUP(H153, 'Baumaterialien Matériaux'!$A$11:$AH$318, 32,FALSE))*($L$2/L153-1),0)/$G$1</f>
        <v>2.7598631897516688E-2</v>
      </c>
      <c r="BO153" s="720">
        <f>IFERROR((N153+Q153)*($L$2/L153-1),0)</f>
        <v>0.10589236350068407</v>
      </c>
    </row>
    <row r="154" spans="2:67">
      <c r="B154" s="1103"/>
      <c r="C154" s="1099"/>
      <c r="D154" s="478"/>
      <c r="E154" s="478"/>
      <c r="F154" s="478" t="s">
        <v>3303</v>
      </c>
      <c r="G154" s="478" t="str">
        <f>_xlfn.XLOOKUP(H154, 'Baumaterialien Matériaux'!A:A, 'Baumaterialien Matériaux'!AD:AD, "-", 0, 1)</f>
        <v>Bois massif épicéa / sapin / mélèze, séché en cellule, raboté</v>
      </c>
      <c r="H154" s="892" t="s">
        <v>129</v>
      </c>
      <c r="I154" s="641" t="str">
        <f>_xlfn.XLOOKUP(H154, 'Baumaterialien Matériaux'!A:A, 'Baumaterialien Matériaux'!F:F, "-", 0, 1)</f>
        <v>kg</v>
      </c>
      <c r="J154" s="649">
        <f>465*3.15</f>
        <v>1464.75</v>
      </c>
      <c r="K154" s="528"/>
      <c r="L154" s="643">
        <f>'Eléments de constr. inté. et ex'!N34</f>
        <v>30</v>
      </c>
      <c r="M154" s="648">
        <f t="shared" si="314"/>
        <v>0.5941950478835869</v>
      </c>
      <c r="N154" s="720">
        <f>IFERROR(($J154*VLOOKUP($H154, 'Baumaterialien Matériaux'!$A$11:$AH$318, 26,FALSE)),0)/$G$1</f>
        <v>0.20494719331702665</v>
      </c>
      <c r="O154" s="720">
        <f>IFERROR(($J154*VLOOKUP($H154, 'Baumaterialien Matériaux'!$A$11:$AH$318, 33,FALSE)),0)/$G$1</f>
        <v>6.5279476389867738E-2</v>
      </c>
      <c r="P154" s="720">
        <f t="shared" ref="P154" si="315">IFERROR((N154+Q154)*($L$2/L154-1),0)</f>
        <v>0.26445778574685957</v>
      </c>
      <c r="Q154" s="720">
        <f>IFERROR(($J154*VLOOKUP($H154, 'Baumaterialien Matériaux'!$A$11:$AH$318, 27,FALSE)),0)/$G$1</f>
        <v>5.951059242983292E-2</v>
      </c>
      <c r="R154" s="720">
        <f>IFERROR(($J154*VLOOKUP($H154, 'Baumaterialien Matériaux'!$A$11:$AH$318, 34,FALSE)),0)/$G$1</f>
        <v>1.10519671655404E-2</v>
      </c>
      <c r="S154" s="720">
        <f>IFERROR((J154*VLOOKUP(H154, 'Baumaterialien Matériaux'!$A$11:$AD$318, 29,FALSE)),0)/$G$1</f>
        <v>2.5104766075204181</v>
      </c>
      <c r="T154" s="720">
        <f>S154*AJ154</f>
        <v>2.510476607520418E-2</v>
      </c>
      <c r="U154" s="638">
        <v>0.01</v>
      </c>
      <c r="V154" s="638">
        <f t="shared" si="296"/>
        <v>2.510476607520418E-2</v>
      </c>
      <c r="W154" s="638">
        <f t="shared" si="297"/>
        <v>2.5104766075204181</v>
      </c>
      <c r="X154" s="638" t="str">
        <f t="shared" si="223"/>
        <v>Revêtement</v>
      </c>
      <c r="Z154" s="638">
        <f t="shared" si="292"/>
        <v>30</v>
      </c>
      <c r="AA154" s="648" t="s">
        <v>3454</v>
      </c>
      <c r="AB154" t="str">
        <f>_xlfn.XLOOKUP($H154,'[1]Baumaterialien Matériaux'!$A:$A,'[1]Baumaterialien Matériaux'!AK:AK,0,0)</f>
        <v>timber</v>
      </c>
      <c r="AC154" t="str" cm="1">
        <f t="array" ref="AC154">_xlfn.SWITCH(I154,"kg"," ",0," ",_xlfn.XLOOKUP(H154, '[1]Baumaterialien Matériaux'!$A:$A, '[1]Baumaterialien Matériaux'!$AL:$AL, "-", 0, 1))</f>
        <v xml:space="preserve"> </v>
      </c>
      <c r="AD154" s="1112" cm="1">
        <f t="array" ref="AD154">IFERROR(_xlfn.SWITCH(I154,"kg",1,"m3",AC154,AC154)*J154/(_xlfn.XLOOKUP(AA154,Métrés!A:A,Métrés!E:E,0)),0)</f>
        <v>7.5319326175490557</v>
      </c>
      <c r="AE154" s="1092">
        <f>IFERROR(N154*$G$1/(_xlfn.XLOOKUP($AA154,Métrés!$A:$A,Métrés!$E:$E,0)),0)</f>
        <v>1.0168109033691226</v>
      </c>
      <c r="AF154" s="1092">
        <f>IFERROR(O154*$G$1/(_xlfn.XLOOKUP($AA154,Métrés!$A:$A,Métrés!$E:$E,0)),0)</f>
        <v>0.32387310255460933</v>
      </c>
      <c r="AG154" s="1092">
        <f>IFERROR(Q154*$G$1/(_xlfn.XLOOKUP($AA154,Métrés!$A:$A,Métrés!$E:$E,0)),0)</f>
        <v>0.29525175860792297</v>
      </c>
      <c r="AH154" s="1092">
        <f>IFERROR(R154*$G$1/(_xlfn.XLOOKUP($AA154,Métrés!$A:$A,Métrés!$E:$E,0)),0)</f>
        <v>5.4832469455757128E-2</v>
      </c>
      <c r="AI154" s="1092">
        <f>IFERROR(S154*$G$1/(_xlfn.XLOOKUP($AA154,Métrés!$A:$A,Métrés!$E:$E,0)),0)</f>
        <v>12.455305905220289</v>
      </c>
      <c r="AJ154" s="1022">
        <v>0.01</v>
      </c>
      <c r="AK154" s="638">
        <f>IF(L154=60,0,T154)</f>
        <v>2.510476607520418E-2</v>
      </c>
      <c r="AL154" s="638">
        <f>IF(L154=60,0,S154)</f>
        <v>2.5104766075204181</v>
      </c>
      <c r="AM154" s="638" t="str">
        <f>IF(L154=$L$2, "Structure", IF(L154&gt;0,"Revêtement",0))</f>
        <v>Revêtement</v>
      </c>
      <c r="AN154" s="1017">
        <f>IF(AM154="Structure",N154,0)</f>
        <v>0</v>
      </c>
      <c r="AO154" s="638">
        <f>IF(AM154="Structure",P154,0)</f>
        <v>0</v>
      </c>
      <c r="AP154" s="638">
        <f>IF(AM154="Structure",Q154,0)</f>
        <v>0</v>
      </c>
      <c r="AQ154" s="1018">
        <f>IF(AM154="Structure",S154,0)</f>
        <v>0</v>
      </c>
      <c r="AR154" s="1018">
        <f>IF(AM154="Structure",T154,0)</f>
        <v>0</v>
      </c>
      <c r="AS154" s="1017">
        <f>IF(AM154="Insulation",N154,0)</f>
        <v>0</v>
      </c>
      <c r="AT154" s="638">
        <f>IF(AM154="Insulation",P154,0)</f>
        <v>0</v>
      </c>
      <c r="AU154" s="638">
        <f>IF(AM154="Insulation",Q154,0)</f>
        <v>0</v>
      </c>
      <c r="AV154" s="1018">
        <f>IF(AM154="Insulation",S154,0)</f>
        <v>0</v>
      </c>
      <c r="AW154" s="1018">
        <f>IF(AM154="Insulation",T154,0)</f>
        <v>0</v>
      </c>
      <c r="AX154" s="1017">
        <f>IF(AM154="Revêtement",N154,0)</f>
        <v>0.20494719331702665</v>
      </c>
      <c r="AY154" s="638">
        <f>IF(AM154="Revêtement",P154,0)</f>
        <v>0.26445778574685957</v>
      </c>
      <c r="AZ154" s="638">
        <f>IF(AM154="Revêtement",Q154,0)</f>
        <v>5.951059242983292E-2</v>
      </c>
      <c r="BA154" s="638">
        <f>IF(AM154="Revêtement",S154,0)</f>
        <v>2.5104766075204181</v>
      </c>
      <c r="BB154" s="1018">
        <f>IF(AM154="Revêtement",T154,0)</f>
        <v>2.510476607520418E-2</v>
      </c>
      <c r="BC154" s="1017"/>
      <c r="BF154" s="1018"/>
      <c r="BG154" s="1017">
        <f>IF($AM154="Structure", IF($I154="kg",$J154,0), 0)</f>
        <v>0</v>
      </c>
      <c r="BH154" s="638">
        <f>IF($AM154="Insulation", IF($I154="kg",$J154,0), 0)</f>
        <v>0</v>
      </c>
      <c r="BI154" s="1018">
        <f>IF($AM154="Revêtement", IF($I154="kg",$J154,0), 0)</f>
        <v>1464.75</v>
      </c>
      <c r="BJ154" s="638">
        <f>_xlfn.XLOOKUP(H154, 'Baumaterialien Matériaux'!A:A, 'Baumaterialien Matériaux'!E:E, "-", 0, 1)</f>
        <v>465</v>
      </c>
      <c r="BK154" s="1032">
        <f t="shared" si="283"/>
        <v>0</v>
      </c>
      <c r="BL154" s="1030">
        <f t="shared" si="284"/>
        <v>0</v>
      </c>
      <c r="BM154" s="1033">
        <f t="shared" si="285"/>
        <v>3.15</v>
      </c>
    </row>
    <row r="155" spans="2:67">
      <c r="B155" s="1103"/>
      <c r="C155" s="1099"/>
      <c r="D155" s="478"/>
      <c r="E155" s="478"/>
      <c r="F155" s="479" t="s">
        <v>3049</v>
      </c>
      <c r="G155" s="479"/>
      <c r="H155" s="479"/>
      <c r="I155" s="460" t="s">
        <v>39</v>
      </c>
      <c r="J155" s="662"/>
      <c r="K155" s="663"/>
      <c r="L155" s="663"/>
      <c r="M155" s="664">
        <f>SUM(M156:M157)</f>
        <v>0.3112450250818789</v>
      </c>
      <c r="N155" s="664">
        <f t="shared" ref="N155:T155" si="316">SUM(N156:N157)</f>
        <v>0.10735329173749017</v>
      </c>
      <c r="O155" s="664">
        <f t="shared" ref="O155" si="317">SUM(O156:O157)</f>
        <v>3.4194011442311677E-2</v>
      </c>
      <c r="P155" s="664">
        <f t="shared" si="316"/>
        <v>0.13852550681978359</v>
      </c>
      <c r="Q155" s="664">
        <f t="shared" si="316"/>
        <v>3.1172215082293436E-2</v>
      </c>
      <c r="R155" s="664">
        <f t="shared" ref="R155" si="318">SUM(R156:R157)</f>
        <v>5.7891256581402099E-3</v>
      </c>
      <c r="S155" s="664">
        <f t="shared" si="316"/>
        <v>1.3150115563202189</v>
      </c>
      <c r="T155" s="664">
        <f t="shared" si="316"/>
        <v>1.315011556320219E-2</v>
      </c>
      <c r="V155" s="638">
        <f t="shared" si="296"/>
        <v>1.315011556320219E-2</v>
      </c>
      <c r="X155" s="638">
        <f t="shared" si="223"/>
        <v>0</v>
      </c>
      <c r="Z155" s="638">
        <f t="shared" si="292"/>
        <v>0</v>
      </c>
      <c r="AA155" s="648" t="s">
        <v>3454</v>
      </c>
      <c r="AB155">
        <f>_xlfn.XLOOKUP($H155,'[1]Baumaterialien Matériaux'!$A:$A,'[1]Baumaterialien Matériaux'!AK:AK,0,0)</f>
        <v>0</v>
      </c>
      <c r="AC155" cm="1">
        <f t="array" ref="AC155">_xlfn.SWITCH(I155,"kg"," ",0," ",_xlfn.XLOOKUP(H155, '[1]Baumaterialien Matériaux'!$A:$A, '[1]Baumaterialien Matériaux'!$AL:$AL, "-", 0, 1))</f>
        <v>0</v>
      </c>
      <c r="AD155" s="1112" cm="1">
        <f t="array" ref="AD155">IFERROR(_xlfn.SWITCH(I155,"kg",1,"m3",AC155,AC155)*J155/(_xlfn.XLOOKUP(AA155,Métrés!A:A,Métrés!E:E,0)),0)</f>
        <v>0</v>
      </c>
      <c r="AE155" s="1092">
        <f>IFERROR(N155*$G$1/(_xlfn.XLOOKUP($AA155,Métrés!$A:$A,Métrés!$E:$E,0)),0)</f>
        <v>0.53261523509811182</v>
      </c>
      <c r="AF155" s="1092">
        <f>IFERROR(O155*$G$1/(_xlfn.XLOOKUP($AA155,Métrés!$A:$A,Métrés!$E:$E,0)),0)</f>
        <v>0.16964781562384298</v>
      </c>
      <c r="AG155" s="1092">
        <f>IFERROR(Q155*$G$1/(_xlfn.XLOOKUP($AA155,Métrés!$A:$A,Métrés!$E:$E,0)),0)</f>
        <v>0.15465568308034061</v>
      </c>
      <c r="AH155" s="1092">
        <f>IFERROR(R155*$G$1/(_xlfn.XLOOKUP($AA155,Métrés!$A:$A,Métrés!$E:$E,0)),0)</f>
        <v>2.8721769714920398E-2</v>
      </c>
      <c r="AI155" s="1092">
        <f>IFERROR(S155*$G$1/(_xlfn.XLOOKUP($AA155,Métrés!$A:$A,Métrés!$E:$E,0)),0)</f>
        <v>6.5242078551153888</v>
      </c>
      <c r="AJ155" s="878"/>
      <c r="AK155" s="878"/>
      <c r="AL155" s="878"/>
      <c r="AM155" s="878"/>
      <c r="AN155" s="1053"/>
      <c r="AO155" s="878"/>
      <c r="AP155" s="878"/>
      <c r="AQ155" s="878"/>
      <c r="AR155" s="1054"/>
      <c r="AS155" s="1053"/>
      <c r="AT155" s="878"/>
      <c r="AU155" s="878"/>
      <c r="AV155" s="878"/>
      <c r="AW155" s="1054"/>
      <c r="AX155" s="1053"/>
      <c r="AY155" s="878"/>
      <c r="AZ155" s="878"/>
      <c r="BA155" s="878"/>
      <c r="BB155" s="1054"/>
      <c r="BC155" s="1053"/>
      <c r="BD155" s="878"/>
      <c r="BE155" s="878"/>
      <c r="BF155" s="1054"/>
      <c r="BG155" s="1053"/>
      <c r="BH155" s="878"/>
      <c r="BI155" s="1054"/>
      <c r="BJ155" s="878"/>
      <c r="BK155" s="1053"/>
      <c r="BL155" s="878"/>
      <c r="BM155" s="1054"/>
    </row>
    <row r="156" spans="2:67">
      <c r="B156" s="1103"/>
      <c r="C156" s="1099"/>
      <c r="D156" s="478"/>
      <c r="E156" s="478"/>
      <c r="F156" s="478" t="s">
        <v>3309</v>
      </c>
      <c r="G156" s="478" t="str">
        <f>_xlfn.XLOOKUP(H156, 'Baumaterialien Matériaux'!A:A, 'Baumaterialien Matériaux'!AD:AD, "-", 0, 1)</f>
        <v>Bois massif épicéa / sapin / mélèze, séché en cellule, raboté</v>
      </c>
      <c r="H156" s="892" t="s">
        <v>129</v>
      </c>
      <c r="I156" s="641" t="str">
        <f>_xlfn.XLOOKUP(H156, 'Baumaterialien Matériaux'!A:A, 'Baumaterialien Matériaux'!F:F, "-", 0, 1)</f>
        <v>kg</v>
      </c>
      <c r="J156" s="649">
        <f>465*1.65</f>
        <v>767.25</v>
      </c>
      <c r="K156" s="647"/>
      <c r="L156" s="643">
        <v>30</v>
      </c>
      <c r="M156" s="648">
        <f t="shared" ref="M156:M157" si="319">SUM(N156:Q156)</f>
        <v>0.3112450250818789</v>
      </c>
      <c r="N156" s="720">
        <f>IFERROR(($J156*VLOOKUP($H156, 'Baumaterialien Matériaux'!$A$11:$AH$318, 26,FALSE)),0)/$G$1</f>
        <v>0.10735329173749017</v>
      </c>
      <c r="O156" s="720">
        <f>IFERROR(($J156*VLOOKUP($H156, 'Baumaterialien Matériaux'!$A$11:$AH$318, 33,FALSE)),0)/$G$1</f>
        <v>3.4194011442311677E-2</v>
      </c>
      <c r="P156" s="720">
        <f>IFERROR((N156+Q156)*($L$2/L156-1),0)</f>
        <v>0.13852550681978359</v>
      </c>
      <c r="Q156" s="720">
        <f>IFERROR(($J156*VLOOKUP($H156, 'Baumaterialien Matériaux'!$A$11:$AH$318, 27,FALSE)),0)/$G$1</f>
        <v>3.1172215082293436E-2</v>
      </c>
      <c r="R156" s="720">
        <f>IFERROR(($J156*VLOOKUP($H156, 'Baumaterialien Matériaux'!$A$11:$AH$318, 34,FALSE)),0)/$G$1</f>
        <v>5.7891256581402099E-3</v>
      </c>
      <c r="S156" s="720">
        <f>IFERROR((J156*VLOOKUP(H156, 'Baumaterialien Matériaux'!$A$11:$AD$318, 29,FALSE)),0)/$G$1</f>
        <v>1.3150115563202189</v>
      </c>
      <c r="T156" s="720">
        <f>S156*AJ156</f>
        <v>1.315011556320219E-2</v>
      </c>
      <c r="U156" s="638">
        <v>0.01</v>
      </c>
      <c r="V156" s="638">
        <f t="shared" si="296"/>
        <v>1.315011556320219E-2</v>
      </c>
      <c r="W156" s="638">
        <f t="shared" si="297"/>
        <v>1.3150115563202189</v>
      </c>
      <c r="X156" s="638" t="str">
        <f t="shared" si="223"/>
        <v>Revêtement</v>
      </c>
      <c r="Z156" s="638">
        <f t="shared" si="292"/>
        <v>30</v>
      </c>
      <c r="AA156" s="648" t="s">
        <v>3454</v>
      </c>
      <c r="AB156" t="str">
        <f>_xlfn.XLOOKUP($H156,'[1]Baumaterialien Matériaux'!$A:$A,'[1]Baumaterialien Matériaux'!AK:AK,0,0)</f>
        <v>timber</v>
      </c>
      <c r="AC156" t="str" cm="1">
        <f t="array" ref="AC156">_xlfn.SWITCH(I156,"kg"," ",0," ",_xlfn.XLOOKUP(H156, '[1]Baumaterialien Matériaux'!$A:$A, '[1]Baumaterialien Matériaux'!$AL:$AL, "-", 0, 1))</f>
        <v xml:space="preserve"> </v>
      </c>
      <c r="AD156" s="1112" cm="1">
        <f t="array" ref="AD156">IFERROR(_xlfn.SWITCH(I156,"kg",1,"m3",AC156,AC156)*J156/(_xlfn.XLOOKUP(AA156,Métrés!A:A,Métrés!E:E,0)),0)</f>
        <v>3.945298037763791</v>
      </c>
      <c r="AE156" s="1092">
        <f>IFERROR(N156*$G$1/(_xlfn.XLOOKUP($AA156,Métrés!$A:$A,Métrés!$E:$E,0)),0)</f>
        <v>0.53261523509811182</v>
      </c>
      <c r="AF156" s="1092">
        <f>IFERROR(O156*$G$1/(_xlfn.XLOOKUP($AA156,Métrés!$A:$A,Métrés!$E:$E,0)),0)</f>
        <v>0.16964781562384298</v>
      </c>
      <c r="AG156" s="1092">
        <f>IFERROR(Q156*$G$1/(_xlfn.XLOOKUP($AA156,Métrés!$A:$A,Métrés!$E:$E,0)),0)</f>
        <v>0.15465568308034061</v>
      </c>
      <c r="AH156" s="1092">
        <f>IFERROR(R156*$G$1/(_xlfn.XLOOKUP($AA156,Métrés!$A:$A,Métrés!$E:$E,0)),0)</f>
        <v>2.8721769714920398E-2</v>
      </c>
      <c r="AI156" s="1092">
        <f>IFERROR(S156*$G$1/(_xlfn.XLOOKUP($AA156,Métrés!$A:$A,Métrés!$E:$E,0)),0)</f>
        <v>6.5242078551153888</v>
      </c>
      <c r="AJ156" s="1022">
        <v>0.01</v>
      </c>
      <c r="AK156" s="638">
        <f>IF(L156=60,0,T156)</f>
        <v>1.315011556320219E-2</v>
      </c>
      <c r="AL156" s="638">
        <f>IF(L156=60,0,S156)</f>
        <v>1.3150115563202189</v>
      </c>
      <c r="AM156" s="638" t="str">
        <f>IF(L156=$L$2, "Structure", IF(L156&gt;0,"Revêtement",0))</f>
        <v>Revêtement</v>
      </c>
      <c r="AN156" s="1017">
        <f>IF(AM156="Structure",N156,0)</f>
        <v>0</v>
      </c>
      <c r="AO156" s="638">
        <f>IF(AM156="Structure",P156,0)</f>
        <v>0</v>
      </c>
      <c r="AP156" s="638">
        <f>IF(AM156="Structure",Q156,0)</f>
        <v>0</v>
      </c>
      <c r="AQ156" s="1018">
        <f>IF(AM156="Structure",S156,0)</f>
        <v>0</v>
      </c>
      <c r="AR156" s="1018">
        <f>IF(AM156="Structure",T156,0)</f>
        <v>0</v>
      </c>
      <c r="AS156" s="1017">
        <f>IF(AM156="Insulation",N156,0)</f>
        <v>0</v>
      </c>
      <c r="AT156" s="638">
        <f>IF(AM156="Insulation",P156,0)</f>
        <v>0</v>
      </c>
      <c r="AU156" s="638">
        <f>IF(AM156="Insulation",Q156,0)</f>
        <v>0</v>
      </c>
      <c r="AV156" s="1018">
        <f>IF(AM156="Insulation",S156,0)</f>
        <v>0</v>
      </c>
      <c r="AW156" s="1018">
        <f>IF(AM156="Insulation",T156,0)</f>
        <v>0</v>
      </c>
      <c r="AX156" s="1017">
        <f>IF(AM156="Revêtement",N156,0)</f>
        <v>0.10735329173749017</v>
      </c>
      <c r="AY156" s="638">
        <f>IF(AM156="Revêtement",P156,0)</f>
        <v>0.13852550681978359</v>
      </c>
      <c r="AZ156" s="638">
        <f>IF(AM156="Revêtement",Q156,0)</f>
        <v>3.1172215082293436E-2</v>
      </c>
      <c r="BA156" s="638">
        <f>IF(AM156="Revêtement",S156,0)</f>
        <v>1.3150115563202189</v>
      </c>
      <c r="BB156" s="1018">
        <f>IF(AM156="Revêtement",T156,0)</f>
        <v>1.315011556320219E-2</v>
      </c>
      <c r="BC156" s="1017"/>
      <c r="BF156" s="1018"/>
      <c r="BG156" s="1017">
        <f>IF($AM156="Structure", IF($I156="kg",$J156,0), 0)</f>
        <v>0</v>
      </c>
      <c r="BH156" s="638">
        <f>IF($AM156="Insulation", IF($I156="kg",$J156,0), 0)</f>
        <v>0</v>
      </c>
      <c r="BI156" s="1018">
        <f>IF($AM156="Revêtement", IF($I156="kg",$J156,0), 0)</f>
        <v>767.25</v>
      </c>
      <c r="BJ156" s="638">
        <f>_xlfn.XLOOKUP(H156, 'Baumaterialien Matériaux'!A:A, 'Baumaterialien Matériaux'!E:E, "-", 0, 1)</f>
        <v>465</v>
      </c>
      <c r="BK156" s="1032">
        <f t="shared" si="283"/>
        <v>0</v>
      </c>
      <c r="BL156" s="1030">
        <f t="shared" si="284"/>
        <v>0</v>
      </c>
      <c r="BM156" s="1033">
        <f t="shared" si="285"/>
        <v>1.65</v>
      </c>
    </row>
    <row r="157" spans="2:67">
      <c r="B157" s="1103"/>
      <c r="C157" s="1099"/>
      <c r="D157" s="478"/>
      <c r="E157" s="478"/>
      <c r="F157" s="478" t="s">
        <v>3308</v>
      </c>
      <c r="G157" s="478" t="str">
        <f>_xlfn.XLOOKUP(H157, 'Baumaterialien Matériaux'!A:A, 'Baumaterialien Matériaux'!AD:AD, "-", 0, 1)</f>
        <v>-</v>
      </c>
      <c r="H157" s="892"/>
      <c r="I157" s="641">
        <f>_xlfn.XLOOKUP(H157, 'Baumaterialien Matériaux'!A:A, 'Baumaterialien Matériaux'!F:F, "-", 0, 1)</f>
        <v>0</v>
      </c>
      <c r="J157" s="649"/>
      <c r="K157" s="879"/>
      <c r="L157" s="643">
        <v>30</v>
      </c>
      <c r="M157" s="648">
        <f t="shared" si="319"/>
        <v>0</v>
      </c>
      <c r="N157" s="720">
        <f>IFERROR(($J157*VLOOKUP($H157, 'Baumaterialien Matériaux'!$A$11:$AH$318, 26,FALSE)),0)/$G$1</f>
        <v>0</v>
      </c>
      <c r="O157" s="720">
        <f>IFERROR(($J157*VLOOKUP($H157, 'Baumaterialien Matériaux'!$A$11:$AH$318, 33,FALSE)),0)/$G$1</f>
        <v>0</v>
      </c>
      <c r="P157" s="720">
        <f>IFERROR((N157+Q157)*($L$2/L157-1),0)</f>
        <v>0</v>
      </c>
      <c r="Q157" s="720">
        <f>IFERROR(($J157*VLOOKUP($H157, 'Baumaterialien Matériaux'!$A$11:$AH$318, 27,FALSE)),0)/$G$1</f>
        <v>0</v>
      </c>
      <c r="R157" s="720">
        <f>IFERROR(($J157*VLOOKUP($H157, 'Baumaterialien Matériaux'!$A$11:$AH$318, 34,FALSE)),0)/$G$1</f>
        <v>0</v>
      </c>
      <c r="S157" s="720">
        <f>IFERROR((J157*VLOOKUP(H157, 'Baumaterialien Matériaux'!$A$11:$AD$318, 29,FALSE)),0)/$G$1</f>
        <v>0</v>
      </c>
      <c r="T157" s="720">
        <f>S157*AJ157</f>
        <v>0</v>
      </c>
      <c r="V157" s="638">
        <f t="shared" si="296"/>
        <v>0</v>
      </c>
      <c r="W157" s="638">
        <f t="shared" si="297"/>
        <v>0</v>
      </c>
      <c r="Z157" s="638">
        <f t="shared" si="292"/>
        <v>30</v>
      </c>
      <c r="AA157" s="648" t="s">
        <v>3454</v>
      </c>
      <c r="AB157">
        <f>_xlfn.XLOOKUP($H157,'[1]Baumaterialien Matériaux'!$A:$A,'[1]Baumaterialien Matériaux'!AK:AK,0,0)</f>
        <v>0</v>
      </c>
      <c r="AC157" t="str" cm="1">
        <f t="array" ref="AC157">_xlfn.SWITCH(I157,"kg"," ",0," ",_xlfn.XLOOKUP(H157, '[1]Baumaterialien Matériaux'!$A:$A, '[1]Baumaterialien Matériaux'!$AL:$AL, "-", 0, 1))</f>
        <v xml:space="preserve"> </v>
      </c>
      <c r="AD157" s="1112" cm="1">
        <f t="array" ref="AD157">IFERROR(_xlfn.SWITCH(I157,"kg",1,"m3",AC157,AC157)*J157/(_xlfn.XLOOKUP(AA157,Métrés!A:A,Métrés!E:E,0)),0)</f>
        <v>0</v>
      </c>
      <c r="AE157" s="1092">
        <f>IFERROR(N157*$G$1/(_xlfn.XLOOKUP($AA157,Métrés!$A:$A,Métrés!$E:$E,0)),0)</f>
        <v>0</v>
      </c>
      <c r="AF157" s="1092">
        <f>IFERROR(O157*$G$1/(_xlfn.XLOOKUP($AA157,Métrés!$A:$A,Métrés!$E:$E,0)),0)</f>
        <v>0</v>
      </c>
      <c r="AG157" s="1092">
        <f>IFERROR(Q157*$G$1/(_xlfn.XLOOKUP($AA157,Métrés!$A:$A,Métrés!$E:$E,0)),0)</f>
        <v>0</v>
      </c>
      <c r="AH157" s="1092">
        <f>IFERROR(R157*$G$1/(_xlfn.XLOOKUP($AA157,Métrés!$A:$A,Métrés!$E:$E,0)),0)</f>
        <v>0</v>
      </c>
      <c r="AI157" s="1092">
        <f>IFERROR(S157*$G$1/(_xlfn.XLOOKUP($AA157,Métrés!$A:$A,Métrés!$E:$E,0)),0)</f>
        <v>0</v>
      </c>
      <c r="AJ157" s="1022"/>
      <c r="AK157" s="638">
        <f>IF(L157=60,0,T157)</f>
        <v>0</v>
      </c>
      <c r="AL157" s="638">
        <f>IF(L157=60,0,S157)</f>
        <v>0</v>
      </c>
      <c r="AM157" s="638" t="str">
        <f>IF(L157=$L$2, "Structure", IF(L157&gt;0,"Revêtement",0))</f>
        <v>Revêtement</v>
      </c>
      <c r="AN157" s="1017">
        <f>IF(AM157="Structure",N157,0)</f>
        <v>0</v>
      </c>
      <c r="AO157" s="638">
        <f>IF(AM157="Structure",P157,0)</f>
        <v>0</v>
      </c>
      <c r="AP157" s="638">
        <f>IF(AM157="Structure",Q157,0)</f>
        <v>0</v>
      </c>
      <c r="AQ157" s="1018">
        <f>IF(AM157="Structure",S157,0)</f>
        <v>0</v>
      </c>
      <c r="AR157" s="1018">
        <f>IF(AM157="Structure",T157,0)</f>
        <v>0</v>
      </c>
      <c r="AS157" s="1017">
        <f>IF(AM157="Insulation",N157,0)</f>
        <v>0</v>
      </c>
      <c r="AT157" s="638">
        <f>IF(AM157="Insulation",P157,0)</f>
        <v>0</v>
      </c>
      <c r="AU157" s="638">
        <f>IF(AM157="Insulation",Q157,0)</f>
        <v>0</v>
      </c>
      <c r="AV157" s="1018">
        <f>IF(AM157="Insulation",S157,0)</f>
        <v>0</v>
      </c>
      <c r="AW157" s="1018">
        <f>IF(AM157="Insulation",T157,0)</f>
        <v>0</v>
      </c>
      <c r="AX157" s="1017">
        <f>IF(AM157="Revêtement",N157,0)</f>
        <v>0</v>
      </c>
      <c r="AY157" s="638">
        <f>IF(AM157="Revêtement",P157,0)</f>
        <v>0</v>
      </c>
      <c r="AZ157" s="638">
        <f>IF(AM157="Revêtement",Q157,0)</f>
        <v>0</v>
      </c>
      <c r="BA157" s="638">
        <f>IF(AM157="Revêtement",S157,0)</f>
        <v>0</v>
      </c>
      <c r="BB157" s="1018">
        <f>IF(AM157="Revêtement",T157,0)</f>
        <v>0</v>
      </c>
      <c r="BC157" s="1017"/>
      <c r="BF157" s="1018"/>
      <c r="BG157" s="1017">
        <f>IF($AM157="Structure", IF($I157="kg",$J157,0), 0)</f>
        <v>0</v>
      </c>
      <c r="BH157" s="638">
        <f>IF($AM157="Insulation", IF($I157="kg",$J157,0), 0)</f>
        <v>0</v>
      </c>
      <c r="BI157" s="1018">
        <f>IF($AM157="Revêtement", IF($I157="kg",$J157,0), 0)</f>
        <v>0</v>
      </c>
      <c r="BJ157" s="638">
        <f>_xlfn.XLOOKUP(H157, 'Baumaterialien Matériaux'!A:A, 'Baumaterialien Matériaux'!E:E, "-", 0, 1)</f>
        <v>0</v>
      </c>
      <c r="BK157" s="1032">
        <f t="shared" si="283"/>
        <v>0</v>
      </c>
      <c r="BL157" s="1030">
        <f t="shared" si="284"/>
        <v>0</v>
      </c>
      <c r="BM157" s="1033">
        <f t="shared" si="285"/>
        <v>0</v>
      </c>
    </row>
    <row r="158" spans="2:67">
      <c r="B158" s="1103"/>
      <c r="C158" s="1097" t="s">
        <v>136</v>
      </c>
      <c r="D158" s="473" t="s">
        <v>137</v>
      </c>
      <c r="E158" s="473"/>
      <c r="F158" s="473"/>
      <c r="G158" s="473"/>
      <c r="H158" s="473"/>
      <c r="I158" s="463"/>
      <c r="J158" s="654"/>
      <c r="K158" s="652"/>
      <c r="L158" s="652"/>
      <c r="M158" s="653">
        <f ca="1">M159+M168+M177</f>
        <v>43.589685797645203</v>
      </c>
      <c r="N158" s="653">
        <f>N159+N168+N177</f>
        <v>27.392413664441776</v>
      </c>
      <c r="O158" s="653">
        <f>O159+O168+O177</f>
        <v>11.84202609759131</v>
      </c>
      <c r="P158" s="653">
        <f t="shared" ref="P158:Q158" ca="1" si="320">P159+P168+P177</f>
        <v>0</v>
      </c>
      <c r="Q158" s="653">
        <f t="shared" si="320"/>
        <v>4.3552460356121223</v>
      </c>
      <c r="R158" s="653">
        <f t="shared" ref="R158" si="321">R159+R168+R177</f>
        <v>2.6685644552464654</v>
      </c>
      <c r="S158" s="653">
        <f>S159+S168+S177</f>
        <v>101.40822151168413</v>
      </c>
      <c r="T158" s="653">
        <f>T159+T168+T177</f>
        <v>-26.366137593037877</v>
      </c>
      <c r="V158" s="638">
        <f t="shared" si="296"/>
        <v>-26.366137593037877</v>
      </c>
      <c r="X158" s="638">
        <f t="shared" si="223"/>
        <v>0</v>
      </c>
      <c r="Z158" s="638">
        <f t="shared" si="292"/>
        <v>0</v>
      </c>
      <c r="AA158" s="648"/>
      <c r="AB158">
        <f>_xlfn.XLOOKUP($H158,'[1]Baumaterialien Matériaux'!$A:$A,'[1]Baumaterialien Matériaux'!AK:AK,0,0)</f>
        <v>0</v>
      </c>
      <c r="AC158" t="str" cm="1">
        <f t="array" ref="AC158">_xlfn.SWITCH(I158,"kg"," ",0," ",_xlfn.XLOOKUP(H158, '[1]Baumaterialien Matériaux'!$A:$A, '[1]Baumaterialien Matériaux'!$AL:$AL, "-", 0, 1))</f>
        <v xml:space="preserve"> </v>
      </c>
      <c r="AD158" s="1112" cm="1">
        <f t="array" ref="AD158">IFERROR(_xlfn.SWITCH(I158,"kg",1,"m3",AC158,AC158)*J158/(_xlfn.XLOOKUP(AA158,Métrés!A:A,Métrés!E:E,0)),0)</f>
        <v>0</v>
      </c>
      <c r="AE158" s="1092">
        <f>IFERROR(N158*$G$1/(_xlfn.XLOOKUP($AA158,Métrés!$A:$A,Métrés!$E:$E,0)),0)</f>
        <v>0</v>
      </c>
      <c r="AF158" s="1092">
        <f>IFERROR(O158*$G$1/(_xlfn.XLOOKUP($AA158,Métrés!$A:$A,Métrés!$E:$E,0)),0)</f>
        <v>0</v>
      </c>
      <c r="AG158" s="1092">
        <f>IFERROR(Q158*$G$1/(_xlfn.XLOOKUP($AA158,Métrés!$A:$A,Métrés!$E:$E,0)),0)</f>
        <v>0</v>
      </c>
      <c r="AH158" s="1092">
        <f>IFERROR(R158*$G$1/(_xlfn.XLOOKUP($AA158,Métrés!$A:$A,Métrés!$E:$E,0)),0)</f>
        <v>0</v>
      </c>
      <c r="AI158" s="1092">
        <f>IFERROR(S158*$G$1/(_xlfn.XLOOKUP($AA158,Métrés!$A:$A,Métrés!$E:$E,0)),0)</f>
        <v>0</v>
      </c>
      <c r="AJ158" s="666"/>
      <c r="AK158" s="666"/>
      <c r="AL158" s="666"/>
      <c r="AM158" s="666"/>
      <c r="AN158" s="1051"/>
      <c r="AO158" s="666"/>
      <c r="AP158" s="666"/>
      <c r="AQ158" s="666"/>
      <c r="AR158" s="1052"/>
      <c r="AS158" s="1051"/>
      <c r="AT158" s="666"/>
      <c r="AU158" s="666"/>
      <c r="AV158" s="666"/>
      <c r="AW158" s="1052"/>
      <c r="AX158" s="1051"/>
      <c r="AY158" s="666"/>
      <c r="AZ158" s="666"/>
      <c r="BA158" s="666"/>
      <c r="BB158" s="1052"/>
      <c r="BC158" s="1051"/>
      <c r="BD158" s="666"/>
      <c r="BE158" s="666"/>
      <c r="BF158" s="1052"/>
      <c r="BG158" s="1051"/>
      <c r="BH158" s="666"/>
      <c r="BI158" s="1052"/>
      <c r="BJ158" s="666"/>
      <c r="BK158" s="1051"/>
      <c r="BL158" s="666"/>
      <c r="BM158" s="1052"/>
    </row>
    <row r="159" spans="2:67">
      <c r="B159" s="1103"/>
      <c r="C159" s="1099"/>
      <c r="D159" s="478" t="s">
        <v>2979</v>
      </c>
      <c r="E159" s="479" t="str">
        <f>BillQuantities!E27</f>
        <v>Dalle en béton 25cm (avec enduit intérieur)</v>
      </c>
      <c r="F159" s="479" t="s">
        <v>3017</v>
      </c>
      <c r="G159" s="479"/>
      <c r="H159" s="479"/>
      <c r="I159" s="459" t="s">
        <v>39</v>
      </c>
      <c r="J159" s="662">
        <v>287.85000000000002</v>
      </c>
      <c r="K159" s="663"/>
      <c r="L159" s="663"/>
      <c r="M159" s="664">
        <f>SUM(M160:M166)</f>
        <v>21.040388655113802</v>
      </c>
      <c r="N159" s="664">
        <f t="shared" ref="N159:S159" si="322">SUM(N160:N166)</f>
        <v>13.863027341320841</v>
      </c>
      <c r="O159" s="664">
        <f t="shared" ref="O159" si="323">SUM(O160:O166)</f>
        <v>5.2838543986567714</v>
      </c>
      <c r="P159" s="664">
        <f t="shared" si="322"/>
        <v>0</v>
      </c>
      <c r="Q159" s="664">
        <f t="shared" si="322"/>
        <v>1.8935069151361883</v>
      </c>
      <c r="R159" s="664">
        <f t="shared" ref="R159" si="324">SUM(R160:R166)</f>
        <v>1.0847351768168816</v>
      </c>
      <c r="S159" s="664">
        <f t="shared" si="322"/>
        <v>38.798209554606636</v>
      </c>
      <c r="T159" s="664">
        <f t="shared" ref="T159" si="325">SUM(T160:T166)</f>
        <v>-10.087534484197725</v>
      </c>
      <c r="V159" s="638">
        <f t="shared" si="296"/>
        <v>-10.087534484197725</v>
      </c>
      <c r="X159" s="638">
        <f t="shared" si="223"/>
        <v>0</v>
      </c>
      <c r="Z159" s="638">
        <f t="shared" si="292"/>
        <v>0</v>
      </c>
      <c r="AB159">
        <f>_xlfn.XLOOKUP($H159,'[1]Baumaterialien Matériaux'!$A:$A,'[1]Baumaterialien Matériaux'!AK:AK,0,0)</f>
        <v>0</v>
      </c>
      <c r="AC159" cm="1">
        <f t="array" ref="AC159">_xlfn.SWITCH(I159,"kg"," ",0," ",_xlfn.XLOOKUP(H159, '[1]Baumaterialien Matériaux'!$A:$A, '[1]Baumaterialien Matériaux'!$AL:$AL, "-", 0, 1))</f>
        <v>0</v>
      </c>
      <c r="AD159" s="1112" cm="1">
        <f t="array" ref="AD159">IFERROR(_xlfn.SWITCH(I159,"kg",1,"m3",AC159,AC159)*J159/(_xlfn.XLOOKUP(AA159,Métrés!A:A,Métrés!E:E,0)),0)</f>
        <v>0</v>
      </c>
      <c r="AE159" s="1092">
        <f>IFERROR(N159*$G$1/(_xlfn.XLOOKUP($AA159,Métrés!$A:$A,Métrés!$E:$E,0)),0)</f>
        <v>0</v>
      </c>
      <c r="AF159" s="1092">
        <f>IFERROR(O159*$G$1/(_xlfn.XLOOKUP($AA159,Métrés!$A:$A,Métrés!$E:$E,0)),0)</f>
        <v>0</v>
      </c>
      <c r="AG159" s="1092">
        <f>IFERROR(Q159*$G$1/(_xlfn.XLOOKUP($AA159,Métrés!$A:$A,Métrés!$E:$E,0)),0)</f>
        <v>0</v>
      </c>
      <c r="AH159" s="1092">
        <f>IFERROR(R159*$G$1/(_xlfn.XLOOKUP($AA159,Métrés!$A:$A,Métrés!$E:$E,0)),0)</f>
        <v>0</v>
      </c>
      <c r="AI159" s="1092">
        <f>IFERROR(S159*$G$1/(_xlfn.XLOOKUP($AA159,Métrés!$A:$A,Métrés!$E:$E,0)),0)</f>
        <v>0</v>
      </c>
      <c r="AJ159" s="878"/>
      <c r="AK159" s="878"/>
      <c r="AL159" s="878"/>
      <c r="AM159" s="878"/>
      <c r="AN159" s="1053"/>
      <c r="AO159" s="878"/>
      <c r="AP159" s="878"/>
      <c r="AQ159" s="878"/>
      <c r="AR159" s="1054"/>
      <c r="AS159" s="1053"/>
      <c r="AT159" s="878"/>
      <c r="AU159" s="878"/>
      <c r="AV159" s="878"/>
      <c r="AW159" s="1054"/>
      <c r="AX159" s="1053"/>
      <c r="AY159" s="878"/>
      <c r="AZ159" s="878"/>
      <c r="BA159" s="878"/>
      <c r="BB159" s="1054"/>
      <c r="BC159" s="1053"/>
      <c r="BD159" s="878"/>
      <c r="BE159" s="878"/>
      <c r="BF159" s="1054"/>
      <c r="BG159" s="1053"/>
      <c r="BH159" s="878"/>
      <c r="BI159" s="1054"/>
      <c r="BJ159" s="878"/>
      <c r="BK159" s="1053"/>
      <c r="BL159" s="878"/>
      <c r="BM159" s="1054"/>
    </row>
    <row r="160" spans="2:67">
      <c r="B160" s="1103"/>
      <c r="C160" s="1099"/>
      <c r="D160" s="478"/>
      <c r="E160" s="478"/>
      <c r="F160" s="638" t="s">
        <v>3310</v>
      </c>
      <c r="G160" s="478" t="str">
        <f>_xlfn.XLOOKUP(H160, 'Baumaterialien Matériaux'!A:A, 'Baumaterialien Matériaux'!AD:AD, "-", 0, 1)</f>
        <v>Bois lamellé-collé</v>
      </c>
      <c r="H160" s="857" t="s">
        <v>1451</v>
      </c>
      <c r="I160" s="641" t="str">
        <f>_xlfn.XLOOKUP(H160, 'Baumaterialien Matériaux'!A:A, 'Baumaterialien Matériaux'!F:F, "-", 0, 1)</f>
        <v>kg</v>
      </c>
      <c r="J160" s="649">
        <f>26.22*439</f>
        <v>11510.58</v>
      </c>
      <c r="K160" s="893"/>
      <c r="L160" s="647">
        <v>60</v>
      </c>
      <c r="M160" s="648">
        <f t="shared" ref="M160:M163" si="326">SUM(N160:Q160)</f>
        <v>5.7073312383400356</v>
      </c>
      <c r="N160" s="720">
        <f>IFERROR(($J160*VLOOKUP($H160, 'Baumaterialien Matériaux'!$A$11:$AH$318, 26,FALSE)),0)/$G$1</f>
        <v>3.423921541395464</v>
      </c>
      <c r="O160" s="720">
        <f>IFERROR(($J160*VLOOKUP($H160, 'Baumaterialien Matériaux'!$A$11:$AH$318, 33,FALSE)),0)/$G$1</f>
        <v>1.6940657103768499</v>
      </c>
      <c r="P160" s="720">
        <f>IFERROR((N160+Q160)*($L$2/L160-1),0)</f>
        <v>0</v>
      </c>
      <c r="Q160" s="720">
        <f>IFERROR(($J160*VLOOKUP($H160, 'Baumaterialien Matériaux'!$A$11:$AH$318, 27,FALSE)),0)/$G$1</f>
        <v>0.58934398656772102</v>
      </c>
      <c r="R160" s="720">
        <f>IFERROR(($J160*VLOOKUP($H160, 'Baumaterialien Matériaux'!$A$11:$AH$318, 34,FALSE)),0)/$G$1</f>
        <v>0.5058337050702707</v>
      </c>
      <c r="S160" s="720">
        <f>IFERROR((J160*VLOOKUP(H160, 'Baumaterialien Matériaux'!$A$11:$AD$318, 29,FALSE)),0)/$G$1</f>
        <v>19.509592429832924</v>
      </c>
      <c r="T160" s="720">
        <f t="shared" ref="T160:T167" si="327">S160*AJ160</f>
        <v>-5.0724940317565608</v>
      </c>
      <c r="U160" s="638">
        <v>-0.26</v>
      </c>
      <c r="V160" s="638">
        <f t="shared" si="296"/>
        <v>0</v>
      </c>
      <c r="W160" s="638">
        <f t="shared" si="297"/>
        <v>0</v>
      </c>
      <c r="X160" s="638" t="str">
        <f t="shared" si="223"/>
        <v>Structure</v>
      </c>
      <c r="Z160" s="638">
        <f t="shared" si="292"/>
        <v>60</v>
      </c>
      <c r="AA160" s="664" t="s">
        <v>3448</v>
      </c>
      <c r="AB160" t="str">
        <f>_xlfn.XLOOKUP($H160,'[1]Baumaterialien Matériaux'!$A:$A,'[1]Baumaterialien Matériaux'!AK:AK,0,0)</f>
        <v>timber</v>
      </c>
      <c r="AC160" t="str" cm="1">
        <f t="array" ref="AC160">_xlfn.SWITCH(I160,"kg"," ",0," ",_xlfn.XLOOKUP(H160, '[1]Baumaterialien Matériaux'!$A:$A, '[1]Baumaterialien Matériaux'!$AL:$AL, "-", 0, 1))</f>
        <v xml:space="preserve"> </v>
      </c>
      <c r="AD160" s="1112" cm="1">
        <f t="array" ref="AD160">IFERROR(_xlfn.SWITCH(I160,"kg",1,"m3",AC160,AC160)*J160/(_xlfn.XLOOKUP(AA160,Métrés!A:A,Métrés!E:E,0)),0)</f>
        <v>39.988118811881186</v>
      </c>
      <c r="AE160" s="1092">
        <f>IFERROR(N160*$G$1/(_xlfn.XLOOKUP($AA160,Métrés!$A:$A,Métrés!$E:$E,0)),0)</f>
        <v>11.476590099009899</v>
      </c>
      <c r="AF160" s="1092">
        <f>IFERROR(O160*$G$1/(_xlfn.XLOOKUP($AA160,Métrés!$A:$A,Métrés!$E:$E,0)),0)</f>
        <v>5.6783128712871278</v>
      </c>
      <c r="AG160" s="1092">
        <f>IFERROR(Q160*$G$1/(_xlfn.XLOOKUP($AA160,Métrés!$A:$A,Métrés!$E:$E,0)),0)</f>
        <v>1.9754130693069305</v>
      </c>
      <c r="AH160" s="1092">
        <f>IFERROR(R160*$G$1/(_xlfn.XLOOKUP($AA160,Métrés!$A:$A,Métrés!$E:$E,0)),0)</f>
        <v>1.6954962376237621</v>
      </c>
      <c r="AI160" s="1092">
        <f>IFERROR(S160*$G$1/(_xlfn.XLOOKUP($AA160,Métrés!$A:$A,Métrés!$E:$E,0)),0)</f>
        <v>65.393903630363027</v>
      </c>
      <c r="AJ160" s="1022">
        <v>-0.26</v>
      </c>
      <c r="AK160" s="638">
        <f t="shared" ref="AK160:AK167" si="328">IF(L160=60,0,T160)</f>
        <v>0</v>
      </c>
      <c r="AL160" s="638">
        <f t="shared" ref="AL160:AL167" si="329">IF(L160=60,0,S160)</f>
        <v>0</v>
      </c>
      <c r="AM160" s="638" t="str">
        <f t="shared" ref="AM160:AM167" si="330">IF(L160=$L$2, "Structure", IF(L160&gt;0,"Revêtement",0))</f>
        <v>Structure</v>
      </c>
      <c r="AN160" s="1017">
        <f t="shared" ref="AN160:AN167" si="331">IF(AM160="Structure",N160,0)</f>
        <v>3.423921541395464</v>
      </c>
      <c r="AO160" s="638">
        <f t="shared" ref="AO160:AO167" si="332">IF(AM160="Structure",P160,0)</f>
        <v>0</v>
      </c>
      <c r="AP160" s="638">
        <f t="shared" ref="AP160:AP167" si="333">IF(AM160="Structure",Q160,0)</f>
        <v>0.58934398656772102</v>
      </c>
      <c r="AQ160" s="1018">
        <f t="shared" ref="AQ160:AQ167" si="334">IF(AM160="Structure",S160,0)</f>
        <v>19.509592429832924</v>
      </c>
      <c r="AR160" s="1018">
        <f t="shared" ref="AR160:AR167" si="335">IF(AM160="Structure",T160,0)</f>
        <v>-5.0724940317565608</v>
      </c>
      <c r="AS160" s="1017">
        <f t="shared" ref="AS160:AS167" si="336">IF(AM160="Insulation",N160,0)</f>
        <v>0</v>
      </c>
      <c r="AT160" s="638">
        <f t="shared" ref="AT160:AT167" si="337">IF(AM160="Insulation",P160,0)</f>
        <v>0</v>
      </c>
      <c r="AU160" s="638">
        <f t="shared" ref="AU160:AU167" si="338">IF(AM160="Insulation",Q160,0)</f>
        <v>0</v>
      </c>
      <c r="AV160" s="1018">
        <f t="shared" ref="AV160:AV167" si="339">IF(AM160="Insulation",S160,0)</f>
        <v>0</v>
      </c>
      <c r="AW160" s="1018">
        <f t="shared" ref="AW160:AW167" si="340">IF(AM160="Insulation",T160,0)</f>
        <v>0</v>
      </c>
      <c r="AX160" s="1017">
        <f t="shared" ref="AX160:AX167" si="341">IF(AM160="Revêtement",N160,0)</f>
        <v>0</v>
      </c>
      <c r="AY160" s="638">
        <f t="shared" ref="AY160:AY167" si="342">IF(AM160="Revêtement",P160,0)</f>
        <v>0</v>
      </c>
      <c r="AZ160" s="638">
        <f t="shared" ref="AZ160:AZ167" si="343">IF(AM160="Revêtement",Q160,0)</f>
        <v>0</v>
      </c>
      <c r="BA160" s="638">
        <f t="shared" ref="BA160:BA167" si="344">IF(AM160="Revêtement",S160,0)</f>
        <v>0</v>
      </c>
      <c r="BB160" s="1018">
        <f t="shared" ref="BB160:BB167" si="345">IF(AM160="Revêtement",T160,0)</f>
        <v>0</v>
      </c>
      <c r="BC160" s="1017"/>
      <c r="BF160" s="1018"/>
      <c r="BG160" s="1017">
        <f t="shared" ref="BG160:BG167" si="346">IF($AM160="Structure", IF($I160="kg",$J160,0), 0)</f>
        <v>11510.58</v>
      </c>
      <c r="BH160" s="638">
        <f t="shared" ref="BH160:BH167" si="347">IF($AM160="Insulation", IF($I160="kg",$J160,0), 0)</f>
        <v>0</v>
      </c>
      <c r="BI160" s="1018">
        <f t="shared" ref="BI160:BI167" si="348">IF($AM160="Revêtement", IF($I160="kg",$J160,0), 0)</f>
        <v>0</v>
      </c>
      <c r="BJ160" s="638">
        <f>_xlfn.XLOOKUP(H160, 'Baumaterialien Matériaux'!A:A, 'Baumaterialien Matériaux'!E:E, "-", 0, 1)</f>
        <v>439</v>
      </c>
      <c r="BK160" s="1032">
        <f t="shared" si="283"/>
        <v>26.22</v>
      </c>
      <c r="BL160" s="1030">
        <f t="shared" si="284"/>
        <v>0</v>
      </c>
      <c r="BM160" s="1033">
        <f t="shared" si="285"/>
        <v>0</v>
      </c>
      <c r="BN160" s="720">
        <f>IFERROR((J160*VLOOKUP(H160, 'Baumaterialien Matériaux'!$A$11:$AH$318, 32,FALSE))*($L$2/L160-1),0)/$G$1</f>
        <v>0</v>
      </c>
      <c r="BO160" s="720">
        <f t="shared" ref="BO160:BO165" si="349">IFERROR((N160+Q160)*($L$2/L160-1),0)</f>
        <v>0</v>
      </c>
    </row>
    <row r="161" spans="2:67">
      <c r="B161" s="1103"/>
      <c r="C161" s="1099"/>
      <c r="D161" s="478"/>
      <c r="E161" s="478"/>
      <c r="F161" s="638" t="s">
        <v>3311</v>
      </c>
      <c r="G161" s="478" t="str">
        <f>_xlfn.XLOOKUP(H161, 'Baumaterialien Matériaux'!A:A, 'Baumaterialien Matériaux'!AD:AD, "-", 0, 1)</f>
        <v>Bois massif 3 et 5 plis</v>
      </c>
      <c r="H161" s="892" t="s">
        <v>510</v>
      </c>
      <c r="I161" s="641" t="str">
        <f>_xlfn.XLOOKUP(H161, 'Baumaterialien Matériaux'!A:A, 'Baumaterialien Matériaux'!F:F, "-", 0, 1)</f>
        <v>kg</v>
      </c>
      <c r="J161" s="649">
        <f>453*8.64</f>
        <v>3913.92</v>
      </c>
      <c r="K161" s="894"/>
      <c r="L161" s="647">
        <v>60</v>
      </c>
      <c r="M161" s="648">
        <f t="shared" si="326"/>
        <v>2.4765226980639277</v>
      </c>
      <c r="N161" s="720">
        <f>IFERROR(($J161*VLOOKUP($H161, 'Baumaterialien Matériaux'!$A$11:$AH$318, 26,FALSE)),0)/$G$1</f>
        <v>1.6834675179304339</v>
      </c>
      <c r="O161" s="720">
        <f>IFERROR(($J161*VLOOKUP($H161, 'Baumaterialien Matériaux'!$A$11:$AH$318, 33,FALSE)),0)/$G$1</f>
        <v>0.56791675303677291</v>
      </c>
      <c r="P161" s="720">
        <f t="shared" ref="P161:P163" si="350">IFERROR((N161+Q161)*($L$2/L161-1),0)</f>
        <v>0</v>
      </c>
      <c r="Q161" s="720">
        <f>IFERROR(($J161*VLOOKUP($H161, 'Baumaterialien Matériaux'!$A$11:$AH$318, 27,FALSE)),0)/$G$1</f>
        <v>0.22513842709672072</v>
      </c>
      <c r="R161" s="720">
        <f>IFERROR(($J161*VLOOKUP($H161, 'Baumaterialien Matériaux'!$A$11:$AH$318, 34,FALSE)),0)/$G$1</f>
        <v>0.15779972637950332</v>
      </c>
      <c r="S161" s="720">
        <f>IFERROR((J161*VLOOKUP(H161, 'Baumaterialien Matériaux'!$A$11:$AD$318, 29,FALSE)),0)/$G$1</f>
        <v>6.4404464159860701</v>
      </c>
      <c r="T161" s="720">
        <f t="shared" si="327"/>
        <v>-1.6745160681563782</v>
      </c>
      <c r="U161" s="638">
        <v>-0.26</v>
      </c>
      <c r="V161" s="638">
        <f t="shared" si="296"/>
        <v>0</v>
      </c>
      <c r="W161" s="638">
        <f t="shared" si="297"/>
        <v>0</v>
      </c>
      <c r="X161" s="638" t="str">
        <f t="shared" si="223"/>
        <v>Structure</v>
      </c>
      <c r="Z161" s="638">
        <f t="shared" si="292"/>
        <v>60</v>
      </c>
      <c r="AA161" s="664" t="s">
        <v>3448</v>
      </c>
      <c r="AB161" t="str">
        <f>_xlfn.XLOOKUP($H161,'[1]Baumaterialien Matériaux'!$A:$A,'[1]Baumaterialien Matériaux'!AK:AK,0,0)</f>
        <v>timber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 s="1112" cm="1">
        <f t="array" ref="AD161">IFERROR(_xlfn.SWITCH(I161,"kg",1,"m3",AC161,AC161)*J161/(_xlfn.XLOOKUP(AA161,Métrés!A:A,Métrés!E:E,0)),0)</f>
        <v>13.597081813444502</v>
      </c>
      <c r="AE161" s="1092">
        <f>IFERROR(N161*$G$1/(_xlfn.XLOOKUP($AA161,Métrés!$A:$A,Métrés!$E:$E,0)),0)</f>
        <v>5.6427889525794672</v>
      </c>
      <c r="AF161" s="1092">
        <f>IFERROR(O161*$G$1/(_xlfn.XLOOKUP($AA161,Métrés!$A:$A,Métrés!$E:$E,0)),0)</f>
        <v>1.9035914538822303</v>
      </c>
      <c r="AG161" s="1092">
        <f>IFERROR(Q161*$G$1/(_xlfn.XLOOKUP($AA161,Métrés!$A:$A,Métrés!$E:$E,0)),0)</f>
        <v>0.75463804064616991</v>
      </c>
      <c r="AH161" s="1092">
        <f>IFERROR(R161*$G$1/(_xlfn.XLOOKUP($AA161,Métrés!$A:$A,Métrés!$E:$E,0)),0)</f>
        <v>0.52892648254299113</v>
      </c>
      <c r="AI161" s="1092">
        <f>IFERROR(S161*$G$1/(_xlfn.XLOOKUP($AA161,Métrés!$A:$A,Métrés!$E:$E,0)),0)</f>
        <v>21.587633559145388</v>
      </c>
      <c r="AJ161" s="1022">
        <v>-0.26</v>
      </c>
      <c r="AK161" s="638">
        <f t="shared" si="328"/>
        <v>0</v>
      </c>
      <c r="AL161" s="638">
        <f t="shared" si="329"/>
        <v>0</v>
      </c>
      <c r="AM161" s="638" t="str">
        <f t="shared" si="330"/>
        <v>Structure</v>
      </c>
      <c r="AN161" s="1017">
        <f t="shared" si="331"/>
        <v>1.6834675179304339</v>
      </c>
      <c r="AO161" s="638">
        <f t="shared" si="332"/>
        <v>0</v>
      </c>
      <c r="AP161" s="638">
        <f t="shared" si="333"/>
        <v>0.22513842709672072</v>
      </c>
      <c r="AQ161" s="1018">
        <f t="shared" si="334"/>
        <v>6.4404464159860701</v>
      </c>
      <c r="AR161" s="1018">
        <f t="shared" si="335"/>
        <v>-1.6745160681563782</v>
      </c>
      <c r="AS161" s="1017">
        <f t="shared" si="336"/>
        <v>0</v>
      </c>
      <c r="AT161" s="638">
        <f t="shared" si="337"/>
        <v>0</v>
      </c>
      <c r="AU161" s="638">
        <f t="shared" si="338"/>
        <v>0</v>
      </c>
      <c r="AV161" s="1018">
        <f t="shared" si="339"/>
        <v>0</v>
      </c>
      <c r="AW161" s="1018">
        <f t="shared" si="340"/>
        <v>0</v>
      </c>
      <c r="AX161" s="1017">
        <f t="shared" si="341"/>
        <v>0</v>
      </c>
      <c r="AY161" s="638">
        <f t="shared" si="342"/>
        <v>0</v>
      </c>
      <c r="AZ161" s="638">
        <f t="shared" si="343"/>
        <v>0</v>
      </c>
      <c r="BA161" s="638">
        <f t="shared" si="344"/>
        <v>0</v>
      </c>
      <c r="BB161" s="1018">
        <f t="shared" si="345"/>
        <v>0</v>
      </c>
      <c r="BC161" s="1017"/>
      <c r="BF161" s="1018"/>
      <c r="BG161" s="1017">
        <f t="shared" si="346"/>
        <v>3913.92</v>
      </c>
      <c r="BH161" s="638">
        <f t="shared" si="347"/>
        <v>0</v>
      </c>
      <c r="BI161" s="1018">
        <f t="shared" si="348"/>
        <v>0</v>
      </c>
      <c r="BJ161" s="638">
        <f>_xlfn.XLOOKUP(H161, 'Baumaterialien Matériaux'!A:A, 'Baumaterialien Matériaux'!E:E, "-", 0, 1)</f>
        <v>453</v>
      </c>
      <c r="BK161" s="1032">
        <f t="shared" si="283"/>
        <v>8.64</v>
      </c>
      <c r="BL161" s="1030">
        <f t="shared" si="284"/>
        <v>0</v>
      </c>
      <c r="BM161" s="1033">
        <f t="shared" si="285"/>
        <v>0</v>
      </c>
      <c r="BN161" s="720">
        <f>IFERROR((J161*VLOOKUP(H161, 'Baumaterialien Matériaux'!$A$11:$AH$318, 32,FALSE))*($L$2/L161-1),0)/$G$1</f>
        <v>0</v>
      </c>
      <c r="BO161" s="720">
        <f t="shared" si="349"/>
        <v>0</v>
      </c>
    </row>
    <row r="162" spans="2:67">
      <c r="B162" s="1103"/>
      <c r="C162" s="1099"/>
      <c r="D162" s="478"/>
      <c r="E162" s="478"/>
      <c r="F162" s="483" t="s">
        <v>3394</v>
      </c>
      <c r="G162" s="478" t="str">
        <f>_xlfn.XLOOKUP(H162, 'Baumaterialien Matériaux'!A:A, 'Baumaterialien Matériaux'!AD:AD, "-", 0, 1)</f>
        <v>Béton pour bâtiment (sans armature)</v>
      </c>
      <c r="H162" s="891">
        <v>1.0019999999999998</v>
      </c>
      <c r="I162" s="641" t="str">
        <f>_xlfn.XLOOKUP(H162, 'Baumaterialien Matériaux'!A:A, 'Baumaterialien Matériaux'!F:F, "-", 0, 1)</f>
        <v>kg</v>
      </c>
      <c r="J162" s="649">
        <f>14.12*2300</f>
        <v>32476</v>
      </c>
      <c r="K162" s="647"/>
      <c r="L162" s="647">
        <v>60</v>
      </c>
      <c r="M162" s="648">
        <f t="shared" si="326"/>
        <v>4.1165527963185609</v>
      </c>
      <c r="N162" s="720">
        <f>IFERROR(($J162*VLOOKUP($H162, 'Baumaterialien Matériaux'!$A$11:$AH$318, 26,FALSE)),0)/$G$1</f>
        <v>2.988960656689192</v>
      </c>
      <c r="O162" s="720">
        <f>IFERROR(($J162*VLOOKUP($H162, 'Baumaterialien Matériaux'!$A$11:$AH$318, 33,FALSE)),0)/$G$1</f>
        <v>0.70011691057584668</v>
      </c>
      <c r="P162" s="720">
        <f t="shared" si="350"/>
        <v>0</v>
      </c>
      <c r="Q162" s="720">
        <f>IFERROR(($J162*VLOOKUP($H162, 'Baumaterialien Matériaux'!$A$11:$AH$318, 27,FALSE)),0)/$G$1</f>
        <v>0.42747522905352181</v>
      </c>
      <c r="R162" s="720">
        <f>IFERROR(($J162*VLOOKUP($H162, 'Baumaterialien Matériaux'!$A$11:$AH$318, 34,FALSE)),0)/$G$1</f>
        <v>9.0207371170349479E-2</v>
      </c>
      <c r="S162" s="720">
        <f>IFERROR((J162*VLOOKUP(H162, 'Baumaterialien Matériaux'!$A$11:$AD$318, 29,FALSE)),0)/$G$1</f>
        <v>0</v>
      </c>
      <c r="T162" s="720">
        <f t="shared" si="327"/>
        <v>0</v>
      </c>
      <c r="V162" s="638">
        <f t="shared" si="296"/>
        <v>0</v>
      </c>
      <c r="W162" s="638">
        <f t="shared" si="297"/>
        <v>0</v>
      </c>
      <c r="X162" s="638" t="str">
        <f t="shared" si="223"/>
        <v>Structure</v>
      </c>
      <c r="Z162" s="638">
        <f t="shared" si="292"/>
        <v>60</v>
      </c>
      <c r="AA162" s="664" t="s">
        <v>3448</v>
      </c>
      <c r="AB162" t="str">
        <f>_xlfn.XLOOKUP($H162,'[1]Baumaterialien Matériaux'!$A:$A,'[1]Baumaterialien Matériaux'!AK:AK,0,0)</f>
        <v>concrete</v>
      </c>
      <c r="AC162" t="str" cm="1">
        <f t="array" ref="AC162">_xlfn.SWITCH(I162,"kg"," ",0," ",_xlfn.XLOOKUP(H162, '[1]Baumaterialien Matériaux'!$A:$A, '[1]Baumaterialien Matériaux'!$AL:$AL, "-", 0, 1))</f>
        <v xml:space="preserve"> </v>
      </c>
      <c r="AD162" s="1112" cm="1">
        <f t="array" ref="AD162">IFERROR(_xlfn.SWITCH(I162,"kg",1,"m3",AC162,AC162)*J162/(_xlfn.XLOOKUP(AA162,Métrés!A:A,Métrés!E:E,0)),0)</f>
        <v>112.82265068612124</v>
      </c>
      <c r="AE162" s="1092">
        <f>IFERROR(N162*$G$1/(_xlfn.XLOOKUP($AA162,Métrés!$A:$A,Métrés!$E:$E,0)),0)</f>
        <v>10.018651380927567</v>
      </c>
      <c r="AF162" s="1092">
        <f>IFERROR(O162*$G$1/(_xlfn.XLOOKUP($AA162,Métrés!$A:$A,Métrés!$E:$E,0)),0)</f>
        <v>2.3467111342713212</v>
      </c>
      <c r="AG162" s="1092">
        <f>IFERROR(Q162*$G$1/(_xlfn.XLOOKUP($AA162,Métrés!$A:$A,Métrés!$E:$E,0)),0)</f>
        <v>1.4328476637137397</v>
      </c>
      <c r="AH162" s="1092">
        <f>IFERROR(R162*$G$1/(_xlfn.XLOOKUP($AA162,Métrés!$A:$A,Métrés!$E:$E,0)),0)</f>
        <v>0.30236470383880493</v>
      </c>
      <c r="AI162" s="1092">
        <f>IFERROR(S162*$G$1/(_xlfn.XLOOKUP($AA162,Métrés!$A:$A,Métrés!$E:$E,0)),0)</f>
        <v>0</v>
      </c>
      <c r="AJ162" s="1022"/>
      <c r="AK162" s="638">
        <f t="shared" si="328"/>
        <v>0</v>
      </c>
      <c r="AL162" s="638">
        <f t="shared" si="329"/>
        <v>0</v>
      </c>
      <c r="AM162" s="638" t="str">
        <f t="shared" si="330"/>
        <v>Structure</v>
      </c>
      <c r="AN162" s="1017">
        <f t="shared" si="331"/>
        <v>2.988960656689192</v>
      </c>
      <c r="AO162" s="638">
        <f t="shared" si="332"/>
        <v>0</v>
      </c>
      <c r="AP162" s="638">
        <f t="shared" si="333"/>
        <v>0.42747522905352181</v>
      </c>
      <c r="AQ162" s="1018">
        <f t="shared" si="334"/>
        <v>0</v>
      </c>
      <c r="AR162" s="1018">
        <f t="shared" si="335"/>
        <v>0</v>
      </c>
      <c r="AS162" s="1017">
        <f t="shared" si="336"/>
        <v>0</v>
      </c>
      <c r="AT162" s="638">
        <f t="shared" si="337"/>
        <v>0</v>
      </c>
      <c r="AU162" s="638">
        <f t="shared" si="338"/>
        <v>0</v>
      </c>
      <c r="AV162" s="1018">
        <f t="shared" si="339"/>
        <v>0</v>
      </c>
      <c r="AW162" s="1018">
        <f t="shared" si="340"/>
        <v>0</v>
      </c>
      <c r="AX162" s="1017">
        <f t="shared" si="341"/>
        <v>0</v>
      </c>
      <c r="AY162" s="638">
        <f t="shared" si="342"/>
        <v>0</v>
      </c>
      <c r="AZ162" s="638">
        <f t="shared" si="343"/>
        <v>0</v>
      </c>
      <c r="BA162" s="638">
        <f t="shared" si="344"/>
        <v>0</v>
      </c>
      <c r="BB162" s="1018">
        <f t="shared" si="345"/>
        <v>0</v>
      </c>
      <c r="BC162" s="1017"/>
      <c r="BF162" s="1018"/>
      <c r="BG162" s="1017">
        <f t="shared" si="346"/>
        <v>32476</v>
      </c>
      <c r="BH162" s="638">
        <f t="shared" si="347"/>
        <v>0</v>
      </c>
      <c r="BI162" s="1018">
        <f t="shared" si="348"/>
        <v>0</v>
      </c>
      <c r="BJ162" s="638">
        <f>_xlfn.XLOOKUP(H162, 'Baumaterialien Matériaux'!A:A, 'Baumaterialien Matériaux'!E:E, "-", 0, 1)</f>
        <v>2300</v>
      </c>
      <c r="BK162" s="1032">
        <f t="shared" si="283"/>
        <v>14.12</v>
      </c>
      <c r="BL162" s="1030">
        <f t="shared" si="284"/>
        <v>0</v>
      </c>
      <c r="BM162" s="1033">
        <f t="shared" si="285"/>
        <v>0</v>
      </c>
      <c r="BN162" s="720">
        <f>IFERROR((J162*VLOOKUP(H162, 'Baumaterialien Matériaux'!$A$11:$AH$318, 32,FALSE))*($L$2/L162-1),0)/$G$1</f>
        <v>0</v>
      </c>
      <c r="BO162" s="720">
        <f t="shared" si="349"/>
        <v>0</v>
      </c>
    </row>
    <row r="163" spans="2:67">
      <c r="B163" s="1103"/>
      <c r="C163" s="1099"/>
      <c r="D163" s="478"/>
      <c r="E163" s="478"/>
      <c r="F163" s="483" t="s">
        <v>3392</v>
      </c>
      <c r="G163" s="478" t="str">
        <f>_xlfn.XLOOKUP(H163, 'Baumaterialien Matériaux'!A:A, 'Baumaterialien Matériaux'!AD:AD, "-", 0, 1)</f>
        <v>Acier d'armature</v>
      </c>
      <c r="H163" s="892" t="s">
        <v>497</v>
      </c>
      <c r="I163" s="641" t="str">
        <f>_xlfn.XLOOKUP(H163, 'Baumaterialien Matériaux'!A:A, 'Baumaterialien Matériaux'!F:F, "-", 0, 1)</f>
        <v>kg</v>
      </c>
      <c r="J163" s="649">
        <f>14.12*150</f>
        <v>2118</v>
      </c>
      <c r="K163" s="647"/>
      <c r="L163" s="647">
        <v>60</v>
      </c>
      <c r="M163" s="648">
        <f t="shared" si="326"/>
        <v>3.9587923386260928</v>
      </c>
      <c r="N163" s="720">
        <f>IFERROR(($J163*VLOOKUP($H163, 'Baumaterialien Matériaux'!$A$11:$AH$318, 26,FALSE)),0)/$G$1</f>
        <v>3.292773931429045</v>
      </c>
      <c r="O163" s="720">
        <f>IFERROR(($J163*VLOOKUP($H163, 'Baumaterialien Matériaux'!$A$11:$AH$318, 33,FALSE)),0)/$G$1</f>
        <v>0.63879814269723467</v>
      </c>
      <c r="P163" s="720">
        <f t="shared" si="350"/>
        <v>0</v>
      </c>
      <c r="Q163" s="720">
        <f>IFERROR(($J163*VLOOKUP($H163, 'Baumaterialien Matériaux'!$A$11:$AH$318, 27,FALSE)),0)/$G$1</f>
        <v>2.7220264499813438E-2</v>
      </c>
      <c r="R163" s="720">
        <f>IFERROR(($J163*VLOOKUP($H163, 'Baumaterialien Matériaux'!$A$11:$AH$318, 34,FALSE)),0)/$G$1</f>
        <v>0</v>
      </c>
      <c r="S163" s="720">
        <f>IFERROR((J163*VLOOKUP(H163, 'Baumaterialien Matériaux'!$A$11:$AD$318, 29,FALSE)),0)/$G$1</f>
        <v>0</v>
      </c>
      <c r="T163" s="720">
        <f t="shared" si="327"/>
        <v>0</v>
      </c>
      <c r="U163" s="638">
        <v>-0.26</v>
      </c>
      <c r="V163" s="638">
        <f t="shared" si="296"/>
        <v>0</v>
      </c>
      <c r="W163" s="638">
        <f t="shared" si="297"/>
        <v>0</v>
      </c>
      <c r="X163" s="638" t="str">
        <f t="shared" si="223"/>
        <v>Structure</v>
      </c>
      <c r="Z163" s="638">
        <f t="shared" si="292"/>
        <v>60</v>
      </c>
      <c r="AA163" s="664" t="s">
        <v>3448</v>
      </c>
      <c r="AB163" t="str">
        <f>_xlfn.XLOOKUP($H163,'[1]Baumaterialien Matériaux'!$A:$A,'[1]Baumaterialien Matériaux'!AK:AK,0,0)</f>
        <v>metal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 s="1112" cm="1">
        <f t="array" ref="AD163">IFERROR(_xlfn.SWITCH(I163,"kg",1,"m3",AC163,AC163)*J163/(_xlfn.XLOOKUP(AA163,Métrés!A:A,Métrés!E:E,0)),0)</f>
        <v>7.3579989577905156</v>
      </c>
      <c r="AE163" s="1092">
        <f>IFERROR(N163*$G$1/(_xlfn.XLOOKUP($AA163,Métrés!$A:$A,Métrés!$E:$E,0)),0)</f>
        <v>11.036998436685773</v>
      </c>
      <c r="AF163" s="1092">
        <f>IFERROR(O163*$G$1/(_xlfn.XLOOKUP($AA163,Métrés!$A:$A,Métrés!$E:$E,0)),0)</f>
        <v>2.1411776967170399</v>
      </c>
      <c r="AG163" s="1092">
        <f>IFERROR(Q163*$G$1/(_xlfn.XLOOKUP($AA163,Métrés!$A:$A,Métrés!$E:$E,0)),0)</f>
        <v>9.1239187076602377E-2</v>
      </c>
      <c r="AH163" s="1092">
        <f>IFERROR(R163*$G$1/(_xlfn.XLOOKUP($AA163,Métrés!$A:$A,Métrés!$E:$E,0)),0)</f>
        <v>0</v>
      </c>
      <c r="AI163" s="1092">
        <f>IFERROR(S163*$G$1/(_xlfn.XLOOKUP($AA163,Métrés!$A:$A,Métrés!$E:$E,0)),0)</f>
        <v>0</v>
      </c>
      <c r="AJ163" s="1022"/>
      <c r="AK163" s="638">
        <f t="shared" si="328"/>
        <v>0</v>
      </c>
      <c r="AL163" s="638">
        <f t="shared" si="329"/>
        <v>0</v>
      </c>
      <c r="AM163" s="638" t="str">
        <f t="shared" si="330"/>
        <v>Structure</v>
      </c>
      <c r="AN163" s="1017">
        <f t="shared" si="331"/>
        <v>3.292773931429045</v>
      </c>
      <c r="AO163" s="638">
        <f t="shared" si="332"/>
        <v>0</v>
      </c>
      <c r="AP163" s="638">
        <f t="shared" si="333"/>
        <v>2.7220264499813438E-2</v>
      </c>
      <c r="AQ163" s="1018">
        <f t="shared" si="334"/>
        <v>0</v>
      </c>
      <c r="AR163" s="1018">
        <f t="shared" si="335"/>
        <v>0</v>
      </c>
      <c r="AS163" s="1017">
        <f t="shared" si="336"/>
        <v>0</v>
      </c>
      <c r="AT163" s="638">
        <f t="shared" si="337"/>
        <v>0</v>
      </c>
      <c r="AU163" s="638">
        <f t="shared" si="338"/>
        <v>0</v>
      </c>
      <c r="AV163" s="1018">
        <f t="shared" si="339"/>
        <v>0</v>
      </c>
      <c r="AW163" s="1018">
        <f t="shared" si="340"/>
        <v>0</v>
      </c>
      <c r="AX163" s="1017">
        <f t="shared" si="341"/>
        <v>0</v>
      </c>
      <c r="AY163" s="638">
        <f t="shared" si="342"/>
        <v>0</v>
      </c>
      <c r="AZ163" s="638">
        <f t="shared" si="343"/>
        <v>0</v>
      </c>
      <c r="BA163" s="638">
        <f t="shared" si="344"/>
        <v>0</v>
      </c>
      <c r="BB163" s="1018">
        <f t="shared" si="345"/>
        <v>0</v>
      </c>
      <c r="BC163" s="1017"/>
      <c r="BF163" s="1018"/>
      <c r="BG163" s="1017">
        <f t="shared" si="346"/>
        <v>2118</v>
      </c>
      <c r="BH163" s="638">
        <f t="shared" si="347"/>
        <v>0</v>
      </c>
      <c r="BI163" s="1018">
        <f t="shared" si="348"/>
        <v>0</v>
      </c>
      <c r="BJ163" s="638">
        <f>_xlfn.XLOOKUP(H163, 'Baumaterialien Matériaux'!A:A, 'Baumaterialien Matériaux'!E:E, "-", 0, 1)</f>
        <v>7850</v>
      </c>
      <c r="BK163" s="1032">
        <f t="shared" si="283"/>
        <v>0.2698089171974522</v>
      </c>
      <c r="BL163" s="1030">
        <f t="shared" si="284"/>
        <v>0</v>
      </c>
      <c r="BM163" s="1033">
        <f t="shared" si="285"/>
        <v>0</v>
      </c>
      <c r="BN163" s="720">
        <f>IFERROR((J163*VLOOKUP(H163, 'Baumaterialien Matériaux'!$A$11:$AH$318, 32,FALSE))*($L$2/L163-1),0)/$G$1</f>
        <v>0</v>
      </c>
      <c r="BO163" s="720">
        <f t="shared" si="349"/>
        <v>0</v>
      </c>
    </row>
    <row r="164" spans="2:67">
      <c r="B164" s="1103"/>
      <c r="C164" s="1099"/>
      <c r="D164" s="478"/>
      <c r="E164" s="478"/>
      <c r="F164" s="478" t="s">
        <v>3315</v>
      </c>
      <c r="G164" s="478" t="str">
        <f>_xlfn.XLOOKUP(H164, 'Baumaterialien Matériaux'!A:A, 'Baumaterialien Matériaux'!AD:AD, "-", 0, 1)</f>
        <v>Contreplaqué de planches</v>
      </c>
      <c r="H164" s="857" t="s">
        <v>1454</v>
      </c>
      <c r="I164" s="641" t="str">
        <f>_xlfn.XLOOKUP(H164, 'Baumaterialien Matériaux'!A:A, 'Baumaterialien Matériaux'!F:F, "-", 0, 1)</f>
        <v>kg</v>
      </c>
      <c r="J164" s="649">
        <f>436*17.27</f>
        <v>7529.72</v>
      </c>
      <c r="K164" s="647"/>
      <c r="L164" s="647">
        <v>60</v>
      </c>
      <c r="M164" s="648">
        <f t="shared" ref="M164" si="351">SUM(N164:Q164)</f>
        <v>4.7811895837651841</v>
      </c>
      <c r="N164" s="720">
        <f>IFERROR(($J164*VLOOKUP($H164, 'Baumaterialien Matériaux'!$A$11:$AH$318, 26,FALSE)),0)/$G$1</f>
        <v>2.4739036938767049</v>
      </c>
      <c r="O164" s="720">
        <f>IFERROR(($J164*VLOOKUP($H164, 'Baumaterialien Matériaux'!$A$11:$AH$318, 33,FALSE)),0)/$G$1</f>
        <v>1.6829568819700675</v>
      </c>
      <c r="P164" s="720">
        <f t="shared" ref="P164" si="352">IFERROR((N164+Q164)*($L$2/L164-1),0)</f>
        <v>0</v>
      </c>
      <c r="Q164" s="720">
        <f>IFERROR(($J164*VLOOKUP($H164, 'Baumaterialien Matériaux'!$A$11:$AH$318, 27,FALSE)),0)/$G$1</f>
        <v>0.62432900791841139</v>
      </c>
      <c r="R164" s="720">
        <f>IFERROR(($J164*VLOOKUP($H164, 'Baumaterialien Matériaux'!$A$11:$AH$318, 34,FALSE)),0)/$G$1</f>
        <v>0.33089437419675799</v>
      </c>
      <c r="S164" s="720">
        <f>IFERROR((J164*VLOOKUP(H164, 'Baumaterialien Matériaux'!$A$11:$AD$318, 29,FALSE)),0)/$G$1</f>
        <v>12.84817070878764</v>
      </c>
      <c r="T164" s="720">
        <f t="shared" si="327"/>
        <v>-3.3405243842847865</v>
      </c>
      <c r="V164" s="638">
        <f t="shared" si="296"/>
        <v>0</v>
      </c>
      <c r="W164" s="638">
        <f t="shared" si="297"/>
        <v>0</v>
      </c>
      <c r="X164" s="638" t="str">
        <f t="shared" si="223"/>
        <v>Structure</v>
      </c>
      <c r="Z164" s="638">
        <f t="shared" si="292"/>
        <v>60</v>
      </c>
      <c r="AA164" s="664" t="s">
        <v>3448</v>
      </c>
      <c r="AB164" t="str">
        <f>_xlfn.XLOOKUP($H164,'[1]Baumaterialien Matériaux'!$A:$A,'[1]Baumaterialien Matériaux'!AK:AK,0,0)</f>
        <v>timber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 s="1112" cm="1">
        <f t="array" ref="AD164">IFERROR(_xlfn.SWITCH(I164,"kg",1,"m3",AC164,AC164)*J164/(_xlfn.XLOOKUP(AA164,Métrés!A:A,Métrés!E:E,0)),0)</f>
        <v>26.158485322216432</v>
      </c>
      <c r="AE164" s="1092">
        <f>IFERROR(N164*$G$1/(_xlfn.XLOOKUP($AA164,Métrés!$A:$A,Métrés!$E:$E,0)),0)</f>
        <v>8.2922398471426089</v>
      </c>
      <c r="AF164" s="1092">
        <f>IFERROR(O164*$G$1/(_xlfn.XLOOKUP($AA164,Métrés!$A:$A,Métrés!$E:$E,0)),0)</f>
        <v>5.6410773597359736</v>
      </c>
      <c r="AG164" s="1092">
        <f>IFERROR(Q164*$G$1/(_xlfn.XLOOKUP($AA164,Métrés!$A:$A,Métrés!$E:$E,0)),0)</f>
        <v>2.0926788257773143</v>
      </c>
      <c r="AH164" s="1092">
        <f>IFERROR(R164*$G$1/(_xlfn.XLOOKUP($AA164,Métrés!$A:$A,Métrés!$E:$E,0)),0)</f>
        <v>1.1091197776619766</v>
      </c>
      <c r="AI164" s="1092">
        <f>IFERROR(S164*$G$1/(_xlfn.XLOOKUP($AA164,Métrés!$A:$A,Métrés!$E:$E,0)),0)</f>
        <v>43.065586335475651</v>
      </c>
      <c r="AJ164" s="1022">
        <v>-0.26</v>
      </c>
      <c r="AK164" s="638">
        <f t="shared" si="328"/>
        <v>0</v>
      </c>
      <c r="AL164" s="638">
        <f t="shared" si="329"/>
        <v>0</v>
      </c>
      <c r="AM164" s="638" t="str">
        <f t="shared" si="330"/>
        <v>Structure</v>
      </c>
      <c r="AN164" s="1017">
        <f t="shared" si="331"/>
        <v>2.4739036938767049</v>
      </c>
      <c r="AO164" s="638">
        <f t="shared" si="332"/>
        <v>0</v>
      </c>
      <c r="AP164" s="638">
        <f t="shared" si="333"/>
        <v>0.62432900791841139</v>
      </c>
      <c r="AQ164" s="1018">
        <f t="shared" si="334"/>
        <v>12.84817070878764</v>
      </c>
      <c r="AR164" s="1018">
        <f t="shared" si="335"/>
        <v>-3.3405243842847865</v>
      </c>
      <c r="AS164" s="1017">
        <f t="shared" si="336"/>
        <v>0</v>
      </c>
      <c r="AT164" s="638">
        <f t="shared" si="337"/>
        <v>0</v>
      </c>
      <c r="AU164" s="638">
        <f t="shared" si="338"/>
        <v>0</v>
      </c>
      <c r="AV164" s="1018">
        <f t="shared" si="339"/>
        <v>0</v>
      </c>
      <c r="AW164" s="1018">
        <f t="shared" si="340"/>
        <v>0</v>
      </c>
      <c r="AX164" s="1017">
        <f t="shared" si="341"/>
        <v>0</v>
      </c>
      <c r="AY164" s="638">
        <f t="shared" si="342"/>
        <v>0</v>
      </c>
      <c r="AZ164" s="638">
        <f t="shared" si="343"/>
        <v>0</v>
      </c>
      <c r="BA164" s="638">
        <f t="shared" si="344"/>
        <v>0</v>
      </c>
      <c r="BB164" s="1018">
        <f t="shared" si="345"/>
        <v>0</v>
      </c>
      <c r="BC164" s="1017"/>
      <c r="BF164" s="1018"/>
      <c r="BG164" s="1017">
        <f t="shared" si="346"/>
        <v>7529.72</v>
      </c>
      <c r="BH164" s="638">
        <f t="shared" si="347"/>
        <v>0</v>
      </c>
      <c r="BI164" s="1018">
        <f t="shared" si="348"/>
        <v>0</v>
      </c>
      <c r="BJ164" s="638">
        <f>_xlfn.XLOOKUP(H164, 'Baumaterialien Matériaux'!A:A, 'Baumaterialien Matériaux'!E:E, "-", 0, 1)</f>
        <v>436</v>
      </c>
      <c r="BK164" s="1032">
        <f t="shared" si="283"/>
        <v>17.27</v>
      </c>
      <c r="BL164" s="1030">
        <f t="shared" si="284"/>
        <v>0</v>
      </c>
      <c r="BM164" s="1033">
        <f t="shared" si="285"/>
        <v>0</v>
      </c>
      <c r="BN164" s="720">
        <f>IFERROR((J164*VLOOKUP(H164, 'Baumaterialien Matériaux'!$A$11:$AH$318, 32,FALSE))*($L$2/L164-1),0)/$G$1</f>
        <v>0</v>
      </c>
      <c r="BO164" s="720">
        <f t="shared" si="349"/>
        <v>0</v>
      </c>
    </row>
    <row r="165" spans="2:67">
      <c r="B165" s="1103"/>
      <c r="C165" s="1099"/>
      <c r="D165" s="478"/>
      <c r="E165" s="478"/>
      <c r="F165" s="483"/>
      <c r="G165" s="478"/>
      <c r="H165" s="478"/>
      <c r="I165" s="641"/>
      <c r="J165" s="649"/>
      <c r="K165" s="647"/>
      <c r="L165" s="647"/>
      <c r="M165" s="648"/>
      <c r="N165" s="720"/>
      <c r="O165" s="720"/>
      <c r="P165" s="720"/>
      <c r="Q165" s="720"/>
      <c r="R165" s="720"/>
      <c r="S165" s="720"/>
      <c r="T165" s="720">
        <f t="shared" si="327"/>
        <v>0</v>
      </c>
      <c r="V165" s="638">
        <f t="shared" si="296"/>
        <v>0</v>
      </c>
      <c r="W165" s="638">
        <f t="shared" si="297"/>
        <v>0</v>
      </c>
      <c r="X165" s="638">
        <f t="shared" si="223"/>
        <v>0</v>
      </c>
      <c r="Z165" s="638">
        <f t="shared" si="292"/>
        <v>0</v>
      </c>
      <c r="AA165" s="664" t="s">
        <v>3448</v>
      </c>
      <c r="AB165">
        <f>_xlfn.XLOOKUP($H165,'[1]Baumaterialien Matériaux'!$A:$A,'[1]Baumaterialien Matériaux'!AK:AK,0,0)</f>
        <v>0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 s="1112" cm="1">
        <f t="array" ref="AD165">IFERROR(_xlfn.SWITCH(I165,"kg",1,"m3",AC165,AC165)*J165/(_xlfn.XLOOKUP(AA165,Métrés!A:A,Métrés!E:E,0)),0)</f>
        <v>0</v>
      </c>
      <c r="AE165" s="1092">
        <f>IFERROR(N165*$G$1/(_xlfn.XLOOKUP($AA165,Métrés!$A:$A,Métrés!$E:$E,0)),0)</f>
        <v>0</v>
      </c>
      <c r="AF165" s="1092">
        <f>IFERROR(O165*$G$1/(_xlfn.XLOOKUP($AA165,Métrés!$A:$A,Métrés!$E:$E,0)),0)</f>
        <v>0</v>
      </c>
      <c r="AG165" s="1092">
        <f>IFERROR(Q165*$G$1/(_xlfn.XLOOKUP($AA165,Métrés!$A:$A,Métrés!$E:$E,0)),0)</f>
        <v>0</v>
      </c>
      <c r="AH165" s="1092">
        <f>IFERROR(R165*$G$1/(_xlfn.XLOOKUP($AA165,Métrés!$A:$A,Métrés!$E:$E,0)),0)</f>
        <v>0</v>
      </c>
      <c r="AI165" s="1092">
        <f>IFERROR(S165*$G$1/(_xlfn.XLOOKUP($AA165,Métrés!$A:$A,Métrés!$E:$E,0)),0)</f>
        <v>0</v>
      </c>
      <c r="AJ165" s="1022"/>
      <c r="AK165" s="638">
        <f t="shared" si="328"/>
        <v>0</v>
      </c>
      <c r="AL165" s="638">
        <f t="shared" si="329"/>
        <v>0</v>
      </c>
      <c r="AM165" s="638">
        <f t="shared" si="330"/>
        <v>0</v>
      </c>
      <c r="AN165" s="1017">
        <f t="shared" si="331"/>
        <v>0</v>
      </c>
      <c r="AO165" s="638">
        <f t="shared" si="332"/>
        <v>0</v>
      </c>
      <c r="AP165" s="638">
        <f t="shared" si="333"/>
        <v>0</v>
      </c>
      <c r="AQ165" s="1018">
        <f t="shared" si="334"/>
        <v>0</v>
      </c>
      <c r="AR165" s="1018">
        <f t="shared" si="335"/>
        <v>0</v>
      </c>
      <c r="AS165" s="1017">
        <f t="shared" si="336"/>
        <v>0</v>
      </c>
      <c r="AT165" s="638">
        <f t="shared" si="337"/>
        <v>0</v>
      </c>
      <c r="AU165" s="638">
        <f t="shared" si="338"/>
        <v>0</v>
      </c>
      <c r="AV165" s="1018">
        <f t="shared" si="339"/>
        <v>0</v>
      </c>
      <c r="AW165" s="1018">
        <f t="shared" si="340"/>
        <v>0</v>
      </c>
      <c r="AX165" s="1017">
        <f t="shared" si="341"/>
        <v>0</v>
      </c>
      <c r="AY165" s="638">
        <f t="shared" si="342"/>
        <v>0</v>
      </c>
      <c r="AZ165" s="638">
        <f t="shared" si="343"/>
        <v>0</v>
      </c>
      <c r="BA165" s="638">
        <f t="shared" si="344"/>
        <v>0</v>
      </c>
      <c r="BB165" s="1018">
        <f t="shared" si="345"/>
        <v>0</v>
      </c>
      <c r="BC165" s="1017"/>
      <c r="BF165" s="1018"/>
      <c r="BG165" s="1017">
        <f t="shared" si="346"/>
        <v>0</v>
      </c>
      <c r="BH165" s="638">
        <f t="shared" si="347"/>
        <v>0</v>
      </c>
      <c r="BI165" s="1018">
        <f t="shared" si="348"/>
        <v>0</v>
      </c>
      <c r="BJ165" s="638">
        <f>_xlfn.XLOOKUP(H165, 'Baumaterialien Matériaux'!A:A, 'Baumaterialien Matériaux'!E:E, "-", 0, 1)</f>
        <v>0</v>
      </c>
      <c r="BK165" s="1032">
        <f t="shared" si="283"/>
        <v>0</v>
      </c>
      <c r="BL165" s="1030">
        <f t="shared" si="284"/>
        <v>0</v>
      </c>
      <c r="BM165" s="1033">
        <f t="shared" si="285"/>
        <v>0</v>
      </c>
      <c r="BN165" s="720">
        <f>IFERROR((J165*VLOOKUP(H165, 'Baumaterialien Matériaux'!$A$11:$AH$318, 32,FALSE))*($L$2/L165-1),0)/$G$1</f>
        <v>0</v>
      </c>
      <c r="BO165" s="720">
        <f t="shared" si="349"/>
        <v>0</v>
      </c>
    </row>
    <row r="166" spans="2:67">
      <c r="B166" s="1103"/>
      <c r="C166" s="1099"/>
      <c r="D166" s="478"/>
      <c r="E166" s="478"/>
      <c r="F166" s="483"/>
      <c r="G166" s="478"/>
      <c r="H166" s="478"/>
      <c r="I166" s="641"/>
      <c r="J166" s="649"/>
      <c r="K166" s="647"/>
      <c r="L166" s="647"/>
      <c r="M166" s="648"/>
      <c r="N166" s="720"/>
      <c r="O166" s="720"/>
      <c r="P166" s="720"/>
      <c r="Q166" s="720"/>
      <c r="R166" s="720"/>
      <c r="S166" s="720"/>
      <c r="T166" s="720">
        <f t="shared" si="327"/>
        <v>0</v>
      </c>
      <c r="V166" s="638">
        <f t="shared" si="296"/>
        <v>0</v>
      </c>
      <c r="W166" s="638">
        <f t="shared" si="297"/>
        <v>0</v>
      </c>
      <c r="X166" s="638">
        <f t="shared" si="223"/>
        <v>0</v>
      </c>
      <c r="Z166" s="638">
        <f t="shared" si="292"/>
        <v>0</v>
      </c>
      <c r="AA166" s="664" t="s">
        <v>3448</v>
      </c>
      <c r="AB166">
        <f>_xlfn.XLOOKUP($H166,'[1]Baumaterialien Matériaux'!$A:$A,'[1]Baumaterialien Matériaux'!AK:AK,0,0)</f>
        <v>0</v>
      </c>
      <c r="AC166" t="str" cm="1">
        <f t="array" ref="AC166">_xlfn.SWITCH(I166,"kg"," ",0," ",_xlfn.XLOOKUP(H166, '[1]Baumaterialien Matériaux'!$A:$A, '[1]Baumaterialien Matériaux'!$AL:$AL, "-", 0, 1))</f>
        <v xml:space="preserve"> </v>
      </c>
      <c r="AD166" s="1112" cm="1">
        <f t="array" ref="AD166">IFERROR(_xlfn.SWITCH(I166,"kg",1,"m3",AC166,AC166)*J166/(_xlfn.XLOOKUP(AA166,Métrés!A:A,Métrés!E:E,0)),0)</f>
        <v>0</v>
      </c>
      <c r="AE166" s="1092">
        <f>IFERROR(N166*$G$1/(_xlfn.XLOOKUP($AA166,Métrés!$A:$A,Métrés!$E:$E,0)),0)</f>
        <v>0</v>
      </c>
      <c r="AF166" s="1092">
        <f>IFERROR(O166*$G$1/(_xlfn.XLOOKUP($AA166,Métrés!$A:$A,Métrés!$E:$E,0)),0)</f>
        <v>0</v>
      </c>
      <c r="AG166" s="1092">
        <f>IFERROR(Q166*$G$1/(_xlfn.XLOOKUP($AA166,Métrés!$A:$A,Métrés!$E:$E,0)),0)</f>
        <v>0</v>
      </c>
      <c r="AH166" s="1092">
        <f>IFERROR(R166*$G$1/(_xlfn.XLOOKUP($AA166,Métrés!$A:$A,Métrés!$E:$E,0)),0)</f>
        <v>0</v>
      </c>
      <c r="AI166" s="1092">
        <f>IFERROR(S166*$G$1/(_xlfn.XLOOKUP($AA166,Métrés!$A:$A,Métrés!$E:$E,0)),0)</f>
        <v>0</v>
      </c>
      <c r="AJ166" s="1022"/>
      <c r="AK166" s="638">
        <f t="shared" si="328"/>
        <v>0</v>
      </c>
      <c r="AL166" s="638">
        <f t="shared" si="329"/>
        <v>0</v>
      </c>
      <c r="AM166" s="638">
        <f t="shared" si="330"/>
        <v>0</v>
      </c>
      <c r="AN166" s="1017">
        <f t="shared" si="331"/>
        <v>0</v>
      </c>
      <c r="AO166" s="638">
        <f t="shared" si="332"/>
        <v>0</v>
      </c>
      <c r="AP166" s="638">
        <f t="shared" si="333"/>
        <v>0</v>
      </c>
      <c r="AQ166" s="1018">
        <f t="shared" si="334"/>
        <v>0</v>
      </c>
      <c r="AR166" s="1018">
        <f t="shared" si="335"/>
        <v>0</v>
      </c>
      <c r="AS166" s="1017">
        <f t="shared" si="336"/>
        <v>0</v>
      </c>
      <c r="AT166" s="638">
        <f t="shared" si="337"/>
        <v>0</v>
      </c>
      <c r="AU166" s="638">
        <f t="shared" si="338"/>
        <v>0</v>
      </c>
      <c r="AV166" s="1018">
        <f t="shared" si="339"/>
        <v>0</v>
      </c>
      <c r="AW166" s="1018">
        <f t="shared" si="340"/>
        <v>0</v>
      </c>
      <c r="AX166" s="1017">
        <f t="shared" si="341"/>
        <v>0</v>
      </c>
      <c r="AY166" s="638">
        <f t="shared" si="342"/>
        <v>0</v>
      </c>
      <c r="AZ166" s="638">
        <f t="shared" si="343"/>
        <v>0</v>
      </c>
      <c r="BA166" s="638">
        <f t="shared" si="344"/>
        <v>0</v>
      </c>
      <c r="BB166" s="1018">
        <f t="shared" si="345"/>
        <v>0</v>
      </c>
      <c r="BC166" s="1017"/>
      <c r="BF166" s="1018"/>
      <c r="BG166" s="1017">
        <f t="shared" si="346"/>
        <v>0</v>
      </c>
      <c r="BH166" s="638">
        <f t="shared" si="347"/>
        <v>0</v>
      </c>
      <c r="BI166" s="1018">
        <f t="shared" si="348"/>
        <v>0</v>
      </c>
      <c r="BJ166" s="638">
        <f>_xlfn.XLOOKUP(H166, 'Baumaterialien Matériaux'!A:A, 'Baumaterialien Matériaux'!E:E, "-", 0, 1)</f>
        <v>0</v>
      </c>
      <c r="BK166" s="1032">
        <f t="shared" si="283"/>
        <v>0</v>
      </c>
      <c r="BL166" s="1030">
        <f t="shared" si="284"/>
        <v>0</v>
      </c>
      <c r="BM166" s="1033">
        <f t="shared" si="285"/>
        <v>0</v>
      </c>
    </row>
    <row r="167" spans="2:67">
      <c r="B167" s="1103"/>
      <c r="C167" s="1099"/>
      <c r="D167" s="478"/>
      <c r="E167" s="478"/>
      <c r="F167" s="478"/>
      <c r="G167" s="478"/>
      <c r="H167" s="478"/>
      <c r="I167" s="641"/>
      <c r="J167" s="649"/>
      <c r="K167" s="647"/>
      <c r="L167" s="647"/>
      <c r="M167" s="648"/>
      <c r="T167" s="720">
        <f t="shared" si="327"/>
        <v>0</v>
      </c>
      <c r="V167" s="638">
        <f t="shared" si="296"/>
        <v>0</v>
      </c>
      <c r="W167" s="638">
        <f t="shared" si="297"/>
        <v>0</v>
      </c>
      <c r="X167" s="638">
        <f t="shared" si="223"/>
        <v>0</v>
      </c>
      <c r="Z167" s="638">
        <f t="shared" si="292"/>
        <v>0</v>
      </c>
      <c r="AA167" s="664" t="s">
        <v>3448</v>
      </c>
      <c r="AB167">
        <f>_xlfn.XLOOKUP($H167,'[1]Baumaterialien Matériaux'!$A:$A,'[1]Baumaterialien Matériaux'!AK:AK,0,0)</f>
        <v>0</v>
      </c>
      <c r="AC167" t="str" cm="1">
        <f t="array" ref="AC167">_xlfn.SWITCH(I167,"kg"," ",0," ",_xlfn.XLOOKUP(H167, '[1]Baumaterialien Matériaux'!$A:$A, '[1]Baumaterialien Matériaux'!$AL:$AL, "-", 0, 1))</f>
        <v xml:space="preserve"> </v>
      </c>
      <c r="AD167" s="1112" cm="1">
        <f t="array" ref="AD167">IFERROR(_xlfn.SWITCH(I167,"kg",1,"m3",AC167,AC167)*J167/(_xlfn.XLOOKUP(AA167,Métrés!A:A,Métrés!E:E,0)),0)</f>
        <v>0</v>
      </c>
      <c r="AE167" s="1092">
        <f>IFERROR(N167*$G$1/(_xlfn.XLOOKUP($AA167,Métrés!$A:$A,Métrés!$E:$E,0)),0)</f>
        <v>0</v>
      </c>
      <c r="AF167" s="1092">
        <f>IFERROR(O167*$G$1/(_xlfn.XLOOKUP($AA167,Métrés!$A:$A,Métrés!$E:$E,0)),0)</f>
        <v>0</v>
      </c>
      <c r="AG167" s="1092">
        <f>IFERROR(Q167*$G$1/(_xlfn.XLOOKUP($AA167,Métrés!$A:$A,Métrés!$E:$E,0)),0)</f>
        <v>0</v>
      </c>
      <c r="AH167" s="1092">
        <f>IFERROR(R167*$G$1/(_xlfn.XLOOKUP($AA167,Métrés!$A:$A,Métrés!$E:$E,0)),0)</f>
        <v>0</v>
      </c>
      <c r="AI167" s="1092">
        <f>IFERROR(S167*$G$1/(_xlfn.XLOOKUP($AA167,Métrés!$A:$A,Métrés!$E:$E,0)),0)</f>
        <v>0</v>
      </c>
      <c r="AJ167" s="1022"/>
      <c r="AK167" s="638">
        <f t="shared" si="328"/>
        <v>0</v>
      </c>
      <c r="AL167" s="638">
        <f t="shared" si="329"/>
        <v>0</v>
      </c>
      <c r="AM167" s="638">
        <f t="shared" si="330"/>
        <v>0</v>
      </c>
      <c r="AN167" s="1017">
        <f t="shared" si="331"/>
        <v>0</v>
      </c>
      <c r="AO167" s="638">
        <f t="shared" si="332"/>
        <v>0</v>
      </c>
      <c r="AP167" s="638">
        <f t="shared" si="333"/>
        <v>0</v>
      </c>
      <c r="AQ167" s="1018">
        <f t="shared" si="334"/>
        <v>0</v>
      </c>
      <c r="AR167" s="1018">
        <f t="shared" si="335"/>
        <v>0</v>
      </c>
      <c r="AS167" s="1017">
        <f t="shared" si="336"/>
        <v>0</v>
      </c>
      <c r="AT167" s="638">
        <f t="shared" si="337"/>
        <v>0</v>
      </c>
      <c r="AU167" s="638">
        <f t="shared" si="338"/>
        <v>0</v>
      </c>
      <c r="AV167" s="1018">
        <f t="shared" si="339"/>
        <v>0</v>
      </c>
      <c r="AW167" s="1018">
        <f t="shared" si="340"/>
        <v>0</v>
      </c>
      <c r="AX167" s="1017">
        <f t="shared" si="341"/>
        <v>0</v>
      </c>
      <c r="AY167" s="638">
        <f t="shared" si="342"/>
        <v>0</v>
      </c>
      <c r="AZ167" s="638">
        <f t="shared" si="343"/>
        <v>0</v>
      </c>
      <c r="BA167" s="638">
        <f t="shared" si="344"/>
        <v>0</v>
      </c>
      <c r="BB167" s="1018">
        <f t="shared" si="345"/>
        <v>0</v>
      </c>
      <c r="BC167" s="1017"/>
      <c r="BF167" s="1018"/>
      <c r="BG167" s="1017">
        <f t="shared" si="346"/>
        <v>0</v>
      </c>
      <c r="BH167" s="638">
        <f t="shared" si="347"/>
        <v>0</v>
      </c>
      <c r="BI167" s="1018">
        <f t="shared" si="348"/>
        <v>0</v>
      </c>
      <c r="BJ167" s="638">
        <f>_xlfn.XLOOKUP(H167, 'Baumaterialien Matériaux'!A:A, 'Baumaterialien Matériaux'!E:E, "-", 0, 1)</f>
        <v>0</v>
      </c>
      <c r="BK167" s="1032">
        <f t="shared" si="283"/>
        <v>0</v>
      </c>
      <c r="BL167" s="1030">
        <f t="shared" si="284"/>
        <v>0</v>
      </c>
      <c r="BM167" s="1033">
        <f t="shared" si="285"/>
        <v>0</v>
      </c>
    </row>
    <row r="168" spans="2:67">
      <c r="B168" s="1103"/>
      <c r="C168" s="1099"/>
      <c r="D168" s="478" t="s">
        <v>2984</v>
      </c>
      <c r="E168" s="479" t="str">
        <f>BillQuantities!E28</f>
        <v>Dalle en béton 25cm (avec enduit intérieur)</v>
      </c>
      <c r="F168" s="479"/>
      <c r="G168" s="479"/>
      <c r="H168" s="479"/>
      <c r="I168" s="459" t="s">
        <v>39</v>
      </c>
      <c r="J168" s="662">
        <v>461.96</v>
      </c>
      <c r="K168" s="663"/>
      <c r="L168" s="663"/>
      <c r="M168" s="664">
        <f ca="1">SUM(M169:M175)</f>
        <v>22.549297142531405</v>
      </c>
      <c r="N168" s="664">
        <f t="shared" ref="N168:T168" si="353">SUM(N169:N175)</f>
        <v>13.529386323120933</v>
      </c>
      <c r="O168" s="664">
        <f t="shared" ref="O168" si="354">SUM(O169:O175)</f>
        <v>6.5581716989345384</v>
      </c>
      <c r="P168" s="664">
        <f t="shared" ca="1" si="353"/>
        <v>0</v>
      </c>
      <c r="Q168" s="664">
        <f t="shared" si="353"/>
        <v>2.4617391204759338</v>
      </c>
      <c r="R168" s="664">
        <f t="shared" ref="R168" si="355">SUM(R169:R175)</f>
        <v>1.583829278429584</v>
      </c>
      <c r="S168" s="664">
        <f t="shared" si="353"/>
        <v>62.610011957077504</v>
      </c>
      <c r="T168" s="664">
        <f t="shared" si="353"/>
        <v>-16.278603108840151</v>
      </c>
      <c r="V168" s="638">
        <f t="shared" si="296"/>
        <v>-16.278603108840151</v>
      </c>
      <c r="X168" s="638">
        <f t="shared" si="223"/>
        <v>0</v>
      </c>
      <c r="Z168" s="638">
        <f t="shared" si="292"/>
        <v>0</v>
      </c>
      <c r="AB168">
        <f>_xlfn.XLOOKUP($H168,'[1]Baumaterialien Matériaux'!$A:$A,'[1]Baumaterialien Matériaux'!AK:AK,0,0)</f>
        <v>0</v>
      </c>
      <c r="AC168" cm="1">
        <f t="array" ref="AC168">_xlfn.SWITCH(I168,"kg"," ",0," ",_xlfn.XLOOKUP(H168, '[1]Baumaterialien Matériaux'!$A:$A, '[1]Baumaterialien Matériaux'!$AL:$AL, "-", 0, 1))</f>
        <v>0</v>
      </c>
      <c r="AD168" s="1112" cm="1">
        <f t="array" ref="AD168">IFERROR(_xlfn.SWITCH(I168,"kg",1,"m3",AC168,AC168)*J168/(_xlfn.XLOOKUP(AA168,Métrés!A:A,Métrés!E:E,0)),0)</f>
        <v>0</v>
      </c>
      <c r="AE168" s="1092">
        <f>IFERROR(N168*$G$1/(_xlfn.XLOOKUP($AA168,Métrés!$A:$A,Métrés!$E:$E,0)),0)</f>
        <v>0</v>
      </c>
      <c r="AF168" s="1092">
        <f>IFERROR(O168*$G$1/(_xlfn.XLOOKUP($AA168,Métrés!$A:$A,Métrés!$E:$E,0)),0)</f>
        <v>0</v>
      </c>
      <c r="AG168" s="1092">
        <f>IFERROR(Q168*$G$1/(_xlfn.XLOOKUP($AA168,Métrés!$A:$A,Métrés!$E:$E,0)),0)</f>
        <v>0</v>
      </c>
      <c r="AH168" s="1092">
        <f>IFERROR(R168*$G$1/(_xlfn.XLOOKUP($AA168,Métrés!$A:$A,Métrés!$E:$E,0)),0)</f>
        <v>0</v>
      </c>
      <c r="AI168" s="1092">
        <f>IFERROR(S168*$G$1/(_xlfn.XLOOKUP($AA168,Métrés!$A:$A,Métrés!$E:$E,0)),0)</f>
        <v>0</v>
      </c>
      <c r="AJ168" s="878"/>
      <c r="AK168" s="878"/>
      <c r="AL168" s="878"/>
      <c r="AM168" s="878"/>
      <c r="AN168" s="1053"/>
      <c r="AO168" s="878"/>
      <c r="AP168" s="878"/>
      <c r="AQ168" s="878"/>
      <c r="AR168" s="1054"/>
      <c r="AS168" s="1053"/>
      <c r="AT168" s="878"/>
      <c r="AU168" s="878"/>
      <c r="AV168" s="878"/>
      <c r="AW168" s="1054"/>
      <c r="AX168" s="1053"/>
      <c r="AY168" s="878"/>
      <c r="AZ168" s="878"/>
      <c r="BA168" s="878"/>
      <c r="BB168" s="1054"/>
      <c r="BC168" s="1053"/>
      <c r="BD168" s="878"/>
      <c r="BE168" s="878"/>
      <c r="BF168" s="1054"/>
      <c r="BG168" s="1053"/>
      <c r="BH168" s="878"/>
      <c r="BI168" s="1054"/>
      <c r="BJ168" s="878"/>
      <c r="BK168" s="1053"/>
      <c r="BL168" s="878"/>
      <c r="BM168" s="1054"/>
    </row>
    <row r="169" spans="2:67">
      <c r="B169" s="1103"/>
      <c r="C169" s="1099"/>
      <c r="D169" s="478"/>
      <c r="E169" s="478"/>
      <c r="F169" s="638" t="s">
        <v>3316</v>
      </c>
      <c r="G169" s="478" t="str">
        <f>_xlfn.XLOOKUP(H169, 'Baumaterialien Matériaux'!A:A, 'Baumaterialien Matériaux'!AD:AD, "-", 0, 1)</f>
        <v>Bois lamellé-collé</v>
      </c>
      <c r="H169" s="857" t="s">
        <v>1451</v>
      </c>
      <c r="I169" s="641" t="str">
        <f>_xlfn.XLOOKUP(H169, 'Baumaterialien Matériaux'!A:A, 'Baumaterialien Matériaux'!F:F, "-", 0, 1)</f>
        <v>kg</v>
      </c>
      <c r="J169" s="649">
        <f>17.83*439</f>
        <v>7827.369999999999</v>
      </c>
      <c r="K169" s="893"/>
      <c r="L169" s="647" cm="1">
        <f t="array" aca="1" ref="L169" ca="1">INDEX('Eléments de constr. inté. et ex'!N46:N88, 'Eléments de constr. inté. et ex'!W56)</f>
        <v>60</v>
      </c>
      <c r="M169" s="648">
        <f t="shared" ref="M169:M171" ca="1" si="356">SUM(N169:Q169)</f>
        <v>3.8810723104348899</v>
      </c>
      <c r="N169" s="720">
        <f>IFERROR(($J169*VLOOKUP($H169, 'Baumaterialien Matériaux'!$A$11:$AH$318, 26,FALSE)),0)/$G$1</f>
        <v>2.3283188818871521</v>
      </c>
      <c r="O169" s="720">
        <f>IFERROR(($J169*VLOOKUP($H169, 'Baumaterialien Matériaux'!$A$11:$AH$318, 33,FALSE)),0)/$G$1</f>
        <v>1.1519905269267439</v>
      </c>
      <c r="P169" s="720">
        <f ca="1">IFERROR((N169+Q169)*($L$2/L169-1),0)</f>
        <v>0</v>
      </c>
      <c r="Q169" s="720">
        <f>IFERROR(($J169*VLOOKUP($H169, 'Baumaterialien Matériaux'!$A$11:$AH$318, 27,FALSE)),0)/$G$1</f>
        <v>0.40076290162099409</v>
      </c>
      <c r="R169" s="720">
        <f>IFERROR(($J169*VLOOKUP($H169, 'Baumaterialien Matériaux'!$A$11:$AH$318, 34,FALSE)),0)/$G$1</f>
        <v>0.34397463620911234</v>
      </c>
      <c r="S169" s="720">
        <f>IFERROR((J169*VLOOKUP(H169, 'Baumaterialien Matériaux'!$A$11:$AD$318, 29,FALSE)),0)/$G$1</f>
        <v>13.266820481461517</v>
      </c>
      <c r="T169" s="720">
        <f t="shared" ref="T169:T176" si="357">S169*AJ169</f>
        <v>-3.4493733251799945</v>
      </c>
      <c r="U169" s="638">
        <v>-0.26</v>
      </c>
      <c r="V169" s="638">
        <f t="shared" ca="1" si="296"/>
        <v>0</v>
      </c>
      <c r="W169" s="638">
        <f t="shared" ca="1" si="297"/>
        <v>0</v>
      </c>
      <c r="X169" s="638" t="str">
        <f t="shared" ca="1" si="223"/>
        <v>Structure</v>
      </c>
      <c r="Z169" s="638">
        <f t="shared" ca="1" si="292"/>
        <v>60</v>
      </c>
      <c r="AA169" s="648" t="s">
        <v>3458</v>
      </c>
      <c r="AB169" t="str">
        <f>_xlfn.XLOOKUP($H169,'[1]Baumaterialien Matériaux'!$A:$A,'[1]Baumaterialien Matériaux'!AK:AK,0,0)</f>
        <v>timber</v>
      </c>
      <c r="AC169" t="str" cm="1">
        <f t="array" ref="AC169">_xlfn.SWITCH(I169,"kg"," ",0," ",_xlfn.XLOOKUP(H169, '[1]Baumaterialien Matériaux'!$A:$A, '[1]Baumaterialien Matériaux'!$AL:$AL, "-", 0, 1))</f>
        <v xml:space="preserve"> </v>
      </c>
      <c r="AD169" s="1112" cm="1">
        <f t="array" ref="AD169">IFERROR(_xlfn.SWITCH(I169,"kg",1,"m3",AC169,AC169)*J169/(_xlfn.XLOOKUP(AA169,Métrés!A:A,Métrés!E:E,0)),0)</f>
        <v>16.943826305307816</v>
      </c>
      <c r="AE169" s="1092">
        <f>IFERROR(N169*$G$1/(_xlfn.XLOOKUP($AA169,Métrés!$A:$A,Métrés!$E:$E,0)),0)</f>
        <v>4.8628781496233433</v>
      </c>
      <c r="AF169" s="1092">
        <f>IFERROR(O169*$G$1/(_xlfn.XLOOKUP($AA169,Métrés!$A:$A,Métrés!$E:$E,0)),0)</f>
        <v>2.4060233353537095</v>
      </c>
      <c r="AG169" s="1092">
        <f>IFERROR(Q169*$G$1/(_xlfn.XLOOKUP($AA169,Métrés!$A:$A,Métrés!$E:$E,0)),0)</f>
        <v>0.8370250194822062</v>
      </c>
      <c r="AH169" s="1092">
        <f>IFERROR(R169*$G$1/(_xlfn.XLOOKUP($AA169,Métrés!$A:$A,Métrés!$E:$E,0)),0)</f>
        <v>0.71841823534505145</v>
      </c>
      <c r="AI169" s="1092">
        <f>IFERROR(S169*$G$1/(_xlfn.XLOOKUP($AA169,Métrés!$A:$A,Métrés!$E:$E,0)),0)</f>
        <v>27.70880395128005</v>
      </c>
      <c r="AJ169" s="1022">
        <v>-0.26</v>
      </c>
      <c r="AK169" s="638">
        <f t="shared" ref="AK169:AK176" ca="1" si="358">IF(L169=60,0,T169)</f>
        <v>0</v>
      </c>
      <c r="AL169" s="638">
        <f t="shared" ref="AL169:AL176" ca="1" si="359">IF(L169=60,0,S169)</f>
        <v>0</v>
      </c>
      <c r="AM169" s="638" t="str">
        <f t="shared" ref="AM169:AM176" ca="1" si="360">IF(L169=$L$2, "Structure", IF(L169&gt;0,"Revêtement",0))</f>
        <v>Structure</v>
      </c>
      <c r="AN169" s="1017">
        <f t="shared" ref="AN169:AN176" ca="1" si="361">IF(AM169="Structure",N169,0)</f>
        <v>2.3283188818871521</v>
      </c>
      <c r="AO169" s="638">
        <f t="shared" ref="AO169:AO176" ca="1" si="362">IF(AM169="Structure",P169,0)</f>
        <v>0</v>
      </c>
      <c r="AP169" s="638">
        <f t="shared" ref="AP169:AP176" ca="1" si="363">IF(AM169="Structure",Q169,0)</f>
        <v>0.40076290162099409</v>
      </c>
      <c r="AQ169" s="1018">
        <f t="shared" ref="AQ169:AQ176" ca="1" si="364">IF(AM169="Structure",S169,0)</f>
        <v>13.266820481461517</v>
      </c>
      <c r="AR169" s="1018">
        <f t="shared" ref="AR169:AR176" ca="1" si="365">IF(AM169="Structure",T169,0)</f>
        <v>-3.4493733251799945</v>
      </c>
      <c r="AS169" s="1017">
        <f t="shared" ref="AS169:AS176" ca="1" si="366">IF(AM169="Insulation",N169,0)</f>
        <v>0</v>
      </c>
      <c r="AT169" s="638">
        <f t="shared" ref="AT169:AT176" ca="1" si="367">IF(AM169="Insulation",P169,0)</f>
        <v>0</v>
      </c>
      <c r="AU169" s="638">
        <f t="shared" ref="AU169:AU176" ca="1" si="368">IF(AM169="Insulation",Q169,0)</f>
        <v>0</v>
      </c>
      <c r="AV169" s="1018">
        <f t="shared" ref="AV169:AV176" ca="1" si="369">IF(AM169="Insulation",S169,0)</f>
        <v>0</v>
      </c>
      <c r="AW169" s="1018">
        <f t="shared" ref="AW169:AW176" ca="1" si="370">IF(AM169="Insulation",T169,0)</f>
        <v>0</v>
      </c>
      <c r="AX169" s="1017">
        <f t="shared" ref="AX169:AX176" ca="1" si="371">IF(AM169="Revêtement",N169,0)</f>
        <v>0</v>
      </c>
      <c r="AY169" s="638">
        <f t="shared" ref="AY169:AY176" ca="1" si="372">IF(AM169="Revêtement",P169,0)</f>
        <v>0</v>
      </c>
      <c r="AZ169" s="638">
        <f t="shared" ref="AZ169:AZ176" ca="1" si="373">IF(AM169="Revêtement",Q169,0)</f>
        <v>0</v>
      </c>
      <c r="BA169" s="638">
        <f t="shared" ref="BA169:BA176" ca="1" si="374">IF(AM169="Revêtement",S169,0)</f>
        <v>0</v>
      </c>
      <c r="BB169" s="1018">
        <f t="shared" ref="BB169:BB176" ca="1" si="375">IF(AM169="Revêtement",T169,0)</f>
        <v>0</v>
      </c>
      <c r="BC169" s="1017"/>
      <c r="BF169" s="1018"/>
      <c r="BG169" s="1017">
        <f t="shared" ref="BG169:BG176" ca="1" si="376">IF($AM169="Structure", IF($I169="kg",$J169,0), 0)</f>
        <v>7827.369999999999</v>
      </c>
      <c r="BH169" s="638">
        <f t="shared" ref="BH169:BH176" ca="1" si="377">IF($AM169="Insulation", IF($I169="kg",$J169,0), 0)</f>
        <v>0</v>
      </c>
      <c r="BI169" s="1018">
        <f t="shared" ref="BI169:BI176" ca="1" si="378">IF($AM169="Revêtement", IF($I169="kg",$J169,0), 0)</f>
        <v>0</v>
      </c>
      <c r="BJ169" s="638">
        <f>_xlfn.XLOOKUP(H169, 'Baumaterialien Matériaux'!A:A, 'Baumaterialien Matériaux'!E:E, "-", 0, 1)</f>
        <v>439</v>
      </c>
      <c r="BK169" s="1032">
        <f t="shared" ca="1" si="283"/>
        <v>17.829999999999998</v>
      </c>
      <c r="BL169" s="1030">
        <f t="shared" ca="1" si="284"/>
        <v>0</v>
      </c>
      <c r="BM169" s="1033">
        <f t="shared" ca="1" si="285"/>
        <v>0</v>
      </c>
      <c r="BN169" s="720">
        <f ca="1">IFERROR((J169*VLOOKUP(H169, 'Baumaterialien Matériaux'!$A$11:$AH$318, 32,FALSE))*($L$2/L169-1),0)/$G$1</f>
        <v>0</v>
      </c>
      <c r="BO169" s="720">
        <f t="shared" ref="BO169:BO175" ca="1" si="379">IFERROR((N169+Q169)*($L$2/L169-1),0)</f>
        <v>0</v>
      </c>
    </row>
    <row r="170" spans="2:67">
      <c r="B170" s="1103"/>
      <c r="C170" s="1099"/>
      <c r="D170" s="478"/>
      <c r="E170" s="478"/>
      <c r="F170" s="638" t="s">
        <v>3317</v>
      </c>
      <c r="G170" s="478" t="str">
        <f>_xlfn.XLOOKUP(H170, 'Baumaterialien Matériaux'!A:A, 'Baumaterialien Matériaux'!AD:AD, "-", 0, 1)</f>
        <v>Bois massif 3 et 5 plis</v>
      </c>
      <c r="H170" s="892" t="s">
        <v>510</v>
      </c>
      <c r="I170" s="641" t="str">
        <f>_xlfn.XLOOKUP(H170, 'Baumaterialien Matériaux'!A:A, 'Baumaterialien Matériaux'!F:F, "-", 0, 1)</f>
        <v>kg</v>
      </c>
      <c r="J170" s="649">
        <f>453*33.13</f>
        <v>15007.890000000001</v>
      </c>
      <c r="K170" s="894"/>
      <c r="L170" s="647" cm="1">
        <f t="array" aca="1" ref="L170" ca="1">INDEX('Eléments de constr. inté. et ex'!N47:N89, 'Eléments de constr. inté. et ex'!W57)</f>
        <v>60</v>
      </c>
      <c r="M170" s="648">
        <f t="shared" ca="1" si="356"/>
        <v>9.496203354960409</v>
      </c>
      <c r="N170" s="720">
        <f>IFERROR(($J170*VLOOKUP($H170, 'Baumaterialien Matériaux'!$A$11:$AH$318, 26,FALSE)),0)/$G$1</f>
        <v>6.455240609842047</v>
      </c>
      <c r="O170" s="720">
        <f>IFERROR(($J170*VLOOKUP($H170, 'Baumaterialien Matériaux'!$A$11:$AH$318, 33,FALSE)),0)/$G$1</f>
        <v>2.1776715310310522</v>
      </c>
      <c r="P170" s="720">
        <f t="shared" ref="P170:P171" ca="1" si="380">IFERROR((N170+Q170)*($L$2/L170-1),0)</f>
        <v>0</v>
      </c>
      <c r="Q170" s="720">
        <f>IFERROR(($J170*VLOOKUP($H170, 'Baumaterialien Matériaux'!$A$11:$AH$318, 27,FALSE)),0)/$G$1</f>
        <v>0.8632912140873098</v>
      </c>
      <c r="R170" s="720">
        <f>IFERROR(($J170*VLOOKUP($H170, 'Baumaterialien Matériaux'!$A$11:$AH$318, 34,FALSE)),0)/$G$1</f>
        <v>0.60508158969362791</v>
      </c>
      <c r="S170" s="720">
        <f>IFERROR((J170*VLOOKUP(H170, 'Baumaterialien Matériaux'!$A$11:$AD$318, 29,FALSE)),0)/$G$1</f>
        <v>24.695832148335473</v>
      </c>
      <c r="T170" s="720">
        <f t="shared" si="357"/>
        <v>-6.4209163585672231</v>
      </c>
      <c r="U170" s="638">
        <v>-0.26</v>
      </c>
      <c r="V170" s="638">
        <f t="shared" ca="1" si="296"/>
        <v>0</v>
      </c>
      <c r="W170" s="638">
        <f t="shared" ca="1" si="297"/>
        <v>0</v>
      </c>
      <c r="X170" s="638" t="str">
        <f t="shared" ca="1" si="223"/>
        <v>Structure</v>
      </c>
      <c r="Z170" s="638">
        <f t="shared" ca="1" si="292"/>
        <v>60</v>
      </c>
      <c r="AA170" s="648" t="s">
        <v>3458</v>
      </c>
      <c r="AB170" t="str">
        <f>_xlfn.XLOOKUP($H170,'[1]Baumaterialien Matériaux'!$A:$A,'[1]Baumaterialien Matériaux'!AK:AK,0,0)</f>
        <v>timber</v>
      </c>
      <c r="AC170" t="str" cm="1">
        <f t="array" ref="AC170">_xlfn.SWITCH(I170,"kg"," ",0," ",_xlfn.XLOOKUP(H170, '[1]Baumaterialien Matériaux'!$A:$A, '[1]Baumaterialien Matériaux'!$AL:$AL, "-", 0, 1))</f>
        <v xml:space="preserve"> </v>
      </c>
      <c r="AD170" s="1112" cm="1">
        <f t="array" ref="AD170">IFERROR(_xlfn.SWITCH(I170,"kg",1,"m3",AC170,AC170)*J170/(_xlfn.XLOOKUP(AA170,Métrés!A:A,Métrés!E:E,0)),0)</f>
        <v>32.487423153519792</v>
      </c>
      <c r="AE170" s="1092">
        <f>IFERROR(N170*$G$1/(_xlfn.XLOOKUP($AA170,Métrés!$A:$A,Métrés!$E:$E,0)),0)</f>
        <v>13.482280608710713</v>
      </c>
      <c r="AF170" s="1092">
        <f>IFERROR(O170*$G$1/(_xlfn.XLOOKUP($AA170,Métrés!$A:$A,Métrés!$E:$E,0)),0)</f>
        <v>4.5482392414927713</v>
      </c>
      <c r="AG170" s="1092">
        <f>IFERROR(Q170*$G$1/(_xlfn.XLOOKUP($AA170,Métrés!$A:$A,Métrés!$E:$E,0)),0)</f>
        <v>1.8030519850203481</v>
      </c>
      <c r="AH170" s="1092">
        <f>IFERROR(R170*$G$1/(_xlfn.XLOOKUP($AA170,Métrés!$A:$A,Métrés!$E:$E,0)),0)</f>
        <v>1.2637607606719197</v>
      </c>
      <c r="AI170" s="1092">
        <f>IFERROR(S170*$G$1/(_xlfn.XLOOKUP($AA170,Métrés!$A:$A,Métrés!$E:$E,0)),0)</f>
        <v>51.579198826738242</v>
      </c>
      <c r="AJ170" s="1022">
        <v>-0.26</v>
      </c>
      <c r="AK170" s="638">
        <f t="shared" ca="1" si="358"/>
        <v>0</v>
      </c>
      <c r="AL170" s="638">
        <f t="shared" ca="1" si="359"/>
        <v>0</v>
      </c>
      <c r="AM170" s="638" t="str">
        <f t="shared" ca="1" si="360"/>
        <v>Structure</v>
      </c>
      <c r="AN170" s="1017">
        <f t="shared" ca="1" si="361"/>
        <v>6.455240609842047</v>
      </c>
      <c r="AO170" s="638">
        <f t="shared" ca="1" si="362"/>
        <v>0</v>
      </c>
      <c r="AP170" s="638">
        <f t="shared" ca="1" si="363"/>
        <v>0.8632912140873098</v>
      </c>
      <c r="AQ170" s="1018">
        <f t="shared" ca="1" si="364"/>
        <v>24.695832148335473</v>
      </c>
      <c r="AR170" s="1018">
        <f t="shared" ca="1" si="365"/>
        <v>-6.4209163585672231</v>
      </c>
      <c r="AS170" s="1017">
        <f t="shared" ca="1" si="366"/>
        <v>0</v>
      </c>
      <c r="AT170" s="638">
        <f t="shared" ca="1" si="367"/>
        <v>0</v>
      </c>
      <c r="AU170" s="638">
        <f t="shared" ca="1" si="368"/>
        <v>0</v>
      </c>
      <c r="AV170" s="1018">
        <f t="shared" ca="1" si="369"/>
        <v>0</v>
      </c>
      <c r="AW170" s="1018">
        <f t="shared" ca="1" si="370"/>
        <v>0</v>
      </c>
      <c r="AX170" s="1017">
        <f t="shared" ca="1" si="371"/>
        <v>0</v>
      </c>
      <c r="AY170" s="638">
        <f t="shared" ca="1" si="372"/>
        <v>0</v>
      </c>
      <c r="AZ170" s="638">
        <f t="shared" ca="1" si="373"/>
        <v>0</v>
      </c>
      <c r="BA170" s="638">
        <f t="shared" ca="1" si="374"/>
        <v>0</v>
      </c>
      <c r="BB170" s="1018">
        <f t="shared" ca="1" si="375"/>
        <v>0</v>
      </c>
      <c r="BC170" s="1017"/>
      <c r="BF170" s="1018"/>
      <c r="BG170" s="1017">
        <f t="shared" ca="1" si="376"/>
        <v>15007.890000000001</v>
      </c>
      <c r="BH170" s="638">
        <f t="shared" ca="1" si="377"/>
        <v>0</v>
      </c>
      <c r="BI170" s="1018">
        <f t="shared" ca="1" si="378"/>
        <v>0</v>
      </c>
      <c r="BJ170" s="638">
        <f>_xlfn.XLOOKUP(H170, 'Baumaterialien Matériaux'!A:A, 'Baumaterialien Matériaux'!E:E, "-", 0, 1)</f>
        <v>453</v>
      </c>
      <c r="BK170" s="1032">
        <f t="shared" ca="1" si="283"/>
        <v>33.130000000000003</v>
      </c>
      <c r="BL170" s="1030">
        <f t="shared" ca="1" si="284"/>
        <v>0</v>
      </c>
      <c r="BM170" s="1033">
        <f t="shared" ca="1" si="285"/>
        <v>0</v>
      </c>
      <c r="BN170" s="720">
        <f ca="1">IFERROR((J170*VLOOKUP(H170, 'Baumaterialien Matériaux'!$A$11:$AH$318, 32,FALSE))*($L$2/L170-1),0)/$G$1</f>
        <v>0</v>
      </c>
      <c r="BO170" s="720">
        <f t="shared" ca="1" si="379"/>
        <v>0</v>
      </c>
    </row>
    <row r="171" spans="2:67">
      <c r="B171" s="1103"/>
      <c r="C171" s="1099"/>
      <c r="D171" s="478"/>
      <c r="E171" s="478"/>
      <c r="F171" s="478" t="s">
        <v>3315</v>
      </c>
      <c r="G171" s="478" t="str">
        <f>_xlfn.XLOOKUP(H171, 'Baumaterialien Matériaux'!A:A, 'Baumaterialien Matériaux'!AD:AD, "-", 0, 1)</f>
        <v>Contreplaqué de planches</v>
      </c>
      <c r="H171" s="857" t="s">
        <v>1454</v>
      </c>
      <c r="I171" s="641" t="str">
        <f>_xlfn.XLOOKUP(H171, 'Baumaterialien Matériaux'!A:A, 'Baumaterialien Matériaux'!F:F, "-", 0, 1)</f>
        <v>kg</v>
      </c>
      <c r="J171" s="649">
        <f>33.13*436</f>
        <v>14444.68</v>
      </c>
      <c r="K171" s="894"/>
      <c r="L171" s="647">
        <v>60</v>
      </c>
      <c r="M171" s="648">
        <f t="shared" si="356"/>
        <v>9.1720214771361057</v>
      </c>
      <c r="N171" s="720">
        <f>IFERROR(($J171*VLOOKUP($H171, 'Baumaterialien Matériaux'!$A$11:$AH$318, 26,FALSE)),0)/$G$1</f>
        <v>4.7458268313917333</v>
      </c>
      <c r="O171" s="720">
        <f>IFERROR(($J171*VLOOKUP($H171, 'Baumaterialien Matériaux'!$A$11:$AH$318, 33,FALSE)),0)/$G$1</f>
        <v>3.2285096409767422</v>
      </c>
      <c r="P171" s="720">
        <f t="shared" si="380"/>
        <v>0</v>
      </c>
      <c r="Q171" s="720">
        <f>IFERROR(($J171*VLOOKUP($H171, 'Baumaterialien Matériaux'!$A$11:$AH$318, 27,FALSE)),0)/$G$1</f>
        <v>1.1976850047676297</v>
      </c>
      <c r="R171" s="720">
        <f>IFERROR(($J171*VLOOKUP($H171, 'Baumaterialien Matériaux'!$A$11:$AH$318, 34,FALSE)),0)/$G$1</f>
        <v>0.6347730525268438</v>
      </c>
      <c r="S171" s="720">
        <f>IFERROR((J171*VLOOKUP(H171, 'Baumaterialien Matériaux'!$A$11:$AD$318, 29,FALSE)),0)/$G$1</f>
        <v>24.647359327280515</v>
      </c>
      <c r="T171" s="720">
        <f t="shared" si="357"/>
        <v>-6.4083134250929339</v>
      </c>
      <c r="U171" s="638">
        <v>0.01</v>
      </c>
      <c r="V171" s="638">
        <f t="shared" si="296"/>
        <v>0</v>
      </c>
      <c r="W171" s="638">
        <f t="shared" si="297"/>
        <v>0</v>
      </c>
      <c r="X171" s="638" t="str">
        <f t="shared" si="223"/>
        <v>Structure</v>
      </c>
      <c r="Z171" s="638">
        <f t="shared" si="292"/>
        <v>60</v>
      </c>
      <c r="AA171" s="648" t="s">
        <v>3458</v>
      </c>
      <c r="AB171" t="str">
        <f>_xlfn.XLOOKUP($H171,'[1]Baumaterialien Matériaux'!$A:$A,'[1]Baumaterialien Matériaux'!AK:AK,0,0)</f>
        <v>timber</v>
      </c>
      <c r="AC171" t="str" cm="1">
        <f t="array" ref="AC171">_xlfn.SWITCH(I171,"kg"," ",0," ",_xlfn.XLOOKUP(H171, '[1]Baumaterialien Matériaux'!$A:$A, '[1]Baumaterialien Matériaux'!$AL:$AL, "-", 0, 1))</f>
        <v xml:space="preserve"> </v>
      </c>
      <c r="AD171" s="1112" cm="1">
        <f t="array" ref="AD171">IFERROR(_xlfn.SWITCH(I171,"kg",1,"m3",AC171,AC171)*J171/(_xlfn.XLOOKUP(AA171,Métrés!A:A,Métrés!E:E,0)),0)</f>
        <v>31.268248333189021</v>
      </c>
      <c r="AE171" s="1092">
        <f>IFERROR(N171*$G$1/(_xlfn.XLOOKUP($AA171,Métrés!$A:$A,Métrés!$E:$E,0)),0)</f>
        <v>9.9120347216209197</v>
      </c>
      <c r="AF171" s="1092">
        <f>IFERROR(O171*$G$1/(_xlfn.XLOOKUP($AA171,Métrés!$A:$A,Métrés!$E:$E,0)),0)</f>
        <v>6.7429977530522125</v>
      </c>
      <c r="AG171" s="1092">
        <f>IFERROR(Q171*$G$1/(_xlfn.XLOOKUP($AA171,Métrés!$A:$A,Métrés!$E:$E,0)),0)</f>
        <v>2.5014598666551215</v>
      </c>
      <c r="AH171" s="1092">
        <f>IFERROR(R171*$G$1/(_xlfn.XLOOKUP($AA171,Métrés!$A:$A,Métrés!$E:$E,0)),0)</f>
        <v>1.3257737293272145</v>
      </c>
      <c r="AI171" s="1092">
        <f>IFERROR(S171*$G$1/(_xlfn.XLOOKUP($AA171,Métrés!$A:$A,Métrés!$E:$E,0)),0)</f>
        <v>51.477959505873521</v>
      </c>
      <c r="AJ171" s="1022">
        <v>-0.26</v>
      </c>
      <c r="AK171" s="638">
        <f t="shared" si="358"/>
        <v>0</v>
      </c>
      <c r="AL171" s="638">
        <f t="shared" si="359"/>
        <v>0</v>
      </c>
      <c r="AM171" s="638" t="str">
        <f t="shared" si="360"/>
        <v>Structure</v>
      </c>
      <c r="AN171" s="1017">
        <f t="shared" si="361"/>
        <v>4.7458268313917333</v>
      </c>
      <c r="AO171" s="638">
        <f t="shared" si="362"/>
        <v>0</v>
      </c>
      <c r="AP171" s="638">
        <f t="shared" si="363"/>
        <v>1.1976850047676297</v>
      </c>
      <c r="AQ171" s="1018">
        <f t="shared" si="364"/>
        <v>24.647359327280515</v>
      </c>
      <c r="AR171" s="1018">
        <f t="shared" si="365"/>
        <v>-6.4083134250929339</v>
      </c>
      <c r="AS171" s="1017">
        <f t="shared" si="366"/>
        <v>0</v>
      </c>
      <c r="AT171" s="638">
        <f t="shared" si="367"/>
        <v>0</v>
      </c>
      <c r="AU171" s="638">
        <f t="shared" si="368"/>
        <v>0</v>
      </c>
      <c r="AV171" s="1018">
        <f t="shared" si="369"/>
        <v>0</v>
      </c>
      <c r="AW171" s="1018">
        <f t="shared" si="370"/>
        <v>0</v>
      </c>
      <c r="AX171" s="1017">
        <f t="shared" si="371"/>
        <v>0</v>
      </c>
      <c r="AY171" s="638">
        <f t="shared" si="372"/>
        <v>0</v>
      </c>
      <c r="AZ171" s="638">
        <f t="shared" si="373"/>
        <v>0</v>
      </c>
      <c r="BA171" s="638">
        <f t="shared" si="374"/>
        <v>0</v>
      </c>
      <c r="BB171" s="1018">
        <f t="shared" si="375"/>
        <v>0</v>
      </c>
      <c r="BC171" s="1017"/>
      <c r="BF171" s="1018"/>
      <c r="BG171" s="1017">
        <f t="shared" si="376"/>
        <v>14444.68</v>
      </c>
      <c r="BH171" s="638">
        <f t="shared" si="377"/>
        <v>0</v>
      </c>
      <c r="BI171" s="1018">
        <f t="shared" si="378"/>
        <v>0</v>
      </c>
      <c r="BJ171" s="638">
        <f>_xlfn.XLOOKUP(H171, 'Baumaterialien Matériaux'!A:A, 'Baumaterialien Matériaux'!E:E, "-", 0, 1)</f>
        <v>436</v>
      </c>
      <c r="BK171" s="1032">
        <f t="shared" si="283"/>
        <v>33.130000000000003</v>
      </c>
      <c r="BL171" s="1030">
        <f t="shared" si="284"/>
        <v>0</v>
      </c>
      <c r="BM171" s="1033">
        <f t="shared" si="285"/>
        <v>0</v>
      </c>
      <c r="BN171" s="720">
        <f>IFERROR((J171*VLOOKUP(H171, 'Baumaterialien Matériaux'!$A$11:$AH$318, 32,FALSE))*($L$2/L171-1),0)/$G$1</f>
        <v>0</v>
      </c>
      <c r="BO171" s="720">
        <f t="shared" si="379"/>
        <v>0</v>
      </c>
    </row>
    <row r="172" spans="2:67">
      <c r="B172" s="1103"/>
      <c r="C172" s="1099"/>
      <c r="D172" s="478"/>
      <c r="E172" s="478"/>
      <c r="F172" s="483"/>
      <c r="G172" s="478"/>
      <c r="H172" s="478"/>
      <c r="I172" s="641"/>
      <c r="J172" s="649"/>
      <c r="K172" s="647"/>
      <c r="L172" s="647"/>
      <c r="M172" s="648"/>
      <c r="N172" s="720"/>
      <c r="O172" s="720"/>
      <c r="P172" s="720"/>
      <c r="Q172" s="720"/>
      <c r="R172" s="720"/>
      <c r="S172" s="720"/>
      <c r="T172" s="720">
        <f t="shared" si="357"/>
        <v>0</v>
      </c>
      <c r="V172" s="638">
        <f t="shared" si="296"/>
        <v>0</v>
      </c>
      <c r="W172" s="638">
        <f t="shared" si="297"/>
        <v>0</v>
      </c>
      <c r="X172" s="638">
        <f t="shared" si="223"/>
        <v>0</v>
      </c>
      <c r="Z172" s="638">
        <f t="shared" si="292"/>
        <v>0</v>
      </c>
      <c r="AA172" s="648" t="s">
        <v>3458</v>
      </c>
      <c r="AB172">
        <f>_xlfn.XLOOKUP($H172,'[1]Baumaterialien Matériaux'!$A:$A,'[1]Baumaterialien Matériaux'!AK:AK,0,0)</f>
        <v>0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 s="1112" cm="1">
        <f t="array" ref="AD172">IFERROR(_xlfn.SWITCH(I172,"kg",1,"m3",AC172,AC172)*J172/(_xlfn.XLOOKUP(AA172,Métrés!A:A,Métrés!E:E,0)),0)</f>
        <v>0</v>
      </c>
      <c r="AE172" s="1092">
        <f>IFERROR(N172*$G$1/(_xlfn.XLOOKUP($AA172,Métrés!$A:$A,Métrés!$E:$E,0)),0)</f>
        <v>0</v>
      </c>
      <c r="AF172" s="1092">
        <f>IFERROR(O172*$G$1/(_xlfn.XLOOKUP($AA172,Métrés!$A:$A,Métrés!$E:$E,0)),0)</f>
        <v>0</v>
      </c>
      <c r="AG172" s="1092">
        <f>IFERROR(Q172*$G$1/(_xlfn.XLOOKUP($AA172,Métrés!$A:$A,Métrés!$E:$E,0)),0)</f>
        <v>0</v>
      </c>
      <c r="AH172" s="1092">
        <f>IFERROR(R172*$G$1/(_xlfn.XLOOKUP($AA172,Métrés!$A:$A,Métrés!$E:$E,0)),0)</f>
        <v>0</v>
      </c>
      <c r="AI172" s="1092">
        <f>IFERROR(S172*$G$1/(_xlfn.XLOOKUP($AA172,Métrés!$A:$A,Métrés!$E:$E,0)),0)</f>
        <v>0</v>
      </c>
      <c r="AJ172" s="1022"/>
      <c r="AK172" s="638">
        <f t="shared" si="358"/>
        <v>0</v>
      </c>
      <c r="AL172" s="638">
        <f t="shared" si="359"/>
        <v>0</v>
      </c>
      <c r="AM172" s="638">
        <f t="shared" si="360"/>
        <v>0</v>
      </c>
      <c r="AN172" s="1017">
        <f t="shared" si="361"/>
        <v>0</v>
      </c>
      <c r="AO172" s="638">
        <f t="shared" si="362"/>
        <v>0</v>
      </c>
      <c r="AP172" s="638">
        <f t="shared" si="363"/>
        <v>0</v>
      </c>
      <c r="AQ172" s="1018">
        <f t="shared" si="364"/>
        <v>0</v>
      </c>
      <c r="AR172" s="1018">
        <f t="shared" si="365"/>
        <v>0</v>
      </c>
      <c r="AS172" s="1017">
        <f t="shared" si="366"/>
        <v>0</v>
      </c>
      <c r="AT172" s="638">
        <f t="shared" si="367"/>
        <v>0</v>
      </c>
      <c r="AU172" s="638">
        <f t="shared" si="368"/>
        <v>0</v>
      </c>
      <c r="AV172" s="1018">
        <f t="shared" si="369"/>
        <v>0</v>
      </c>
      <c r="AW172" s="1018">
        <f t="shared" si="370"/>
        <v>0</v>
      </c>
      <c r="AX172" s="1017">
        <f t="shared" si="371"/>
        <v>0</v>
      </c>
      <c r="AY172" s="638">
        <f t="shared" si="372"/>
        <v>0</v>
      </c>
      <c r="AZ172" s="638">
        <f t="shared" si="373"/>
        <v>0</v>
      </c>
      <c r="BA172" s="638">
        <f t="shared" si="374"/>
        <v>0</v>
      </c>
      <c r="BB172" s="1018">
        <f t="shared" si="375"/>
        <v>0</v>
      </c>
      <c r="BC172" s="1017"/>
      <c r="BF172" s="1018"/>
      <c r="BG172" s="1017">
        <f t="shared" si="376"/>
        <v>0</v>
      </c>
      <c r="BH172" s="638">
        <f t="shared" si="377"/>
        <v>0</v>
      </c>
      <c r="BI172" s="1018">
        <f t="shared" si="378"/>
        <v>0</v>
      </c>
      <c r="BJ172" s="638">
        <f>_xlfn.XLOOKUP(H172, 'Baumaterialien Matériaux'!A:A, 'Baumaterialien Matériaux'!E:E, "-", 0, 1)</f>
        <v>0</v>
      </c>
      <c r="BK172" s="1032">
        <f t="shared" si="283"/>
        <v>0</v>
      </c>
      <c r="BL172" s="1030">
        <f t="shared" si="284"/>
        <v>0</v>
      </c>
      <c r="BM172" s="1033">
        <f t="shared" si="285"/>
        <v>0</v>
      </c>
      <c r="BN172" s="720">
        <f>IFERROR((J172*VLOOKUP(H172, 'Baumaterialien Matériaux'!$A$11:$AH$318, 32,FALSE))*($L$2/L172-1),0)/$G$1</f>
        <v>0</v>
      </c>
      <c r="BO172" s="720">
        <f t="shared" si="379"/>
        <v>0</v>
      </c>
    </row>
    <row r="173" spans="2:67">
      <c r="B173" s="1103"/>
      <c r="C173" s="1099"/>
      <c r="D173" s="478"/>
      <c r="E173" s="478"/>
      <c r="F173" s="483"/>
      <c r="G173" s="478"/>
      <c r="H173" s="478"/>
      <c r="I173" s="641"/>
      <c r="J173" s="649"/>
      <c r="K173" s="647"/>
      <c r="L173" s="647"/>
      <c r="M173" s="648"/>
      <c r="N173" s="720"/>
      <c r="O173" s="720"/>
      <c r="P173" s="720"/>
      <c r="Q173" s="720"/>
      <c r="R173" s="720"/>
      <c r="S173" s="720"/>
      <c r="T173" s="720">
        <f t="shared" si="357"/>
        <v>0</v>
      </c>
      <c r="V173" s="638">
        <f t="shared" si="296"/>
        <v>0</v>
      </c>
      <c r="W173" s="638">
        <f t="shared" si="297"/>
        <v>0</v>
      </c>
      <c r="X173" s="638">
        <f t="shared" si="223"/>
        <v>0</v>
      </c>
      <c r="Z173" s="638">
        <f t="shared" si="292"/>
        <v>0</v>
      </c>
      <c r="AA173" s="648" t="s">
        <v>3458</v>
      </c>
      <c r="AB173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 s="1112" cm="1">
        <f t="array" ref="AD173">IFERROR(_xlfn.SWITCH(I173,"kg",1,"m3",AC173,AC173)*J173/(_xlfn.XLOOKUP(AA173,Métrés!A:A,Métrés!E:E,0)),0)</f>
        <v>0</v>
      </c>
      <c r="AE173" s="1092">
        <f>IFERROR(N173*$G$1/(_xlfn.XLOOKUP($AA173,Métrés!$A:$A,Métrés!$E:$E,0)),0)</f>
        <v>0</v>
      </c>
      <c r="AF173" s="1092">
        <f>IFERROR(O173*$G$1/(_xlfn.XLOOKUP($AA173,Métrés!$A:$A,Métrés!$E:$E,0)),0)</f>
        <v>0</v>
      </c>
      <c r="AG173" s="1092">
        <f>IFERROR(Q173*$G$1/(_xlfn.XLOOKUP($AA173,Métrés!$A:$A,Métrés!$E:$E,0)),0)</f>
        <v>0</v>
      </c>
      <c r="AH173" s="1092">
        <f>IFERROR(R173*$G$1/(_xlfn.XLOOKUP($AA173,Métrés!$A:$A,Métrés!$E:$E,0)),0)</f>
        <v>0</v>
      </c>
      <c r="AI173" s="1092">
        <f>IFERROR(S173*$G$1/(_xlfn.XLOOKUP($AA173,Métrés!$A:$A,Métrés!$E:$E,0)),0)</f>
        <v>0</v>
      </c>
      <c r="AJ173" s="1022"/>
      <c r="AK173" s="638">
        <f t="shared" si="358"/>
        <v>0</v>
      </c>
      <c r="AL173" s="638">
        <f t="shared" si="359"/>
        <v>0</v>
      </c>
      <c r="AM173" s="638">
        <f t="shared" si="360"/>
        <v>0</v>
      </c>
      <c r="AN173" s="1017">
        <f t="shared" si="361"/>
        <v>0</v>
      </c>
      <c r="AO173" s="638">
        <f t="shared" si="362"/>
        <v>0</v>
      </c>
      <c r="AP173" s="638">
        <f t="shared" si="363"/>
        <v>0</v>
      </c>
      <c r="AQ173" s="1018">
        <f t="shared" si="364"/>
        <v>0</v>
      </c>
      <c r="AR173" s="1018">
        <f t="shared" si="365"/>
        <v>0</v>
      </c>
      <c r="AS173" s="1017">
        <f t="shared" si="366"/>
        <v>0</v>
      </c>
      <c r="AT173" s="638">
        <f t="shared" si="367"/>
        <v>0</v>
      </c>
      <c r="AU173" s="638">
        <f t="shared" si="368"/>
        <v>0</v>
      </c>
      <c r="AV173" s="1018">
        <f t="shared" si="369"/>
        <v>0</v>
      </c>
      <c r="AW173" s="1018">
        <f t="shared" si="370"/>
        <v>0</v>
      </c>
      <c r="AX173" s="1017">
        <f t="shared" si="371"/>
        <v>0</v>
      </c>
      <c r="AY173" s="638">
        <f t="shared" si="372"/>
        <v>0</v>
      </c>
      <c r="AZ173" s="638">
        <f t="shared" si="373"/>
        <v>0</v>
      </c>
      <c r="BA173" s="638">
        <f t="shared" si="374"/>
        <v>0</v>
      </c>
      <c r="BB173" s="1018">
        <f t="shared" si="375"/>
        <v>0</v>
      </c>
      <c r="BC173" s="1017"/>
      <c r="BF173" s="1018"/>
      <c r="BG173" s="1017">
        <f t="shared" si="376"/>
        <v>0</v>
      </c>
      <c r="BH173" s="638">
        <f t="shared" si="377"/>
        <v>0</v>
      </c>
      <c r="BI173" s="1018">
        <f t="shared" si="378"/>
        <v>0</v>
      </c>
      <c r="BJ173" s="638">
        <f>_xlfn.XLOOKUP(H173, 'Baumaterialien Matériaux'!A:A, 'Baumaterialien Matériaux'!E:E, "-", 0, 1)</f>
        <v>0</v>
      </c>
      <c r="BK173" s="1032">
        <f t="shared" si="283"/>
        <v>0</v>
      </c>
      <c r="BL173" s="1030">
        <f t="shared" si="284"/>
        <v>0</v>
      </c>
      <c r="BM173" s="1033">
        <f t="shared" si="285"/>
        <v>0</v>
      </c>
      <c r="BN173" s="720">
        <f>IFERROR((J173*VLOOKUP(H173, 'Baumaterialien Matériaux'!$A$11:$AH$318, 32,FALSE))*($L$2/L173-1),0)/$G$1</f>
        <v>0</v>
      </c>
      <c r="BO173" s="720">
        <f t="shared" si="379"/>
        <v>0</v>
      </c>
    </row>
    <row r="174" spans="2:67">
      <c r="B174" s="1103"/>
      <c r="C174" s="1099"/>
      <c r="D174" s="478"/>
      <c r="E174" s="478"/>
      <c r="F174" s="483"/>
      <c r="G174" s="478"/>
      <c r="H174" s="478"/>
      <c r="I174" s="641"/>
      <c r="J174" s="649"/>
      <c r="K174" s="647"/>
      <c r="L174" s="647"/>
      <c r="M174" s="648"/>
      <c r="N174" s="720"/>
      <c r="O174" s="720"/>
      <c r="P174" s="720"/>
      <c r="Q174" s="720"/>
      <c r="R174" s="720"/>
      <c r="S174" s="720"/>
      <c r="T174" s="720">
        <f t="shared" si="357"/>
        <v>0</v>
      </c>
      <c r="V174" s="638">
        <f t="shared" si="296"/>
        <v>0</v>
      </c>
      <c r="W174" s="638">
        <f t="shared" si="297"/>
        <v>0</v>
      </c>
      <c r="X174" s="638">
        <f t="shared" si="223"/>
        <v>0</v>
      </c>
      <c r="Z174" s="638">
        <f t="shared" si="292"/>
        <v>0</v>
      </c>
      <c r="AA174" s="648" t="s">
        <v>3458</v>
      </c>
      <c r="AB174">
        <f>_xlfn.XLOOKUP($H174,'[1]Baumaterialien Matériaux'!$A:$A,'[1]Baumaterialien Matériaux'!AK:AK,0,0)</f>
        <v>0</v>
      </c>
      <c r="AC174" t="str" cm="1">
        <f t="array" ref="AC174">_xlfn.SWITCH(I174,"kg"," ",0," ",_xlfn.XLOOKUP(H174, '[1]Baumaterialien Matériaux'!$A:$A, '[1]Baumaterialien Matériaux'!$AL:$AL, "-", 0, 1))</f>
        <v xml:space="preserve"> </v>
      </c>
      <c r="AD174" s="1112" cm="1">
        <f t="array" ref="AD174">IFERROR(_xlfn.SWITCH(I174,"kg",1,"m3",AC174,AC174)*J174/(_xlfn.XLOOKUP(AA174,Métrés!A:A,Métrés!E:E,0)),0)</f>
        <v>0</v>
      </c>
      <c r="AE174" s="1092">
        <f>IFERROR(N174*$G$1/(_xlfn.XLOOKUP($AA174,Métrés!$A:$A,Métrés!$E:$E,0)),0)</f>
        <v>0</v>
      </c>
      <c r="AF174" s="1092">
        <f>IFERROR(O174*$G$1/(_xlfn.XLOOKUP($AA174,Métrés!$A:$A,Métrés!$E:$E,0)),0)</f>
        <v>0</v>
      </c>
      <c r="AG174" s="1092">
        <f>IFERROR(Q174*$G$1/(_xlfn.XLOOKUP($AA174,Métrés!$A:$A,Métrés!$E:$E,0)),0)</f>
        <v>0</v>
      </c>
      <c r="AH174" s="1092">
        <f>IFERROR(R174*$G$1/(_xlfn.XLOOKUP($AA174,Métrés!$A:$A,Métrés!$E:$E,0)),0)</f>
        <v>0</v>
      </c>
      <c r="AI174" s="1092">
        <f>IFERROR(S174*$G$1/(_xlfn.XLOOKUP($AA174,Métrés!$A:$A,Métrés!$E:$E,0)),0)</f>
        <v>0</v>
      </c>
      <c r="AJ174" s="1022"/>
      <c r="AK174" s="638">
        <f t="shared" si="358"/>
        <v>0</v>
      </c>
      <c r="AL174" s="638">
        <f t="shared" si="359"/>
        <v>0</v>
      </c>
      <c r="AM174" s="638">
        <f t="shared" si="360"/>
        <v>0</v>
      </c>
      <c r="AN174" s="1017">
        <f t="shared" si="361"/>
        <v>0</v>
      </c>
      <c r="AO174" s="638">
        <f t="shared" si="362"/>
        <v>0</v>
      </c>
      <c r="AP174" s="638">
        <f t="shared" si="363"/>
        <v>0</v>
      </c>
      <c r="AQ174" s="1018">
        <f t="shared" si="364"/>
        <v>0</v>
      </c>
      <c r="AR174" s="1018">
        <f t="shared" si="365"/>
        <v>0</v>
      </c>
      <c r="AS174" s="1017">
        <f t="shared" si="366"/>
        <v>0</v>
      </c>
      <c r="AT174" s="638">
        <f t="shared" si="367"/>
        <v>0</v>
      </c>
      <c r="AU174" s="638">
        <f t="shared" si="368"/>
        <v>0</v>
      </c>
      <c r="AV174" s="1018">
        <f t="shared" si="369"/>
        <v>0</v>
      </c>
      <c r="AW174" s="1018">
        <f t="shared" si="370"/>
        <v>0</v>
      </c>
      <c r="AX174" s="1017">
        <f t="shared" si="371"/>
        <v>0</v>
      </c>
      <c r="AY174" s="638">
        <f t="shared" si="372"/>
        <v>0</v>
      </c>
      <c r="AZ174" s="638">
        <f t="shared" si="373"/>
        <v>0</v>
      </c>
      <c r="BA174" s="638">
        <f t="shared" si="374"/>
        <v>0</v>
      </c>
      <c r="BB174" s="1018">
        <f t="shared" si="375"/>
        <v>0</v>
      </c>
      <c r="BC174" s="1017"/>
      <c r="BF174" s="1018"/>
      <c r="BG174" s="1017">
        <f t="shared" si="376"/>
        <v>0</v>
      </c>
      <c r="BH174" s="638">
        <f t="shared" si="377"/>
        <v>0</v>
      </c>
      <c r="BI174" s="1018">
        <f t="shared" si="378"/>
        <v>0</v>
      </c>
      <c r="BJ174" s="638">
        <f>_xlfn.XLOOKUP(H174, 'Baumaterialien Matériaux'!A:A, 'Baumaterialien Matériaux'!E:E, "-", 0, 1)</f>
        <v>0</v>
      </c>
      <c r="BK174" s="1032">
        <f t="shared" si="283"/>
        <v>0</v>
      </c>
      <c r="BL174" s="1030">
        <f t="shared" si="284"/>
        <v>0</v>
      </c>
      <c r="BM174" s="1033">
        <f t="shared" si="285"/>
        <v>0</v>
      </c>
      <c r="BN174" s="720">
        <f>IFERROR((J174*VLOOKUP(H174, 'Baumaterialien Matériaux'!$A$11:$AH$318, 32,FALSE))*($L$2/L174-1),0)/$G$1</f>
        <v>0</v>
      </c>
      <c r="BO174" s="720">
        <f t="shared" si="379"/>
        <v>0</v>
      </c>
    </row>
    <row r="175" spans="2:67">
      <c r="B175" s="1103"/>
      <c r="C175" s="1099"/>
      <c r="D175" s="478"/>
      <c r="E175" s="478"/>
      <c r="F175" s="483"/>
      <c r="G175" s="478"/>
      <c r="H175" s="478"/>
      <c r="I175" s="641"/>
      <c r="J175" s="649"/>
      <c r="K175" s="647"/>
      <c r="L175" s="647"/>
      <c r="M175" s="648"/>
      <c r="N175" s="720"/>
      <c r="O175" s="720"/>
      <c r="P175" s="720"/>
      <c r="Q175" s="720"/>
      <c r="R175" s="720"/>
      <c r="S175" s="720"/>
      <c r="T175" s="720">
        <f t="shared" si="357"/>
        <v>0</v>
      </c>
      <c r="V175" s="638">
        <f t="shared" si="296"/>
        <v>0</v>
      </c>
      <c r="W175" s="638">
        <f t="shared" si="297"/>
        <v>0</v>
      </c>
      <c r="X175" s="638">
        <f t="shared" si="223"/>
        <v>0</v>
      </c>
      <c r="Z175" s="638">
        <f t="shared" si="292"/>
        <v>0</v>
      </c>
      <c r="AA175" s="648" t="s">
        <v>3458</v>
      </c>
      <c r="AB175">
        <f>_xlfn.XLOOKUP($H175,'[1]Baumaterialien Matériaux'!$A:$A,'[1]Baumaterialien Matériaux'!AK:AK,0,0)</f>
        <v>0</v>
      </c>
      <c r="AC175" t="str" cm="1">
        <f t="array" ref="AC175">_xlfn.SWITCH(I175,"kg"," ",0," ",_xlfn.XLOOKUP(H175, '[1]Baumaterialien Matériaux'!$A:$A, '[1]Baumaterialien Matériaux'!$AL:$AL, "-", 0, 1))</f>
        <v xml:space="preserve"> </v>
      </c>
      <c r="AD175" s="1112" cm="1">
        <f t="array" ref="AD175">IFERROR(_xlfn.SWITCH(I175,"kg",1,"m3",AC175,AC175)*J175/(_xlfn.XLOOKUP(AA175,Métrés!A:A,Métrés!E:E,0)),0)</f>
        <v>0</v>
      </c>
      <c r="AE175" s="1092">
        <f>IFERROR(N175*$G$1/(_xlfn.XLOOKUP($AA175,Métrés!$A:$A,Métrés!$E:$E,0)),0)</f>
        <v>0</v>
      </c>
      <c r="AF175" s="1092">
        <f>IFERROR(O175*$G$1/(_xlfn.XLOOKUP($AA175,Métrés!$A:$A,Métrés!$E:$E,0)),0)</f>
        <v>0</v>
      </c>
      <c r="AG175" s="1092">
        <f>IFERROR(Q175*$G$1/(_xlfn.XLOOKUP($AA175,Métrés!$A:$A,Métrés!$E:$E,0)),0)</f>
        <v>0</v>
      </c>
      <c r="AH175" s="1092">
        <f>IFERROR(R175*$G$1/(_xlfn.XLOOKUP($AA175,Métrés!$A:$A,Métrés!$E:$E,0)),0)</f>
        <v>0</v>
      </c>
      <c r="AI175" s="1092">
        <f>IFERROR(S175*$G$1/(_xlfn.XLOOKUP($AA175,Métrés!$A:$A,Métrés!$E:$E,0)),0)</f>
        <v>0</v>
      </c>
      <c r="AJ175" s="1022"/>
      <c r="AK175" s="638">
        <f t="shared" si="358"/>
        <v>0</v>
      </c>
      <c r="AL175" s="638">
        <f t="shared" si="359"/>
        <v>0</v>
      </c>
      <c r="AM175" s="638">
        <f t="shared" si="360"/>
        <v>0</v>
      </c>
      <c r="AN175" s="1017">
        <f t="shared" si="361"/>
        <v>0</v>
      </c>
      <c r="AO175" s="638">
        <f t="shared" si="362"/>
        <v>0</v>
      </c>
      <c r="AP175" s="638">
        <f t="shared" si="363"/>
        <v>0</v>
      </c>
      <c r="AQ175" s="1018">
        <f t="shared" si="364"/>
        <v>0</v>
      </c>
      <c r="AR175" s="1018">
        <f t="shared" si="365"/>
        <v>0</v>
      </c>
      <c r="AS175" s="1017">
        <f t="shared" si="366"/>
        <v>0</v>
      </c>
      <c r="AT175" s="638">
        <f t="shared" si="367"/>
        <v>0</v>
      </c>
      <c r="AU175" s="638">
        <f t="shared" si="368"/>
        <v>0</v>
      </c>
      <c r="AV175" s="1018">
        <f t="shared" si="369"/>
        <v>0</v>
      </c>
      <c r="AW175" s="1018">
        <f t="shared" si="370"/>
        <v>0</v>
      </c>
      <c r="AX175" s="1017">
        <f t="shared" si="371"/>
        <v>0</v>
      </c>
      <c r="AY175" s="638">
        <f t="shared" si="372"/>
        <v>0</v>
      </c>
      <c r="AZ175" s="638">
        <f t="shared" si="373"/>
        <v>0</v>
      </c>
      <c r="BA175" s="638">
        <f t="shared" si="374"/>
        <v>0</v>
      </c>
      <c r="BB175" s="1018">
        <f t="shared" si="375"/>
        <v>0</v>
      </c>
      <c r="BC175" s="1017"/>
      <c r="BF175" s="1018"/>
      <c r="BG175" s="1017">
        <f t="shared" si="376"/>
        <v>0</v>
      </c>
      <c r="BH175" s="638">
        <f t="shared" si="377"/>
        <v>0</v>
      </c>
      <c r="BI175" s="1018">
        <f t="shared" si="378"/>
        <v>0</v>
      </c>
      <c r="BJ175" s="638">
        <f>_xlfn.XLOOKUP(H175, 'Baumaterialien Matériaux'!A:A, 'Baumaterialien Matériaux'!E:E, "-", 0, 1)</f>
        <v>0</v>
      </c>
      <c r="BK175" s="1032">
        <f t="shared" si="283"/>
        <v>0</v>
      </c>
      <c r="BL175" s="1030">
        <f t="shared" si="284"/>
        <v>0</v>
      </c>
      <c r="BM175" s="1033">
        <f t="shared" si="285"/>
        <v>0</v>
      </c>
      <c r="BO175" s="720">
        <f t="shared" si="379"/>
        <v>0</v>
      </c>
    </row>
    <row r="176" spans="2:67">
      <c r="B176" s="1103"/>
      <c r="C176" s="1099"/>
      <c r="D176" s="478"/>
      <c r="E176" s="478"/>
      <c r="F176" s="478"/>
      <c r="G176" s="478"/>
      <c r="H176" s="478"/>
      <c r="I176" s="641"/>
      <c r="J176" s="649"/>
      <c r="K176" s="647"/>
      <c r="L176" s="647"/>
      <c r="M176" s="648"/>
      <c r="T176" s="720">
        <f t="shared" si="357"/>
        <v>0</v>
      </c>
      <c r="V176" s="638">
        <f t="shared" si="296"/>
        <v>0</v>
      </c>
      <c r="W176" s="638">
        <f t="shared" si="297"/>
        <v>0</v>
      </c>
      <c r="X176" s="638">
        <f t="shared" si="223"/>
        <v>0</v>
      </c>
      <c r="Z176" s="638">
        <f t="shared" si="292"/>
        <v>0</v>
      </c>
      <c r="AA176" s="648" t="s">
        <v>3458</v>
      </c>
      <c r="AB176">
        <f>_xlfn.XLOOKUP($H176,'[1]Baumaterialien Matériaux'!$A:$A,'[1]Baumaterialien Matériaux'!AK:AK,0,0)</f>
        <v>0</v>
      </c>
      <c r="AC176" t="str" cm="1">
        <f t="array" ref="AC176">_xlfn.SWITCH(I176,"kg"," ",0," ",_xlfn.XLOOKUP(H176, '[1]Baumaterialien Matériaux'!$A:$A, '[1]Baumaterialien Matériaux'!$AL:$AL, "-", 0, 1))</f>
        <v xml:space="preserve"> </v>
      </c>
      <c r="AD176" s="1112" cm="1">
        <f t="array" ref="AD176">IFERROR(_xlfn.SWITCH(I176,"kg",1,"m3",AC176,AC176)*J176/(_xlfn.XLOOKUP(AA176,Métrés!A:A,Métrés!E:E,0)),0)</f>
        <v>0</v>
      </c>
      <c r="AE176" s="1092">
        <f>IFERROR(N176*$G$1/(_xlfn.XLOOKUP($AA176,Métrés!$A:$A,Métrés!$E:$E,0)),0)</f>
        <v>0</v>
      </c>
      <c r="AF176" s="1092">
        <f>IFERROR(O176*$G$1/(_xlfn.XLOOKUP($AA176,Métrés!$A:$A,Métrés!$E:$E,0)),0)</f>
        <v>0</v>
      </c>
      <c r="AG176" s="1092">
        <f>IFERROR(Q176*$G$1/(_xlfn.XLOOKUP($AA176,Métrés!$A:$A,Métrés!$E:$E,0)),0)</f>
        <v>0</v>
      </c>
      <c r="AH176" s="1092">
        <f>IFERROR(R176*$G$1/(_xlfn.XLOOKUP($AA176,Métrés!$A:$A,Métrés!$E:$E,0)),0)</f>
        <v>0</v>
      </c>
      <c r="AI176" s="1092">
        <f>IFERROR(S176*$G$1/(_xlfn.XLOOKUP($AA176,Métrés!$A:$A,Métrés!$E:$E,0)),0)</f>
        <v>0</v>
      </c>
      <c r="AJ176" s="1022"/>
      <c r="AK176" s="638">
        <f t="shared" si="358"/>
        <v>0</v>
      </c>
      <c r="AL176" s="638">
        <f t="shared" si="359"/>
        <v>0</v>
      </c>
      <c r="AM176" s="638">
        <f t="shared" si="360"/>
        <v>0</v>
      </c>
      <c r="AN176" s="1017">
        <f t="shared" si="361"/>
        <v>0</v>
      </c>
      <c r="AO176" s="638">
        <f t="shared" si="362"/>
        <v>0</v>
      </c>
      <c r="AP176" s="638">
        <f t="shared" si="363"/>
        <v>0</v>
      </c>
      <c r="AQ176" s="1018">
        <f t="shared" si="364"/>
        <v>0</v>
      </c>
      <c r="AR176" s="1018">
        <f t="shared" si="365"/>
        <v>0</v>
      </c>
      <c r="AS176" s="1017">
        <f t="shared" si="366"/>
        <v>0</v>
      </c>
      <c r="AT176" s="638">
        <f t="shared" si="367"/>
        <v>0</v>
      </c>
      <c r="AU176" s="638">
        <f t="shared" si="368"/>
        <v>0</v>
      </c>
      <c r="AV176" s="1018">
        <f t="shared" si="369"/>
        <v>0</v>
      </c>
      <c r="AW176" s="1018">
        <f t="shared" si="370"/>
        <v>0</v>
      </c>
      <c r="AX176" s="1017">
        <f t="shared" si="371"/>
        <v>0</v>
      </c>
      <c r="AY176" s="638">
        <f t="shared" si="372"/>
        <v>0</v>
      </c>
      <c r="AZ176" s="638">
        <f t="shared" si="373"/>
        <v>0</v>
      </c>
      <c r="BA176" s="638">
        <f t="shared" si="374"/>
        <v>0</v>
      </c>
      <c r="BB176" s="1018">
        <f t="shared" si="375"/>
        <v>0</v>
      </c>
      <c r="BC176" s="1017"/>
      <c r="BF176" s="1018"/>
      <c r="BG176" s="1017">
        <f t="shared" si="376"/>
        <v>0</v>
      </c>
      <c r="BH176" s="638">
        <f t="shared" si="377"/>
        <v>0</v>
      </c>
      <c r="BI176" s="1018">
        <f t="shared" si="378"/>
        <v>0</v>
      </c>
      <c r="BJ176" s="638">
        <f>_xlfn.XLOOKUP(H176, 'Baumaterialien Matériaux'!A:A, 'Baumaterialien Matériaux'!E:E, "-", 0, 1)</f>
        <v>0</v>
      </c>
      <c r="BK176" s="1032">
        <f t="shared" si="283"/>
        <v>0</v>
      </c>
      <c r="BL176" s="1030">
        <f t="shared" si="284"/>
        <v>0</v>
      </c>
      <c r="BM176" s="1033">
        <f t="shared" si="285"/>
        <v>0</v>
      </c>
    </row>
    <row r="177" spans="2:67">
      <c r="B177" s="1103"/>
      <c r="C177" s="1098"/>
      <c r="D177" s="478" t="s">
        <v>28</v>
      </c>
      <c r="E177" s="479" t="str">
        <f>BillQuantities!E29</f>
        <v>Dalle en béton 25cm (avec enduit intérieur)</v>
      </c>
      <c r="F177" s="479"/>
      <c r="G177" s="479"/>
      <c r="H177" s="479"/>
      <c r="I177" s="459" t="s">
        <v>39</v>
      </c>
      <c r="J177" s="662"/>
      <c r="K177" s="663"/>
      <c r="L177" s="663"/>
      <c r="M177" s="664">
        <f>SUM(M178:M184)</f>
        <v>0</v>
      </c>
      <c r="N177" s="664">
        <f t="shared" ref="N177:S177" si="381">SUM(N178:N184)</f>
        <v>0</v>
      </c>
      <c r="O177" s="664">
        <f t="shared" ref="O177" si="382">SUM(O178:O184)</f>
        <v>0</v>
      </c>
      <c r="P177" s="664">
        <f t="shared" si="381"/>
        <v>0</v>
      </c>
      <c r="Q177" s="664">
        <f t="shared" si="381"/>
        <v>0</v>
      </c>
      <c r="R177" s="664">
        <f t="shared" ref="R177" si="383">SUM(R178:R184)</f>
        <v>0</v>
      </c>
      <c r="S177" s="664">
        <f t="shared" si="381"/>
        <v>0</v>
      </c>
      <c r="T177" s="664">
        <f t="shared" ref="T177" si="384">SUM(T178:T184)</f>
        <v>0</v>
      </c>
      <c r="V177" s="638">
        <f t="shared" si="296"/>
        <v>0</v>
      </c>
      <c r="W177" s="638">
        <f t="shared" si="297"/>
        <v>0</v>
      </c>
      <c r="X177" s="638">
        <f t="shared" si="223"/>
        <v>0</v>
      </c>
      <c r="Z177" s="638">
        <f t="shared" si="292"/>
        <v>0</v>
      </c>
      <c r="AB177">
        <f>_xlfn.XLOOKUP($H177,'[1]Baumaterialien Matériaux'!$A:$A,'[1]Baumaterialien Matériaux'!AK:AK,0,0)</f>
        <v>0</v>
      </c>
      <c r="AC177" cm="1">
        <f t="array" ref="AC177">_xlfn.SWITCH(I177,"kg"," ",0," ",_xlfn.XLOOKUP(H177, '[1]Baumaterialien Matériaux'!$A:$A, '[1]Baumaterialien Matériaux'!$AL:$AL, "-", 0, 1))</f>
        <v>0</v>
      </c>
      <c r="AD177" s="1112" cm="1">
        <f t="array" ref="AD177">IFERROR(_xlfn.SWITCH(I177,"kg",1,"m3",AC177,AC177)*J177/(_xlfn.XLOOKUP(AA177,Métrés!A:A,Métrés!E:E,0)),0)</f>
        <v>0</v>
      </c>
      <c r="AE177" s="1092">
        <f>IFERROR(N177*$G$1/(_xlfn.XLOOKUP($AA177,Métrés!$A:$A,Métrés!$E:$E,0)),0)</f>
        <v>0</v>
      </c>
      <c r="AF177" s="1092">
        <f>IFERROR(O177*$G$1/(_xlfn.XLOOKUP($AA177,Métrés!$A:$A,Métrés!$E:$E,0)),0)</f>
        <v>0</v>
      </c>
      <c r="AG177" s="1092">
        <f>IFERROR(Q177*$G$1/(_xlfn.XLOOKUP($AA177,Métrés!$A:$A,Métrés!$E:$E,0)),0)</f>
        <v>0</v>
      </c>
      <c r="AH177" s="1092">
        <f>IFERROR(R177*$G$1/(_xlfn.XLOOKUP($AA177,Métrés!$A:$A,Métrés!$E:$E,0)),0)</f>
        <v>0</v>
      </c>
      <c r="AI177" s="1092">
        <f>IFERROR(S177*$G$1/(_xlfn.XLOOKUP($AA177,Métrés!$A:$A,Métrés!$E:$E,0)),0)</f>
        <v>0</v>
      </c>
      <c r="AJ177" s="878"/>
      <c r="AK177" s="878"/>
      <c r="AL177" s="878"/>
      <c r="AM177" s="878"/>
      <c r="AN177" s="1053"/>
      <c r="AO177" s="878"/>
      <c r="AP177" s="878"/>
      <c r="AQ177" s="878"/>
      <c r="AR177" s="1054"/>
      <c r="AS177" s="1053"/>
      <c r="AT177" s="878"/>
      <c r="AU177" s="878"/>
      <c r="AV177" s="878"/>
      <c r="AW177" s="1054"/>
      <c r="AX177" s="1053"/>
      <c r="AY177" s="878"/>
      <c r="AZ177" s="878"/>
      <c r="BA177" s="878"/>
      <c r="BB177" s="1054"/>
      <c r="BC177" s="1053"/>
      <c r="BD177" s="878"/>
      <c r="BE177" s="878"/>
      <c r="BF177" s="1054"/>
      <c r="BG177" s="1053"/>
      <c r="BH177" s="878"/>
      <c r="BI177" s="1054"/>
      <c r="BJ177" s="878"/>
      <c r="BK177" s="1053"/>
      <c r="BL177" s="878"/>
      <c r="BM177" s="1054"/>
    </row>
    <row r="178" spans="2:67" ht="15.75" hidden="1" customHeight="1">
      <c r="B178" s="1103"/>
      <c r="C178" s="1099"/>
      <c r="D178" s="478"/>
      <c r="E178" s="478"/>
      <c r="F178" s="478"/>
      <c r="G178" s="478"/>
      <c r="H178" s="892"/>
      <c r="I178" s="641"/>
      <c r="J178" s="649"/>
      <c r="K178" s="893"/>
      <c r="L178" s="478"/>
      <c r="M178" s="648"/>
      <c r="N178" s="720"/>
      <c r="O178" s="720"/>
      <c r="P178" s="720"/>
      <c r="Q178" s="720"/>
      <c r="R178" s="720"/>
      <c r="S178" s="720"/>
      <c r="T178" s="720"/>
      <c r="V178" s="638">
        <f t="shared" si="296"/>
        <v>0</v>
      </c>
      <c r="W178" s="638">
        <f t="shared" si="297"/>
        <v>0</v>
      </c>
      <c r="X178" s="638">
        <f t="shared" si="223"/>
        <v>0</v>
      </c>
      <c r="Z178" s="638">
        <f t="shared" si="292"/>
        <v>0</v>
      </c>
      <c r="AA178" s="664" t="s">
        <v>3477</v>
      </c>
      <c r="AB178">
        <f>_xlfn.XLOOKUP($H178,'[1]Baumaterialien Matériaux'!$A:$A,'[1]Baumaterialien Matériaux'!AK:AK,0,0)</f>
        <v>0</v>
      </c>
      <c r="AC178" t="str" cm="1">
        <f t="array" ref="AC178">_xlfn.SWITCH(I178,"kg"," ",0," ",_xlfn.XLOOKUP(H178, '[1]Baumaterialien Matériaux'!$A:$A, '[1]Baumaterialien Matériaux'!$AL:$AL, "-", 0, 1))</f>
        <v xml:space="preserve"> </v>
      </c>
      <c r="AD178" s="1112" cm="1">
        <f t="array" ref="AD178">IFERROR(_xlfn.SWITCH(I178,"kg",1,"m3",AC178,AC178)*J178/(_xlfn.XLOOKUP(AA178,Métrés!A:A,Métrés!E:E,0)),0)</f>
        <v>0</v>
      </c>
      <c r="AE178" s="1092">
        <f>IFERROR(N178*$G$1/(_xlfn.XLOOKUP($AA178,Métrés!$A:$A,Métrés!$E:$E,0)),0)</f>
        <v>0</v>
      </c>
      <c r="AF178" s="1092">
        <f>IFERROR(O178*$G$1/(_xlfn.XLOOKUP($AA178,Métrés!$A:$A,Métrés!$E:$E,0)),0)</f>
        <v>0</v>
      </c>
      <c r="AG178" s="1092">
        <f>IFERROR(Q178*$G$1/(_xlfn.XLOOKUP($AA178,Métrés!$A:$A,Métrés!$E:$E,0)),0)</f>
        <v>0</v>
      </c>
      <c r="AH178" s="1092">
        <f>IFERROR(R178*$G$1/(_xlfn.XLOOKUP($AA178,Métrés!$A:$A,Métrés!$E:$E,0)),0)</f>
        <v>0</v>
      </c>
      <c r="AI178" s="1092">
        <f>IFERROR(S178*$G$1/(_xlfn.XLOOKUP($AA178,Métrés!$A:$A,Métrés!$E:$E,0)),0)</f>
        <v>0</v>
      </c>
      <c r="AJ178" s="1022"/>
      <c r="AK178" s="638">
        <f t="shared" ref="AK178:AK185" si="385">IF(L178=60,0,T178)</f>
        <v>0</v>
      </c>
      <c r="AL178" s="638">
        <f t="shared" ref="AL178:AL185" si="386">IF(L178=60,0,S178)</f>
        <v>0</v>
      </c>
      <c r="AM178" s="638">
        <f t="shared" ref="AM178:AM185" si="387">IF(L178=$L$2, "Structure", IF(L178&gt;0,"Revêtement",0))</f>
        <v>0</v>
      </c>
      <c r="AN178" s="1017">
        <f t="shared" ref="AN178:AN185" si="388">IF(AM178="Structure",N178,0)</f>
        <v>0</v>
      </c>
      <c r="AO178" s="638">
        <f t="shared" ref="AO178:AO185" si="389">IF(AM178="Structure",P178,0)</f>
        <v>0</v>
      </c>
      <c r="AP178" s="638">
        <f t="shared" ref="AP178:AP185" si="390">IF(AM178="Structure",Q178,0)</f>
        <v>0</v>
      </c>
      <c r="AQ178" s="1018">
        <f t="shared" ref="AQ178:AQ185" si="391">IF(AM178="Structure",S178,0)</f>
        <v>0</v>
      </c>
      <c r="AR178" s="1018">
        <f t="shared" ref="AR178:AR185" si="392">IF(AM178="Structure",T178,0)</f>
        <v>0</v>
      </c>
      <c r="AS178" s="1017">
        <f t="shared" ref="AS178:AS185" si="393">IF(AM178="Insulation",N178,0)</f>
        <v>0</v>
      </c>
      <c r="AT178" s="638">
        <f t="shared" ref="AT178:AT185" si="394">IF(AM178="Insulation",P178,0)</f>
        <v>0</v>
      </c>
      <c r="AU178" s="638">
        <f t="shared" ref="AU178:AU185" si="395">IF(AM178="Insulation",Q178,0)</f>
        <v>0</v>
      </c>
      <c r="AV178" s="1018">
        <f t="shared" ref="AV178:AV185" si="396">IF(AM178="Insulation",S178,0)</f>
        <v>0</v>
      </c>
      <c r="AW178" s="1018">
        <f t="shared" ref="AW178:AW185" si="397">IF(AM178="Insulation",T178,0)</f>
        <v>0</v>
      </c>
      <c r="AX178" s="1017">
        <f t="shared" ref="AX178:AX185" si="398">IF(AM178="Revêtement",N178,0)</f>
        <v>0</v>
      </c>
      <c r="AY178" s="638">
        <f t="shared" ref="AY178:AY185" si="399">IF(AM178="Revêtement",P178,0)</f>
        <v>0</v>
      </c>
      <c r="AZ178" s="638">
        <f t="shared" ref="AZ178:AZ185" si="400">IF(AM178="Revêtement",Q178,0)</f>
        <v>0</v>
      </c>
      <c r="BA178" s="638">
        <f t="shared" ref="BA178:BA185" si="401">IF(AM178="Revêtement",S178,0)</f>
        <v>0</v>
      </c>
      <c r="BB178" s="1018">
        <f t="shared" ref="BB178:BB185" si="402">IF(AM178="Revêtement",T178,0)</f>
        <v>0</v>
      </c>
      <c r="BC178" s="1017"/>
      <c r="BF178" s="1018"/>
      <c r="BG178" s="1017">
        <f t="shared" ref="BG178:BG185" si="403">IF($AM178="Structure", IF($I178="kg",$J178,0), 0)</f>
        <v>0</v>
      </c>
      <c r="BH178" s="638">
        <f t="shared" ref="BH178:BH185" si="404">IF($AM178="Insulation", IF($I178="kg",$J178,0), 0)</f>
        <v>0</v>
      </c>
      <c r="BI178" s="1018">
        <f t="shared" ref="BI178:BI185" si="405">IF($AM178="Revêtement", IF($I178="kg",$J178,0), 0)</f>
        <v>0</v>
      </c>
      <c r="BJ178" s="638">
        <f>_xlfn.XLOOKUP(H178, 'Baumaterialien Matériaux'!A:A, 'Baumaterialien Matériaux'!E:E, "-", 0, 1)</f>
        <v>0</v>
      </c>
      <c r="BK178" s="1032">
        <f t="shared" si="283"/>
        <v>0</v>
      </c>
      <c r="BL178" s="1030">
        <f t="shared" si="284"/>
        <v>0</v>
      </c>
      <c r="BM178" s="1033">
        <f t="shared" si="285"/>
        <v>0</v>
      </c>
      <c r="BN178" s="720">
        <f>IFERROR((J178*VLOOKUP(H178, 'Baumaterialien Matériaux'!$A$11:$AH$318, 32,FALSE))*($L$2/L178-1),0)/$G$1</f>
        <v>0</v>
      </c>
      <c r="BO178" s="720">
        <f t="shared" ref="BO178:BO183" si="406">IFERROR((N178+Q178)*($L$2/L178-1),0)</f>
        <v>0</v>
      </c>
    </row>
    <row r="179" spans="2:67" ht="15.75" hidden="1" customHeight="1">
      <c r="B179" s="1103"/>
      <c r="C179" s="1099"/>
      <c r="D179" s="478"/>
      <c r="E179" s="478"/>
      <c r="F179" s="478"/>
      <c r="G179" s="478"/>
      <c r="H179" s="891"/>
      <c r="I179" s="641"/>
      <c r="J179" s="649"/>
      <c r="K179" s="728"/>
      <c r="L179" s="478"/>
      <c r="M179" s="648"/>
      <c r="N179" s="720"/>
      <c r="O179" s="720"/>
      <c r="P179" s="720"/>
      <c r="Q179" s="720"/>
      <c r="R179" s="720"/>
      <c r="S179" s="720"/>
      <c r="T179" s="720"/>
      <c r="V179" s="638">
        <f t="shared" si="296"/>
        <v>0</v>
      </c>
      <c r="W179" s="638">
        <f t="shared" si="297"/>
        <v>0</v>
      </c>
      <c r="X179" s="638">
        <f t="shared" si="223"/>
        <v>0</v>
      </c>
      <c r="Z179" s="638">
        <f t="shared" si="292"/>
        <v>0</v>
      </c>
      <c r="AA179" s="664" t="s">
        <v>3477</v>
      </c>
      <c r="AB179">
        <f>_xlfn.XLOOKUP($H179,'[1]Baumaterialien Matériaux'!$A:$A,'[1]Baumaterialien Matériaux'!AK:AK,0,0)</f>
        <v>0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 s="1112" cm="1">
        <f t="array" ref="AD179">IFERROR(_xlfn.SWITCH(I179,"kg",1,"m3",AC179,AC179)*J179/(_xlfn.XLOOKUP(AA179,Métrés!A:A,Métrés!E:E,0)),0)</f>
        <v>0</v>
      </c>
      <c r="AE179" s="1092">
        <f>IFERROR(N179*$G$1/(_xlfn.XLOOKUP($AA179,Métrés!$A:$A,Métrés!$E:$E,0)),0)</f>
        <v>0</v>
      </c>
      <c r="AF179" s="1092">
        <f>IFERROR(O179*$G$1/(_xlfn.XLOOKUP($AA179,Métrés!$A:$A,Métrés!$E:$E,0)),0)</f>
        <v>0</v>
      </c>
      <c r="AG179" s="1092">
        <f>IFERROR(Q179*$G$1/(_xlfn.XLOOKUP($AA179,Métrés!$A:$A,Métrés!$E:$E,0)),0)</f>
        <v>0</v>
      </c>
      <c r="AH179" s="1092">
        <f>IFERROR(R179*$G$1/(_xlfn.XLOOKUP($AA179,Métrés!$A:$A,Métrés!$E:$E,0)),0)</f>
        <v>0</v>
      </c>
      <c r="AI179" s="1092">
        <f>IFERROR(S179*$G$1/(_xlfn.XLOOKUP($AA179,Métrés!$A:$A,Métrés!$E:$E,0)),0)</f>
        <v>0</v>
      </c>
      <c r="AJ179" s="1022"/>
      <c r="AK179" s="638">
        <f t="shared" si="385"/>
        <v>0</v>
      </c>
      <c r="AL179" s="638">
        <f t="shared" si="386"/>
        <v>0</v>
      </c>
      <c r="AM179" s="638">
        <f t="shared" si="387"/>
        <v>0</v>
      </c>
      <c r="AN179" s="1017">
        <f t="shared" si="388"/>
        <v>0</v>
      </c>
      <c r="AO179" s="638">
        <f t="shared" si="389"/>
        <v>0</v>
      </c>
      <c r="AP179" s="638">
        <f t="shared" si="390"/>
        <v>0</v>
      </c>
      <c r="AQ179" s="1018">
        <f t="shared" si="391"/>
        <v>0</v>
      </c>
      <c r="AR179" s="1018">
        <f t="shared" si="392"/>
        <v>0</v>
      </c>
      <c r="AS179" s="1017">
        <f t="shared" si="393"/>
        <v>0</v>
      </c>
      <c r="AT179" s="638">
        <f t="shared" si="394"/>
        <v>0</v>
      </c>
      <c r="AU179" s="638">
        <f t="shared" si="395"/>
        <v>0</v>
      </c>
      <c r="AV179" s="1018">
        <f t="shared" si="396"/>
        <v>0</v>
      </c>
      <c r="AW179" s="1018">
        <f t="shared" si="397"/>
        <v>0</v>
      </c>
      <c r="AX179" s="1017">
        <f t="shared" si="398"/>
        <v>0</v>
      </c>
      <c r="AY179" s="638">
        <f t="shared" si="399"/>
        <v>0</v>
      </c>
      <c r="AZ179" s="638">
        <f t="shared" si="400"/>
        <v>0</v>
      </c>
      <c r="BA179" s="638">
        <f t="shared" si="401"/>
        <v>0</v>
      </c>
      <c r="BB179" s="1018">
        <f t="shared" si="402"/>
        <v>0</v>
      </c>
      <c r="BC179" s="1017"/>
      <c r="BF179" s="1018"/>
      <c r="BG179" s="1017">
        <f t="shared" si="403"/>
        <v>0</v>
      </c>
      <c r="BH179" s="638">
        <f t="shared" si="404"/>
        <v>0</v>
      </c>
      <c r="BI179" s="1018">
        <f t="shared" si="405"/>
        <v>0</v>
      </c>
      <c r="BJ179" s="638">
        <f>_xlfn.XLOOKUP(H179, 'Baumaterialien Matériaux'!A:A, 'Baumaterialien Matériaux'!E:E, "-", 0, 1)</f>
        <v>0</v>
      </c>
      <c r="BK179" s="1032">
        <f t="shared" si="283"/>
        <v>0</v>
      </c>
      <c r="BL179" s="1030">
        <f t="shared" si="284"/>
        <v>0</v>
      </c>
      <c r="BM179" s="1033">
        <f t="shared" si="285"/>
        <v>0</v>
      </c>
      <c r="BN179" s="720">
        <f>IFERROR((J179*VLOOKUP(H179, 'Baumaterialien Matériaux'!$A$11:$AH$318, 32,FALSE))*($L$2/L179-1),0)/$G$1</f>
        <v>0</v>
      </c>
      <c r="BO179" s="720">
        <f t="shared" si="406"/>
        <v>0</v>
      </c>
    </row>
    <row r="180" spans="2:67" ht="15.75" hidden="1" customHeight="1">
      <c r="B180" s="1103"/>
      <c r="C180" s="1099"/>
      <c r="D180" s="478"/>
      <c r="E180" s="478"/>
      <c r="F180" s="478"/>
      <c r="G180" s="478"/>
      <c r="H180" s="892"/>
      <c r="I180" s="641"/>
      <c r="J180" s="649"/>
      <c r="K180" s="728"/>
      <c r="L180" s="478"/>
      <c r="M180" s="648"/>
      <c r="N180" s="720"/>
      <c r="O180" s="720"/>
      <c r="P180" s="720"/>
      <c r="Q180" s="720"/>
      <c r="R180" s="720"/>
      <c r="S180" s="720"/>
      <c r="T180" s="720"/>
      <c r="V180" s="638">
        <f t="shared" si="296"/>
        <v>0</v>
      </c>
      <c r="W180" s="638">
        <f t="shared" si="297"/>
        <v>0</v>
      </c>
      <c r="X180" s="638">
        <f t="shared" si="223"/>
        <v>0</v>
      </c>
      <c r="Z180" s="638">
        <f t="shared" si="292"/>
        <v>0</v>
      </c>
      <c r="AA180" s="664" t="s">
        <v>3477</v>
      </c>
      <c r="AB180">
        <f>_xlfn.XLOOKUP($H180,'[1]Baumaterialien Matériaux'!$A:$A,'[1]Baumaterialien Matériaux'!AK:AK,0,0)</f>
        <v>0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 s="1112" cm="1">
        <f t="array" ref="AD180">IFERROR(_xlfn.SWITCH(I180,"kg",1,"m3",AC180,AC180)*J180/(_xlfn.XLOOKUP(AA180,Métrés!A:A,Métrés!E:E,0)),0)</f>
        <v>0</v>
      </c>
      <c r="AE180" s="1092">
        <f>IFERROR(N180*$G$1/(_xlfn.XLOOKUP($AA180,Métrés!$A:$A,Métrés!$E:$E,0)),0)</f>
        <v>0</v>
      </c>
      <c r="AF180" s="1092">
        <f>IFERROR(O180*$G$1/(_xlfn.XLOOKUP($AA180,Métrés!$A:$A,Métrés!$E:$E,0)),0)</f>
        <v>0</v>
      </c>
      <c r="AG180" s="1092">
        <f>IFERROR(Q180*$G$1/(_xlfn.XLOOKUP($AA180,Métrés!$A:$A,Métrés!$E:$E,0)),0)</f>
        <v>0</v>
      </c>
      <c r="AH180" s="1092">
        <f>IFERROR(R180*$G$1/(_xlfn.XLOOKUP($AA180,Métrés!$A:$A,Métrés!$E:$E,0)),0)</f>
        <v>0</v>
      </c>
      <c r="AI180" s="1092">
        <f>IFERROR(S180*$G$1/(_xlfn.XLOOKUP($AA180,Métrés!$A:$A,Métrés!$E:$E,0)),0)</f>
        <v>0</v>
      </c>
      <c r="AJ180" s="1022"/>
      <c r="AK180" s="638">
        <f t="shared" si="385"/>
        <v>0</v>
      </c>
      <c r="AL180" s="638">
        <f t="shared" si="386"/>
        <v>0</v>
      </c>
      <c r="AM180" s="638">
        <f t="shared" si="387"/>
        <v>0</v>
      </c>
      <c r="AN180" s="1017">
        <f t="shared" si="388"/>
        <v>0</v>
      </c>
      <c r="AO180" s="638">
        <f t="shared" si="389"/>
        <v>0</v>
      </c>
      <c r="AP180" s="638">
        <f t="shared" si="390"/>
        <v>0</v>
      </c>
      <c r="AQ180" s="1018">
        <f t="shared" si="391"/>
        <v>0</v>
      </c>
      <c r="AR180" s="1018">
        <f t="shared" si="392"/>
        <v>0</v>
      </c>
      <c r="AS180" s="1017">
        <f t="shared" si="393"/>
        <v>0</v>
      </c>
      <c r="AT180" s="638">
        <f t="shared" si="394"/>
        <v>0</v>
      </c>
      <c r="AU180" s="638">
        <f t="shared" si="395"/>
        <v>0</v>
      </c>
      <c r="AV180" s="1018">
        <f t="shared" si="396"/>
        <v>0</v>
      </c>
      <c r="AW180" s="1018">
        <f t="shared" si="397"/>
        <v>0</v>
      </c>
      <c r="AX180" s="1017">
        <f t="shared" si="398"/>
        <v>0</v>
      </c>
      <c r="AY180" s="638">
        <f t="shared" si="399"/>
        <v>0</v>
      </c>
      <c r="AZ180" s="638">
        <f t="shared" si="400"/>
        <v>0</v>
      </c>
      <c r="BA180" s="638">
        <f t="shared" si="401"/>
        <v>0</v>
      </c>
      <c r="BB180" s="1018">
        <f t="shared" si="402"/>
        <v>0</v>
      </c>
      <c r="BC180" s="1017"/>
      <c r="BF180" s="1018"/>
      <c r="BG180" s="1017">
        <f t="shared" si="403"/>
        <v>0</v>
      </c>
      <c r="BH180" s="638">
        <f t="shared" si="404"/>
        <v>0</v>
      </c>
      <c r="BI180" s="1018">
        <f t="shared" si="405"/>
        <v>0</v>
      </c>
      <c r="BJ180" s="638">
        <f>_xlfn.XLOOKUP(H180, 'Baumaterialien Matériaux'!A:A, 'Baumaterialien Matériaux'!E:E, "-", 0, 1)</f>
        <v>0</v>
      </c>
      <c r="BK180" s="1032">
        <f t="shared" si="283"/>
        <v>0</v>
      </c>
      <c r="BL180" s="1030">
        <f t="shared" si="284"/>
        <v>0</v>
      </c>
      <c r="BM180" s="1033">
        <f t="shared" si="285"/>
        <v>0</v>
      </c>
      <c r="BN180" s="720">
        <f>IFERROR((J180*VLOOKUP(H180, 'Baumaterialien Matériaux'!$A$11:$AH$318, 32,FALSE))*($L$2/L180-1),0)/$G$1</f>
        <v>0</v>
      </c>
      <c r="BO180" s="720">
        <f t="shared" si="406"/>
        <v>0</v>
      </c>
    </row>
    <row r="181" spans="2:67" ht="15.75" hidden="1" customHeight="1">
      <c r="B181" s="1103"/>
      <c r="C181" s="1099"/>
      <c r="D181" s="478"/>
      <c r="E181" s="478"/>
      <c r="F181" s="478"/>
      <c r="G181" s="478"/>
      <c r="H181" s="478"/>
      <c r="I181" s="641"/>
      <c r="J181" s="649"/>
      <c r="K181" s="478"/>
      <c r="L181" s="478"/>
      <c r="M181" s="648"/>
      <c r="N181" s="720"/>
      <c r="O181" s="720"/>
      <c r="P181" s="720"/>
      <c r="Q181" s="720"/>
      <c r="R181" s="720"/>
      <c r="S181" s="720"/>
      <c r="T181" s="720"/>
      <c r="V181" s="638">
        <f t="shared" si="296"/>
        <v>0</v>
      </c>
      <c r="W181" s="638">
        <f t="shared" si="297"/>
        <v>0</v>
      </c>
      <c r="X181" s="638">
        <f t="shared" si="223"/>
        <v>0</v>
      </c>
      <c r="Z181" s="638">
        <f t="shared" si="292"/>
        <v>0</v>
      </c>
      <c r="AA181" s="664" t="s">
        <v>3477</v>
      </c>
      <c r="AB181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 s="1112" cm="1">
        <f t="array" ref="AD181">IFERROR(_xlfn.SWITCH(I181,"kg",1,"m3",AC181,AC181)*J181/(_xlfn.XLOOKUP(AA181,Métrés!A:A,Métrés!E:E,0)),0)</f>
        <v>0</v>
      </c>
      <c r="AE181" s="1092">
        <f>IFERROR(N181*$G$1/(_xlfn.XLOOKUP($AA181,Métrés!$A:$A,Métrés!$E:$E,0)),0)</f>
        <v>0</v>
      </c>
      <c r="AF181" s="1092">
        <f>IFERROR(O181*$G$1/(_xlfn.XLOOKUP($AA181,Métrés!$A:$A,Métrés!$E:$E,0)),0)</f>
        <v>0</v>
      </c>
      <c r="AG181" s="1092">
        <f>IFERROR(Q181*$G$1/(_xlfn.XLOOKUP($AA181,Métrés!$A:$A,Métrés!$E:$E,0)),0)</f>
        <v>0</v>
      </c>
      <c r="AH181" s="1092">
        <f>IFERROR(R181*$G$1/(_xlfn.XLOOKUP($AA181,Métrés!$A:$A,Métrés!$E:$E,0)),0)</f>
        <v>0</v>
      </c>
      <c r="AI181" s="1092">
        <f>IFERROR(S181*$G$1/(_xlfn.XLOOKUP($AA181,Métrés!$A:$A,Métrés!$E:$E,0)),0)</f>
        <v>0</v>
      </c>
      <c r="AJ181" s="1022"/>
      <c r="AK181" s="638">
        <f t="shared" si="385"/>
        <v>0</v>
      </c>
      <c r="AL181" s="638">
        <f t="shared" si="386"/>
        <v>0</v>
      </c>
      <c r="AM181" s="638">
        <f t="shared" si="387"/>
        <v>0</v>
      </c>
      <c r="AN181" s="1017">
        <f t="shared" si="388"/>
        <v>0</v>
      </c>
      <c r="AO181" s="638">
        <f t="shared" si="389"/>
        <v>0</v>
      </c>
      <c r="AP181" s="638">
        <f t="shared" si="390"/>
        <v>0</v>
      </c>
      <c r="AQ181" s="1018">
        <f t="shared" si="391"/>
        <v>0</v>
      </c>
      <c r="AR181" s="1018">
        <f t="shared" si="392"/>
        <v>0</v>
      </c>
      <c r="AS181" s="1017">
        <f t="shared" si="393"/>
        <v>0</v>
      </c>
      <c r="AT181" s="638">
        <f t="shared" si="394"/>
        <v>0</v>
      </c>
      <c r="AU181" s="638">
        <f t="shared" si="395"/>
        <v>0</v>
      </c>
      <c r="AV181" s="1018">
        <f t="shared" si="396"/>
        <v>0</v>
      </c>
      <c r="AW181" s="1018">
        <f t="shared" si="397"/>
        <v>0</v>
      </c>
      <c r="AX181" s="1017">
        <f t="shared" si="398"/>
        <v>0</v>
      </c>
      <c r="AY181" s="638">
        <f t="shared" si="399"/>
        <v>0</v>
      </c>
      <c r="AZ181" s="638">
        <f t="shared" si="400"/>
        <v>0</v>
      </c>
      <c r="BA181" s="638">
        <f t="shared" si="401"/>
        <v>0</v>
      </c>
      <c r="BB181" s="1018">
        <f t="shared" si="402"/>
        <v>0</v>
      </c>
      <c r="BC181" s="1017"/>
      <c r="BF181" s="1018"/>
      <c r="BG181" s="1017">
        <f t="shared" si="403"/>
        <v>0</v>
      </c>
      <c r="BH181" s="638">
        <f t="shared" si="404"/>
        <v>0</v>
      </c>
      <c r="BI181" s="1018">
        <f t="shared" si="405"/>
        <v>0</v>
      </c>
      <c r="BJ181" s="638">
        <f>_xlfn.XLOOKUP(H181, 'Baumaterialien Matériaux'!A:A, 'Baumaterialien Matériaux'!E:E, "-", 0, 1)</f>
        <v>0</v>
      </c>
      <c r="BK181" s="1032">
        <f t="shared" si="283"/>
        <v>0</v>
      </c>
      <c r="BL181" s="1030">
        <f t="shared" si="284"/>
        <v>0</v>
      </c>
      <c r="BM181" s="1033">
        <f t="shared" si="285"/>
        <v>0</v>
      </c>
      <c r="BN181" s="720">
        <f>IFERROR((J181*VLOOKUP(H181, 'Baumaterialien Matériaux'!$A$11:$AH$318, 32,FALSE))*($L$2/L181-1),0)/$G$1</f>
        <v>0</v>
      </c>
      <c r="BO181" s="720">
        <f t="shared" si="406"/>
        <v>0</v>
      </c>
    </row>
    <row r="182" spans="2:67" ht="15.75" hidden="1" customHeight="1">
      <c r="B182" s="1103"/>
      <c r="C182" s="1099"/>
      <c r="D182" s="478"/>
      <c r="E182" s="478"/>
      <c r="F182" s="478"/>
      <c r="G182" s="478"/>
      <c r="H182" s="478"/>
      <c r="I182" s="641"/>
      <c r="J182" s="649"/>
      <c r="K182" s="478"/>
      <c r="L182" s="478"/>
      <c r="M182" s="648"/>
      <c r="N182" s="720"/>
      <c r="O182" s="720"/>
      <c r="P182" s="720"/>
      <c r="Q182" s="720"/>
      <c r="R182" s="720"/>
      <c r="S182" s="720"/>
      <c r="T182" s="720"/>
      <c r="V182" s="638">
        <f t="shared" si="296"/>
        <v>0</v>
      </c>
      <c r="W182" s="638">
        <f t="shared" si="297"/>
        <v>0</v>
      </c>
      <c r="X182" s="638">
        <f t="shared" si="223"/>
        <v>0</v>
      </c>
      <c r="Z182" s="638">
        <f t="shared" si="292"/>
        <v>0</v>
      </c>
      <c r="AA182" s="664" t="s">
        <v>3477</v>
      </c>
      <c r="AB182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 s="1112" cm="1">
        <f t="array" ref="AD182">IFERROR(_xlfn.SWITCH(I182,"kg",1,"m3",AC182,AC182)*J182/(_xlfn.XLOOKUP(AA182,Métrés!A:A,Métrés!E:E,0)),0)</f>
        <v>0</v>
      </c>
      <c r="AE182" s="1092">
        <f>IFERROR(N182*$G$1/(_xlfn.XLOOKUP($AA182,Métrés!$A:$A,Métrés!$E:$E,0)),0)</f>
        <v>0</v>
      </c>
      <c r="AF182" s="1092">
        <f>IFERROR(O182*$G$1/(_xlfn.XLOOKUP($AA182,Métrés!$A:$A,Métrés!$E:$E,0)),0)</f>
        <v>0</v>
      </c>
      <c r="AG182" s="1092">
        <f>IFERROR(Q182*$G$1/(_xlfn.XLOOKUP($AA182,Métrés!$A:$A,Métrés!$E:$E,0)),0)</f>
        <v>0</v>
      </c>
      <c r="AH182" s="1092">
        <f>IFERROR(R182*$G$1/(_xlfn.XLOOKUP($AA182,Métrés!$A:$A,Métrés!$E:$E,0)),0)</f>
        <v>0</v>
      </c>
      <c r="AI182" s="1092">
        <f>IFERROR(S182*$G$1/(_xlfn.XLOOKUP($AA182,Métrés!$A:$A,Métrés!$E:$E,0)),0)</f>
        <v>0</v>
      </c>
      <c r="AJ182" s="1022"/>
      <c r="AK182" s="638">
        <f t="shared" si="385"/>
        <v>0</v>
      </c>
      <c r="AL182" s="638">
        <f t="shared" si="386"/>
        <v>0</v>
      </c>
      <c r="AM182" s="638">
        <f t="shared" si="387"/>
        <v>0</v>
      </c>
      <c r="AN182" s="1017">
        <f t="shared" si="388"/>
        <v>0</v>
      </c>
      <c r="AO182" s="638">
        <f t="shared" si="389"/>
        <v>0</v>
      </c>
      <c r="AP182" s="638">
        <f t="shared" si="390"/>
        <v>0</v>
      </c>
      <c r="AQ182" s="1018">
        <f t="shared" si="391"/>
        <v>0</v>
      </c>
      <c r="AR182" s="1018">
        <f t="shared" si="392"/>
        <v>0</v>
      </c>
      <c r="AS182" s="1017">
        <f t="shared" si="393"/>
        <v>0</v>
      </c>
      <c r="AT182" s="638">
        <f t="shared" si="394"/>
        <v>0</v>
      </c>
      <c r="AU182" s="638">
        <f t="shared" si="395"/>
        <v>0</v>
      </c>
      <c r="AV182" s="1018">
        <f t="shared" si="396"/>
        <v>0</v>
      </c>
      <c r="AW182" s="1018">
        <f t="shared" si="397"/>
        <v>0</v>
      </c>
      <c r="AX182" s="1017">
        <f t="shared" si="398"/>
        <v>0</v>
      </c>
      <c r="AY182" s="638">
        <f t="shared" si="399"/>
        <v>0</v>
      </c>
      <c r="AZ182" s="638">
        <f t="shared" si="400"/>
        <v>0</v>
      </c>
      <c r="BA182" s="638">
        <f t="shared" si="401"/>
        <v>0</v>
      </c>
      <c r="BB182" s="1018">
        <f t="shared" si="402"/>
        <v>0</v>
      </c>
      <c r="BC182" s="1017"/>
      <c r="BF182" s="1018"/>
      <c r="BG182" s="1017">
        <f t="shared" si="403"/>
        <v>0</v>
      </c>
      <c r="BH182" s="638">
        <f t="shared" si="404"/>
        <v>0</v>
      </c>
      <c r="BI182" s="1018">
        <f t="shared" si="405"/>
        <v>0</v>
      </c>
      <c r="BJ182" s="638">
        <f>_xlfn.XLOOKUP(H182, 'Baumaterialien Matériaux'!A:A, 'Baumaterialien Matériaux'!E:E, "-", 0, 1)</f>
        <v>0</v>
      </c>
      <c r="BK182" s="1032">
        <f t="shared" si="283"/>
        <v>0</v>
      </c>
      <c r="BL182" s="1030">
        <f t="shared" si="284"/>
        <v>0</v>
      </c>
      <c r="BM182" s="1033">
        <f t="shared" si="285"/>
        <v>0</v>
      </c>
      <c r="BN182" s="720">
        <f>IFERROR((J182*VLOOKUP(H182, 'Baumaterialien Matériaux'!$A$11:$AH$318, 32,FALSE))*($L$2/L182-1),0)/$G$1</f>
        <v>0</v>
      </c>
      <c r="BO182" s="720">
        <f t="shared" si="406"/>
        <v>0</v>
      </c>
    </row>
    <row r="183" spans="2:67" ht="15.75" hidden="1" customHeight="1">
      <c r="B183" s="1103"/>
      <c r="C183" s="1099"/>
      <c r="D183" s="478"/>
      <c r="E183" s="478"/>
      <c r="F183" s="478"/>
      <c r="G183" s="478"/>
      <c r="H183" s="478"/>
      <c r="I183" s="641"/>
      <c r="J183" s="649"/>
      <c r="K183" s="478"/>
      <c r="L183" s="478"/>
      <c r="M183" s="648"/>
      <c r="N183" s="720"/>
      <c r="O183" s="720"/>
      <c r="P183" s="720"/>
      <c r="Q183" s="720"/>
      <c r="R183" s="720"/>
      <c r="S183" s="720"/>
      <c r="T183" s="720"/>
      <c r="V183" s="638">
        <f t="shared" si="296"/>
        <v>0</v>
      </c>
      <c r="W183" s="638">
        <f t="shared" si="297"/>
        <v>0</v>
      </c>
      <c r="X183" s="638">
        <f t="shared" si="223"/>
        <v>0</v>
      </c>
      <c r="Z183" s="638">
        <f t="shared" si="292"/>
        <v>0</v>
      </c>
      <c r="AA183" s="664" t="s">
        <v>3477</v>
      </c>
      <c r="AB183">
        <f>_xlfn.XLOOKUP($H183,'[1]Baumaterialien Matériaux'!$A:$A,'[1]Baumaterialien Matériaux'!AK:AK,0,0)</f>
        <v>0</v>
      </c>
      <c r="AC183" t="str" cm="1">
        <f t="array" ref="AC183">_xlfn.SWITCH(I183,"kg"," ",0," ",_xlfn.XLOOKUP(H183, '[1]Baumaterialien Matériaux'!$A:$A, '[1]Baumaterialien Matériaux'!$AL:$AL, "-", 0, 1))</f>
        <v xml:space="preserve"> </v>
      </c>
      <c r="AD183" s="1112" cm="1">
        <f t="array" ref="AD183">IFERROR(_xlfn.SWITCH(I183,"kg",1,"m3",AC183,AC183)*J183/(_xlfn.XLOOKUP(AA183,Métrés!A:A,Métrés!E:E,0)),0)</f>
        <v>0</v>
      </c>
      <c r="AE183" s="1092">
        <f>IFERROR(N183*$G$1/(_xlfn.XLOOKUP($AA183,Métrés!$A:$A,Métrés!$E:$E,0)),0)</f>
        <v>0</v>
      </c>
      <c r="AF183" s="1092">
        <f>IFERROR(O183*$G$1/(_xlfn.XLOOKUP($AA183,Métrés!$A:$A,Métrés!$E:$E,0)),0)</f>
        <v>0</v>
      </c>
      <c r="AG183" s="1092">
        <f>IFERROR(Q183*$G$1/(_xlfn.XLOOKUP($AA183,Métrés!$A:$A,Métrés!$E:$E,0)),0)</f>
        <v>0</v>
      </c>
      <c r="AH183" s="1092">
        <f>IFERROR(R183*$G$1/(_xlfn.XLOOKUP($AA183,Métrés!$A:$A,Métrés!$E:$E,0)),0)</f>
        <v>0</v>
      </c>
      <c r="AI183" s="1092">
        <f>IFERROR(S183*$G$1/(_xlfn.XLOOKUP($AA183,Métrés!$A:$A,Métrés!$E:$E,0)),0)</f>
        <v>0</v>
      </c>
      <c r="AJ183" s="1022"/>
      <c r="AK183" s="638">
        <f t="shared" si="385"/>
        <v>0</v>
      </c>
      <c r="AL183" s="638">
        <f t="shared" si="386"/>
        <v>0</v>
      </c>
      <c r="AM183" s="638">
        <f t="shared" si="387"/>
        <v>0</v>
      </c>
      <c r="AN183" s="1017">
        <f t="shared" si="388"/>
        <v>0</v>
      </c>
      <c r="AO183" s="638">
        <f t="shared" si="389"/>
        <v>0</v>
      </c>
      <c r="AP183" s="638">
        <f t="shared" si="390"/>
        <v>0</v>
      </c>
      <c r="AQ183" s="1018">
        <f t="shared" si="391"/>
        <v>0</v>
      </c>
      <c r="AR183" s="1018">
        <f t="shared" si="392"/>
        <v>0</v>
      </c>
      <c r="AS183" s="1017">
        <f t="shared" si="393"/>
        <v>0</v>
      </c>
      <c r="AT183" s="638">
        <f t="shared" si="394"/>
        <v>0</v>
      </c>
      <c r="AU183" s="638">
        <f t="shared" si="395"/>
        <v>0</v>
      </c>
      <c r="AV183" s="1018">
        <f t="shared" si="396"/>
        <v>0</v>
      </c>
      <c r="AW183" s="1018">
        <f t="shared" si="397"/>
        <v>0</v>
      </c>
      <c r="AX183" s="1017">
        <f t="shared" si="398"/>
        <v>0</v>
      </c>
      <c r="AY183" s="638">
        <f t="shared" si="399"/>
        <v>0</v>
      </c>
      <c r="AZ183" s="638">
        <f t="shared" si="400"/>
        <v>0</v>
      </c>
      <c r="BA183" s="638">
        <f t="shared" si="401"/>
        <v>0</v>
      </c>
      <c r="BB183" s="1018">
        <f t="shared" si="402"/>
        <v>0</v>
      </c>
      <c r="BC183" s="1017"/>
      <c r="BF183" s="1018"/>
      <c r="BG183" s="1017">
        <f t="shared" si="403"/>
        <v>0</v>
      </c>
      <c r="BH183" s="638">
        <f t="shared" si="404"/>
        <v>0</v>
      </c>
      <c r="BI183" s="1018">
        <f t="shared" si="405"/>
        <v>0</v>
      </c>
      <c r="BJ183" s="638">
        <f>_xlfn.XLOOKUP(H183, 'Baumaterialien Matériaux'!A:A, 'Baumaterialien Matériaux'!E:E, "-", 0, 1)</f>
        <v>0</v>
      </c>
      <c r="BK183" s="1032">
        <f t="shared" si="283"/>
        <v>0</v>
      </c>
      <c r="BL183" s="1030">
        <f t="shared" si="284"/>
        <v>0</v>
      </c>
      <c r="BM183" s="1033">
        <f t="shared" si="285"/>
        <v>0</v>
      </c>
      <c r="BN183" s="720">
        <f>IFERROR((J183*VLOOKUP(H183, 'Baumaterialien Matériaux'!$A$11:$AH$318, 32,FALSE))*($L$2/L183-1),0)/$G$1</f>
        <v>0</v>
      </c>
      <c r="BO183" s="720">
        <f t="shared" si="406"/>
        <v>0</v>
      </c>
    </row>
    <row r="184" spans="2:67" ht="15.75" hidden="1" customHeight="1">
      <c r="B184" s="1103"/>
      <c r="C184" s="1099"/>
      <c r="D184" s="478"/>
      <c r="E184" s="478"/>
      <c r="F184" s="478"/>
      <c r="G184" s="478"/>
      <c r="H184" s="478"/>
      <c r="I184" s="641"/>
      <c r="J184" s="649"/>
      <c r="K184" s="478"/>
      <c r="L184" s="478"/>
      <c r="M184" s="648"/>
      <c r="N184" s="720"/>
      <c r="O184" s="720"/>
      <c r="P184" s="720"/>
      <c r="Q184" s="720"/>
      <c r="R184" s="720"/>
      <c r="S184" s="720"/>
      <c r="T184" s="720"/>
      <c r="V184" s="638">
        <f t="shared" si="296"/>
        <v>0</v>
      </c>
      <c r="W184" s="638">
        <f t="shared" si="297"/>
        <v>0</v>
      </c>
      <c r="X184" s="638">
        <f t="shared" si="223"/>
        <v>0</v>
      </c>
      <c r="Z184" s="638">
        <f t="shared" si="292"/>
        <v>0</v>
      </c>
      <c r="AA184" s="664" t="s">
        <v>3477</v>
      </c>
      <c r="AB184">
        <f>_xlfn.XLOOKUP($H184,'[1]Baumaterialien Matériaux'!$A:$A,'[1]Baumaterialien Matériaux'!AK:AK,0,0)</f>
        <v>0</v>
      </c>
      <c r="AC184" t="str" cm="1">
        <f t="array" ref="AC184">_xlfn.SWITCH(I184,"kg"," ",0," ",_xlfn.XLOOKUP(H184, '[1]Baumaterialien Matériaux'!$A:$A, '[1]Baumaterialien Matériaux'!$AL:$AL, "-", 0, 1))</f>
        <v xml:space="preserve"> </v>
      </c>
      <c r="AD184" s="1112" cm="1">
        <f t="array" ref="AD184">IFERROR(_xlfn.SWITCH(I184,"kg",1,"m3",AC184,AC184)*J184/(_xlfn.XLOOKUP(AA184,Métrés!A:A,Métrés!E:E,0)),0)</f>
        <v>0</v>
      </c>
      <c r="AE184" s="1092">
        <f>IFERROR(N184*$G$1/(_xlfn.XLOOKUP($AA184,Métrés!$A:$A,Métrés!$E:$E,0)),0)</f>
        <v>0</v>
      </c>
      <c r="AF184" s="1092">
        <f>IFERROR(O184*$G$1/(_xlfn.XLOOKUP($AA184,Métrés!$A:$A,Métrés!$E:$E,0)),0)</f>
        <v>0</v>
      </c>
      <c r="AG184" s="1092">
        <f>IFERROR(Q184*$G$1/(_xlfn.XLOOKUP($AA184,Métrés!$A:$A,Métrés!$E:$E,0)),0)</f>
        <v>0</v>
      </c>
      <c r="AH184" s="1092">
        <f>IFERROR(R184*$G$1/(_xlfn.XLOOKUP($AA184,Métrés!$A:$A,Métrés!$E:$E,0)),0)</f>
        <v>0</v>
      </c>
      <c r="AI184" s="1092">
        <f>IFERROR(S184*$G$1/(_xlfn.XLOOKUP($AA184,Métrés!$A:$A,Métrés!$E:$E,0)),0)</f>
        <v>0</v>
      </c>
      <c r="AJ184" s="1022"/>
      <c r="AK184" s="638">
        <f t="shared" si="385"/>
        <v>0</v>
      </c>
      <c r="AL184" s="638">
        <f t="shared" si="386"/>
        <v>0</v>
      </c>
      <c r="AM184" s="638">
        <f t="shared" si="387"/>
        <v>0</v>
      </c>
      <c r="AN184" s="1017">
        <f t="shared" si="388"/>
        <v>0</v>
      </c>
      <c r="AO184" s="638">
        <f t="shared" si="389"/>
        <v>0</v>
      </c>
      <c r="AP184" s="638">
        <f t="shared" si="390"/>
        <v>0</v>
      </c>
      <c r="AQ184" s="1018">
        <f t="shared" si="391"/>
        <v>0</v>
      </c>
      <c r="AR184" s="1018">
        <f t="shared" si="392"/>
        <v>0</v>
      </c>
      <c r="AS184" s="1017">
        <f t="shared" si="393"/>
        <v>0</v>
      </c>
      <c r="AT184" s="638">
        <f t="shared" si="394"/>
        <v>0</v>
      </c>
      <c r="AU184" s="638">
        <f t="shared" si="395"/>
        <v>0</v>
      </c>
      <c r="AV184" s="1018">
        <f t="shared" si="396"/>
        <v>0</v>
      </c>
      <c r="AW184" s="1018">
        <f t="shared" si="397"/>
        <v>0</v>
      </c>
      <c r="AX184" s="1017">
        <f t="shared" si="398"/>
        <v>0</v>
      </c>
      <c r="AY184" s="638">
        <f t="shared" si="399"/>
        <v>0</v>
      </c>
      <c r="AZ184" s="638">
        <f t="shared" si="400"/>
        <v>0</v>
      </c>
      <c r="BA184" s="638">
        <f t="shared" si="401"/>
        <v>0</v>
      </c>
      <c r="BB184" s="1018">
        <f t="shared" si="402"/>
        <v>0</v>
      </c>
      <c r="BC184" s="1017"/>
      <c r="BF184" s="1018"/>
      <c r="BG184" s="1017">
        <f t="shared" si="403"/>
        <v>0</v>
      </c>
      <c r="BH184" s="638">
        <f t="shared" si="404"/>
        <v>0</v>
      </c>
      <c r="BI184" s="1018">
        <f t="shared" si="405"/>
        <v>0</v>
      </c>
      <c r="BJ184" s="638">
        <f>_xlfn.XLOOKUP(H184, 'Baumaterialien Matériaux'!A:A, 'Baumaterialien Matériaux'!E:E, "-", 0, 1)</f>
        <v>0</v>
      </c>
      <c r="BK184" s="1032">
        <f t="shared" si="283"/>
        <v>0</v>
      </c>
      <c r="BL184" s="1030">
        <f t="shared" si="284"/>
        <v>0</v>
      </c>
      <c r="BM184" s="1033">
        <f t="shared" si="285"/>
        <v>0</v>
      </c>
    </row>
    <row r="185" spans="2:67" ht="15.75" hidden="1" customHeight="1">
      <c r="B185" s="1103"/>
      <c r="C185" s="1099"/>
      <c r="D185" s="478"/>
      <c r="E185" s="478"/>
      <c r="F185" s="478"/>
      <c r="G185" s="478"/>
      <c r="H185" s="478"/>
      <c r="I185" s="641"/>
      <c r="J185" s="649"/>
      <c r="K185" s="647"/>
      <c r="L185" s="647"/>
      <c r="M185" s="648"/>
      <c r="V185" s="638">
        <f t="shared" si="296"/>
        <v>0</v>
      </c>
      <c r="W185" s="638">
        <f t="shared" si="297"/>
        <v>0</v>
      </c>
      <c r="X185" s="638">
        <f t="shared" si="223"/>
        <v>0</v>
      </c>
      <c r="Z185" s="638">
        <f t="shared" si="292"/>
        <v>0</v>
      </c>
      <c r="AA185" s="664" t="s">
        <v>3477</v>
      </c>
      <c r="AB185">
        <f>_xlfn.XLOOKUP($H185,'[1]Baumaterialien Matériaux'!$A:$A,'[1]Baumaterialien Matériaux'!AK:AK,0,0)</f>
        <v>0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 s="1112" cm="1">
        <f t="array" ref="AD185">IFERROR(_xlfn.SWITCH(I185,"kg",1,"m3",AC185,AC185)*J185/(_xlfn.XLOOKUP(AA185,Métrés!A:A,Métrés!E:E,0)),0)</f>
        <v>0</v>
      </c>
      <c r="AE185" s="1092">
        <f>IFERROR(N185*$G$1/(_xlfn.XLOOKUP($AA185,Métrés!$A:$A,Métrés!$E:$E,0)),0)</f>
        <v>0</v>
      </c>
      <c r="AF185" s="1092">
        <f>IFERROR(O185*$G$1/(_xlfn.XLOOKUP($AA185,Métrés!$A:$A,Métrés!$E:$E,0)),0)</f>
        <v>0</v>
      </c>
      <c r="AG185" s="1092">
        <f>IFERROR(Q185*$G$1/(_xlfn.XLOOKUP($AA185,Métrés!$A:$A,Métrés!$E:$E,0)),0)</f>
        <v>0</v>
      </c>
      <c r="AH185" s="1092">
        <f>IFERROR(R185*$G$1/(_xlfn.XLOOKUP($AA185,Métrés!$A:$A,Métrés!$E:$E,0)),0)</f>
        <v>0</v>
      </c>
      <c r="AI185" s="1092">
        <f>IFERROR(S185*$G$1/(_xlfn.XLOOKUP($AA185,Métrés!$A:$A,Métrés!$E:$E,0)),0)</f>
        <v>0</v>
      </c>
      <c r="AJ185" s="1022"/>
      <c r="AK185" s="638">
        <f t="shared" si="385"/>
        <v>0</v>
      </c>
      <c r="AL185" s="638">
        <f t="shared" si="386"/>
        <v>0</v>
      </c>
      <c r="AM185" s="638">
        <f t="shared" si="387"/>
        <v>0</v>
      </c>
      <c r="AN185" s="1017">
        <f t="shared" si="388"/>
        <v>0</v>
      </c>
      <c r="AO185" s="638">
        <f t="shared" si="389"/>
        <v>0</v>
      </c>
      <c r="AP185" s="638">
        <f t="shared" si="390"/>
        <v>0</v>
      </c>
      <c r="AQ185" s="1018">
        <f t="shared" si="391"/>
        <v>0</v>
      </c>
      <c r="AR185" s="1018">
        <f t="shared" si="392"/>
        <v>0</v>
      </c>
      <c r="AS185" s="1017">
        <f t="shared" si="393"/>
        <v>0</v>
      </c>
      <c r="AT185" s="638">
        <f t="shared" si="394"/>
        <v>0</v>
      </c>
      <c r="AU185" s="638">
        <f t="shared" si="395"/>
        <v>0</v>
      </c>
      <c r="AV185" s="1018">
        <f t="shared" si="396"/>
        <v>0</v>
      </c>
      <c r="AW185" s="1018">
        <f t="shared" si="397"/>
        <v>0</v>
      </c>
      <c r="AX185" s="1017">
        <f t="shared" si="398"/>
        <v>0</v>
      </c>
      <c r="AY185" s="638">
        <f t="shared" si="399"/>
        <v>0</v>
      </c>
      <c r="AZ185" s="638">
        <f t="shared" si="400"/>
        <v>0</v>
      </c>
      <c r="BA185" s="638">
        <f t="shared" si="401"/>
        <v>0</v>
      </c>
      <c r="BB185" s="1018">
        <f t="shared" si="402"/>
        <v>0</v>
      </c>
      <c r="BC185" s="1017"/>
      <c r="BF185" s="1018"/>
      <c r="BG185" s="1017">
        <f t="shared" si="403"/>
        <v>0</v>
      </c>
      <c r="BH185" s="638">
        <f t="shared" si="404"/>
        <v>0</v>
      </c>
      <c r="BI185" s="1018">
        <f t="shared" si="405"/>
        <v>0</v>
      </c>
      <c r="BJ185" s="638">
        <f>_xlfn.XLOOKUP(H185, 'Baumaterialien Matériaux'!A:A, 'Baumaterialien Matériaux'!E:E, "-", 0, 1)</f>
        <v>0</v>
      </c>
      <c r="BK185" s="1032">
        <f t="shared" si="283"/>
        <v>0</v>
      </c>
      <c r="BL185" s="1030">
        <f t="shared" si="284"/>
        <v>0</v>
      </c>
      <c r="BM185" s="1033">
        <f t="shared" si="285"/>
        <v>0</v>
      </c>
    </row>
    <row r="186" spans="2:67" ht="30" collapsed="1">
      <c r="B186" s="1103"/>
      <c r="C186" s="1097" t="s">
        <v>139</v>
      </c>
      <c r="D186" s="473" t="s">
        <v>140</v>
      </c>
      <c r="E186" s="473"/>
      <c r="F186" s="473"/>
      <c r="G186" s="473"/>
      <c r="H186" s="473"/>
      <c r="I186" s="463"/>
      <c r="J186" s="654"/>
      <c r="K186" s="652"/>
      <c r="L186" s="652"/>
      <c r="M186" s="653">
        <f t="shared" ref="M186:T186" si="407">M187+M195+M198+M205</f>
        <v>97.949655082104272</v>
      </c>
      <c r="N186" s="653">
        <f t="shared" si="407"/>
        <v>34.444764881223833</v>
      </c>
      <c r="O186" s="653">
        <f t="shared" ref="O186" si="408">O187+O195+O198+O205</f>
        <v>24.372816327873522</v>
      </c>
      <c r="P186" s="653">
        <f t="shared" si="407"/>
        <v>36.788419377115375</v>
      </c>
      <c r="Q186" s="653">
        <f t="shared" si="407"/>
        <v>2.3436544958915468</v>
      </c>
      <c r="R186" s="653">
        <f t="shared" ref="R186" si="409">R187+R195+R198+R205</f>
        <v>0.37184728212137458</v>
      </c>
      <c r="S186" s="653">
        <f t="shared" si="407"/>
        <v>33.280776478310742</v>
      </c>
      <c r="T186" s="653">
        <f t="shared" si="407"/>
        <v>-3.2720270954631507</v>
      </c>
      <c r="V186" s="638">
        <f t="shared" si="296"/>
        <v>-3.2720270954631507</v>
      </c>
      <c r="X186" s="638">
        <f t="shared" si="223"/>
        <v>0</v>
      </c>
      <c r="Z186" s="638">
        <f t="shared" si="292"/>
        <v>0</v>
      </c>
      <c r="AB186">
        <f>_xlfn.XLOOKUP($H186,'[1]Baumaterialien Matériaux'!$A:$A,'[1]Baumaterialien Matériaux'!AK:AK,0,0)</f>
        <v>0</v>
      </c>
      <c r="AC186" t="str" cm="1">
        <f t="array" ref="AC186">_xlfn.SWITCH(I186,"kg"," ",0," ",_xlfn.XLOOKUP(H186, '[1]Baumaterialien Matériaux'!$A:$A, '[1]Baumaterialien Matériaux'!$AL:$AL, "-", 0, 1))</f>
        <v xml:space="preserve"> </v>
      </c>
      <c r="AD186" s="1112" cm="1">
        <f t="array" ref="AD186">IFERROR(_xlfn.SWITCH(I186,"kg",1,"m3",AC186,AC186)*J186/(_xlfn.XLOOKUP(AA186,Métrés!A:A,Métrés!E:E,0)),0)</f>
        <v>0</v>
      </c>
      <c r="AE186" s="1092">
        <f>IFERROR(N186*$G$1/(_xlfn.XLOOKUP($AA186,Métrés!$A:$A,Métrés!$E:$E,0)),0)</f>
        <v>0</v>
      </c>
      <c r="AF186" s="1092">
        <f>IFERROR(O186*$G$1/(_xlfn.XLOOKUP($AA186,Métrés!$A:$A,Métrés!$E:$E,0)),0)</f>
        <v>0</v>
      </c>
      <c r="AG186" s="1092">
        <f>IFERROR(Q186*$G$1/(_xlfn.XLOOKUP($AA186,Métrés!$A:$A,Métrés!$E:$E,0)),0)</f>
        <v>0</v>
      </c>
      <c r="AH186" s="1092">
        <f>IFERROR(R186*$G$1/(_xlfn.XLOOKUP($AA186,Métrés!$A:$A,Métrés!$E:$E,0)),0)</f>
        <v>0</v>
      </c>
      <c r="AI186" s="1092">
        <f>IFERROR(S186*$G$1/(_xlfn.XLOOKUP($AA186,Métrés!$A:$A,Métrés!$E:$E,0)),0)</f>
        <v>0</v>
      </c>
      <c r="AJ186" s="666"/>
      <c r="AK186" s="666"/>
      <c r="AL186" s="666"/>
      <c r="AM186" s="666"/>
      <c r="AN186" s="1051"/>
      <c r="AO186" s="666"/>
      <c r="AP186" s="666"/>
      <c r="AQ186" s="666"/>
      <c r="AR186" s="1052"/>
      <c r="AS186" s="1051"/>
      <c r="AT186" s="666"/>
      <c r="AU186" s="666"/>
      <c r="AV186" s="666"/>
      <c r="AW186" s="1052"/>
      <c r="AX186" s="1051"/>
      <c r="AY186" s="666"/>
      <c r="AZ186" s="666"/>
      <c r="BA186" s="666"/>
      <c r="BB186" s="1052"/>
      <c r="BC186" s="1051"/>
      <c r="BD186" s="666"/>
      <c r="BE186" s="666"/>
      <c r="BF186" s="1052"/>
      <c r="BG186" s="1051"/>
      <c r="BH186" s="666"/>
      <c r="BI186" s="1052"/>
      <c r="BJ186" s="666"/>
      <c r="BK186" s="1051"/>
      <c r="BL186" s="666"/>
      <c r="BM186" s="1052"/>
    </row>
    <row r="187" spans="2:67">
      <c r="B187" s="1103"/>
      <c r="C187" s="1099"/>
      <c r="D187" s="478" t="s">
        <v>2982</v>
      </c>
      <c r="E187" s="479" t="str">
        <f>BillQuantities!E31</f>
        <v>Supports et revêtement de sol</v>
      </c>
      <c r="F187" s="479" t="s">
        <v>3017</v>
      </c>
      <c r="G187" s="479"/>
      <c r="H187" s="479"/>
      <c r="I187" s="459" t="s">
        <v>39</v>
      </c>
      <c r="J187" s="662">
        <v>287.85000000000002</v>
      </c>
      <c r="K187" s="663"/>
      <c r="L187" s="663"/>
      <c r="M187" s="664">
        <f>SUM(M188:M194)</f>
        <v>30.21583646731326</v>
      </c>
      <c r="N187" s="664">
        <f t="shared" ref="N187:S187" si="410">SUM(N188:N194)</f>
        <v>10.429595145309067</v>
      </c>
      <c r="O187" s="664">
        <f t="shared" ref="O187" si="411">SUM(O188:O194)</f>
        <v>8.0988382193965052</v>
      </c>
      <c r="P187" s="664">
        <f t="shared" si="410"/>
        <v>11.058499123958379</v>
      </c>
      <c r="Q187" s="664">
        <f t="shared" si="410"/>
        <v>0.62890397864930969</v>
      </c>
      <c r="R187" s="664">
        <f t="shared" ref="R187" si="412">SUM(R188:R194)</f>
        <v>0.1248128612714175</v>
      </c>
      <c r="S187" s="664">
        <f t="shared" si="410"/>
        <v>13.325160171634675</v>
      </c>
      <c r="T187" s="664">
        <f t="shared" ref="T187" si="413">SUM(T188:T194)</f>
        <v>-2.1590277498859911</v>
      </c>
      <c r="V187" s="638">
        <f t="shared" si="296"/>
        <v>-2.1590277498859911</v>
      </c>
      <c r="X187" s="638">
        <f t="shared" si="223"/>
        <v>0</v>
      </c>
      <c r="Z187" s="638">
        <f t="shared" si="292"/>
        <v>0</v>
      </c>
      <c r="AA187" s="648"/>
      <c r="AB187">
        <f>_xlfn.XLOOKUP($H187,'[1]Baumaterialien Matériaux'!$A:$A,'[1]Baumaterialien Matériaux'!AK:AK,0,0)</f>
        <v>0</v>
      </c>
      <c r="AC187" cm="1">
        <f t="array" ref="AC187">_xlfn.SWITCH(I187,"kg"," ",0," ",_xlfn.XLOOKUP(H187, '[1]Baumaterialien Matériaux'!$A:$A, '[1]Baumaterialien Matériaux'!$AL:$AL, "-", 0, 1))</f>
        <v>0</v>
      </c>
      <c r="AD187" s="1112" cm="1">
        <f t="array" ref="AD187">IFERROR(_xlfn.SWITCH(I187,"kg",1,"m3",AC187,AC187)*J187/(_xlfn.XLOOKUP(AA187,Métrés!A:A,Métrés!E:E,0)),0)</f>
        <v>0</v>
      </c>
      <c r="AE187" s="1092">
        <f>IFERROR(N187*$G$1/(_xlfn.XLOOKUP($AA187,Métrés!$A:$A,Métrés!$E:$E,0)),0)</f>
        <v>0</v>
      </c>
      <c r="AF187" s="1092">
        <f>IFERROR(O187*$G$1/(_xlfn.XLOOKUP($AA187,Métrés!$A:$A,Métrés!$E:$E,0)),0)</f>
        <v>0</v>
      </c>
      <c r="AG187" s="1092">
        <f>IFERROR(Q187*$G$1/(_xlfn.XLOOKUP($AA187,Métrés!$A:$A,Métrés!$E:$E,0)),0)</f>
        <v>0</v>
      </c>
      <c r="AH187" s="1092">
        <f>IFERROR(R187*$G$1/(_xlfn.XLOOKUP($AA187,Métrés!$A:$A,Métrés!$E:$E,0)),0)</f>
        <v>0</v>
      </c>
      <c r="AI187" s="1092">
        <f>IFERROR(S187*$G$1/(_xlfn.XLOOKUP($AA187,Métrés!$A:$A,Métrés!$E:$E,0)),0)</f>
        <v>0</v>
      </c>
      <c r="AJ187" s="878"/>
      <c r="AK187" s="878"/>
      <c r="AL187" s="878"/>
      <c r="AM187" s="878"/>
      <c r="AN187" s="1053"/>
      <c r="AO187" s="878"/>
      <c r="AP187" s="878"/>
      <c r="AQ187" s="878"/>
      <c r="AR187" s="1054"/>
      <c r="AS187" s="1053"/>
      <c r="AT187" s="878"/>
      <c r="AU187" s="878"/>
      <c r="AV187" s="878"/>
      <c r="AW187" s="1054"/>
      <c r="AX187" s="1053"/>
      <c r="AY187" s="878"/>
      <c r="AZ187" s="878"/>
      <c r="BA187" s="878"/>
      <c r="BB187" s="1054"/>
      <c r="BC187" s="1053"/>
      <c r="BD187" s="878"/>
      <c r="BE187" s="878"/>
      <c r="BF187" s="1054"/>
      <c r="BG187" s="1053"/>
      <c r="BH187" s="878"/>
      <c r="BI187" s="1054"/>
      <c r="BJ187" s="878"/>
      <c r="BK187" s="1053"/>
      <c r="BL187" s="878"/>
      <c r="BM187" s="1054"/>
    </row>
    <row r="188" spans="2:67">
      <c r="B188" s="1103"/>
      <c r="C188" s="1099"/>
      <c r="D188" s="478"/>
      <c r="E188" s="750">
        <v>0.7</v>
      </c>
      <c r="F188" s="478" t="s">
        <v>3312</v>
      </c>
      <c r="G188" s="478" t="str">
        <f>_xlfn.XLOOKUP(H188, 'Baumaterialien Matériaux'!A:A, 'Baumaterialien Matériaux'!AD:AD, "-", 0, 1)</f>
        <v>Béton chaux-chanvre</v>
      </c>
      <c r="H188" s="1009" t="s">
        <v>1041</v>
      </c>
      <c r="I188" s="641" t="str">
        <f>_xlfn.XLOOKUP(H188, 'Baumaterialien Matériaux'!A:A, 'Baumaterialien Matériaux'!F:F, "-", 0, 1)</f>
        <v>kg</v>
      </c>
      <c r="J188" s="649">
        <f>$J$187*K188</f>
        <v>13816.800000000001</v>
      </c>
      <c r="K188" s="893">
        <f>0.08*600</f>
        <v>48</v>
      </c>
      <c r="L188" s="641">
        <f>'Eléments de constr. inté. et ex'!N104</f>
        <v>30</v>
      </c>
      <c r="M188" s="648">
        <f t="shared" ref="M188:M196" si="414">SUM(N188:Q188)</f>
        <v>13.405898987935823</v>
      </c>
      <c r="N188" s="720">
        <f>IFERROR(($J188*VLOOKUP($H188, 'Baumaterialien Matériaux'!$A$11:$AH$318, 26,FALSE)),0)/$G$1</f>
        <v>4.6397777869905896</v>
      </c>
      <c r="O188" s="720">
        <f>IFERROR(($J188*VLOOKUP($H188, 'Baumaterialien Matériaux'!$A$11:$AH$318, 33,FALSE)),0)/$G$1</f>
        <v>4.1242469217694122</v>
      </c>
      <c r="P188" s="720">
        <f>IFERROR((N188+Q188)*($L$2/L188-1),0)</f>
        <v>4.6408260330832061</v>
      </c>
      <c r="Q188" s="720">
        <f>IFERROR(($J188*VLOOKUP($H188, 'Baumaterialien Matériaux'!$A$11:$AH$318, 27,FALSE)),0)/$G$1</f>
        <v>1.0482460926163925E-3</v>
      </c>
      <c r="R188" s="720">
        <f>IFERROR(($J188*VLOOKUP($H188, 'Baumaterialien Matériaux'!$A$11:$AH$318, 34,FALSE)),0)/$G$1</f>
        <v>2.1480452717549023E-3</v>
      </c>
      <c r="S188" s="720">
        <f>IFERROR((J188*VLOOKUP(H188, 'Baumaterialien Matériaux'!$A$11:$AD$318, 29,FALSE)),0)/$G$1</f>
        <v>3.4077544877907218</v>
      </c>
      <c r="T188" s="720">
        <f t="shared" ref="T188:T194" si="415">S188*AJ188</f>
        <v>-0.78378353219186603</v>
      </c>
      <c r="U188" s="638">
        <v>-0.23</v>
      </c>
      <c r="V188" s="638">
        <f t="shared" si="296"/>
        <v>-0.78378353219186603</v>
      </c>
      <c r="W188" s="638">
        <f t="shared" si="297"/>
        <v>3.4077544877907218</v>
      </c>
      <c r="X188" s="638" t="str">
        <f t="shared" si="223"/>
        <v>Revêtement</v>
      </c>
      <c r="Z188" s="638">
        <f t="shared" si="292"/>
        <v>30</v>
      </c>
      <c r="AA188" s="648" t="s">
        <v>3448</v>
      </c>
      <c r="AB188" t="str">
        <f>_xlfn.XLOOKUP($H188,'[1]Baumaterialien Matériaux'!$A:$A,'[1]Baumaterialien Matériaux'!AK:AK,0,0)</f>
        <v>autre</v>
      </c>
      <c r="AC188" t="str" cm="1">
        <f t="array" ref="AC188">_xlfn.SWITCH(I188,"kg"," ",0," ",_xlfn.XLOOKUP(H188, '[1]Baumaterialien Matériaux'!$A:$A, '[1]Baumaterialien Matériaux'!$AL:$AL, "-", 0, 1))</f>
        <v xml:space="preserve"> </v>
      </c>
      <c r="AD188" s="1112" cm="1">
        <f t="array" ref="AD188">IFERROR(_xlfn.SWITCH(I188,"kg",1,"m3",AC188,AC188)*J188/(_xlfn.XLOOKUP(AA188,Métrés!A:A,Métrés!E:E,0)),0)</f>
        <v>48</v>
      </c>
      <c r="AE188" s="1092">
        <f>IFERROR(N188*$G$1/(_xlfn.XLOOKUP($AA188,Métrés!$A:$A,Métrés!$E:$E,0)),0)</f>
        <v>15.552</v>
      </c>
      <c r="AF188" s="1092">
        <f>IFERROR(O188*$G$1/(_xlfn.XLOOKUP($AA188,Métrés!$A:$A,Métrés!$E:$E,0)),0)</f>
        <v>13.823999999999998</v>
      </c>
      <c r="AG188" s="1092">
        <f>IFERROR(Q188*$G$1/(_xlfn.XLOOKUP($AA188,Métrés!$A:$A,Métrés!$E:$E,0)),0)</f>
        <v>3.5136000000000004E-3</v>
      </c>
      <c r="AH188" s="1092">
        <f>IFERROR(R188*$G$1/(_xlfn.XLOOKUP($AA188,Métrés!$A:$A,Métrés!$E:$E,0)),0)</f>
        <v>7.1999999999999989E-3</v>
      </c>
      <c r="AI188" s="1092">
        <f>IFERROR(S188*$G$1/(_xlfn.XLOOKUP($AA188,Métrés!$A:$A,Métrés!$E:$E,0)),0)</f>
        <v>11.4224</v>
      </c>
      <c r="AJ188" s="1022">
        <v>-0.23</v>
      </c>
      <c r="AK188" s="638">
        <f t="shared" ref="AK188:AK194" si="416">IF(L188=60,0,T188)</f>
        <v>-0.78378353219186603</v>
      </c>
      <c r="AL188" s="638">
        <f t="shared" ref="AL188:AL194" si="417">IF(L188=60,0,S188)</f>
        <v>3.4077544877907218</v>
      </c>
      <c r="AM188" s="638" t="str">
        <f>IF(L188=$L$2, "Structure", IF(L188&gt;0,"Revêtement",0))</f>
        <v>Revêtement</v>
      </c>
      <c r="AN188" s="1017">
        <f t="shared" ref="AN188:AN194" si="418">IF(AM188="Structure",N188,0)</f>
        <v>0</v>
      </c>
      <c r="AO188" s="638">
        <f t="shared" ref="AO188:AO194" si="419">IF(AM188="Structure",P188,0)</f>
        <v>0</v>
      </c>
      <c r="AP188" s="638">
        <f t="shared" ref="AP188:AP194" si="420">IF(AM188="Structure",Q188,0)</f>
        <v>0</v>
      </c>
      <c r="AQ188" s="1018">
        <f t="shared" ref="AQ188:AQ194" si="421">IF(AM188="Structure",S188,0)</f>
        <v>0</v>
      </c>
      <c r="AR188" s="1018">
        <f t="shared" ref="AR188:AR194" si="422">IF(AM188="Structure",T188,0)</f>
        <v>0</v>
      </c>
      <c r="AS188" s="1017">
        <f t="shared" ref="AS188:AS194" si="423">IF(AM188="Insulation",N188,0)</f>
        <v>0</v>
      </c>
      <c r="AT188" s="638">
        <f t="shared" ref="AT188:AT194" si="424">IF(AM188="Insulation",P188,0)</f>
        <v>0</v>
      </c>
      <c r="AU188" s="638">
        <f t="shared" ref="AU188:AU194" si="425">IF(AM188="Insulation",Q188,0)</f>
        <v>0</v>
      </c>
      <c r="AV188" s="1018">
        <f t="shared" ref="AV188:AV194" si="426">IF(AM188="Insulation",S188,0)</f>
        <v>0</v>
      </c>
      <c r="AW188" s="1018">
        <f t="shared" ref="AW188:AW194" si="427">IF(AM188="Insulation",T188,0)</f>
        <v>0</v>
      </c>
      <c r="AX188" s="1017">
        <f t="shared" ref="AX188:AX194" si="428">IF(AM188="Revêtement",N188,0)</f>
        <v>4.6397777869905896</v>
      </c>
      <c r="AY188" s="638">
        <f t="shared" ref="AY188:AY194" si="429">IF(AM188="Revêtement",P188,0)</f>
        <v>4.6408260330832061</v>
      </c>
      <c r="AZ188" s="638">
        <f t="shared" ref="AZ188:AZ194" si="430">IF(AM188="Revêtement",Q188,0)</f>
        <v>1.0482460926163925E-3</v>
      </c>
      <c r="BA188" s="638">
        <f t="shared" ref="BA188:BA194" si="431">IF(AM188="Revêtement",S188,0)</f>
        <v>3.4077544877907218</v>
      </c>
      <c r="BB188" s="1018">
        <f t="shared" ref="BB188:BB194" si="432">IF(AM188="Revêtement",T188,0)</f>
        <v>-0.78378353219186603</v>
      </c>
      <c r="BC188" s="1017"/>
      <c r="BF188" s="1018"/>
      <c r="BG188" s="1017">
        <f t="shared" ref="BG188:BG194" si="433">IF($AM188="Structure", IF($I188="kg",$J188,0), 0)</f>
        <v>0</v>
      </c>
      <c r="BH188" s="638">
        <f t="shared" ref="BH188:BH194" si="434">IF($AM188="Insulation", IF($I188="kg",$J188,0), 0)</f>
        <v>0</v>
      </c>
      <c r="BI188" s="1018">
        <f t="shared" ref="BI188:BI194" si="435">IF($AM188="Revêtement", IF($I188="kg",$J188,0), 0)</f>
        <v>13816.800000000001</v>
      </c>
      <c r="BJ188" s="638">
        <f>_xlfn.XLOOKUP(H188, 'Baumaterialien Matériaux'!A:A, 'Baumaterialien Matériaux'!E:E, "-", 0, 1)</f>
        <v>600</v>
      </c>
      <c r="BK188" s="1032">
        <f t="shared" si="283"/>
        <v>0</v>
      </c>
      <c r="BL188" s="1030">
        <f t="shared" si="284"/>
        <v>0</v>
      </c>
      <c r="BM188" s="1033">
        <f t="shared" si="285"/>
        <v>23.028000000000002</v>
      </c>
      <c r="BN188" s="720">
        <f>IFERROR((J188*VLOOKUP(H188, 'Baumaterialien Matériaux'!$A$11:$AH$318, 32,FALSE))*($L$2/L188-1),0)/$G$1</f>
        <v>4.1242469217694122</v>
      </c>
      <c r="BO188" s="720">
        <f t="shared" ref="BO188:BO194" si="436">IFERROR((N188+Q188)*($L$2/L188-1),0)</f>
        <v>4.6408260330832061</v>
      </c>
    </row>
    <row r="189" spans="2:67">
      <c r="B189" s="1103"/>
      <c r="C189" s="1099"/>
      <c r="D189" s="478"/>
      <c r="E189" s="750">
        <v>0.7</v>
      </c>
      <c r="F189" s="478" t="s">
        <v>3283</v>
      </c>
      <c r="G189" s="478" t="str">
        <f>_xlfn.XLOOKUP(H189, 'Baumaterialien Matériaux'!A:A, 'Baumaterialien Matériaux'!AD:AD, "-", 0, 1)</f>
        <v>GUTEX Pyroresist</v>
      </c>
      <c r="H189" s="892" t="s">
        <v>2997</v>
      </c>
      <c r="I189" s="641" t="str">
        <f>_xlfn.XLOOKUP(H189, 'Baumaterialien Matériaux'!A:A, 'Baumaterialien Matériaux'!F:F, "-", 0, 1)</f>
        <v>kg</v>
      </c>
      <c r="J189" s="649">
        <f t="shared" ref="J189:J192" si="437">$J$187*K189</f>
        <v>1093.8300000000002</v>
      </c>
      <c r="K189" s="893">
        <f>0.02*190</f>
        <v>3.8000000000000003</v>
      </c>
      <c r="L189" s="641">
        <f>'Eléments de constr. inté. et ex'!N105</f>
        <v>30</v>
      </c>
      <c r="M189" s="648">
        <f t="shared" si="414"/>
        <v>4.6618515308662678</v>
      </c>
      <c r="N189" s="720">
        <f>IFERROR(($J189*VLOOKUP($H189, 'Baumaterialien Matériaux'!$A$11:$AH$318, 26,FALSE)),0)/$G$1</f>
        <v>1.7721373491977945</v>
      </c>
      <c r="O189" s="720">
        <f>IFERROR(($J189*VLOOKUP($H189, 'Baumaterialien Matériaux'!$A$11:$AH$318, 33,FALSE)),0)/$G$1</f>
        <v>1.104091881597995</v>
      </c>
      <c r="P189" s="720">
        <f t="shared" ref="P189:P192" si="438">IFERROR((N189+Q189)*($L$2/L189-1),0)</f>
        <v>1.7788798246341364</v>
      </c>
      <c r="Q189" s="720">
        <f>IFERROR(($J189*VLOOKUP($H189, 'Baumaterialien Matériaux'!$A$11:$AH$318, 27,FALSE)),0)/$G$1</f>
        <v>6.7424754363417773E-3</v>
      </c>
      <c r="R189" s="720">
        <f>IFERROR(($J189*VLOOKUP($H189, 'Baumaterialien Matériaux'!$A$11:$AH$318, 34,FALSE)),0)/$G$1</f>
        <v>4.004710032384424E-3</v>
      </c>
      <c r="S189" s="720">
        <f>IFERROR((J189*VLOOKUP(H189, 'Baumaterialien Matériaux'!$A$11:$AD$318, 29,FALSE)),0)/$G$1</f>
        <v>1.5095984826499731</v>
      </c>
      <c r="T189" s="720">
        <f t="shared" si="415"/>
        <v>1.5095984826499731E-2</v>
      </c>
      <c r="U189" s="638">
        <v>0.01</v>
      </c>
      <c r="V189" s="638">
        <f t="shared" si="296"/>
        <v>1.5095984826499731E-2</v>
      </c>
      <c r="W189" s="638">
        <f t="shared" si="297"/>
        <v>1.5095984826499731</v>
      </c>
      <c r="X189" s="638" t="str">
        <f t="shared" ref="X189:X215" si="439">IF(L189=$L$2, "Structure", IF(L189&gt;0,"Revêtement",0))</f>
        <v>Revêtement</v>
      </c>
      <c r="Z189" s="638">
        <f t="shared" si="292"/>
        <v>30</v>
      </c>
      <c r="AA189" s="648" t="s">
        <v>3448</v>
      </c>
      <c r="AB189" t="str">
        <f>_xlfn.XLOOKUP($H189,'[1]Baumaterialien Matériaux'!$A:$A,'[1]Baumaterialien Matériaux'!AK:AK,0,0)</f>
        <v>vegetal_fiber</v>
      </c>
      <c r="AC189" t="str" cm="1">
        <f t="array" ref="AC189">_xlfn.SWITCH(I189,"kg"," ",0," ",_xlfn.XLOOKUP(H189, '[1]Baumaterialien Matériaux'!$A:$A, '[1]Baumaterialien Matériaux'!$AL:$AL, "-", 0, 1))</f>
        <v xml:space="preserve"> </v>
      </c>
      <c r="AD189" s="1112" cm="1">
        <f t="array" ref="AD189">IFERROR(_xlfn.SWITCH(I189,"kg",1,"m3",AC189,AC189)*J189/(_xlfn.XLOOKUP(AA189,Métrés!A:A,Métrés!E:E,0)),0)</f>
        <v>3.8000000000000003</v>
      </c>
      <c r="AE189" s="1092">
        <f>IFERROR(N189*$G$1/(_xlfn.XLOOKUP($AA189,Métrés!$A:$A,Métrés!$E:$E,0)),0)</f>
        <v>5.94</v>
      </c>
      <c r="AF189" s="1092">
        <f>IFERROR(O189*$G$1/(_xlfn.XLOOKUP($AA189,Métrés!$A:$A,Métrés!$E:$E,0)),0)</f>
        <v>3.700788643533123</v>
      </c>
      <c r="AG189" s="1092">
        <f>IFERROR(Q189*$G$1/(_xlfn.XLOOKUP($AA189,Métrés!$A:$A,Métrés!$E:$E,0)),0)</f>
        <v>2.2599999999999999E-2</v>
      </c>
      <c r="AH189" s="1092">
        <f>IFERROR(R189*$G$1/(_xlfn.XLOOKUP($AA189,Métrés!$A:$A,Métrés!$E:$E,0)),0)</f>
        <v>1.3423326133909284E-2</v>
      </c>
      <c r="AI189" s="1092">
        <f>IFERROR(S189*$G$1/(_xlfn.XLOOKUP($AA189,Métrés!$A:$A,Métrés!$E:$E,0)),0)</f>
        <v>5.0600000000000005</v>
      </c>
      <c r="AJ189" s="1022">
        <v>0.01</v>
      </c>
      <c r="AK189" s="638">
        <f t="shared" si="416"/>
        <v>1.5095984826499731E-2</v>
      </c>
      <c r="AL189" s="638">
        <f t="shared" si="417"/>
        <v>1.5095984826499731</v>
      </c>
      <c r="AM189" s="638" t="s">
        <v>3388</v>
      </c>
      <c r="AN189" s="1017">
        <f t="shared" si="418"/>
        <v>0</v>
      </c>
      <c r="AO189" s="638">
        <f t="shared" si="419"/>
        <v>0</v>
      </c>
      <c r="AP189" s="638">
        <f t="shared" si="420"/>
        <v>0</v>
      </c>
      <c r="AQ189" s="1018">
        <f t="shared" si="421"/>
        <v>0</v>
      </c>
      <c r="AR189" s="1018">
        <f t="shared" si="422"/>
        <v>0</v>
      </c>
      <c r="AS189" s="1017">
        <f t="shared" si="423"/>
        <v>1.7721373491977945</v>
      </c>
      <c r="AT189" s="638">
        <f t="shared" si="424"/>
        <v>1.7788798246341364</v>
      </c>
      <c r="AU189" s="638">
        <f t="shared" si="425"/>
        <v>6.7424754363417773E-3</v>
      </c>
      <c r="AV189" s="1018">
        <f t="shared" si="426"/>
        <v>1.5095984826499731</v>
      </c>
      <c r="AW189" s="1018">
        <f t="shared" si="427"/>
        <v>1.5095984826499731E-2</v>
      </c>
      <c r="AX189" s="1017">
        <f t="shared" si="428"/>
        <v>0</v>
      </c>
      <c r="AY189" s="638">
        <f t="shared" si="429"/>
        <v>0</v>
      </c>
      <c r="AZ189" s="638">
        <f t="shared" si="430"/>
        <v>0</v>
      </c>
      <c r="BA189" s="638">
        <f t="shared" si="431"/>
        <v>0</v>
      </c>
      <c r="BB189" s="1018">
        <f t="shared" si="432"/>
        <v>0</v>
      </c>
      <c r="BC189" s="1017"/>
      <c r="BF189" s="1018"/>
      <c r="BG189" s="1017">
        <f t="shared" si="433"/>
        <v>0</v>
      </c>
      <c r="BH189" s="638">
        <f t="shared" si="434"/>
        <v>1093.8300000000002</v>
      </c>
      <c r="BI189" s="1018">
        <f t="shared" si="435"/>
        <v>0</v>
      </c>
      <c r="BJ189" s="638">
        <f>_xlfn.XLOOKUP(H189, 'Baumaterialien Matériaux'!A:A, 'Baumaterialien Matériaux'!E:E, "-", 0, 1)</f>
        <v>190</v>
      </c>
      <c r="BK189" s="1032">
        <f t="shared" si="283"/>
        <v>0</v>
      </c>
      <c r="BL189" s="1030">
        <f t="shared" si="284"/>
        <v>5.7570000000000006</v>
      </c>
      <c r="BM189" s="1033">
        <f t="shared" si="285"/>
        <v>0</v>
      </c>
      <c r="BN189" s="720">
        <f>IFERROR((J189*VLOOKUP(H189, 'Baumaterialien Matériaux'!$A$11:$AH$318, 32,FALSE))*($L$2/L189-1),0)/$G$1</f>
        <v>1.1080965916303795</v>
      </c>
      <c r="BO189" s="720">
        <f t="shared" si="436"/>
        <v>1.7788798246341364</v>
      </c>
    </row>
    <row r="190" spans="2:67">
      <c r="B190" s="1103"/>
      <c r="C190" s="1099"/>
      <c r="D190" s="478"/>
      <c r="E190" s="750">
        <v>0.3</v>
      </c>
      <c r="F190" s="478" t="s">
        <v>3284</v>
      </c>
      <c r="G190" s="478" t="str">
        <f>_xlfn.XLOOKUP(H190, 'Baumaterialien Matériaux'!A:A, 'Baumaterialien Matériaux'!AD:AD, "-", 0, 1)</f>
        <v>GUTEX Pyroresist</v>
      </c>
      <c r="H190" s="885" t="s">
        <v>2997</v>
      </c>
      <c r="I190" s="641" t="str">
        <f>_xlfn.XLOOKUP(H190, 'Baumaterialien Matériaux'!A:A, 'Baumaterialien Matériaux'!F:F, "-", 0, 1)</f>
        <v>kg</v>
      </c>
      <c r="J190" s="649">
        <f t="shared" si="437"/>
        <v>1640.7450000000001</v>
      </c>
      <c r="K190" s="893">
        <f>0.03*190</f>
        <v>5.7</v>
      </c>
      <c r="L190" s="641">
        <f>'Eléments de constr. inté. et ex'!N111</f>
        <v>30</v>
      </c>
      <c r="M190" s="648">
        <f t="shared" si="414"/>
        <v>6.9927772962994013</v>
      </c>
      <c r="N190" s="720">
        <f>IFERROR(($J190*VLOOKUP($H190, 'Baumaterialien Matériaux'!$A$11:$AH$318, 26,FALSE)),0)/$G$1</f>
        <v>2.6582060237966916</v>
      </c>
      <c r="O190" s="720">
        <f>IFERROR(($J190*VLOOKUP($H190, 'Baumaterialien Matériaux'!$A$11:$AH$318, 33,FALSE)),0)/$G$1</f>
        <v>1.6561378223969927</v>
      </c>
      <c r="P190" s="720">
        <f t="shared" si="438"/>
        <v>2.6683197369512044</v>
      </c>
      <c r="Q190" s="720">
        <f>IFERROR(($J190*VLOOKUP($H190, 'Baumaterialien Matériaux'!$A$11:$AH$318, 27,FALSE)),0)/$G$1</f>
        <v>1.0113713154512665E-2</v>
      </c>
      <c r="R190" s="720">
        <f>IFERROR(($J190*VLOOKUP($H190, 'Baumaterialien Matériaux'!$A$11:$AH$318, 34,FALSE)),0)/$G$1</f>
        <v>6.0070650485766356E-3</v>
      </c>
      <c r="S190" s="720">
        <f>IFERROR((J190*VLOOKUP(H190, 'Baumaterialien Matériaux'!$A$11:$AD$318, 29,FALSE)),0)/$G$1</f>
        <v>2.2643977239749598</v>
      </c>
      <c r="T190" s="720">
        <f t="shared" si="415"/>
        <v>2.2643977239749598E-2</v>
      </c>
      <c r="U190" s="638">
        <v>0.01</v>
      </c>
      <c r="V190" s="638">
        <f t="shared" si="296"/>
        <v>2.2643977239749598E-2</v>
      </c>
      <c r="W190" s="638">
        <f t="shared" si="297"/>
        <v>2.2643977239749598</v>
      </c>
      <c r="X190" s="638" t="str">
        <f t="shared" si="439"/>
        <v>Revêtement</v>
      </c>
      <c r="Z190" s="638">
        <f t="shared" si="292"/>
        <v>30</v>
      </c>
      <c r="AA190" s="648" t="s">
        <v>3448</v>
      </c>
      <c r="AB190" t="str">
        <f>_xlfn.XLOOKUP($H190,'[1]Baumaterialien Matériaux'!$A:$A,'[1]Baumaterialien Matériaux'!AK:AK,0,0)</f>
        <v>vegetal_fiber</v>
      </c>
      <c r="AC190" t="str" cm="1">
        <f t="array" ref="AC190">_xlfn.SWITCH(I190,"kg"," ",0," ",_xlfn.XLOOKUP(H190, '[1]Baumaterialien Matériaux'!$A:$A, '[1]Baumaterialien Matériaux'!$AL:$AL, "-", 0, 1))</f>
        <v xml:space="preserve"> </v>
      </c>
      <c r="AD190" s="1112" cm="1">
        <f t="array" ref="AD190">IFERROR(_xlfn.SWITCH(I190,"kg",1,"m3",AC190,AC190)*J190/(_xlfn.XLOOKUP(AA190,Métrés!A:A,Métrés!E:E,0)),0)</f>
        <v>5.7</v>
      </c>
      <c r="AE190" s="1092">
        <f>IFERROR(N190*$G$1/(_xlfn.XLOOKUP($AA190,Métrés!$A:$A,Métrés!$E:$E,0)),0)</f>
        <v>8.91</v>
      </c>
      <c r="AF190" s="1092">
        <f>IFERROR(O190*$G$1/(_xlfn.XLOOKUP($AA190,Métrés!$A:$A,Métrés!$E:$E,0)),0)</f>
        <v>5.5511829652996845</v>
      </c>
      <c r="AG190" s="1092">
        <f>IFERROR(Q190*$G$1/(_xlfn.XLOOKUP($AA190,Métrés!$A:$A,Métrés!$E:$E,0)),0)</f>
        <v>3.39E-2</v>
      </c>
      <c r="AH190" s="1092">
        <f>IFERROR(R190*$G$1/(_xlfn.XLOOKUP($AA190,Métrés!$A:$A,Métrés!$E:$E,0)),0)</f>
        <v>2.0134989200863925E-2</v>
      </c>
      <c r="AI190" s="1092">
        <f>IFERROR(S190*$G$1/(_xlfn.XLOOKUP($AA190,Métrés!$A:$A,Métrés!$E:$E,0)),0)</f>
        <v>7.59</v>
      </c>
      <c r="AJ190" s="1022">
        <v>0.01</v>
      </c>
      <c r="AK190" s="638">
        <f t="shared" si="416"/>
        <v>2.2643977239749598E-2</v>
      </c>
      <c r="AL190" s="638">
        <f t="shared" si="417"/>
        <v>2.2643977239749598</v>
      </c>
      <c r="AM190" s="638" t="s">
        <v>3388</v>
      </c>
      <c r="AN190" s="1017">
        <f t="shared" si="418"/>
        <v>0</v>
      </c>
      <c r="AO190" s="638">
        <f t="shared" si="419"/>
        <v>0</v>
      </c>
      <c r="AP190" s="638">
        <f t="shared" si="420"/>
        <v>0</v>
      </c>
      <c r="AQ190" s="1018">
        <f t="shared" si="421"/>
        <v>0</v>
      </c>
      <c r="AR190" s="1018">
        <f t="shared" si="422"/>
        <v>0</v>
      </c>
      <c r="AS190" s="1017">
        <f t="shared" si="423"/>
        <v>2.6582060237966916</v>
      </c>
      <c r="AT190" s="638">
        <f t="shared" si="424"/>
        <v>2.6683197369512044</v>
      </c>
      <c r="AU190" s="638">
        <f t="shared" si="425"/>
        <v>1.0113713154512665E-2</v>
      </c>
      <c r="AV190" s="1018">
        <f t="shared" si="426"/>
        <v>2.2643977239749598</v>
      </c>
      <c r="AW190" s="1018">
        <f t="shared" si="427"/>
        <v>2.2643977239749598E-2</v>
      </c>
      <c r="AX190" s="1017">
        <f t="shared" si="428"/>
        <v>0</v>
      </c>
      <c r="AY190" s="638">
        <f t="shared" si="429"/>
        <v>0</v>
      </c>
      <c r="AZ190" s="638">
        <f t="shared" si="430"/>
        <v>0</v>
      </c>
      <c r="BA190" s="638">
        <f t="shared" si="431"/>
        <v>0</v>
      </c>
      <c r="BB190" s="1018">
        <f t="shared" si="432"/>
        <v>0</v>
      </c>
      <c r="BC190" s="1017"/>
      <c r="BF190" s="1018"/>
      <c r="BG190" s="1017">
        <f t="shared" si="433"/>
        <v>0</v>
      </c>
      <c r="BH190" s="638">
        <f t="shared" si="434"/>
        <v>1640.7450000000001</v>
      </c>
      <c r="BI190" s="1018">
        <f t="shared" si="435"/>
        <v>0</v>
      </c>
      <c r="BJ190" s="638">
        <f>_xlfn.XLOOKUP(H190, 'Baumaterialien Matériaux'!A:A, 'Baumaterialien Matériaux'!E:E, "-", 0, 1)</f>
        <v>190</v>
      </c>
      <c r="BK190" s="1032">
        <f t="shared" si="283"/>
        <v>0</v>
      </c>
      <c r="BL190" s="1030">
        <f t="shared" si="284"/>
        <v>8.6355000000000004</v>
      </c>
      <c r="BM190" s="1033">
        <f t="shared" si="285"/>
        <v>0</v>
      </c>
      <c r="BN190" s="720">
        <f>IFERROR((J190*VLOOKUP(H190, 'Baumaterialien Matériaux'!$A$11:$AH$318, 32,FALSE))*($L$2/L190-1),0)/$G$1</f>
        <v>1.6621448874455691</v>
      </c>
      <c r="BO190" s="720">
        <f t="shared" si="436"/>
        <v>2.6683197369512044</v>
      </c>
    </row>
    <row r="191" spans="2:67">
      <c r="B191" s="1103"/>
      <c r="C191" s="1099"/>
      <c r="D191" s="478"/>
      <c r="E191" s="750">
        <v>0.3</v>
      </c>
      <c r="F191" s="638" t="s">
        <v>3313</v>
      </c>
      <c r="G191" s="478" t="str">
        <f>_xlfn.XLOOKUP(H191, 'Baumaterialien Matériaux'!A:A, 'Baumaterialien Matériaux'!AD:AD, "-", 0, 1)</f>
        <v>Gravier concassé</v>
      </c>
      <c r="H191" s="885" t="s">
        <v>750</v>
      </c>
      <c r="I191" s="641" t="str">
        <f>_xlfn.XLOOKUP(H191, 'Baumaterialien Matériaux'!A:A, 'Baumaterialien Matériaux'!F:F, "-", 0, 1)</f>
        <v>kg</v>
      </c>
      <c r="J191" s="649">
        <f t="shared" si="437"/>
        <v>46056</v>
      </c>
      <c r="K191" s="893">
        <f>0.08*2000</f>
        <v>160</v>
      </c>
      <c r="L191" s="641">
        <f>'Eléments de constr. inté. et ex'!N112</f>
        <v>30</v>
      </c>
      <c r="M191" s="648">
        <f t="shared" si="414"/>
        <v>1.8043580282741181</v>
      </c>
      <c r="N191" s="720">
        <f>IFERROR(($J191*VLOOKUP($H191, 'Baumaterialien Matériaux'!$A$11:$AH$318, 26,FALSE)),0)/$G$1</f>
        <v>0.24249044401144232</v>
      </c>
      <c r="O191" s="720">
        <f>IFERROR(($J191*VLOOKUP($H191, 'Baumaterialien Matériaux'!$A$11:$AH$318, 33,FALSE)),0)/$G$1</f>
        <v>9.7378052319555583E-2</v>
      </c>
      <c r="P191" s="720">
        <f t="shared" si="438"/>
        <v>0.85348998797728126</v>
      </c>
      <c r="Q191" s="720">
        <f>IFERROR(($J191*VLOOKUP($H191, 'Baumaterialien Matériaux'!$A$11:$AH$318, 27,FALSE)),0)/$G$1</f>
        <v>0.61099954396583889</v>
      </c>
      <c r="R191" s="720">
        <f>IFERROR(($J191*VLOOKUP($H191, 'Baumaterialien Matériaux'!$A$11:$AH$318, 34,FALSE)),0)/$G$1</f>
        <v>0.11265304091870154</v>
      </c>
      <c r="S191" s="720">
        <f>IFERROR((J191*VLOOKUP(H191, 'Baumaterialien Matériaux'!$A$11:$AD$318, 29,FALSE)),0)/$G$1</f>
        <v>0</v>
      </c>
      <c r="T191" s="720">
        <f t="shared" si="415"/>
        <v>0</v>
      </c>
      <c r="V191" s="638">
        <f t="shared" si="296"/>
        <v>0</v>
      </c>
      <c r="W191" s="638">
        <f t="shared" si="297"/>
        <v>0</v>
      </c>
      <c r="X191" s="638" t="str">
        <f t="shared" si="439"/>
        <v>Revêtement</v>
      </c>
      <c r="Z191" s="638">
        <f t="shared" si="292"/>
        <v>30</v>
      </c>
      <c r="AA191" s="648" t="s">
        <v>3448</v>
      </c>
      <c r="AB191" t="str">
        <f>_xlfn.XLOOKUP($H191,'[1]Baumaterialien Matériaux'!$A:$A,'[1]Baumaterialien Matériaux'!AK:AK,0,0)</f>
        <v>stone</v>
      </c>
      <c r="AC191" t="str" cm="1">
        <f t="array" ref="AC191">_xlfn.SWITCH(I191,"kg"," ",0," ",_xlfn.XLOOKUP(H191, '[1]Baumaterialien Matériaux'!$A:$A, '[1]Baumaterialien Matériaux'!$AL:$AL, "-", 0, 1))</f>
        <v xml:space="preserve"> </v>
      </c>
      <c r="AD191" s="1112" cm="1">
        <f t="array" ref="AD191">IFERROR(_xlfn.SWITCH(I191,"kg",1,"m3",AC191,AC191)*J191/(_xlfn.XLOOKUP(AA191,Métrés!A:A,Métrés!E:E,0)),0)</f>
        <v>160</v>
      </c>
      <c r="AE191" s="1092">
        <f>IFERROR(N191*$G$1/(_xlfn.XLOOKUP($AA191,Métrés!$A:$A,Métrés!$E:$E,0)),0)</f>
        <v>0.81279999999999997</v>
      </c>
      <c r="AF191" s="1092">
        <f>IFERROR(O191*$G$1/(_xlfn.XLOOKUP($AA191,Métrés!$A:$A,Métrés!$E:$E,0)),0)</f>
        <v>0.32640000000000002</v>
      </c>
      <c r="AG191" s="1092">
        <f>IFERROR(Q191*$G$1/(_xlfn.XLOOKUP($AA191,Métrés!$A:$A,Métrés!$E:$E,0)),0)</f>
        <v>2.0479999999999996</v>
      </c>
      <c r="AH191" s="1092">
        <f>IFERROR(R191*$G$1/(_xlfn.XLOOKUP($AA191,Métrés!$A:$A,Métrés!$E:$E,0)),0)</f>
        <v>0.37759999999999999</v>
      </c>
      <c r="AI191" s="1092">
        <f>IFERROR(S191*$G$1/(_xlfn.XLOOKUP($AA191,Métrés!$A:$A,Métrés!$E:$E,0)),0)</f>
        <v>0</v>
      </c>
      <c r="AJ191" s="1022"/>
      <c r="AK191" s="638">
        <f t="shared" si="416"/>
        <v>0</v>
      </c>
      <c r="AL191" s="638">
        <f t="shared" si="417"/>
        <v>0</v>
      </c>
      <c r="AM191" s="638" t="str">
        <f>IF(L191=$L$2, "Structure", IF(L191&gt;0,"Revêtement",0))</f>
        <v>Revêtement</v>
      </c>
      <c r="AN191" s="1017">
        <f t="shared" si="418"/>
        <v>0</v>
      </c>
      <c r="AO191" s="638">
        <f t="shared" si="419"/>
        <v>0</v>
      </c>
      <c r="AP191" s="638">
        <f t="shared" si="420"/>
        <v>0</v>
      </c>
      <c r="AQ191" s="1018">
        <f t="shared" si="421"/>
        <v>0</v>
      </c>
      <c r="AR191" s="1018">
        <f t="shared" si="422"/>
        <v>0</v>
      </c>
      <c r="AS191" s="1017">
        <f t="shared" si="423"/>
        <v>0</v>
      </c>
      <c r="AT191" s="638">
        <f t="shared" si="424"/>
        <v>0</v>
      </c>
      <c r="AU191" s="638">
        <f t="shared" si="425"/>
        <v>0</v>
      </c>
      <c r="AV191" s="1018">
        <f t="shared" si="426"/>
        <v>0</v>
      </c>
      <c r="AW191" s="1018">
        <f t="shared" si="427"/>
        <v>0</v>
      </c>
      <c r="AX191" s="1017">
        <f t="shared" si="428"/>
        <v>0.24249044401144232</v>
      </c>
      <c r="AY191" s="638">
        <f t="shared" si="429"/>
        <v>0.85348998797728126</v>
      </c>
      <c r="AZ191" s="638">
        <f t="shared" si="430"/>
        <v>0.61099954396583889</v>
      </c>
      <c r="BA191" s="638">
        <f t="shared" si="431"/>
        <v>0</v>
      </c>
      <c r="BB191" s="1018">
        <f t="shared" si="432"/>
        <v>0</v>
      </c>
      <c r="BC191" s="1017"/>
      <c r="BF191" s="1018"/>
      <c r="BG191" s="1017">
        <f t="shared" si="433"/>
        <v>0</v>
      </c>
      <c r="BH191" s="638">
        <f t="shared" si="434"/>
        <v>0</v>
      </c>
      <c r="BI191" s="1018">
        <f t="shared" si="435"/>
        <v>46056</v>
      </c>
      <c r="BJ191" s="638">
        <f>_xlfn.XLOOKUP(H191, 'Baumaterialien Matériaux'!A:A, 'Baumaterialien Matériaux'!E:E, "-", 0, 1)</f>
        <v>2000</v>
      </c>
      <c r="BK191" s="1032">
        <f t="shared" si="283"/>
        <v>0</v>
      </c>
      <c r="BL191" s="1030">
        <f t="shared" si="284"/>
        <v>0</v>
      </c>
      <c r="BM191" s="1033">
        <f t="shared" si="285"/>
        <v>23.027999999999999</v>
      </c>
      <c r="BN191" s="720">
        <f>IFERROR((J191*VLOOKUP(H191, 'Baumaterialien Matériaux'!$A$11:$AH$318, 32,FALSE))*($L$2/L191-1),0)/$G$1</f>
        <v>0.20955374984453379</v>
      </c>
      <c r="BO191" s="720">
        <f t="shared" si="436"/>
        <v>0.85348998797728126</v>
      </c>
    </row>
    <row r="192" spans="2:67">
      <c r="B192" s="1103"/>
      <c r="C192" s="1099"/>
      <c r="D192" s="478"/>
      <c r="E192" s="478"/>
      <c r="F192" s="478" t="s">
        <v>3314</v>
      </c>
      <c r="G192" s="478" t="str">
        <f>_xlfn.XLOOKUP(H192, 'Baumaterialien Matériaux'!A:A, 'Baumaterialien Matériaux'!AD:AD, "-", 0, 1)</f>
        <v>Gramitherm</v>
      </c>
      <c r="H192" s="875" t="s">
        <v>545</v>
      </c>
      <c r="I192" s="641" t="str">
        <f>_xlfn.XLOOKUP(H192, 'Baumaterialien Matériaux'!A:A, 'Baumaterialien Matériaux'!F:F, "-", 0, 1)</f>
        <v>kg</v>
      </c>
      <c r="J192" s="649">
        <f t="shared" si="437"/>
        <v>4145.04</v>
      </c>
      <c r="K192" s="894">
        <f>0.36*40</f>
        <v>14.399999999999999</v>
      </c>
      <c r="L192" s="641">
        <f>'Eléments de constr. inté. et ex'!N113</f>
        <v>30</v>
      </c>
      <c r="M192" s="648">
        <f t="shared" si="414"/>
        <v>3.3509506239376474</v>
      </c>
      <c r="N192" s="720">
        <f>IFERROR(($J192*VLOOKUP($H192, 'Baumaterialien Matériaux'!$A$11:$AH$318, 26,FALSE)),0)/$G$1</f>
        <v>1.1169835413125491</v>
      </c>
      <c r="O192" s="720">
        <f>IFERROR(($J192*VLOOKUP($H192, 'Baumaterialien Matériaux'!$A$11:$AH$318, 33,FALSE)),0)/$G$1</f>
        <v>1.1169835413125491</v>
      </c>
      <c r="P192" s="720">
        <f t="shared" si="438"/>
        <v>1.1169835413125491</v>
      </c>
      <c r="Q192" s="720">
        <f>IFERROR(($J192*VLOOKUP($H192, 'Baumaterialien Matériaux'!$A$11:$AH$318, 27,FALSE)),0)/$G$1</f>
        <v>0</v>
      </c>
      <c r="R192" s="720">
        <f>IFERROR(($J192*VLOOKUP($H192, 'Baumaterialien Matériaux'!$A$11:$AH$318, 34,FALSE)),0)/$G$1</f>
        <v>0</v>
      </c>
      <c r="S192" s="720">
        <f>IFERROR((J192*VLOOKUP(H192, 'Baumaterialien Matériaux'!$A$11:$AD$318, 29,FALSE)),0)/$G$1</f>
        <v>6.14340947721902</v>
      </c>
      <c r="T192" s="720">
        <f t="shared" si="415"/>
        <v>-1.4129841797603746</v>
      </c>
      <c r="U192" s="638">
        <v>-0.23</v>
      </c>
      <c r="V192" s="638">
        <f t="shared" si="296"/>
        <v>-1.4129841797603746</v>
      </c>
      <c r="W192" s="638">
        <f t="shared" si="297"/>
        <v>6.14340947721902</v>
      </c>
      <c r="X192" s="638" t="str">
        <f t="shared" si="439"/>
        <v>Revêtement</v>
      </c>
      <c r="Z192" s="638">
        <f t="shared" si="292"/>
        <v>30</v>
      </c>
      <c r="AA192" s="648" t="s">
        <v>3448</v>
      </c>
      <c r="AB192" t="str">
        <f>_xlfn.XLOOKUP($H192,'[1]Baumaterialien Matériaux'!$A:$A,'[1]Baumaterialien Matériaux'!AK:AK,0,0)</f>
        <v>vegetal_fiber</v>
      </c>
      <c r="AC192" t="str" cm="1">
        <f t="array" ref="AC192">_xlfn.SWITCH(I192,"kg"," ",0," ",_xlfn.XLOOKUP(H192, '[1]Baumaterialien Matériaux'!$A:$A, '[1]Baumaterialien Matériaux'!$AL:$AL, "-", 0, 1))</f>
        <v xml:space="preserve"> </v>
      </c>
      <c r="AD192" s="1112" cm="1">
        <f t="array" ref="AD192">IFERROR(_xlfn.SWITCH(I192,"kg",1,"m3",AC192,AC192)*J192/(_xlfn.XLOOKUP(AA192,Métrés!A:A,Métrés!E:E,0)),0)</f>
        <v>14.399999999999999</v>
      </c>
      <c r="AE192" s="1092">
        <f>IFERROR(N192*$G$1/(_xlfn.XLOOKUP($AA192,Métrés!$A:$A,Métrés!$E:$E,0)),0)</f>
        <v>3.7439999999999993</v>
      </c>
      <c r="AF192" s="1092">
        <f>IFERROR(O192*$G$1/(_xlfn.XLOOKUP($AA192,Métrés!$A:$A,Métrés!$E:$E,0)),0)</f>
        <v>3.7439999999999993</v>
      </c>
      <c r="AG192" s="1092">
        <f>IFERROR(Q192*$G$1/(_xlfn.XLOOKUP($AA192,Métrés!$A:$A,Métrés!$E:$E,0)),0)</f>
        <v>0</v>
      </c>
      <c r="AH192" s="1092">
        <f>IFERROR(R192*$G$1/(_xlfn.XLOOKUP($AA192,Métrés!$A:$A,Métrés!$E:$E,0)),0)</f>
        <v>0</v>
      </c>
      <c r="AI192" s="1092">
        <f>IFERROR(S192*$G$1/(_xlfn.XLOOKUP($AA192,Métrés!$A:$A,Métrés!$E:$E,0)),0)</f>
        <v>20.591999999999999</v>
      </c>
      <c r="AJ192" s="1022">
        <v>-0.23</v>
      </c>
      <c r="AK192" s="638">
        <f t="shared" si="416"/>
        <v>-1.4129841797603746</v>
      </c>
      <c r="AL192" s="638">
        <f t="shared" si="417"/>
        <v>6.14340947721902</v>
      </c>
      <c r="AM192" s="638" t="s">
        <v>3388</v>
      </c>
      <c r="AN192" s="1017">
        <f t="shared" si="418"/>
        <v>0</v>
      </c>
      <c r="AO192" s="638">
        <f t="shared" si="419"/>
        <v>0</v>
      </c>
      <c r="AP192" s="638">
        <f t="shared" si="420"/>
        <v>0</v>
      </c>
      <c r="AQ192" s="1018">
        <f t="shared" si="421"/>
        <v>0</v>
      </c>
      <c r="AR192" s="1018">
        <f t="shared" si="422"/>
        <v>0</v>
      </c>
      <c r="AS192" s="1017">
        <f t="shared" si="423"/>
        <v>1.1169835413125491</v>
      </c>
      <c r="AT192" s="638">
        <f t="shared" si="424"/>
        <v>1.1169835413125491</v>
      </c>
      <c r="AU192" s="638">
        <f t="shared" si="425"/>
        <v>0</v>
      </c>
      <c r="AV192" s="1018">
        <f t="shared" si="426"/>
        <v>6.14340947721902</v>
      </c>
      <c r="AW192" s="1018">
        <f t="shared" si="427"/>
        <v>-1.4129841797603746</v>
      </c>
      <c r="AX192" s="1017">
        <f t="shared" si="428"/>
        <v>0</v>
      </c>
      <c r="AY192" s="638">
        <f t="shared" si="429"/>
        <v>0</v>
      </c>
      <c r="AZ192" s="638">
        <f t="shared" si="430"/>
        <v>0</v>
      </c>
      <c r="BA192" s="638">
        <f t="shared" si="431"/>
        <v>0</v>
      </c>
      <c r="BB192" s="1018">
        <f t="shared" si="432"/>
        <v>0</v>
      </c>
      <c r="BC192" s="1017"/>
      <c r="BF192" s="1018"/>
      <c r="BG192" s="1017">
        <f t="shared" si="433"/>
        <v>0</v>
      </c>
      <c r="BH192" s="638">
        <f t="shared" si="434"/>
        <v>4145.04</v>
      </c>
      <c r="BI192" s="1018">
        <f t="shared" si="435"/>
        <v>0</v>
      </c>
      <c r="BJ192" s="638">
        <f>_xlfn.XLOOKUP(H192, 'Baumaterialien Matériaux'!A:A, 'Baumaterialien Matériaux'!E:E, "-", 0, 1)</f>
        <v>0</v>
      </c>
      <c r="BK192" s="1032">
        <f t="shared" si="283"/>
        <v>0</v>
      </c>
      <c r="BL192" s="1030">
        <f t="shared" si="284"/>
        <v>0</v>
      </c>
      <c r="BM192" s="1033">
        <f t="shared" si="285"/>
        <v>0</v>
      </c>
      <c r="BN192" s="720">
        <f>IFERROR((J192*VLOOKUP(H192, 'Baumaterialien Matériaux'!$A$11:$AH$318, 32,FALSE))*($L$2/L192-1),0)/$G$1</f>
        <v>1.1169835413125491</v>
      </c>
      <c r="BO192" s="720">
        <f t="shared" si="436"/>
        <v>1.1169835413125491</v>
      </c>
    </row>
    <row r="193" spans="2:67">
      <c r="B193" s="1103"/>
      <c r="C193" s="1099"/>
      <c r="D193" s="478"/>
      <c r="E193" s="478"/>
      <c r="G193" s="478"/>
      <c r="H193" s="895"/>
      <c r="I193" s="641"/>
      <c r="J193" s="649"/>
      <c r="K193" s="647"/>
      <c r="L193" s="641"/>
      <c r="M193" s="648"/>
      <c r="N193" s="720"/>
      <c r="O193" s="720"/>
      <c r="P193" s="720"/>
      <c r="Q193" s="720"/>
      <c r="R193" s="720"/>
      <c r="S193" s="720"/>
      <c r="T193" s="720">
        <f t="shared" si="415"/>
        <v>0</v>
      </c>
      <c r="V193" s="638">
        <f t="shared" si="296"/>
        <v>0</v>
      </c>
      <c r="W193" s="638">
        <f t="shared" si="297"/>
        <v>0</v>
      </c>
      <c r="X193" s="638">
        <f t="shared" si="439"/>
        <v>0</v>
      </c>
      <c r="Z193" s="638">
        <f t="shared" si="292"/>
        <v>0</v>
      </c>
      <c r="AA193" s="648" t="s">
        <v>3448</v>
      </c>
      <c r="AB193">
        <f>_xlfn.XLOOKUP($H193,'[1]Baumaterialien Matériaux'!$A:$A,'[1]Baumaterialien Matériaux'!AK:AK,0,0)</f>
        <v>0</v>
      </c>
      <c r="AC193" t="str" cm="1">
        <f t="array" ref="AC193">_xlfn.SWITCH(I193,"kg"," ",0," ",_xlfn.XLOOKUP(H193, '[1]Baumaterialien Matériaux'!$A:$A, '[1]Baumaterialien Matériaux'!$AL:$AL, "-", 0, 1))</f>
        <v xml:space="preserve"> </v>
      </c>
      <c r="AD193" s="1112" cm="1">
        <f t="array" ref="AD193">IFERROR(_xlfn.SWITCH(I193,"kg",1,"m3",AC193,AC193)*J193/(_xlfn.XLOOKUP(AA193,Métrés!A:A,Métrés!E:E,0)),0)</f>
        <v>0</v>
      </c>
      <c r="AE193" s="1092">
        <f>IFERROR(N193*$G$1/(_xlfn.XLOOKUP($AA193,Métrés!$A:$A,Métrés!$E:$E,0)),0)</f>
        <v>0</v>
      </c>
      <c r="AF193" s="1092">
        <f>IFERROR(O193*$G$1/(_xlfn.XLOOKUP($AA193,Métrés!$A:$A,Métrés!$E:$E,0)),0)</f>
        <v>0</v>
      </c>
      <c r="AG193" s="1092">
        <f>IFERROR(Q193*$G$1/(_xlfn.XLOOKUP($AA193,Métrés!$A:$A,Métrés!$E:$E,0)),0)</f>
        <v>0</v>
      </c>
      <c r="AH193" s="1092">
        <f>IFERROR(R193*$G$1/(_xlfn.XLOOKUP($AA193,Métrés!$A:$A,Métrés!$E:$E,0)),0)</f>
        <v>0</v>
      </c>
      <c r="AI193" s="1092">
        <f>IFERROR(S193*$G$1/(_xlfn.XLOOKUP($AA193,Métrés!$A:$A,Métrés!$E:$E,0)),0)</f>
        <v>0</v>
      </c>
      <c r="AJ193" s="1022"/>
      <c r="AK193" s="638">
        <f t="shared" si="416"/>
        <v>0</v>
      </c>
      <c r="AL193" s="638">
        <f t="shared" si="417"/>
        <v>0</v>
      </c>
      <c r="AM193" s="638">
        <f>IF(L193=$L$2, "Structure", IF(L193&gt;0,"Revêtement",0))</f>
        <v>0</v>
      </c>
      <c r="AN193" s="1017">
        <f t="shared" si="418"/>
        <v>0</v>
      </c>
      <c r="AO193" s="638">
        <f t="shared" si="419"/>
        <v>0</v>
      </c>
      <c r="AP193" s="638">
        <f t="shared" si="420"/>
        <v>0</v>
      </c>
      <c r="AQ193" s="1018">
        <f t="shared" si="421"/>
        <v>0</v>
      </c>
      <c r="AR193" s="1018">
        <f t="shared" si="422"/>
        <v>0</v>
      </c>
      <c r="AS193" s="1017">
        <f t="shared" si="423"/>
        <v>0</v>
      </c>
      <c r="AT193" s="638">
        <f t="shared" si="424"/>
        <v>0</v>
      </c>
      <c r="AU193" s="638">
        <f t="shared" si="425"/>
        <v>0</v>
      </c>
      <c r="AV193" s="1018">
        <f t="shared" si="426"/>
        <v>0</v>
      </c>
      <c r="AW193" s="1018">
        <f t="shared" si="427"/>
        <v>0</v>
      </c>
      <c r="AX193" s="1017">
        <f t="shared" si="428"/>
        <v>0</v>
      </c>
      <c r="AY193" s="638">
        <f t="shared" si="429"/>
        <v>0</v>
      </c>
      <c r="AZ193" s="638">
        <f t="shared" si="430"/>
        <v>0</v>
      </c>
      <c r="BA193" s="638">
        <f t="shared" si="431"/>
        <v>0</v>
      </c>
      <c r="BB193" s="1018">
        <f t="shared" si="432"/>
        <v>0</v>
      </c>
      <c r="BC193" s="1017"/>
      <c r="BF193" s="1018"/>
      <c r="BG193" s="1017">
        <f t="shared" si="433"/>
        <v>0</v>
      </c>
      <c r="BH193" s="638">
        <f t="shared" si="434"/>
        <v>0</v>
      </c>
      <c r="BI193" s="1018">
        <f t="shared" si="435"/>
        <v>0</v>
      </c>
      <c r="BJ193" s="638">
        <f>_xlfn.XLOOKUP(H193, 'Baumaterialien Matériaux'!A:A, 'Baumaterialien Matériaux'!E:E, "-", 0, 1)</f>
        <v>0</v>
      </c>
      <c r="BK193" s="1032">
        <f t="shared" si="283"/>
        <v>0</v>
      </c>
      <c r="BL193" s="1030">
        <f t="shared" si="284"/>
        <v>0</v>
      </c>
      <c r="BM193" s="1033">
        <f t="shared" si="285"/>
        <v>0</v>
      </c>
      <c r="BN193" s="720">
        <f>IFERROR((J193*VLOOKUP(H193, 'Baumaterialien Matériaux'!$A$11:$AH$318, 32,FALSE))*($L$2/L193-1),0)/$G$1</f>
        <v>0</v>
      </c>
      <c r="BO193" s="720">
        <f t="shared" si="436"/>
        <v>0</v>
      </c>
    </row>
    <row r="194" spans="2:67">
      <c r="B194" s="1103"/>
      <c r="C194" s="1099"/>
      <c r="D194" s="478"/>
      <c r="E194" s="478"/>
      <c r="F194" s="478"/>
      <c r="G194" s="478"/>
      <c r="H194" s="478"/>
      <c r="I194" s="641"/>
      <c r="J194" s="649"/>
      <c r="K194" s="641"/>
      <c r="L194" s="641"/>
      <c r="M194" s="648"/>
      <c r="N194" s="720"/>
      <c r="O194" s="720"/>
      <c r="P194" s="720"/>
      <c r="Q194" s="720"/>
      <c r="R194" s="720"/>
      <c r="S194" s="720"/>
      <c r="T194" s="720">
        <f t="shared" si="415"/>
        <v>0</v>
      </c>
      <c r="V194" s="638">
        <f t="shared" si="296"/>
        <v>0</v>
      </c>
      <c r="W194" s="638">
        <f t="shared" si="297"/>
        <v>0</v>
      </c>
      <c r="X194" s="638">
        <f t="shared" si="439"/>
        <v>0</v>
      </c>
      <c r="Z194" s="638">
        <f t="shared" si="292"/>
        <v>0</v>
      </c>
      <c r="AA194" s="648" t="s">
        <v>3448</v>
      </c>
      <c r="AB194">
        <f>_xlfn.XLOOKUP($H194,'[1]Baumaterialien Matériaux'!$A:$A,'[1]Baumaterialien Matériaux'!AK:AK,0,0)</f>
        <v>0</v>
      </c>
      <c r="AC194" t="str" cm="1">
        <f t="array" ref="AC194">_xlfn.SWITCH(I194,"kg"," ",0," ",_xlfn.XLOOKUP(H194, '[1]Baumaterialien Matériaux'!$A:$A, '[1]Baumaterialien Matériaux'!$AL:$AL, "-", 0, 1))</f>
        <v xml:space="preserve"> </v>
      </c>
      <c r="AD194" s="1112" cm="1">
        <f t="array" ref="AD194">IFERROR(_xlfn.SWITCH(I194,"kg",1,"m3",AC194,AC194)*J194/(_xlfn.XLOOKUP(AA194,Métrés!A:A,Métrés!E:E,0)),0)</f>
        <v>0</v>
      </c>
      <c r="AE194" s="1092">
        <f>IFERROR(N194*$G$1/(_xlfn.XLOOKUP($AA194,Métrés!$A:$A,Métrés!$E:$E,0)),0)</f>
        <v>0</v>
      </c>
      <c r="AF194" s="1092">
        <f>IFERROR(O194*$G$1/(_xlfn.XLOOKUP($AA194,Métrés!$A:$A,Métrés!$E:$E,0)),0)</f>
        <v>0</v>
      </c>
      <c r="AG194" s="1092">
        <f>IFERROR(Q194*$G$1/(_xlfn.XLOOKUP($AA194,Métrés!$A:$A,Métrés!$E:$E,0)),0)</f>
        <v>0</v>
      </c>
      <c r="AH194" s="1092">
        <f>IFERROR(R194*$G$1/(_xlfn.XLOOKUP($AA194,Métrés!$A:$A,Métrés!$E:$E,0)),0)</f>
        <v>0</v>
      </c>
      <c r="AI194" s="1092">
        <f>IFERROR(S194*$G$1/(_xlfn.XLOOKUP($AA194,Métrés!$A:$A,Métrés!$E:$E,0)),0)</f>
        <v>0</v>
      </c>
      <c r="AJ194" s="1022"/>
      <c r="AK194" s="638">
        <f t="shared" si="416"/>
        <v>0</v>
      </c>
      <c r="AL194" s="638">
        <f t="shared" si="417"/>
        <v>0</v>
      </c>
      <c r="AM194" s="638">
        <f>IF(L194=$L$2, "Structure", IF(L194&gt;0,"Revêtement",0))</f>
        <v>0</v>
      </c>
      <c r="AN194" s="1017">
        <f t="shared" si="418"/>
        <v>0</v>
      </c>
      <c r="AO194" s="638">
        <f t="shared" si="419"/>
        <v>0</v>
      </c>
      <c r="AP194" s="638">
        <f t="shared" si="420"/>
        <v>0</v>
      </c>
      <c r="AQ194" s="1018">
        <f t="shared" si="421"/>
        <v>0</v>
      </c>
      <c r="AR194" s="1018">
        <f t="shared" si="422"/>
        <v>0</v>
      </c>
      <c r="AS194" s="1017">
        <f t="shared" si="423"/>
        <v>0</v>
      </c>
      <c r="AT194" s="638">
        <f t="shared" si="424"/>
        <v>0</v>
      </c>
      <c r="AU194" s="638">
        <f t="shared" si="425"/>
        <v>0</v>
      </c>
      <c r="AV194" s="1018">
        <f t="shared" si="426"/>
        <v>0</v>
      </c>
      <c r="AW194" s="1018">
        <f t="shared" si="427"/>
        <v>0</v>
      </c>
      <c r="AX194" s="1017">
        <f t="shared" si="428"/>
        <v>0</v>
      </c>
      <c r="AY194" s="638">
        <f t="shared" si="429"/>
        <v>0</v>
      </c>
      <c r="AZ194" s="638">
        <f t="shared" si="430"/>
        <v>0</v>
      </c>
      <c r="BA194" s="638">
        <f t="shared" si="431"/>
        <v>0</v>
      </c>
      <c r="BB194" s="1018">
        <f t="shared" si="432"/>
        <v>0</v>
      </c>
      <c r="BC194" s="1017"/>
      <c r="BF194" s="1018"/>
      <c r="BG194" s="1017">
        <f t="shared" si="433"/>
        <v>0</v>
      </c>
      <c r="BH194" s="638">
        <f t="shared" si="434"/>
        <v>0</v>
      </c>
      <c r="BI194" s="1018">
        <f t="shared" si="435"/>
        <v>0</v>
      </c>
      <c r="BJ194" s="638">
        <f>_xlfn.XLOOKUP(H194, 'Baumaterialien Matériaux'!A:A, 'Baumaterialien Matériaux'!E:E, "-", 0, 1)</f>
        <v>0</v>
      </c>
      <c r="BK194" s="1032">
        <f t="shared" si="283"/>
        <v>0</v>
      </c>
      <c r="BL194" s="1030">
        <f t="shared" si="284"/>
        <v>0</v>
      </c>
      <c r="BM194" s="1033">
        <f t="shared" si="285"/>
        <v>0</v>
      </c>
      <c r="BN194" s="720">
        <f>IFERROR((J194*VLOOKUP(H194, 'Baumaterialien Matériaux'!$A$11:$AH$318, 32,FALSE))*($L$2/L194-1),0)/$G$1</f>
        <v>0</v>
      </c>
      <c r="BO194" s="720">
        <f t="shared" si="436"/>
        <v>0</v>
      </c>
    </row>
    <row r="195" spans="2:67">
      <c r="B195" s="1103"/>
      <c r="C195" s="1099"/>
      <c r="D195" s="478" t="s">
        <v>2992</v>
      </c>
      <c r="E195" s="812" t="str">
        <f>BillQuantities!E32</f>
        <v>Isolation contre non chauffé</v>
      </c>
      <c r="F195" s="479" t="s">
        <v>3065</v>
      </c>
      <c r="G195" s="479"/>
      <c r="H195" s="479"/>
      <c r="I195" s="459" t="s">
        <v>39</v>
      </c>
      <c r="J195" s="662">
        <v>41.27</v>
      </c>
      <c r="K195" s="663"/>
      <c r="L195" s="663"/>
      <c r="M195" s="664">
        <f>SUM(M196:M197)</f>
        <v>0.13454283487417601</v>
      </c>
      <c r="N195" s="664">
        <f t="shared" ref="N195:T195" si="440">SUM(N196:N197)</f>
        <v>5.338186642344845E-2</v>
      </c>
      <c r="O195" s="664">
        <f t="shared" ref="O195" si="441">SUM(O196:O197)</f>
        <v>2.1660718875668505E-2</v>
      </c>
      <c r="P195" s="664">
        <f t="shared" si="440"/>
        <v>5.6441057999253766E-2</v>
      </c>
      <c r="Q195" s="664">
        <f t="shared" si="440"/>
        <v>3.0591915758053146E-3</v>
      </c>
      <c r="R195" s="664">
        <f t="shared" ref="R195" si="442">SUM(R196:R197)</f>
        <v>1.7862393764769287E-4</v>
      </c>
      <c r="S195" s="664">
        <f t="shared" si="440"/>
        <v>0</v>
      </c>
      <c r="T195" s="664">
        <f t="shared" si="440"/>
        <v>0</v>
      </c>
      <c r="V195" s="638">
        <f t="shared" si="296"/>
        <v>0</v>
      </c>
      <c r="W195" s="638">
        <f t="shared" si="297"/>
        <v>0</v>
      </c>
      <c r="X195" s="638">
        <f t="shared" si="439"/>
        <v>0</v>
      </c>
      <c r="Z195" s="638">
        <f t="shared" si="292"/>
        <v>0</v>
      </c>
      <c r="AB195">
        <f>_xlfn.XLOOKUP($H195,'[1]Baumaterialien Matériaux'!$A:$A,'[1]Baumaterialien Matériaux'!AK:AK,0,0)</f>
        <v>0</v>
      </c>
      <c r="AC195" cm="1">
        <f t="array" ref="AC195">_xlfn.SWITCH(I195,"kg"," ",0," ",_xlfn.XLOOKUP(H195, '[1]Baumaterialien Matériaux'!$A:$A, '[1]Baumaterialien Matériaux'!$AL:$AL, "-", 0, 1))</f>
        <v>0</v>
      </c>
      <c r="AD195" s="1112" cm="1">
        <f t="array" ref="AD195">IFERROR(_xlfn.SWITCH(I195,"kg",1,"m3",AC195,AC195)*J195/(_xlfn.XLOOKUP(AA195,Métrés!A:A,Métrés!E:E,0)),0)</f>
        <v>0</v>
      </c>
      <c r="AE195" s="1092">
        <f>IFERROR(N195*$G$1/(_xlfn.XLOOKUP($AA195,Métrés!$A:$A,Métrés!$E:$E,0)),0)</f>
        <v>0</v>
      </c>
      <c r="AF195" s="1092">
        <f>IFERROR(O195*$G$1/(_xlfn.XLOOKUP($AA195,Métrés!$A:$A,Métrés!$E:$E,0)),0)</f>
        <v>0</v>
      </c>
      <c r="AG195" s="1092">
        <f>IFERROR(Q195*$G$1/(_xlfn.XLOOKUP($AA195,Métrés!$A:$A,Métrés!$E:$E,0)),0)</f>
        <v>0</v>
      </c>
      <c r="AH195" s="1092">
        <f>IFERROR(R195*$G$1/(_xlfn.XLOOKUP($AA195,Métrés!$A:$A,Métrés!$E:$E,0)),0)</f>
        <v>0</v>
      </c>
      <c r="AI195" s="1092">
        <f>IFERROR(S195*$G$1/(_xlfn.XLOOKUP($AA195,Métrés!$A:$A,Métrés!$E:$E,0)),0)</f>
        <v>0</v>
      </c>
      <c r="AJ195" s="878"/>
      <c r="AK195" s="878"/>
      <c r="AL195" s="878"/>
      <c r="AM195" s="878"/>
      <c r="AN195" s="1053"/>
      <c r="AO195" s="878"/>
      <c r="AP195" s="878"/>
      <c r="AQ195" s="878"/>
      <c r="AR195" s="1054"/>
      <c r="AS195" s="1053"/>
      <c r="AT195" s="878"/>
      <c r="AU195" s="878"/>
      <c r="AV195" s="878"/>
      <c r="AW195" s="1054"/>
      <c r="AX195" s="1053"/>
      <c r="AY195" s="878"/>
      <c r="AZ195" s="878"/>
      <c r="BA195" s="878"/>
      <c r="BB195" s="1054"/>
      <c r="BC195" s="1053"/>
      <c r="BD195" s="878"/>
      <c r="BE195" s="878"/>
      <c r="BF195" s="1054"/>
      <c r="BG195" s="1053"/>
      <c r="BH195" s="878"/>
      <c r="BI195" s="1054"/>
      <c r="BJ195" s="878"/>
      <c r="BK195" s="1053"/>
      <c r="BL195" s="878"/>
      <c r="BM195" s="1054"/>
    </row>
    <row r="196" spans="2:67">
      <c r="B196" s="1103"/>
      <c r="C196" s="1099"/>
      <c r="D196" s="478"/>
      <c r="E196" s="478"/>
      <c r="F196" s="478" t="s">
        <v>3066</v>
      </c>
      <c r="G196" s="478" t="str">
        <f>_xlfn.XLOOKUP(H196, 'Baumaterialien Matériaux'!A:A, 'Baumaterialien Matériaux'!AD:AD, "-", 0, 1)</f>
        <v>Laine de verre</v>
      </c>
      <c r="H196" s="892" t="s">
        <v>130</v>
      </c>
      <c r="I196" s="641" t="str">
        <f>_xlfn.XLOOKUP(H196, 'Baumaterialien Matériaux'!A:A, 'Baumaterialien Matériaux'!F:F, "-", 0, 1)</f>
        <v>kg</v>
      </c>
      <c r="J196" s="649">
        <f>J195*K196</f>
        <v>49.524000000000001</v>
      </c>
      <c r="K196" s="886">
        <f>0.06*20</f>
        <v>1.2</v>
      </c>
      <c r="L196" s="641">
        <f>'Eléments de constr. inté. et ex'!N73</f>
        <v>30</v>
      </c>
      <c r="M196" s="648">
        <f t="shared" si="414"/>
        <v>0.13454283487417601</v>
      </c>
      <c r="N196" s="720">
        <f>IFERROR(($J196*VLOOKUP($H196, 'Baumaterialien Matériaux'!$A$11:$AH$318, 26,FALSE)),0)/$G$1</f>
        <v>5.338186642344845E-2</v>
      </c>
      <c r="O196" s="720">
        <f>IFERROR(($J196*VLOOKUP($H196, 'Baumaterialien Matériaux'!$A$11:$AH$318, 33,FALSE)),0)/$G$1</f>
        <v>2.1660718875668505E-2</v>
      </c>
      <c r="P196" s="720">
        <f t="shared" ref="P196" si="443">IFERROR((N196+Q196)*($L$2/L196-1),0)</f>
        <v>5.6441057999253766E-2</v>
      </c>
      <c r="Q196" s="720">
        <f>IFERROR(($J196*VLOOKUP($H196, 'Baumaterialien Matériaux'!$A$11:$AH$318, 27,FALSE)),0)/$G$1</f>
        <v>3.0591915758053146E-3</v>
      </c>
      <c r="R196" s="720">
        <f>IFERROR(($J196*VLOOKUP($H196, 'Baumaterialien Matériaux'!$A$11:$AH$318, 34,FALSE)),0)/$G$1</f>
        <v>1.7862393764769287E-4</v>
      </c>
      <c r="S196" s="720">
        <f>IFERROR((J196*VLOOKUP(H196, 'Baumaterialien Matériaux'!$A$11:$AD$318, 29,FALSE)),0)/$G$1</f>
        <v>0</v>
      </c>
      <c r="T196" s="720">
        <f>S196*AJ196</f>
        <v>0</v>
      </c>
      <c r="V196" s="638">
        <f t="shared" si="296"/>
        <v>0</v>
      </c>
      <c r="W196" s="638">
        <f t="shared" si="297"/>
        <v>0</v>
      </c>
      <c r="X196" s="638" t="str">
        <f t="shared" si="439"/>
        <v>Revêtement</v>
      </c>
      <c r="Z196" s="638">
        <f t="shared" si="292"/>
        <v>30</v>
      </c>
      <c r="AA196" s="530" t="s">
        <v>3448</v>
      </c>
      <c r="AB196" t="str">
        <f>_xlfn.XLOOKUP($H196,'[1]Baumaterialien Matériaux'!$A:$A,'[1]Baumaterialien Matériaux'!AK:AK,0,0)</f>
        <v>mineral_fiber</v>
      </c>
      <c r="AC196" t="str" cm="1">
        <f t="array" ref="AC196">_xlfn.SWITCH(I196,"kg"," ",0," ",_xlfn.XLOOKUP(H196, '[1]Baumaterialien Matériaux'!$A:$A, '[1]Baumaterialien Matériaux'!$AL:$AL, "-", 0, 1))</f>
        <v xml:space="preserve"> </v>
      </c>
      <c r="AD196" s="1112" cm="1">
        <f t="array" ref="AD196">IFERROR(_xlfn.SWITCH(I196,"kg",1,"m3",AC196,AC196)*J196/(_xlfn.XLOOKUP(AA196,Métrés!A:A,Métrés!E:E,0)),0)</f>
        <v>0.17204794163626888</v>
      </c>
      <c r="AE196" s="1092">
        <f>IFERROR(N196*$G$1/(_xlfn.XLOOKUP($AA196,Métrés!$A:$A,Métrés!$E:$E,0)),0)</f>
        <v>0.17892985930171965</v>
      </c>
      <c r="AF196" s="1092">
        <f>IFERROR(O196*$G$1/(_xlfn.XLOOKUP($AA196,Métrés!$A:$A,Métrés!$E:$E,0)),0)</f>
        <v>7.2604231370505465E-2</v>
      </c>
      <c r="AG196" s="1092">
        <f>IFERROR(Q196*$G$1/(_xlfn.XLOOKUP($AA196,Métrés!$A:$A,Métrés!$E:$E,0)),0)</f>
        <v>1.0254057321521626E-2</v>
      </c>
      <c r="AH196" s="1092">
        <f>IFERROR(R196*$G$1/(_xlfn.XLOOKUP($AA196,Métrés!$A:$A,Métrés!$E:$E,0)),0)</f>
        <v>5.9872683689421566E-4</v>
      </c>
      <c r="AI196" s="1092">
        <f>IFERROR(S196*$G$1/(_xlfn.XLOOKUP($AA196,Métrés!$A:$A,Métrés!$E:$E,0)),0)</f>
        <v>0</v>
      </c>
      <c r="AJ196" s="1022"/>
      <c r="AK196" s="638">
        <f>IF(L196=60,0,T196)</f>
        <v>0</v>
      </c>
      <c r="AL196" s="638">
        <f>IF(L196=60,0,S196)</f>
        <v>0</v>
      </c>
      <c r="AM196" s="638" t="s">
        <v>3388</v>
      </c>
      <c r="AN196" s="1017">
        <f>IF(AM196="Structure",N196,0)</f>
        <v>0</v>
      </c>
      <c r="AO196" s="638">
        <f>IF(AM196="Structure",P196,0)</f>
        <v>0</v>
      </c>
      <c r="AP196" s="638">
        <f>IF(AM196="Structure",Q196,0)</f>
        <v>0</v>
      </c>
      <c r="AQ196" s="1018">
        <f>IF(AM196="Structure",S196,0)</f>
        <v>0</v>
      </c>
      <c r="AR196" s="1018">
        <f>IF(AM196="Structure",T196,0)</f>
        <v>0</v>
      </c>
      <c r="AS196" s="1017">
        <f>IF(AM196="Insulation",N196,0)</f>
        <v>5.338186642344845E-2</v>
      </c>
      <c r="AT196" s="638">
        <f>IF(AM196="Insulation",P196,0)</f>
        <v>5.6441057999253766E-2</v>
      </c>
      <c r="AU196" s="638">
        <f>IF(AM196="Insulation",Q196,0)</f>
        <v>3.0591915758053146E-3</v>
      </c>
      <c r="AV196" s="1018">
        <f>IF(AM196="Insulation",S196,0)</f>
        <v>0</v>
      </c>
      <c r="AW196" s="1018">
        <f>IF(AM196="Insulation",T196,0)</f>
        <v>0</v>
      </c>
      <c r="AX196" s="1017">
        <f>IF(AM196="Revêtement",N196,0)</f>
        <v>0</v>
      </c>
      <c r="AY196" s="638">
        <f>IF(AM196="Revêtement",P196,0)</f>
        <v>0</v>
      </c>
      <c r="AZ196" s="638">
        <f>IF(AM196="Revêtement",Q196,0)</f>
        <v>0</v>
      </c>
      <c r="BA196" s="638">
        <f>IF(AM196="Revêtement",S196,0)</f>
        <v>0</v>
      </c>
      <c r="BB196" s="1018">
        <f>IF(AM196="Revêtement",T196,0)</f>
        <v>0</v>
      </c>
      <c r="BC196" s="1017"/>
      <c r="BF196" s="1018"/>
      <c r="BG196" s="1017">
        <f>IF($AM196="Structure", IF($I196="kg",$J196,0), 0)</f>
        <v>0</v>
      </c>
      <c r="BH196" s="638">
        <f>IF($AM196="Insulation", IF($I196="kg",$J196,0), 0)</f>
        <v>49.524000000000001</v>
      </c>
      <c r="BI196" s="1018">
        <f>IF($AM196="Revêtement", IF($I196="kg",$J196,0), 0)</f>
        <v>0</v>
      </c>
      <c r="BJ196" s="638">
        <v>20</v>
      </c>
      <c r="BK196" s="1032">
        <f t="shared" si="283"/>
        <v>0</v>
      </c>
      <c r="BL196" s="1030">
        <f t="shared" si="284"/>
        <v>2.4762</v>
      </c>
      <c r="BM196" s="1033">
        <f t="shared" si="285"/>
        <v>0</v>
      </c>
      <c r="BN196" s="720">
        <f>IFERROR((J196*VLOOKUP(H196, 'Baumaterialien Matériaux'!$A$11:$AH$318, 32,FALSE))*($L$2/L196-1),0)/$G$1</f>
        <v>2.1814705028813067E-2</v>
      </c>
      <c r="BO196" s="720">
        <f>IFERROR((N196+Q196)*($L$2/L196-1),0)</f>
        <v>5.6441057999253766E-2</v>
      </c>
    </row>
    <row r="197" spans="2:67">
      <c r="B197" s="1103"/>
      <c r="C197" s="1099"/>
      <c r="D197" s="478"/>
      <c r="E197" s="478"/>
      <c r="F197" s="478"/>
      <c r="G197" s="478"/>
      <c r="H197" s="875"/>
      <c r="I197" s="641"/>
      <c r="J197" s="649"/>
      <c r="K197" s="647"/>
      <c r="L197" s="641"/>
      <c r="M197" s="648"/>
      <c r="N197" s="720"/>
      <c r="O197" s="720"/>
      <c r="P197" s="720"/>
      <c r="Q197" s="720"/>
      <c r="R197" s="720"/>
      <c r="S197" s="720"/>
      <c r="T197" s="720">
        <f>S197*AJ197</f>
        <v>0</v>
      </c>
      <c r="V197" s="638">
        <f t="shared" si="296"/>
        <v>0</v>
      </c>
      <c r="W197" s="638">
        <f t="shared" si="297"/>
        <v>0</v>
      </c>
      <c r="X197" s="638">
        <f t="shared" si="439"/>
        <v>0</v>
      </c>
      <c r="Z197" s="638">
        <f t="shared" si="292"/>
        <v>0</v>
      </c>
      <c r="AA197" s="527" t="s">
        <v>3448</v>
      </c>
      <c r="AB197">
        <f>_xlfn.XLOOKUP($H197,'[1]Baumaterialien Matériaux'!$A:$A,'[1]Baumaterialien Matériaux'!AK:AK,0,0)</f>
        <v>0</v>
      </c>
      <c r="AC197" t="str" cm="1">
        <f t="array" ref="AC197">_xlfn.SWITCH(I197,"kg"," ",0," ",_xlfn.XLOOKUP(H197, '[1]Baumaterialien Matériaux'!$A:$A, '[1]Baumaterialien Matériaux'!$AL:$AL, "-", 0, 1))</f>
        <v xml:space="preserve"> </v>
      </c>
      <c r="AD197" s="1112" cm="1">
        <f t="array" ref="AD197">IFERROR(_xlfn.SWITCH(I197,"kg",1,"m3",AC197,AC197)*J197/(_xlfn.XLOOKUP(AA197,Métrés!A:A,Métrés!E:E,0)),0)</f>
        <v>0</v>
      </c>
      <c r="AE197" s="1092">
        <f>IFERROR(N197*$G$1/(_xlfn.XLOOKUP($AA197,Métrés!$A:$A,Métrés!$E:$E,0)),0)</f>
        <v>0</v>
      </c>
      <c r="AF197" s="1092">
        <f>IFERROR(O197*$G$1/(_xlfn.XLOOKUP($AA197,Métrés!$A:$A,Métrés!$E:$E,0)),0)</f>
        <v>0</v>
      </c>
      <c r="AG197" s="1092">
        <f>IFERROR(Q197*$G$1/(_xlfn.XLOOKUP($AA197,Métrés!$A:$A,Métrés!$E:$E,0)),0)</f>
        <v>0</v>
      </c>
      <c r="AH197" s="1092">
        <f>IFERROR(R197*$G$1/(_xlfn.XLOOKUP($AA197,Métrés!$A:$A,Métrés!$E:$E,0)),0)</f>
        <v>0</v>
      </c>
      <c r="AI197" s="1092">
        <f>IFERROR(S197*$G$1/(_xlfn.XLOOKUP($AA197,Métrés!$A:$A,Métrés!$E:$E,0)),0)</f>
        <v>0</v>
      </c>
      <c r="AJ197" s="1022"/>
      <c r="AK197" s="638">
        <f>IF(L197=60,0,T197)</f>
        <v>0</v>
      </c>
      <c r="AL197" s="638">
        <f>IF(L197=60,0,S197)</f>
        <v>0</v>
      </c>
      <c r="AM197" s="638">
        <f>IF(L197=$L$2, "Structure", IF(L197&gt;0,"Revêtement",0))</f>
        <v>0</v>
      </c>
      <c r="AN197" s="1017">
        <f>IF(AM197="Structure",N197,0)</f>
        <v>0</v>
      </c>
      <c r="AO197" s="638">
        <f>IF(AM197="Structure",P197,0)</f>
        <v>0</v>
      </c>
      <c r="AP197" s="638">
        <f>IF(AM197="Structure",Q197,0)</f>
        <v>0</v>
      </c>
      <c r="AQ197" s="1018">
        <f>IF(AM197="Structure",S197,0)</f>
        <v>0</v>
      </c>
      <c r="AR197" s="1018">
        <f>IF(AM197="Structure",T197,0)</f>
        <v>0</v>
      </c>
      <c r="AS197" s="1017">
        <f>IF(AM197="Insulation",N197,0)</f>
        <v>0</v>
      </c>
      <c r="AT197" s="638">
        <f>IF(AM197="Insulation",P197,0)</f>
        <v>0</v>
      </c>
      <c r="AU197" s="638">
        <f>IF(AM197="Insulation",Q197,0)</f>
        <v>0</v>
      </c>
      <c r="AV197" s="1018">
        <f>IF(AM197="Insulation",S197,0)</f>
        <v>0</v>
      </c>
      <c r="AW197" s="1018">
        <f>IF(AM197="Insulation",T197,0)</f>
        <v>0</v>
      </c>
      <c r="AX197" s="1017">
        <f>IF(AM197="Revêtement",N197,0)</f>
        <v>0</v>
      </c>
      <c r="AY197" s="638">
        <f>IF(AM197="Revêtement",P197,0)</f>
        <v>0</v>
      </c>
      <c r="AZ197" s="638">
        <f>IF(AM197="Revêtement",Q197,0)</f>
        <v>0</v>
      </c>
      <c r="BA197" s="638">
        <f>IF(AM197="Revêtement",S197,0)</f>
        <v>0</v>
      </c>
      <c r="BB197" s="1018">
        <f>IF(AM197="Revêtement",T197,0)</f>
        <v>0</v>
      </c>
      <c r="BC197" s="1017"/>
      <c r="BF197" s="1018"/>
      <c r="BG197" s="1017">
        <f>IF($AM197="Structure", IF($I197="kg",$J197,0), 0)</f>
        <v>0</v>
      </c>
      <c r="BH197" s="638">
        <f>IF($AM197="Insulation", IF($I197="kg",$J197,0), 0)</f>
        <v>0</v>
      </c>
      <c r="BI197" s="1018">
        <f>IF($AM197="Revêtement", IF($I197="kg",$J197,0), 0)</f>
        <v>0</v>
      </c>
      <c r="BJ197" s="638">
        <f>_xlfn.XLOOKUP(H197, 'Baumaterialien Matériaux'!A:A, 'Baumaterialien Matériaux'!E:E, "-", 0, 1)</f>
        <v>0</v>
      </c>
      <c r="BK197" s="1032">
        <f t="shared" si="283"/>
        <v>0</v>
      </c>
      <c r="BL197" s="1030">
        <f t="shared" si="284"/>
        <v>0</v>
      </c>
      <c r="BM197" s="1033">
        <f t="shared" si="285"/>
        <v>0</v>
      </c>
      <c r="BN197" s="720">
        <f>IFERROR((J197*VLOOKUP(H197, 'Baumaterialien Matériaux'!$A$11:$AH$318, 32,FALSE))*($L$2/L197-1),0)/$G$1</f>
        <v>0</v>
      </c>
      <c r="BO197" s="720">
        <f>IFERROR((N197+Q197)*($L$2/L197-1),0)</f>
        <v>0</v>
      </c>
    </row>
    <row r="198" spans="2:67">
      <c r="B198" s="1103"/>
      <c r="C198" s="1099"/>
      <c r="D198" s="478" t="s">
        <v>2983</v>
      </c>
      <c r="E198" s="479" t="str">
        <f>BillQuantities!E33</f>
        <v>Supports et revêtement de sol</v>
      </c>
      <c r="F198" s="479"/>
      <c r="G198" s="479"/>
      <c r="H198" s="479"/>
      <c r="I198" s="459" t="s">
        <v>39</v>
      </c>
      <c r="J198" s="662">
        <v>461.96</v>
      </c>
      <c r="K198" s="663"/>
      <c r="L198" s="663"/>
      <c r="M198" s="664">
        <f t="shared" ref="M198:T198" si="444">SUM(M199:M204)</f>
        <v>50.596114634027359</v>
      </c>
      <c r="N198" s="664">
        <f t="shared" si="444"/>
        <v>17.789510600721361</v>
      </c>
      <c r="O198" s="664">
        <f t="shared" ref="O198" si="445">SUM(O199:O204)</f>
        <v>12.976841663056014</v>
      </c>
      <c r="P198" s="664">
        <f t="shared" si="444"/>
        <v>18.809636485485676</v>
      </c>
      <c r="Q198" s="664">
        <f t="shared" si="444"/>
        <v>1.0201258847643131</v>
      </c>
      <c r="R198" s="664">
        <f t="shared" ref="R198" si="446">SUM(R199:R204)</f>
        <v>0.20673463692723412</v>
      </c>
      <c r="S198" s="664">
        <f t="shared" si="444"/>
        <v>13.948430313834418</v>
      </c>
      <c r="T198" s="664">
        <f t="shared" si="444"/>
        <v>-1.1730712055055761</v>
      </c>
      <c r="V198" s="638">
        <f t="shared" si="296"/>
        <v>-1.1730712055055761</v>
      </c>
      <c r="X198" s="638">
        <f t="shared" si="439"/>
        <v>0</v>
      </c>
      <c r="Z198" s="638">
        <f t="shared" si="292"/>
        <v>0</v>
      </c>
      <c r="AA198" s="527"/>
      <c r="AB198">
        <f>_xlfn.XLOOKUP($H198,'[1]Baumaterialien Matériaux'!$A:$A,'[1]Baumaterialien Matériaux'!AK:AK,0,0)</f>
        <v>0</v>
      </c>
      <c r="AC198" cm="1">
        <f t="array" ref="AC198">_xlfn.SWITCH(I198,"kg"," ",0," ",_xlfn.XLOOKUP(H198, '[1]Baumaterialien Matériaux'!$A:$A, '[1]Baumaterialien Matériaux'!$AL:$AL, "-", 0, 1))</f>
        <v>0</v>
      </c>
      <c r="AD198" s="1112" cm="1">
        <f t="array" ref="AD198">IFERROR(_xlfn.SWITCH(I198,"kg",1,"m3",AC198,AC198)*J198/(_xlfn.XLOOKUP(AA198,Métrés!A:A,Métrés!E:E,0)),0)</f>
        <v>0</v>
      </c>
      <c r="AE198" s="1092">
        <f>IFERROR(N198*$G$1/(_xlfn.XLOOKUP($AA198,Métrés!$A:$A,Métrés!$E:$E,0)),0)</f>
        <v>0</v>
      </c>
      <c r="AF198" s="1092">
        <f>IFERROR(O198*$G$1/(_xlfn.XLOOKUP($AA198,Métrés!$A:$A,Métrés!$E:$E,0)),0)</f>
        <v>0</v>
      </c>
      <c r="AG198" s="1092">
        <f>IFERROR(Q198*$G$1/(_xlfn.XLOOKUP($AA198,Métrés!$A:$A,Métrés!$E:$E,0)),0)</f>
        <v>0</v>
      </c>
      <c r="AH198" s="1092">
        <f>IFERROR(R198*$G$1/(_xlfn.XLOOKUP($AA198,Métrés!$A:$A,Métrés!$E:$E,0)),0)</f>
        <v>0</v>
      </c>
      <c r="AI198" s="1092">
        <f>IFERROR(S198*$G$1/(_xlfn.XLOOKUP($AA198,Métrés!$A:$A,Métrés!$E:$E,0)),0)</f>
        <v>0</v>
      </c>
      <c r="AJ198" s="878"/>
      <c r="AK198" s="878"/>
      <c r="AL198" s="878"/>
      <c r="AM198" s="878"/>
      <c r="AN198" s="1053"/>
      <c r="AO198" s="878"/>
      <c r="AP198" s="878"/>
      <c r="AQ198" s="878"/>
      <c r="AR198" s="1054"/>
      <c r="AS198" s="1053"/>
      <c r="AT198" s="878"/>
      <c r="AU198" s="878"/>
      <c r="AV198" s="878"/>
      <c r="AW198" s="1054"/>
      <c r="AX198" s="1053"/>
      <c r="AY198" s="878"/>
      <c r="AZ198" s="878"/>
      <c r="BA198" s="878"/>
      <c r="BB198" s="1054"/>
      <c r="BC198" s="1053"/>
      <c r="BD198" s="878"/>
      <c r="BE198" s="878"/>
      <c r="BF198" s="1054"/>
      <c r="BG198" s="1053"/>
      <c r="BH198" s="878"/>
      <c r="BI198" s="1054"/>
      <c r="BJ198" s="878"/>
      <c r="BK198" s="1053"/>
      <c r="BL198" s="878"/>
      <c r="BM198" s="1054"/>
    </row>
    <row r="199" spans="2:67">
      <c r="B199" s="1103"/>
      <c r="C199" s="1099"/>
      <c r="D199" s="478"/>
      <c r="E199" s="478"/>
      <c r="F199" s="478" t="s">
        <v>3312</v>
      </c>
      <c r="G199" s="478" t="str">
        <f>_xlfn.XLOOKUP(H199, 'Baumaterialien Matériaux'!A:A, 'Baumaterialien Matériaux'!AD:AD, "-", 0, 1)</f>
        <v>Béton chaux-chanvre</v>
      </c>
      <c r="H199" s="1009" t="s">
        <v>1041</v>
      </c>
      <c r="I199" s="641" t="str">
        <f>_xlfn.XLOOKUP(H199, 'Baumaterialien Matériaux'!A:A, 'Baumaterialien Matériaux'!F:F, "-", 0, 1)</f>
        <v>kg</v>
      </c>
      <c r="J199" s="649">
        <f>$J$198*K199</f>
        <v>22174.079999999998</v>
      </c>
      <c r="K199" s="893">
        <f>0.08*600</f>
        <v>48</v>
      </c>
      <c r="L199" s="478">
        <f t="shared" ref="L199:L202" si="447">L188</f>
        <v>30</v>
      </c>
      <c r="M199" s="648">
        <f t="shared" ref="M199:M209" si="448">SUM(N199:Q199)</f>
        <v>21.514639904348901</v>
      </c>
      <c r="N199" s="720">
        <f>IFERROR(($J199*VLOOKUP($H199, 'Baumaterialien Matériaux'!$A$11:$AH$318, 26,FALSE)),0)/$G$1</f>
        <v>7.446210687782429</v>
      </c>
      <c r="O199" s="720">
        <f>IFERROR(($J199*VLOOKUP($H199, 'Baumaterialien Matériaux'!$A$11:$AH$318, 33,FALSE)),0)/$G$1</f>
        <v>6.6188539446954922</v>
      </c>
      <c r="P199" s="720">
        <f>IFERROR((N199+Q199)*($L$2/L199-1),0)</f>
        <v>7.4478929798267055</v>
      </c>
      <c r="Q199" s="720">
        <f>IFERROR(($J199*VLOOKUP($H199, 'Baumaterialien Matériaux'!$A$11:$AH$318, 27,FALSE)),0)/$G$1</f>
        <v>1.6822920442767712E-3</v>
      </c>
      <c r="R199" s="720">
        <f>IFERROR(($J199*VLOOKUP($H199, 'Baumaterialien Matériaux'!$A$11:$AH$318, 34,FALSE)),0)/$G$1</f>
        <v>3.4473197628622355E-3</v>
      </c>
      <c r="S199" s="720">
        <f>IFERROR((J199*VLOOKUP(H199, 'Baumaterialien Matériaux'!$A$11:$AD$318, 29,FALSE)),0)/$G$1</f>
        <v>5.4689812860163336</v>
      </c>
      <c r="T199" s="720">
        <f t="shared" ref="T199:T204" si="449">S199*AJ199</f>
        <v>-1.2578656957837568</v>
      </c>
      <c r="U199" s="638">
        <v>-0.23</v>
      </c>
      <c r="V199" s="638">
        <f t="shared" si="296"/>
        <v>-1.2578656957837568</v>
      </c>
      <c r="W199" s="638">
        <f t="shared" si="297"/>
        <v>5.4689812860163336</v>
      </c>
      <c r="X199" s="638" t="str">
        <f t="shared" si="439"/>
        <v>Revêtement</v>
      </c>
      <c r="Z199" s="638">
        <f t="shared" si="292"/>
        <v>30</v>
      </c>
      <c r="AA199" s="648" t="s">
        <v>3458</v>
      </c>
      <c r="AB199" t="str">
        <f>_xlfn.XLOOKUP($H199,'[1]Baumaterialien Matériaux'!$A:$A,'[1]Baumaterialien Matériaux'!AK:AK,0,0)</f>
        <v>autre</v>
      </c>
      <c r="AC199" t="str" cm="1">
        <f t="array" ref="AC199">_xlfn.SWITCH(I199,"kg"," ",0," ",_xlfn.XLOOKUP(H199, '[1]Baumaterialien Matériaux'!$A:$A, '[1]Baumaterialien Matériaux'!$AL:$AL, "-", 0, 1))</f>
        <v xml:space="preserve"> </v>
      </c>
      <c r="AD199" s="1112" cm="1">
        <f t="array" ref="AD199">IFERROR(_xlfn.SWITCH(I199,"kg",1,"m3",AC199,AC199)*J199/(_xlfn.XLOOKUP(AA199,Métrés!A:A,Métrés!E:E,0)),0)</f>
        <v>48</v>
      </c>
      <c r="AE199" s="1092">
        <f>IFERROR(N199*$G$1/(_xlfn.XLOOKUP($AA199,Métrés!$A:$A,Métrés!$E:$E,0)),0)</f>
        <v>15.552</v>
      </c>
      <c r="AF199" s="1092">
        <f>IFERROR(O199*$G$1/(_xlfn.XLOOKUP($AA199,Métrés!$A:$A,Métrés!$E:$E,0)),0)</f>
        <v>13.823999999999998</v>
      </c>
      <c r="AG199" s="1092">
        <f>IFERROR(Q199*$G$1/(_xlfn.XLOOKUP($AA199,Métrés!$A:$A,Métrés!$E:$E,0)),0)</f>
        <v>3.5136E-3</v>
      </c>
      <c r="AH199" s="1092">
        <f>IFERROR(R199*$G$1/(_xlfn.XLOOKUP($AA199,Métrés!$A:$A,Métrés!$E:$E,0)),0)</f>
        <v>7.1999999999999989E-3</v>
      </c>
      <c r="AI199" s="1092">
        <f>IFERROR(S199*$G$1/(_xlfn.XLOOKUP($AA199,Métrés!$A:$A,Métrés!$E:$E,0)),0)</f>
        <v>11.4224</v>
      </c>
      <c r="AJ199" s="1022">
        <v>-0.23</v>
      </c>
      <c r="AK199" s="638">
        <f t="shared" ref="AK199:AK204" si="450">IF(L199=60,0,T199)</f>
        <v>-1.2578656957837568</v>
      </c>
      <c r="AL199" s="638">
        <f t="shared" ref="AL199:AL204" si="451">IF(L199=60,0,S199)</f>
        <v>5.4689812860163336</v>
      </c>
      <c r="AM199" s="638" t="str">
        <f>IF(L199=$L$2, "Structure", IF(L199&gt;0,"Revêtement",0))</f>
        <v>Revêtement</v>
      </c>
      <c r="AN199" s="1017">
        <f t="shared" ref="AN199:AN204" si="452">IF(AM199="Structure",N199,0)</f>
        <v>0</v>
      </c>
      <c r="AO199" s="638">
        <f t="shared" ref="AO199:AO204" si="453">IF(AM199="Structure",P199,0)</f>
        <v>0</v>
      </c>
      <c r="AP199" s="638">
        <f t="shared" ref="AP199:AP204" si="454">IF(AM199="Structure",Q199,0)</f>
        <v>0</v>
      </c>
      <c r="AQ199" s="1018">
        <f t="shared" ref="AQ199:AQ204" si="455">IF(AM199="Structure",S199,0)</f>
        <v>0</v>
      </c>
      <c r="AR199" s="1018">
        <f t="shared" ref="AR199:AR204" si="456">IF(AM199="Structure",T199,0)</f>
        <v>0</v>
      </c>
      <c r="AS199" s="1017">
        <f t="shared" ref="AS199:AS204" si="457">IF(AM199="Insulation",N199,0)</f>
        <v>0</v>
      </c>
      <c r="AT199" s="638">
        <f t="shared" ref="AT199:AT204" si="458">IF(AM199="Insulation",P199,0)</f>
        <v>0</v>
      </c>
      <c r="AU199" s="638">
        <f t="shared" ref="AU199:AU204" si="459">IF(AM199="Insulation",Q199,0)</f>
        <v>0</v>
      </c>
      <c r="AV199" s="1018">
        <f t="shared" ref="AV199:AV204" si="460">IF(AM199="Insulation",S199,0)</f>
        <v>0</v>
      </c>
      <c r="AW199" s="1018">
        <f t="shared" ref="AW199:AW204" si="461">IF(AM199="Insulation",T199,0)</f>
        <v>0</v>
      </c>
      <c r="AX199" s="1017">
        <f t="shared" ref="AX199:AX204" si="462">IF(AM199="Revêtement",N199,0)</f>
        <v>7.446210687782429</v>
      </c>
      <c r="AY199" s="638">
        <f t="shared" ref="AY199:AY204" si="463">IF(AM199="Revêtement",P199,0)</f>
        <v>7.4478929798267055</v>
      </c>
      <c r="AZ199" s="638">
        <f t="shared" ref="AZ199:AZ204" si="464">IF(AM199="Revêtement",Q199,0)</f>
        <v>1.6822920442767712E-3</v>
      </c>
      <c r="BA199" s="638">
        <f t="shared" ref="BA199:BA204" si="465">IF(AM199="Revêtement",S199,0)</f>
        <v>5.4689812860163336</v>
      </c>
      <c r="BB199" s="1018">
        <f t="shared" ref="BB199:BB204" si="466">IF(AM199="Revêtement",T199,0)</f>
        <v>-1.2578656957837568</v>
      </c>
      <c r="BC199" s="1017"/>
      <c r="BF199" s="1018"/>
      <c r="BG199" s="1017">
        <f t="shared" ref="BG199:BG204" si="467">IF($AM199="Structure", IF($I199="kg",$J199,0), 0)</f>
        <v>0</v>
      </c>
      <c r="BH199" s="638">
        <f t="shared" ref="BH199:BH204" si="468">IF($AM199="Insulation", IF($I199="kg",$J199,0), 0)</f>
        <v>0</v>
      </c>
      <c r="BI199" s="1018">
        <f t="shared" ref="BI199:BI204" si="469">IF($AM199="Revêtement", IF($I199="kg",$J199,0), 0)</f>
        <v>22174.079999999998</v>
      </c>
      <c r="BJ199" s="638">
        <f>_xlfn.XLOOKUP(H199, 'Baumaterialien Matériaux'!A:A, 'Baumaterialien Matériaux'!E:E, "-", 0, 1)</f>
        <v>600</v>
      </c>
      <c r="BK199" s="1032">
        <f t="shared" ref="BK199:BK261" si="470">IFERROR(BG199/$BJ199,0)</f>
        <v>0</v>
      </c>
      <c r="BL199" s="1030">
        <f t="shared" ref="BL199:BL261" si="471">IFERROR(BH199/$BJ199,0)</f>
        <v>0</v>
      </c>
      <c r="BM199" s="1033">
        <f t="shared" ref="BM199:BM261" si="472">IFERROR(BI199/$BJ199,0)</f>
        <v>36.956799999999994</v>
      </c>
      <c r="BO199" s="720">
        <f t="shared" ref="BO199:BO204" si="473">IFERROR((N199+Q199)*($L$2/L199-1),0)</f>
        <v>7.4478929798267055</v>
      </c>
    </row>
    <row r="200" spans="2:67">
      <c r="B200" s="1103"/>
      <c r="C200" s="1099"/>
      <c r="D200" s="478"/>
      <c r="E200" s="478"/>
      <c r="F200" s="478" t="s">
        <v>3287</v>
      </c>
      <c r="G200" s="478" t="str">
        <f>_xlfn.XLOOKUP(H200, 'Baumaterialien Matériaux'!A:A, 'Baumaterialien Matériaux'!AD:AD, "-", 0, 1)</f>
        <v>GUTEX Pyroresist</v>
      </c>
      <c r="H200" s="892" t="s">
        <v>2997</v>
      </c>
      <c r="I200" s="641" t="str">
        <f>_xlfn.XLOOKUP(H200, 'Baumaterialien Matériaux'!A:A, 'Baumaterialien Matériaux'!F:F, "-", 0, 1)</f>
        <v>kg</v>
      </c>
      <c r="J200" s="649">
        <f t="shared" ref="J200:J202" si="474">$J$198*K200</f>
        <v>3510.8960000000002</v>
      </c>
      <c r="K200" s="893">
        <f>0.04*190</f>
        <v>7.6000000000000005</v>
      </c>
      <c r="L200" s="478">
        <f t="shared" si="447"/>
        <v>30</v>
      </c>
      <c r="M200" s="648">
        <f t="shared" si="448"/>
        <v>14.96327207364239</v>
      </c>
      <c r="N200" s="720">
        <f>IFERROR(($J200*VLOOKUP($H200, 'Baumaterialien Matériaux'!$A$11:$AH$318, 26,FALSE)),0)/$G$1</f>
        <v>5.6880776087226899</v>
      </c>
      <c r="O200" s="720">
        <f>IFERROR(($J200*VLOOKUP($H200, 'Baumaterialien Matériaux'!$A$11:$AH$318, 33,FALSE)),0)/$G$1</f>
        <v>3.5438338413966286</v>
      </c>
      <c r="P200" s="720">
        <f t="shared" ref="P200:P202" si="475">IFERROR((N200+Q200)*($L$2/L200-1),0)</f>
        <v>5.7097191161228809</v>
      </c>
      <c r="Q200" s="720">
        <f>IFERROR(($J200*VLOOKUP($H200, 'Baumaterialien Matériaux'!$A$11:$AH$318, 27,FALSE)),0)/$G$1</f>
        <v>2.1641507400190704E-2</v>
      </c>
      <c r="R200" s="720">
        <f>IFERROR(($J200*VLOOKUP($H200, 'Baumaterialien Matériaux'!$A$11:$AH$318, 34,FALSE)),0)/$G$1</f>
        <v>1.2854027073547393E-2</v>
      </c>
      <c r="S200" s="720">
        <f>IFERROR((J200*VLOOKUP(H200, 'Baumaterialien Matériaux'!$A$11:$AD$318, 29,FALSE)),0)/$G$1</f>
        <v>4.8453994444674766</v>
      </c>
      <c r="T200" s="720">
        <f t="shared" si="449"/>
        <v>4.8453994444674769E-2</v>
      </c>
      <c r="U200" s="638">
        <v>0.01</v>
      </c>
      <c r="V200" s="638">
        <f t="shared" si="296"/>
        <v>4.8453994444674769E-2</v>
      </c>
      <c r="W200" s="638">
        <f t="shared" si="297"/>
        <v>4.8453994444674766</v>
      </c>
      <c r="X200" s="638" t="str">
        <f t="shared" si="439"/>
        <v>Revêtement</v>
      </c>
      <c r="Z200" s="638">
        <f t="shared" si="292"/>
        <v>30</v>
      </c>
      <c r="AA200" s="648" t="s">
        <v>3458</v>
      </c>
      <c r="AB200" t="str">
        <f>_xlfn.XLOOKUP($H200,'[1]Baumaterialien Matériaux'!$A:$A,'[1]Baumaterialien Matériaux'!AK:AK,0,0)</f>
        <v>vegetal_fiber</v>
      </c>
      <c r="AC200" t="str" cm="1">
        <f t="array" ref="AC200">_xlfn.SWITCH(I200,"kg"," ",0," ",_xlfn.XLOOKUP(H200, '[1]Baumaterialien Matériaux'!$A:$A, '[1]Baumaterialien Matériaux'!$AL:$AL, "-", 0, 1))</f>
        <v xml:space="preserve"> </v>
      </c>
      <c r="AD200" s="1112" cm="1">
        <f t="array" ref="AD200">IFERROR(_xlfn.SWITCH(I200,"kg",1,"m3",AC200,AC200)*J200/(_xlfn.XLOOKUP(AA200,Métrés!A:A,Métrés!E:E,0)),0)</f>
        <v>7.6000000000000005</v>
      </c>
      <c r="AE200" s="1092">
        <f>IFERROR(N200*$G$1/(_xlfn.XLOOKUP($AA200,Métrés!$A:$A,Métrés!$E:$E,0)),0)</f>
        <v>11.880000000000003</v>
      </c>
      <c r="AF200" s="1092">
        <f>IFERROR(O200*$G$1/(_xlfn.XLOOKUP($AA200,Métrés!$A:$A,Métrés!$E:$E,0)),0)</f>
        <v>7.4015772870662468</v>
      </c>
      <c r="AG200" s="1092">
        <f>IFERROR(Q200*$G$1/(_xlfn.XLOOKUP($AA200,Métrés!$A:$A,Métrés!$E:$E,0)),0)</f>
        <v>4.5200000000000004E-2</v>
      </c>
      <c r="AH200" s="1092">
        <f>IFERROR(R200*$G$1/(_xlfn.XLOOKUP($AA200,Métrés!$A:$A,Métrés!$E:$E,0)),0)</f>
        <v>2.6846652267818572E-2</v>
      </c>
      <c r="AI200" s="1092">
        <f>IFERROR(S200*$G$1/(_xlfn.XLOOKUP($AA200,Métrés!$A:$A,Métrés!$E:$E,0)),0)</f>
        <v>10.120000000000001</v>
      </c>
      <c r="AJ200" s="1022">
        <v>0.01</v>
      </c>
      <c r="AK200" s="638">
        <f t="shared" si="450"/>
        <v>4.8453994444674769E-2</v>
      </c>
      <c r="AL200" s="638">
        <f t="shared" si="451"/>
        <v>4.8453994444674766</v>
      </c>
      <c r="AM200" s="638" t="s">
        <v>3388</v>
      </c>
      <c r="AN200" s="1017">
        <f t="shared" si="452"/>
        <v>0</v>
      </c>
      <c r="AO200" s="638">
        <f t="shared" si="453"/>
        <v>0</v>
      </c>
      <c r="AP200" s="638">
        <f t="shared" si="454"/>
        <v>0</v>
      </c>
      <c r="AQ200" s="1018">
        <f t="shared" si="455"/>
        <v>0</v>
      </c>
      <c r="AR200" s="1018">
        <f t="shared" si="456"/>
        <v>0</v>
      </c>
      <c r="AS200" s="1017">
        <f t="shared" si="457"/>
        <v>5.6880776087226899</v>
      </c>
      <c r="AT200" s="638">
        <f t="shared" si="458"/>
        <v>5.7097191161228809</v>
      </c>
      <c r="AU200" s="638">
        <f t="shared" si="459"/>
        <v>2.1641507400190704E-2</v>
      </c>
      <c r="AV200" s="1018">
        <f t="shared" si="460"/>
        <v>4.8453994444674766</v>
      </c>
      <c r="AW200" s="1018">
        <f t="shared" si="461"/>
        <v>4.8453994444674769E-2</v>
      </c>
      <c r="AX200" s="1017">
        <f t="shared" si="462"/>
        <v>0</v>
      </c>
      <c r="AY200" s="638">
        <f t="shared" si="463"/>
        <v>0</v>
      </c>
      <c r="AZ200" s="638">
        <f t="shared" si="464"/>
        <v>0</v>
      </c>
      <c r="BA200" s="638">
        <f t="shared" si="465"/>
        <v>0</v>
      </c>
      <c r="BB200" s="1018">
        <f t="shared" si="466"/>
        <v>0</v>
      </c>
      <c r="BC200" s="1017"/>
      <c r="BF200" s="1018"/>
      <c r="BG200" s="1017">
        <f t="shared" si="467"/>
        <v>0</v>
      </c>
      <c r="BH200" s="638">
        <f t="shared" si="468"/>
        <v>3510.8960000000002</v>
      </c>
      <c r="BI200" s="1018">
        <f t="shared" si="469"/>
        <v>0</v>
      </c>
      <c r="BJ200" s="638">
        <f>_xlfn.XLOOKUP(H200, 'Baumaterialien Matériaux'!A:A, 'Baumaterialien Matériaux'!E:E, "-", 0, 1)</f>
        <v>190</v>
      </c>
      <c r="BK200" s="1032">
        <f t="shared" si="470"/>
        <v>0</v>
      </c>
      <c r="BL200" s="1030">
        <f t="shared" si="471"/>
        <v>18.478400000000001</v>
      </c>
      <c r="BM200" s="1033">
        <f t="shared" si="472"/>
        <v>0</v>
      </c>
      <c r="BN200" s="720">
        <f>IFERROR((J200*VLOOKUP(H200, 'Baumaterialien Matériaux'!$A$11:$AH$318, 32,FALSE))*($L$2/L200-1),0)/$G$1</f>
        <v>3.5566878684701759</v>
      </c>
      <c r="BO200" s="720">
        <f t="shared" si="473"/>
        <v>5.7097191161228809</v>
      </c>
    </row>
    <row r="201" spans="2:67">
      <c r="B201" s="1103"/>
      <c r="C201" s="1099"/>
      <c r="D201" s="478"/>
      <c r="E201" s="478"/>
      <c r="F201" s="478" t="s">
        <v>3284</v>
      </c>
      <c r="G201" s="478" t="str">
        <f>_xlfn.XLOOKUP(H201, 'Baumaterialien Matériaux'!A:A, 'Baumaterialien Matériaux'!AD:AD, "-", 0, 1)</f>
        <v>GUTEX Pyroresist</v>
      </c>
      <c r="H201" s="885" t="s">
        <v>2997</v>
      </c>
      <c r="I201" s="641" t="str">
        <f>_xlfn.XLOOKUP(H201, 'Baumaterialien Matériaux'!A:A, 'Baumaterialien Matériaux'!F:F, "-", 0, 1)</f>
        <v>kg</v>
      </c>
      <c r="J201" s="649">
        <f t="shared" si="474"/>
        <v>2633.172</v>
      </c>
      <c r="K201" s="893">
        <f>0.03*190</f>
        <v>5.7</v>
      </c>
      <c r="L201" s="478">
        <f t="shared" si="447"/>
        <v>30</v>
      </c>
      <c r="M201" s="648">
        <f t="shared" si="448"/>
        <v>11.222454055231792</v>
      </c>
      <c r="N201" s="720">
        <f>IFERROR(($J201*VLOOKUP($H201, 'Baumaterialien Matériaux'!$A$11:$AH$318, 26,FALSE)),0)/$G$1</f>
        <v>4.2660582065420174</v>
      </c>
      <c r="O201" s="720">
        <f>IFERROR(($J201*VLOOKUP($H201, 'Baumaterialien Matériaux'!$A$11:$AH$318, 33,FALSE)),0)/$G$1</f>
        <v>2.6578753810474711</v>
      </c>
      <c r="P201" s="720">
        <f t="shared" si="475"/>
        <v>4.2822893370921609</v>
      </c>
      <c r="Q201" s="720">
        <f>IFERROR(($J201*VLOOKUP($H201, 'Baumaterialien Matériaux'!$A$11:$AH$318, 27,FALSE)),0)/$G$1</f>
        <v>1.6231130550143028E-2</v>
      </c>
      <c r="R201" s="720">
        <f>IFERROR(($J201*VLOOKUP($H201, 'Baumaterialien Matériaux'!$A$11:$AH$318, 34,FALSE)),0)/$G$1</f>
        <v>9.6405203051605423E-3</v>
      </c>
      <c r="S201" s="720">
        <f>IFERROR((J201*VLOOKUP(H201, 'Baumaterialien Matériaux'!$A$11:$AD$318, 29,FALSE)),0)/$G$1</f>
        <v>3.634049583350607</v>
      </c>
      <c r="T201" s="720">
        <f t="shared" si="449"/>
        <v>3.634049583350607E-2</v>
      </c>
      <c r="U201" s="638">
        <v>0.01</v>
      </c>
      <c r="V201" s="638">
        <f t="shared" si="296"/>
        <v>3.634049583350607E-2</v>
      </c>
      <c r="W201" s="638">
        <f t="shared" si="297"/>
        <v>3.634049583350607</v>
      </c>
      <c r="X201" s="638" t="str">
        <f t="shared" si="439"/>
        <v>Revêtement</v>
      </c>
      <c r="Z201" s="638">
        <f t="shared" si="292"/>
        <v>30</v>
      </c>
      <c r="AA201" s="648" t="s">
        <v>3458</v>
      </c>
      <c r="AB201" t="str">
        <f>_xlfn.XLOOKUP($H201,'[1]Baumaterialien Matériaux'!$A:$A,'[1]Baumaterialien Matériaux'!AK:AK,0,0)</f>
        <v>vegetal_fiber</v>
      </c>
      <c r="AC201" t="str" cm="1">
        <f t="array" ref="AC201">_xlfn.SWITCH(I201,"kg"," ",0," ",_xlfn.XLOOKUP(H201, '[1]Baumaterialien Matériaux'!$A:$A, '[1]Baumaterialien Matériaux'!$AL:$AL, "-", 0, 1))</f>
        <v xml:space="preserve"> </v>
      </c>
      <c r="AD201" s="1112" cm="1">
        <f t="array" ref="AD201">IFERROR(_xlfn.SWITCH(I201,"kg",1,"m3",AC201,AC201)*J201/(_xlfn.XLOOKUP(AA201,Métrés!A:A,Métrés!E:E,0)),0)</f>
        <v>5.7</v>
      </c>
      <c r="AE201" s="1092">
        <f>IFERROR(N201*$G$1/(_xlfn.XLOOKUP($AA201,Métrés!$A:$A,Métrés!$E:$E,0)),0)</f>
        <v>8.9100000000000019</v>
      </c>
      <c r="AF201" s="1092">
        <f>IFERROR(O201*$G$1/(_xlfn.XLOOKUP($AA201,Métrés!$A:$A,Métrés!$E:$E,0)),0)</f>
        <v>5.5511829652996845</v>
      </c>
      <c r="AG201" s="1092">
        <f>IFERROR(Q201*$G$1/(_xlfn.XLOOKUP($AA201,Métrés!$A:$A,Métrés!$E:$E,0)),0)</f>
        <v>3.39E-2</v>
      </c>
      <c r="AH201" s="1092">
        <f>IFERROR(R201*$G$1/(_xlfn.XLOOKUP($AA201,Métrés!$A:$A,Métrés!$E:$E,0)),0)</f>
        <v>2.0134989200863925E-2</v>
      </c>
      <c r="AI201" s="1092">
        <f>IFERROR(S201*$G$1/(_xlfn.XLOOKUP($AA201,Métrés!$A:$A,Métrés!$E:$E,0)),0)</f>
        <v>7.59</v>
      </c>
      <c r="AJ201" s="1022">
        <v>0.01</v>
      </c>
      <c r="AK201" s="638">
        <f t="shared" si="450"/>
        <v>3.634049583350607E-2</v>
      </c>
      <c r="AL201" s="638">
        <f t="shared" si="451"/>
        <v>3.634049583350607</v>
      </c>
      <c r="AM201" s="638" t="s">
        <v>3388</v>
      </c>
      <c r="AN201" s="1017">
        <f t="shared" si="452"/>
        <v>0</v>
      </c>
      <c r="AO201" s="638">
        <f t="shared" si="453"/>
        <v>0</v>
      </c>
      <c r="AP201" s="638">
        <f t="shared" si="454"/>
        <v>0</v>
      </c>
      <c r="AQ201" s="1018">
        <f t="shared" si="455"/>
        <v>0</v>
      </c>
      <c r="AR201" s="1018">
        <f t="shared" si="456"/>
        <v>0</v>
      </c>
      <c r="AS201" s="1017">
        <f t="shared" si="457"/>
        <v>4.2660582065420174</v>
      </c>
      <c r="AT201" s="638">
        <f t="shared" si="458"/>
        <v>4.2822893370921609</v>
      </c>
      <c r="AU201" s="638">
        <f t="shared" si="459"/>
        <v>1.6231130550143028E-2</v>
      </c>
      <c r="AV201" s="1018">
        <f t="shared" si="460"/>
        <v>3.634049583350607</v>
      </c>
      <c r="AW201" s="1018">
        <f t="shared" si="461"/>
        <v>3.634049583350607E-2</v>
      </c>
      <c r="AX201" s="1017">
        <f t="shared" si="462"/>
        <v>0</v>
      </c>
      <c r="AY201" s="638">
        <f t="shared" si="463"/>
        <v>0</v>
      </c>
      <c r="AZ201" s="638">
        <f t="shared" si="464"/>
        <v>0</v>
      </c>
      <c r="BA201" s="638">
        <f t="shared" si="465"/>
        <v>0</v>
      </c>
      <c r="BB201" s="1018">
        <f t="shared" si="466"/>
        <v>0</v>
      </c>
      <c r="BC201" s="1017"/>
      <c r="BF201" s="1018"/>
      <c r="BG201" s="1017">
        <f t="shared" si="467"/>
        <v>0</v>
      </c>
      <c r="BH201" s="638">
        <f t="shared" si="468"/>
        <v>2633.172</v>
      </c>
      <c r="BI201" s="1018">
        <f t="shared" si="469"/>
        <v>0</v>
      </c>
      <c r="BJ201" s="638">
        <f>_xlfn.XLOOKUP(H201, 'Baumaterialien Matériaux'!A:A, 'Baumaterialien Matériaux'!E:E, "-", 0, 1)</f>
        <v>190</v>
      </c>
      <c r="BK201" s="1032">
        <f t="shared" si="470"/>
        <v>0</v>
      </c>
      <c r="BL201" s="1030">
        <f t="shared" si="471"/>
        <v>13.8588</v>
      </c>
      <c r="BM201" s="1033">
        <f t="shared" si="472"/>
        <v>0</v>
      </c>
      <c r="BN201" s="720">
        <f>IFERROR((J201*VLOOKUP(H201, 'Baumaterialien Matériaux'!$A$11:$AH$318, 32,FALSE))*($L$2/L201-1),0)/$G$1</f>
        <v>2.6675159013526319</v>
      </c>
      <c r="BO201" s="720">
        <f t="shared" si="473"/>
        <v>4.2822893370921609</v>
      </c>
    </row>
    <row r="202" spans="2:67">
      <c r="B202" s="1103"/>
      <c r="C202" s="1099"/>
      <c r="D202" s="478"/>
      <c r="E202" s="478"/>
      <c r="F202" s="638" t="s">
        <v>3318</v>
      </c>
      <c r="G202" s="478" t="str">
        <f>_xlfn.XLOOKUP(H202, 'Baumaterialien Matériaux'!A:A, 'Baumaterialien Matériaux'!AD:AD, "-", 0, 1)</f>
        <v>Gravier concassé</v>
      </c>
      <c r="H202" s="885" t="s">
        <v>750</v>
      </c>
      <c r="I202" s="641" t="str">
        <f>_xlfn.XLOOKUP(H202, 'Baumaterialien Matériaux'!A:A, 'Baumaterialien Matériaux'!F:F, "-", 0, 1)</f>
        <v>kg</v>
      </c>
      <c r="J202" s="649">
        <f t="shared" si="474"/>
        <v>73913.599999999991</v>
      </c>
      <c r="K202" s="893">
        <f>0.08*2000</f>
        <v>160</v>
      </c>
      <c r="L202" s="478">
        <f t="shared" si="447"/>
        <v>30</v>
      </c>
      <c r="M202" s="648">
        <f t="shared" si="448"/>
        <v>2.8957486008042781</v>
      </c>
      <c r="N202" s="720">
        <f>IFERROR(($J202*VLOOKUP($H202, 'Baumaterialien Matériaux'!$A$11:$AH$318, 26,FALSE)),0)/$G$1</f>
        <v>0.38916409767422577</v>
      </c>
      <c r="O202" s="720">
        <f>IFERROR(($J202*VLOOKUP($H202, 'Baumaterialien Matériaux'!$A$11:$AH$318, 33,FALSE)),0)/$G$1</f>
        <v>0.15627849591642134</v>
      </c>
      <c r="P202" s="720">
        <f t="shared" si="475"/>
        <v>1.3697350524439285</v>
      </c>
      <c r="Q202" s="720">
        <f>IFERROR(($J202*VLOOKUP($H202, 'Baumaterialien Matériaux'!$A$11:$AH$318, 27,FALSE)),0)/$G$1</f>
        <v>0.98057095476970269</v>
      </c>
      <c r="R202" s="720">
        <f>IFERROR(($J202*VLOOKUP($H202, 'Baumaterialien Matériaux'!$A$11:$AH$318, 34,FALSE)),0)/$G$1</f>
        <v>0.18079276978566394</v>
      </c>
      <c r="S202" s="720">
        <f>IFERROR((J202*VLOOKUP(H202, 'Baumaterialien Matériaux'!$A$11:$AD$318, 29,FALSE)),0)/$G$1</f>
        <v>0</v>
      </c>
      <c r="T202" s="720">
        <f t="shared" si="449"/>
        <v>0</v>
      </c>
      <c r="V202" s="638">
        <f t="shared" si="296"/>
        <v>0</v>
      </c>
      <c r="W202" s="638">
        <f t="shared" si="297"/>
        <v>0</v>
      </c>
      <c r="X202" s="638" t="str">
        <f t="shared" si="439"/>
        <v>Revêtement</v>
      </c>
      <c r="Z202" s="638">
        <f t="shared" ref="Z202:Z260" si="476">L202</f>
        <v>30</v>
      </c>
      <c r="AA202" s="648" t="s">
        <v>3458</v>
      </c>
      <c r="AB202" t="str">
        <f>_xlfn.XLOOKUP($H202,'[1]Baumaterialien Matériaux'!$A:$A,'[1]Baumaterialien Matériaux'!AK:AK,0,0)</f>
        <v>stone</v>
      </c>
      <c r="AC202" t="str" cm="1">
        <f t="array" ref="AC202">_xlfn.SWITCH(I202,"kg"," ",0," ",_xlfn.XLOOKUP(H202, '[1]Baumaterialien Matériaux'!$A:$A, '[1]Baumaterialien Matériaux'!$AL:$AL, "-", 0, 1))</f>
        <v xml:space="preserve"> </v>
      </c>
      <c r="AD202" s="1112" cm="1">
        <f t="array" ref="AD202">IFERROR(_xlfn.SWITCH(I202,"kg",1,"m3",AC202,AC202)*J202/(_xlfn.XLOOKUP(AA202,Métrés!A:A,Métrés!E:E,0)),0)</f>
        <v>160</v>
      </c>
      <c r="AE202" s="1092">
        <f>IFERROR(N202*$G$1/(_xlfn.XLOOKUP($AA202,Métrés!$A:$A,Métrés!$E:$E,0)),0)</f>
        <v>0.81280000000000008</v>
      </c>
      <c r="AF202" s="1092">
        <f>IFERROR(O202*$G$1/(_xlfn.XLOOKUP($AA202,Métrés!$A:$A,Métrés!$E:$E,0)),0)</f>
        <v>0.32639999999999997</v>
      </c>
      <c r="AG202" s="1092">
        <f>IFERROR(Q202*$G$1/(_xlfn.XLOOKUP($AA202,Métrés!$A:$A,Métrés!$E:$E,0)),0)</f>
        <v>2.048</v>
      </c>
      <c r="AH202" s="1092">
        <f>IFERROR(R202*$G$1/(_xlfn.XLOOKUP($AA202,Métrés!$A:$A,Métrés!$E:$E,0)),0)</f>
        <v>0.37759999999999999</v>
      </c>
      <c r="AI202" s="1092">
        <f>IFERROR(S202*$G$1/(_xlfn.XLOOKUP($AA202,Métrés!$A:$A,Métrés!$E:$E,0)),0)</f>
        <v>0</v>
      </c>
      <c r="AJ202" s="1022"/>
      <c r="AK202" s="638">
        <f t="shared" si="450"/>
        <v>0</v>
      </c>
      <c r="AL202" s="638">
        <f t="shared" si="451"/>
        <v>0</v>
      </c>
      <c r="AM202" s="638" t="str">
        <f>IF(L202=$L$2, "Structure", IF(L202&gt;0,"Revêtement",0))</f>
        <v>Revêtement</v>
      </c>
      <c r="AN202" s="1017">
        <f t="shared" si="452"/>
        <v>0</v>
      </c>
      <c r="AO202" s="638">
        <f t="shared" si="453"/>
        <v>0</v>
      </c>
      <c r="AP202" s="638">
        <f t="shared" si="454"/>
        <v>0</v>
      </c>
      <c r="AQ202" s="1018">
        <f t="shared" si="455"/>
        <v>0</v>
      </c>
      <c r="AR202" s="1018">
        <f t="shared" si="456"/>
        <v>0</v>
      </c>
      <c r="AS202" s="1017">
        <f t="shared" si="457"/>
        <v>0</v>
      </c>
      <c r="AT202" s="638">
        <f t="shared" si="458"/>
        <v>0</v>
      </c>
      <c r="AU202" s="638">
        <f t="shared" si="459"/>
        <v>0</v>
      </c>
      <c r="AV202" s="1018">
        <f t="shared" si="460"/>
        <v>0</v>
      </c>
      <c r="AW202" s="1018">
        <f t="shared" si="461"/>
        <v>0</v>
      </c>
      <c r="AX202" s="1017">
        <f t="shared" si="462"/>
        <v>0.38916409767422577</v>
      </c>
      <c r="AY202" s="638">
        <f t="shared" si="463"/>
        <v>1.3697350524439285</v>
      </c>
      <c r="AZ202" s="638">
        <f t="shared" si="464"/>
        <v>0.98057095476970269</v>
      </c>
      <c r="BA202" s="638">
        <f t="shared" si="465"/>
        <v>0</v>
      </c>
      <c r="BB202" s="1018">
        <f t="shared" si="466"/>
        <v>0</v>
      </c>
      <c r="BC202" s="1017"/>
      <c r="BF202" s="1018"/>
      <c r="BG202" s="1017">
        <f t="shared" si="467"/>
        <v>0</v>
      </c>
      <c r="BH202" s="638">
        <f t="shared" si="468"/>
        <v>0</v>
      </c>
      <c r="BI202" s="1018">
        <f t="shared" si="469"/>
        <v>73913.599999999991</v>
      </c>
      <c r="BJ202" s="638">
        <f>_xlfn.XLOOKUP(H202, 'Baumaterialien Matériaux'!A:A, 'Baumaterialien Matériaux'!E:E, "-", 0, 1)</f>
        <v>2000</v>
      </c>
      <c r="BK202" s="1032">
        <f t="shared" si="470"/>
        <v>0</v>
      </c>
      <c r="BL202" s="1030">
        <f t="shared" si="471"/>
        <v>0</v>
      </c>
      <c r="BM202" s="1033">
        <f t="shared" si="472"/>
        <v>36.956799999999994</v>
      </c>
      <c r="BN202" s="720">
        <f>IFERROR((J202*VLOOKUP(H202, 'Baumaterialien Matériaux'!$A$11:$AH$318, 32,FALSE))*($L$2/L202-1),0)/$G$1</f>
        <v>0.33630519464367142</v>
      </c>
      <c r="BO202" s="720">
        <f t="shared" si="473"/>
        <v>1.3697350524439285</v>
      </c>
    </row>
    <row r="203" spans="2:67">
      <c r="B203" s="1103"/>
      <c r="C203" s="1099"/>
      <c r="D203" s="478"/>
      <c r="E203" s="478"/>
      <c r="G203" s="478"/>
      <c r="H203" s="895"/>
      <c r="I203" s="641"/>
      <c r="J203" s="649"/>
      <c r="K203" s="478"/>
      <c r="L203" s="478"/>
      <c r="M203" s="648"/>
      <c r="N203" s="720"/>
      <c r="O203" s="720"/>
      <c r="P203" s="720"/>
      <c r="Q203" s="720"/>
      <c r="R203" s="720"/>
      <c r="S203" s="720"/>
      <c r="T203" s="720">
        <f t="shared" si="449"/>
        <v>0</v>
      </c>
      <c r="V203" s="638">
        <f t="shared" si="296"/>
        <v>0</v>
      </c>
      <c r="W203" s="638">
        <f t="shared" si="297"/>
        <v>0</v>
      </c>
      <c r="X203" s="638">
        <f t="shared" si="439"/>
        <v>0</v>
      </c>
      <c r="Z203" s="638">
        <f t="shared" si="476"/>
        <v>0</v>
      </c>
      <c r="AA203" s="648" t="s">
        <v>3458</v>
      </c>
      <c r="AB203">
        <f>_xlfn.XLOOKUP($H203,'[1]Baumaterialien Matériaux'!$A:$A,'[1]Baumaterialien Matériaux'!AK:AK,0,0)</f>
        <v>0</v>
      </c>
      <c r="AC203" t="str" cm="1">
        <f t="array" ref="AC203">_xlfn.SWITCH(I203,"kg"," ",0," ",_xlfn.XLOOKUP(H203, '[1]Baumaterialien Matériaux'!$A:$A, '[1]Baumaterialien Matériaux'!$AL:$AL, "-", 0, 1))</f>
        <v xml:space="preserve"> </v>
      </c>
      <c r="AD203" s="1112" cm="1">
        <f t="array" ref="AD203">IFERROR(_xlfn.SWITCH(I203,"kg",1,"m3",AC203,AC203)*J203/(_xlfn.XLOOKUP(AA203,Métrés!A:A,Métrés!E:E,0)),0)</f>
        <v>0</v>
      </c>
      <c r="AE203" s="1092">
        <f>IFERROR(N203*$G$1/(_xlfn.XLOOKUP($AA203,Métrés!$A:$A,Métrés!$E:$E,0)),0)</f>
        <v>0</v>
      </c>
      <c r="AF203" s="1092">
        <f>IFERROR(O203*$G$1/(_xlfn.XLOOKUP($AA203,Métrés!$A:$A,Métrés!$E:$E,0)),0)</f>
        <v>0</v>
      </c>
      <c r="AG203" s="1092">
        <f>IFERROR(Q203*$G$1/(_xlfn.XLOOKUP($AA203,Métrés!$A:$A,Métrés!$E:$E,0)),0)</f>
        <v>0</v>
      </c>
      <c r="AH203" s="1092">
        <f>IFERROR(R203*$G$1/(_xlfn.XLOOKUP($AA203,Métrés!$A:$A,Métrés!$E:$E,0)),0)</f>
        <v>0</v>
      </c>
      <c r="AI203" s="1092">
        <f>IFERROR(S203*$G$1/(_xlfn.XLOOKUP($AA203,Métrés!$A:$A,Métrés!$E:$E,0)),0)</f>
        <v>0</v>
      </c>
      <c r="AJ203" s="1022"/>
      <c r="AK203" s="638">
        <f t="shared" si="450"/>
        <v>0</v>
      </c>
      <c r="AL203" s="638">
        <f t="shared" si="451"/>
        <v>0</v>
      </c>
      <c r="AM203" s="638">
        <f>IF(L203=$L$2, "Structure", IF(L203&gt;0,"Revêtement",0))</f>
        <v>0</v>
      </c>
      <c r="AN203" s="1017">
        <f t="shared" si="452"/>
        <v>0</v>
      </c>
      <c r="AO203" s="638">
        <f t="shared" si="453"/>
        <v>0</v>
      </c>
      <c r="AP203" s="638">
        <f t="shared" si="454"/>
        <v>0</v>
      </c>
      <c r="AQ203" s="1018">
        <f t="shared" si="455"/>
        <v>0</v>
      </c>
      <c r="AR203" s="1018">
        <f t="shared" si="456"/>
        <v>0</v>
      </c>
      <c r="AS203" s="1017">
        <f t="shared" si="457"/>
        <v>0</v>
      </c>
      <c r="AT203" s="638">
        <f t="shared" si="458"/>
        <v>0</v>
      </c>
      <c r="AU203" s="638">
        <f t="shared" si="459"/>
        <v>0</v>
      </c>
      <c r="AV203" s="1018">
        <f t="shared" si="460"/>
        <v>0</v>
      </c>
      <c r="AW203" s="1018">
        <f t="shared" si="461"/>
        <v>0</v>
      </c>
      <c r="AX203" s="1017">
        <f t="shared" si="462"/>
        <v>0</v>
      </c>
      <c r="AY203" s="638">
        <f t="shared" si="463"/>
        <v>0</v>
      </c>
      <c r="AZ203" s="638">
        <f t="shared" si="464"/>
        <v>0</v>
      </c>
      <c r="BA203" s="638">
        <f t="shared" si="465"/>
        <v>0</v>
      </c>
      <c r="BB203" s="1018">
        <f t="shared" si="466"/>
        <v>0</v>
      </c>
      <c r="BC203" s="1017"/>
      <c r="BF203" s="1018"/>
      <c r="BG203" s="1017">
        <f t="shared" si="467"/>
        <v>0</v>
      </c>
      <c r="BH203" s="638">
        <f t="shared" si="468"/>
        <v>0</v>
      </c>
      <c r="BI203" s="1018">
        <f t="shared" si="469"/>
        <v>0</v>
      </c>
      <c r="BJ203" s="638">
        <f>_xlfn.XLOOKUP(H203, 'Baumaterialien Matériaux'!A:A, 'Baumaterialien Matériaux'!E:E, "-", 0, 1)</f>
        <v>0</v>
      </c>
      <c r="BK203" s="1032">
        <f t="shared" si="470"/>
        <v>0</v>
      </c>
      <c r="BL203" s="1030">
        <f t="shared" si="471"/>
        <v>0</v>
      </c>
      <c r="BM203" s="1033">
        <f t="shared" si="472"/>
        <v>0</v>
      </c>
      <c r="BN203" s="720">
        <f>IFERROR((J203*VLOOKUP(H203, 'Baumaterialien Matériaux'!$A$11:$AH$318, 32,FALSE))*($L$2/L203-1),0)/$G$1</f>
        <v>0</v>
      </c>
      <c r="BO203" s="720">
        <f t="shared" si="473"/>
        <v>0</v>
      </c>
    </row>
    <row r="204" spans="2:67">
      <c r="B204" s="1103"/>
      <c r="C204" s="1099"/>
      <c r="D204" s="478"/>
      <c r="E204" s="478"/>
      <c r="F204" s="478"/>
      <c r="G204" s="478"/>
      <c r="H204" s="478"/>
      <c r="I204" s="641"/>
      <c r="J204" s="649"/>
      <c r="K204" s="478"/>
      <c r="L204" s="478"/>
      <c r="M204" s="648"/>
      <c r="N204" s="720"/>
      <c r="O204" s="720"/>
      <c r="P204" s="720"/>
      <c r="Q204" s="720"/>
      <c r="R204" s="720"/>
      <c r="S204" s="720"/>
      <c r="T204" s="720">
        <f t="shared" si="449"/>
        <v>0</v>
      </c>
      <c r="V204" s="638">
        <f t="shared" si="296"/>
        <v>0</v>
      </c>
      <c r="W204" s="638">
        <f t="shared" si="297"/>
        <v>0</v>
      </c>
      <c r="X204" s="638">
        <f t="shared" si="439"/>
        <v>0</v>
      </c>
      <c r="Z204" s="638">
        <f t="shared" si="476"/>
        <v>0</v>
      </c>
      <c r="AA204" s="648" t="s">
        <v>3458</v>
      </c>
      <c r="AB204">
        <f>_xlfn.XLOOKUP($H204,'[1]Baumaterialien Matériaux'!$A:$A,'[1]Baumaterialien Matériaux'!AK:AK,0,0)</f>
        <v>0</v>
      </c>
      <c r="AC204" t="str" cm="1">
        <f t="array" ref="AC204">_xlfn.SWITCH(I204,"kg"," ",0," ",_xlfn.XLOOKUP(H204, '[1]Baumaterialien Matériaux'!$A:$A, '[1]Baumaterialien Matériaux'!$AL:$AL, "-", 0, 1))</f>
        <v xml:space="preserve"> </v>
      </c>
      <c r="AD204" s="1112" cm="1">
        <f t="array" ref="AD204">IFERROR(_xlfn.SWITCH(I204,"kg",1,"m3",AC204,AC204)*J204/(_xlfn.XLOOKUP(AA204,Métrés!A:A,Métrés!E:E,0)),0)</f>
        <v>0</v>
      </c>
      <c r="AE204" s="1092">
        <f>IFERROR(N204*$G$1/(_xlfn.XLOOKUP($AA204,Métrés!$A:$A,Métrés!$E:$E,0)),0)</f>
        <v>0</v>
      </c>
      <c r="AF204" s="1092">
        <f>IFERROR(O204*$G$1/(_xlfn.XLOOKUP($AA204,Métrés!$A:$A,Métrés!$E:$E,0)),0)</f>
        <v>0</v>
      </c>
      <c r="AG204" s="1092">
        <f>IFERROR(Q204*$G$1/(_xlfn.XLOOKUP($AA204,Métrés!$A:$A,Métrés!$E:$E,0)),0)</f>
        <v>0</v>
      </c>
      <c r="AH204" s="1092">
        <f>IFERROR(R204*$G$1/(_xlfn.XLOOKUP($AA204,Métrés!$A:$A,Métrés!$E:$E,0)),0)</f>
        <v>0</v>
      </c>
      <c r="AI204" s="1092">
        <f>IFERROR(S204*$G$1/(_xlfn.XLOOKUP($AA204,Métrés!$A:$A,Métrés!$E:$E,0)),0)</f>
        <v>0</v>
      </c>
      <c r="AJ204" s="1022"/>
      <c r="AK204" s="638">
        <f t="shared" si="450"/>
        <v>0</v>
      </c>
      <c r="AL204" s="638">
        <f t="shared" si="451"/>
        <v>0</v>
      </c>
      <c r="AM204" s="638">
        <f>IF(L204=$L$2, "Structure", IF(L204&gt;0,"Revêtement",0))</f>
        <v>0</v>
      </c>
      <c r="AN204" s="1017">
        <f t="shared" si="452"/>
        <v>0</v>
      </c>
      <c r="AO204" s="638">
        <f t="shared" si="453"/>
        <v>0</v>
      </c>
      <c r="AP204" s="638">
        <f t="shared" si="454"/>
        <v>0</v>
      </c>
      <c r="AQ204" s="1018">
        <f t="shared" si="455"/>
        <v>0</v>
      </c>
      <c r="AR204" s="1018">
        <f t="shared" si="456"/>
        <v>0</v>
      </c>
      <c r="AS204" s="1017">
        <f t="shared" si="457"/>
        <v>0</v>
      </c>
      <c r="AT204" s="638">
        <f t="shared" si="458"/>
        <v>0</v>
      </c>
      <c r="AU204" s="638">
        <f t="shared" si="459"/>
        <v>0</v>
      </c>
      <c r="AV204" s="1018">
        <f t="shared" si="460"/>
        <v>0</v>
      </c>
      <c r="AW204" s="1018">
        <f t="shared" si="461"/>
        <v>0</v>
      </c>
      <c r="AX204" s="1017">
        <f t="shared" si="462"/>
        <v>0</v>
      </c>
      <c r="AY204" s="638">
        <f t="shared" si="463"/>
        <v>0</v>
      </c>
      <c r="AZ204" s="638">
        <f t="shared" si="464"/>
        <v>0</v>
      </c>
      <c r="BA204" s="638">
        <f t="shared" si="465"/>
        <v>0</v>
      </c>
      <c r="BB204" s="1018">
        <f t="shared" si="466"/>
        <v>0</v>
      </c>
      <c r="BC204" s="1017"/>
      <c r="BF204" s="1018"/>
      <c r="BG204" s="1017">
        <f t="shared" si="467"/>
        <v>0</v>
      </c>
      <c r="BH204" s="638">
        <f t="shared" si="468"/>
        <v>0</v>
      </c>
      <c r="BI204" s="1018">
        <f t="shared" si="469"/>
        <v>0</v>
      </c>
      <c r="BJ204" s="638">
        <f>_xlfn.XLOOKUP(H204, 'Baumaterialien Matériaux'!A:A, 'Baumaterialien Matériaux'!E:E, "-", 0, 1)</f>
        <v>0</v>
      </c>
      <c r="BK204" s="1032">
        <f t="shared" si="470"/>
        <v>0</v>
      </c>
      <c r="BL204" s="1030">
        <f t="shared" si="471"/>
        <v>0</v>
      </c>
      <c r="BM204" s="1033">
        <f t="shared" si="472"/>
        <v>0</v>
      </c>
      <c r="BN204" s="720">
        <f>IFERROR((J204*VLOOKUP(H204, 'Baumaterialien Matériaux'!$A$11:$AH$318, 32,FALSE))*($L$2/L204-1),0)/$G$1</f>
        <v>0</v>
      </c>
      <c r="BO204" s="720">
        <f t="shared" si="473"/>
        <v>0</v>
      </c>
    </row>
    <row r="205" spans="2:67">
      <c r="B205" s="1103"/>
      <c r="C205" s="1099"/>
      <c r="D205" s="478" t="s">
        <v>2990</v>
      </c>
      <c r="E205" s="479" t="str">
        <f>BillQuantities!E34</f>
        <v>Supports et revêtement de sol</v>
      </c>
      <c r="F205" s="479"/>
      <c r="G205" s="479"/>
      <c r="H205" s="479"/>
      <c r="I205" s="459" t="s">
        <v>39</v>
      </c>
      <c r="J205" s="662"/>
      <c r="K205" s="663"/>
      <c r="L205" s="663"/>
      <c r="M205" s="664">
        <f>SUM(M206:M212)</f>
        <v>17.003161145889472</v>
      </c>
      <c r="N205" s="664">
        <f t="shared" ref="N205:T205" si="477">SUM(N206:N212)</f>
        <v>6.1722772687699532</v>
      </c>
      <c r="O205" s="664">
        <f t="shared" ref="O205" si="478">SUM(O206:O212)</f>
        <v>3.2754757265453338</v>
      </c>
      <c r="P205" s="664">
        <f t="shared" si="477"/>
        <v>6.8638427096720704</v>
      </c>
      <c r="Q205" s="664">
        <f t="shared" si="477"/>
        <v>0.69156544090211847</v>
      </c>
      <c r="R205" s="664">
        <f t="shared" ref="R205" si="479">SUM(R206:R212)</f>
        <v>4.012115998507524E-2</v>
      </c>
      <c r="S205" s="664">
        <f t="shared" si="477"/>
        <v>6.0071859928416451</v>
      </c>
      <c r="T205" s="664">
        <f t="shared" si="477"/>
        <v>6.0071859928416453E-2</v>
      </c>
      <c r="V205" s="638">
        <f t="shared" ref="V205:V245" si="480">IF(L205=60,0,T205)</f>
        <v>6.0071859928416453E-2</v>
      </c>
      <c r="X205" s="638">
        <f t="shared" si="439"/>
        <v>0</v>
      </c>
      <c r="Z205" s="638">
        <f t="shared" si="476"/>
        <v>0</v>
      </c>
      <c r="AA205" s="648" t="s">
        <v>3458</v>
      </c>
      <c r="AB205">
        <f>_xlfn.XLOOKUP($H205,'[1]Baumaterialien Matériaux'!$A:$A,'[1]Baumaterialien Matériaux'!AK:AK,0,0)</f>
        <v>0</v>
      </c>
      <c r="AC205" cm="1">
        <f t="array" ref="AC205">_xlfn.SWITCH(I205,"kg"," ",0," ",_xlfn.XLOOKUP(H205, '[1]Baumaterialien Matériaux'!$A:$A, '[1]Baumaterialien Matériaux'!$AL:$AL, "-", 0, 1))</f>
        <v>0</v>
      </c>
      <c r="AD205" s="1112" cm="1">
        <f t="array" ref="AD205">IFERROR(_xlfn.SWITCH(I205,"kg",1,"m3",AC205,AC205)*J205/(_xlfn.XLOOKUP(AA205,Métrés!A:A,Métrés!E:E,0)),0)</f>
        <v>0</v>
      </c>
      <c r="AE205" s="1092">
        <f>IFERROR(N205*$G$1/(_xlfn.XLOOKUP($AA205,Métrés!$A:$A,Métrés!$E:$E,0)),0)</f>
        <v>12.891289289115946</v>
      </c>
      <c r="AF205" s="1092">
        <f>IFERROR(O205*$G$1/(_xlfn.XLOOKUP($AA205,Métrés!$A:$A,Métrés!$E:$E,0)),0)</f>
        <v>6.8410901376742581</v>
      </c>
      <c r="AG205" s="1092">
        <f>IFERROR(Q205*$G$1/(_xlfn.XLOOKUP($AA205,Métrés!$A:$A,Métrés!$E:$E,0)),0)</f>
        <v>1.4443891245995324</v>
      </c>
      <c r="AH205" s="1092">
        <f>IFERROR(R205*$G$1/(_xlfn.XLOOKUP($AA205,Métrés!$A:$A,Métrés!$E:$E,0)),0)</f>
        <v>8.3796216122608014E-2</v>
      </c>
      <c r="AI205" s="1092">
        <f>IFERROR(S205*$G$1/(_xlfn.XLOOKUP($AA205,Métrés!$A:$A,Métrés!$E:$E,0)),0)</f>
        <v>12.546483100989985</v>
      </c>
      <c r="AJ205" s="878"/>
      <c r="AK205" s="878"/>
      <c r="AL205" s="878"/>
      <c r="AM205" s="878"/>
      <c r="AN205" s="1053"/>
      <c r="AO205" s="878"/>
      <c r="AP205" s="878"/>
      <c r="AQ205" s="878"/>
      <c r="AR205" s="1054"/>
      <c r="AS205" s="1053"/>
      <c r="AT205" s="878"/>
      <c r="AU205" s="878"/>
      <c r="AV205" s="878"/>
      <c r="AW205" s="1054"/>
      <c r="AX205" s="1053"/>
      <c r="AY205" s="878"/>
      <c r="AZ205" s="878"/>
      <c r="BA205" s="878"/>
      <c r="BB205" s="1054"/>
      <c r="BC205" s="1053"/>
      <c r="BD205" s="878"/>
      <c r="BE205" s="878"/>
      <c r="BF205" s="1054"/>
      <c r="BG205" s="1053"/>
      <c r="BH205" s="878"/>
      <c r="BI205" s="1054"/>
      <c r="BJ205" s="878"/>
      <c r="BK205" s="1053"/>
      <c r="BL205" s="878"/>
      <c r="BM205" s="1054"/>
    </row>
    <row r="206" spans="2:67">
      <c r="B206" s="1103"/>
      <c r="C206" s="1099"/>
      <c r="D206" s="478"/>
      <c r="E206" s="478"/>
      <c r="F206" s="478" t="s">
        <v>3054</v>
      </c>
      <c r="G206" s="478" t="str">
        <f>_xlfn.XLOOKUP(H206, 'Baumaterialien Matériaux'!A:A, 'Baumaterialien Matériaux'!AD:AD, "-", 0, 1)</f>
        <v>Parquet, 2 plis, vitrifié d'usine, 11 mm</v>
      </c>
      <c r="H206" s="892" t="s">
        <v>776</v>
      </c>
      <c r="I206" s="641" t="str">
        <f>_xlfn.XLOOKUP(H206, 'Baumaterialien Matériaux'!A:A, 'Baumaterialien Matériaux'!F:F, "-", 0, 1)</f>
        <v>m2</v>
      </c>
      <c r="J206" s="890">
        <v>585</v>
      </c>
      <c r="K206" s="478">
        <f>_xlfn.XLOOKUP(H206, 'Baumaterialien Matériaux'!A:A, 'Baumaterialien Matériaux'!E:E, "-", 0, 1)/(Métrés!E$15)*J206</f>
        <v>4.7592056654352435</v>
      </c>
      <c r="L206" s="478">
        <f>L199</f>
        <v>30</v>
      </c>
      <c r="M206" s="648">
        <f t="shared" si="448"/>
        <v>11.541872227519589</v>
      </c>
      <c r="N206" s="720">
        <f>IFERROR(($J206*VLOOKUP($H206, 'Baumaterialien Matériaux'!$A$11:$AH$318, 26,FALSE)),0)/$G$1</f>
        <v>4.5413229136437137</v>
      </c>
      <c r="O206" s="720">
        <f>IFERROR(($J206*VLOOKUP($H206, 'Baumaterialien Matériaux'!$A$11:$AH$318, 33,FALSE)),0)/$G$1</f>
        <v>2.0493553335268024</v>
      </c>
      <c r="P206" s="720">
        <f>IFERROR((N206+Q206)*($L$2/L206-1),0)</f>
        <v>4.7462584469963938</v>
      </c>
      <c r="Q206" s="720">
        <f>IFERROR(($J206*VLOOKUP($H206, 'Baumaterialien Matériaux'!$A$11:$AH$318, 27,FALSE)),0)/$G$1</f>
        <v>0.20493553335268025</v>
      </c>
      <c r="R206" s="720">
        <f>IFERROR(($J206*VLOOKUP($H206, 'Baumaterialien Matériaux'!$A$11:$AH$318, 34,FALSE)),0)/$G$1</f>
        <v>2.6617366610007877E-2</v>
      </c>
      <c r="S206" s="720">
        <f>IFERROR((J206*VLOOKUP(H206, 'Baumaterialien Matériaux'!$A$11:$AD$318, 29,FALSE)),0)/$G$1</f>
        <v>5.9803179801832425</v>
      </c>
      <c r="T206" s="720">
        <f t="shared" ref="T206:T212" si="481">S206*AJ206</f>
        <v>5.9803179801832425E-2</v>
      </c>
      <c r="U206" s="638">
        <v>0.01</v>
      </c>
      <c r="V206" s="638">
        <f t="shared" si="480"/>
        <v>5.9803179801832425E-2</v>
      </c>
      <c r="W206" s="638">
        <f t="shared" ref="W206:W245" si="482">IF(L206=60,0,S206)</f>
        <v>5.9803179801832425</v>
      </c>
      <c r="X206" s="638" t="str">
        <f t="shared" si="439"/>
        <v>Revêtement</v>
      </c>
      <c r="Z206" s="638">
        <f t="shared" si="476"/>
        <v>30</v>
      </c>
      <c r="AA206" s="615" t="s">
        <v>3460</v>
      </c>
      <c r="AB206" t="str">
        <f>_xlfn.XLOOKUP($H206,'[1]Baumaterialien Matériaux'!$A:$A,'[1]Baumaterialien Matériaux'!AK:AK,0,0)</f>
        <v>timber</v>
      </c>
      <c r="AC206" cm="1">
        <f t="array" ref="AC206">_xlfn.SWITCH(I206,"kg"," ",0," ",_xlfn.XLOOKUP(H206, '[1]Baumaterialien Matériaux'!$A:$A, '[1]Baumaterialien Matériaux'!$AL:$AL, "-", 0, 1))</f>
        <v>6.1</v>
      </c>
      <c r="AD206" s="1112" cm="1">
        <f t="array" ref="AD206">IFERROR(_xlfn.SWITCH(I206,"kg",1,"m3",AC206,AC206)*J206/(_xlfn.XLOOKUP(AA206,Métrés!A:A,Métrés!E:E,0)),0)</f>
        <v>4.7592056654352444</v>
      </c>
      <c r="AE206" s="1092">
        <f>IFERROR(N206*$G$1/(_xlfn.XLOOKUP($AA206,Métrés!$A:$A,Métrés!$E:$E,0)),0)</f>
        <v>5.8436803990344233</v>
      </c>
      <c r="AF206" s="1092">
        <f>IFERROR(O206*$G$1/(_xlfn.XLOOKUP($AA206,Métrés!$A:$A,Métrés!$E:$E,0)),0)</f>
        <v>2.637068057241168</v>
      </c>
      <c r="AG206" s="1092">
        <f>IFERROR(Q206*$G$1/(_xlfn.XLOOKUP($AA206,Métrés!$A:$A,Métrés!$E:$E,0)),0)</f>
        <v>0.26370680572411681</v>
      </c>
      <c r="AH206" s="1092">
        <f>IFERROR(R206*$G$1/(_xlfn.XLOOKUP($AA206,Métrés!$A:$A,Métrés!$E:$E,0)),0)</f>
        <v>3.4250676838132328E-2</v>
      </c>
      <c r="AI206" s="1092">
        <f>IFERROR(S206*$G$1/(_xlfn.XLOOKUP($AA206,Métrés!$A:$A,Métrés!$E:$E,0)),0)</f>
        <v>7.6953494885370972</v>
      </c>
      <c r="AJ206" s="1022">
        <v>0.01</v>
      </c>
      <c r="AK206" s="638">
        <f t="shared" ref="AK206:AK212" si="483">IF(L206=60,0,T206)</f>
        <v>5.9803179801832425E-2</v>
      </c>
      <c r="AL206" s="638">
        <f t="shared" ref="AL206:AL212" si="484">IF(L206=60,0,S206)</f>
        <v>5.9803179801832425</v>
      </c>
      <c r="AM206" s="638" t="str">
        <f t="shared" ref="AM206:AM212" si="485">IF(L206=$L$2, "Structure", IF(L206&gt;0,"Revêtement",0))</f>
        <v>Revêtement</v>
      </c>
      <c r="AN206" s="1017">
        <f t="shared" ref="AN206:AN212" si="486">IF(AM206="Structure",N206,0)</f>
        <v>0</v>
      </c>
      <c r="AO206" s="638">
        <f t="shared" ref="AO206:AO212" si="487">IF(AM206="Structure",P206,0)</f>
        <v>0</v>
      </c>
      <c r="AP206" s="638">
        <f t="shared" ref="AP206:AP212" si="488">IF(AM206="Structure",Q206,0)</f>
        <v>0</v>
      </c>
      <c r="AQ206" s="1018">
        <f t="shared" ref="AQ206:AQ212" si="489">IF(AM206="Structure",S206,0)</f>
        <v>0</v>
      </c>
      <c r="AR206" s="1018">
        <f t="shared" ref="AR206:AR212" si="490">IF(AM206="Structure",T206,0)</f>
        <v>0</v>
      </c>
      <c r="AS206" s="1017">
        <f t="shared" ref="AS206:AS212" si="491">IF(AM206="Insulation",N206,0)</f>
        <v>0</v>
      </c>
      <c r="AT206" s="638">
        <f t="shared" ref="AT206:AT212" si="492">IF(AM206="Insulation",P206,0)</f>
        <v>0</v>
      </c>
      <c r="AU206" s="638">
        <f t="shared" ref="AU206:AU212" si="493">IF(AM206="Insulation",Q206,0)</f>
        <v>0</v>
      </c>
      <c r="AV206" s="1018">
        <f t="shared" ref="AV206:AV212" si="494">IF(AM206="Insulation",S206,0)</f>
        <v>0</v>
      </c>
      <c r="AW206" s="1018">
        <f t="shared" ref="AW206:AW212" si="495">IF(AM206="Insulation",T206,0)</f>
        <v>0</v>
      </c>
      <c r="AX206" s="1017">
        <f t="shared" ref="AX206:AX212" si="496">IF(AM206="Revêtement",N206,0)</f>
        <v>4.5413229136437137</v>
      </c>
      <c r="AY206" s="638">
        <f t="shared" ref="AY206:AY212" si="497">IF(AM206="Revêtement",P206,0)</f>
        <v>4.7462584469963938</v>
      </c>
      <c r="AZ206" s="638">
        <f t="shared" ref="AZ206:AZ212" si="498">IF(AM206="Revêtement",Q206,0)</f>
        <v>0.20493553335268025</v>
      </c>
      <c r="BA206" s="638">
        <f t="shared" ref="BA206:BA212" si="499">IF(AM206="Revêtement",S206,0)</f>
        <v>5.9803179801832425</v>
      </c>
      <c r="BB206" s="1018">
        <f t="shared" ref="BB206:BB212" si="500">IF(AM206="Revêtement",T206,0)</f>
        <v>5.9803179801832425E-2</v>
      </c>
      <c r="BC206" s="1017"/>
      <c r="BF206" s="1018"/>
      <c r="BG206" s="1017">
        <f t="shared" ref="BG206:BG212" si="501">IF($AM206="Structure", IF($I206="kg",$J206,0), 0)</f>
        <v>0</v>
      </c>
      <c r="BH206" s="638">
        <f t="shared" ref="BH206:BH212" si="502">IF($AM206="Insulation", IF($I206="kg",$J206,0), 0)</f>
        <v>0</v>
      </c>
      <c r="BI206" s="1018">
        <f t="shared" ref="BI206:BI212" si="503">IF($AM206="Revêtement", IF($I206="kg",$J206,0), 0)</f>
        <v>0</v>
      </c>
      <c r="BJ206" s="638">
        <f>_xlfn.XLOOKUP(H206, 'Baumaterialien Matériaux'!A:A, 'Baumaterialien Matériaux'!E:E, "-", 0, 1)</f>
        <v>6.1</v>
      </c>
      <c r="BK206" s="1032">
        <f t="shared" si="470"/>
        <v>0</v>
      </c>
      <c r="BL206" s="1030">
        <f t="shared" si="471"/>
        <v>0</v>
      </c>
      <c r="BM206" s="1033">
        <f t="shared" si="472"/>
        <v>0</v>
      </c>
      <c r="BN206" s="720">
        <f>IFERROR((J206*VLOOKUP(H206, 'Baumaterialien Matériaux'!$A$11:$AH$318, 32,FALSE))*($L$2/L206-1),0)/$G$1</f>
        <v>2.073608059367356</v>
      </c>
      <c r="BO206" s="720">
        <f t="shared" ref="BO206:BO212" si="504">IFERROR((N206+Q206)*($L$2/L206-1),0)</f>
        <v>4.7462584469963938</v>
      </c>
    </row>
    <row r="207" spans="2:67">
      <c r="B207" s="1103"/>
      <c r="C207" s="1099"/>
      <c r="D207" s="478"/>
      <c r="E207" s="478"/>
      <c r="F207" s="478" t="s">
        <v>2991</v>
      </c>
      <c r="G207" s="478" t="str">
        <f>_xlfn.XLOOKUP(H207, 'Baumaterialien Matériaux'!A:A, 'Baumaterialien Matériaux'!AD:AD, "-", 0, 1)</f>
        <v>Dalle en céramique/grès, 9 mm</v>
      </c>
      <c r="H207" s="892" t="s">
        <v>786</v>
      </c>
      <c r="I207" s="641" t="str">
        <f>_xlfn.XLOOKUP(H207, 'Baumaterialien Matériaux'!A:A, 'Baumaterialien Matériaux'!F:F, "-", 0, 1)</f>
        <v>m2</v>
      </c>
      <c r="J207" s="890">
        <v>64</v>
      </c>
      <c r="K207" s="478">
        <f>_xlfn.XLOOKUP(H207, 'Baumaterialien Matériaux'!A:A, 'Baumaterialien Matériaux'!E:E, "-", 0, 1)/(Métrés!E$15)*J207</f>
        <v>1.536389218602046</v>
      </c>
      <c r="L207" s="478">
        <f>L200</f>
        <v>30</v>
      </c>
      <c r="M207" s="648">
        <f t="shared" si="448"/>
        <v>3.1242485800754527</v>
      </c>
      <c r="N207" s="720">
        <f>IFERROR(($J207*VLOOKUP($H207, 'Baumaterialien Matériaux'!$A$11:$AH$318, 26,FALSE)),0)/$G$1</f>
        <v>0.93528460677418013</v>
      </c>
      <c r="O207" s="720">
        <f>IFERROR(($J207*VLOOKUP($H207, 'Baumaterialien Matériaux'!$A$11:$AH$318, 33,FALSE)),0)/$G$1</f>
        <v>0.70312176112101488</v>
      </c>
      <c r="P207" s="720">
        <f t="shared" ref="P207:P209" si="505">IFERROR((N207+Q207)*($L$2/L207-1),0)</f>
        <v>1.2105634094772189</v>
      </c>
      <c r="Q207" s="720">
        <f>IFERROR(($J207*VLOOKUP($H207, 'Baumaterialien Matériaux'!$A$11:$AH$318, 27,FALSE)),0)/$G$1</f>
        <v>0.27527880270303884</v>
      </c>
      <c r="R207" s="720">
        <f>IFERROR(($J207*VLOOKUP($H207, 'Baumaterialien Matériaux'!$A$11:$AH$318, 34,FALSE)),0)/$G$1</f>
        <v>3.0446498901372247E-3</v>
      </c>
      <c r="S207" s="720">
        <f>IFERROR((J207*VLOOKUP(H207, 'Baumaterialien Matériaux'!$A$11:$AD$318, 29,FALSE)),0)/$G$1</f>
        <v>0</v>
      </c>
      <c r="T207" s="720">
        <f t="shared" si="481"/>
        <v>0</v>
      </c>
      <c r="V207" s="638">
        <f t="shared" si="480"/>
        <v>0</v>
      </c>
      <c r="W207" s="638">
        <f t="shared" si="482"/>
        <v>0</v>
      </c>
      <c r="X207" s="638" t="str">
        <f t="shared" si="439"/>
        <v>Revêtement</v>
      </c>
      <c r="Z207" s="638">
        <f t="shared" si="476"/>
        <v>30</v>
      </c>
      <c r="AA207" s="615" t="s">
        <v>3460</v>
      </c>
      <c r="AB207" t="str">
        <f>_xlfn.XLOOKUP($H207,'[1]Baumaterialien Matériaux'!$A:$A,'[1]Baumaterialien Matériaux'!AK:AK,0,0)</f>
        <v>stone</v>
      </c>
      <c r="AC207" cm="1">
        <f t="array" ref="AC207">_xlfn.SWITCH(I207,"kg"," ",0," ",_xlfn.XLOOKUP(H207, '[1]Baumaterialien Matériaux'!$A:$A, '[1]Baumaterialien Matériaux'!$AL:$AL, "-", 0, 1))</f>
        <v>18</v>
      </c>
      <c r="AD207" s="1112" cm="1">
        <f t="array" ref="AD207">IFERROR(_xlfn.SWITCH(I207,"kg",1,"m3",AC207,AC207)*J207/(_xlfn.XLOOKUP(AA207,Métrés!A:A,Métrés!E:E,0)),0)</f>
        <v>1.536389218602046</v>
      </c>
      <c r="AE207" s="1092">
        <f>IFERROR(N207*$G$1/(_xlfn.XLOOKUP($AA207,Métrés!$A:$A,Métrés!$E:$E,0)),0)</f>
        <v>1.2035048879049359</v>
      </c>
      <c r="AF207" s="1092">
        <f>IFERROR(O207*$G$1/(_xlfn.XLOOKUP($AA207,Métrés!$A:$A,Métrés!$E:$E,0)),0)</f>
        <v>0.90476253984342703</v>
      </c>
      <c r="AG207" s="1092">
        <f>IFERROR(Q207*$G$1/(_xlfn.XLOOKUP($AA207,Métrés!$A:$A,Métrés!$E:$E,0)),0)</f>
        <v>0.35422306984436064</v>
      </c>
      <c r="AH207" s="1092">
        <f>IFERROR(R207*$G$1/(_xlfn.XLOOKUP($AA207,Métrés!$A:$A,Métrés!$E:$E,0)),0)</f>
        <v>3.9177925074352178E-3</v>
      </c>
      <c r="AI207" s="1092">
        <f>IFERROR(S207*$G$1/(_xlfn.XLOOKUP($AA207,Métrés!$A:$A,Métrés!$E:$E,0)),0)</f>
        <v>0</v>
      </c>
      <c r="AJ207" s="1022"/>
      <c r="AK207" s="638">
        <f t="shared" si="483"/>
        <v>0</v>
      </c>
      <c r="AL207" s="638">
        <f t="shared" si="484"/>
        <v>0</v>
      </c>
      <c r="AM207" s="638" t="str">
        <f t="shared" si="485"/>
        <v>Revêtement</v>
      </c>
      <c r="AN207" s="1017">
        <f t="shared" si="486"/>
        <v>0</v>
      </c>
      <c r="AO207" s="638">
        <f t="shared" si="487"/>
        <v>0</v>
      </c>
      <c r="AP207" s="638">
        <f t="shared" si="488"/>
        <v>0</v>
      </c>
      <c r="AQ207" s="1018">
        <f t="shared" si="489"/>
        <v>0</v>
      </c>
      <c r="AR207" s="1018">
        <f t="shared" si="490"/>
        <v>0</v>
      </c>
      <c r="AS207" s="1017">
        <f t="shared" si="491"/>
        <v>0</v>
      </c>
      <c r="AT207" s="638">
        <f t="shared" si="492"/>
        <v>0</v>
      </c>
      <c r="AU207" s="638">
        <f t="shared" si="493"/>
        <v>0</v>
      </c>
      <c r="AV207" s="1018">
        <f t="shared" si="494"/>
        <v>0</v>
      </c>
      <c r="AW207" s="1018">
        <f t="shared" si="495"/>
        <v>0</v>
      </c>
      <c r="AX207" s="1017">
        <f t="shared" si="496"/>
        <v>0.93528460677418013</v>
      </c>
      <c r="AY207" s="638">
        <f t="shared" si="497"/>
        <v>1.2105634094772189</v>
      </c>
      <c r="AZ207" s="638">
        <f t="shared" si="498"/>
        <v>0.27527880270303884</v>
      </c>
      <c r="BA207" s="638">
        <f t="shared" si="499"/>
        <v>0</v>
      </c>
      <c r="BB207" s="1018">
        <f t="shared" si="500"/>
        <v>0</v>
      </c>
      <c r="BC207" s="1017"/>
      <c r="BF207" s="1018"/>
      <c r="BG207" s="1017">
        <f t="shared" si="501"/>
        <v>0</v>
      </c>
      <c r="BH207" s="638">
        <f t="shared" si="502"/>
        <v>0</v>
      </c>
      <c r="BI207" s="1018">
        <f t="shared" si="503"/>
        <v>0</v>
      </c>
      <c r="BJ207" s="638">
        <f>_xlfn.XLOOKUP(H207, 'Baumaterialien Matériaux'!A:A, 'Baumaterialien Matériaux'!E:E, "-", 0, 1)</f>
        <v>18</v>
      </c>
      <c r="BK207" s="1032">
        <f t="shared" si="470"/>
        <v>0</v>
      </c>
      <c r="BL207" s="1030">
        <f t="shared" si="471"/>
        <v>0</v>
      </c>
      <c r="BM207" s="1033">
        <f t="shared" si="472"/>
        <v>0</v>
      </c>
      <c r="BN207" s="720">
        <f>IFERROR((J207*VLOOKUP(H207, 'Baumaterialien Matériaux'!$A$11:$AH$318, 32,FALSE))*($L$2/L207-1),0)/$G$1</f>
        <v>0.70975498528253378</v>
      </c>
      <c r="BO207" s="720">
        <f t="shared" si="504"/>
        <v>1.2105634094772189</v>
      </c>
    </row>
    <row r="208" spans="2:67">
      <c r="B208" s="1103"/>
      <c r="C208" s="1099"/>
      <c r="D208" s="478"/>
      <c r="E208" s="478"/>
      <c r="F208" s="478" t="s">
        <v>3055</v>
      </c>
      <c r="G208" s="478" t="str">
        <f>_xlfn.XLOOKUP(H208, 'Baumaterialien Matériaux'!A:A, 'Baumaterialien Matériaux'!AD:AD, "-", 0, 1)</f>
        <v>Moquette en fibres naturelles</v>
      </c>
      <c r="H208" s="892" t="s">
        <v>1898</v>
      </c>
      <c r="I208" s="641" t="str">
        <f>_xlfn.XLOOKUP(H208, 'Baumaterialien Matériaux'!A:A, 'Baumaterialien Matériaux'!F:F, "-", 0, 1)</f>
        <v>m2</v>
      </c>
      <c r="J208" s="890">
        <v>7</v>
      </c>
      <c r="K208" s="478">
        <f>_xlfn.XLOOKUP(H208, 'Baumaterialien Matériaux'!A:A, 'Baumaterialien Matériaux'!E:E, "-", 0, 1)/(Métrés!E$15)*J208</f>
        <v>2.5206385617689821E-2</v>
      </c>
      <c r="L208" s="478">
        <f>L201</f>
        <v>30</v>
      </c>
      <c r="M208" s="648">
        <f t="shared" si="448"/>
        <v>9.1486671365200445E-2</v>
      </c>
      <c r="N208" s="720">
        <f>IFERROR(($J208*VLOOKUP($H208, 'Baumaterialien Matériaux'!$A$11:$AH$318, 26,FALSE)),0)/$G$1</f>
        <v>2.3433937233116372E-2</v>
      </c>
      <c r="O208" s="720">
        <f>IFERROR(($J208*VLOOKUP($H208, 'Baumaterialien Matériaux'!$A$11:$AH$318, 33,FALSE)),0)/$G$1</f>
        <v>1.7629866091787242E-2</v>
      </c>
      <c r="P208" s="720">
        <f t="shared" si="505"/>
        <v>3.6928402636706603E-2</v>
      </c>
      <c r="Q208" s="720">
        <f>IFERROR(($J208*VLOOKUP($H208, 'Baumaterialien Matériaux'!$A$11:$AH$318, 27,FALSE)),0)/$G$1</f>
        <v>1.3494465403590233E-2</v>
      </c>
      <c r="R208" s="720">
        <f>IFERROR(($J208*VLOOKUP($H208, 'Baumaterialien Matériaux'!$A$11:$AH$318, 34,FALSE)),0)/$G$1</f>
        <v>8.2708013763940127E-3</v>
      </c>
      <c r="S208" s="720">
        <f>IFERROR((J208*VLOOKUP(H208, 'Baumaterialien Matériaux'!$A$11:$AD$318, 29,FALSE)),0)/$G$1</f>
        <v>2.6868012658402773E-2</v>
      </c>
      <c r="T208" s="720">
        <f t="shared" si="481"/>
        <v>2.6868012658402775E-4</v>
      </c>
      <c r="U208" s="638">
        <v>0.01</v>
      </c>
      <c r="V208" s="638">
        <f t="shared" si="480"/>
        <v>2.6868012658402775E-4</v>
      </c>
      <c r="W208" s="638">
        <f t="shared" si="482"/>
        <v>2.6868012658402773E-2</v>
      </c>
      <c r="X208" s="638" t="str">
        <f t="shared" si="439"/>
        <v>Revêtement</v>
      </c>
      <c r="Z208" s="638">
        <f t="shared" si="476"/>
        <v>30</v>
      </c>
      <c r="AA208" s="615" t="s">
        <v>3460</v>
      </c>
      <c r="AB208" t="str">
        <f>_xlfn.XLOOKUP($H208,'[1]Baumaterialien Matériaux'!$A:$A,'[1]Baumaterialien Matériaux'!AK:AK,0,0)</f>
        <v>vegetal_fiber</v>
      </c>
      <c r="AC208" cm="1">
        <f t="array" ref="AC208">_xlfn.SWITCH(I208,"kg"," ",0," ",_xlfn.XLOOKUP(H208, '[1]Baumaterialien Matériaux'!$A:$A, '[1]Baumaterialien Matériaux'!$AL:$AL, "-", 0, 1))</f>
        <v>2.7</v>
      </c>
      <c r="AD208" s="1112" cm="1">
        <f t="array" ref="AD208">IFERROR(_xlfn.SWITCH(I208,"kg",1,"m3",AC208,AC208)*J208/(_xlfn.XLOOKUP(AA208,Métrés!A:A,Métrés!E:E,0)),0)</f>
        <v>2.5206385617689821E-2</v>
      </c>
      <c r="AE208" s="1092">
        <f>IFERROR(N208*$G$1/(_xlfn.XLOOKUP($AA208,Métrés!$A:$A,Métrés!$E:$E,0)),0)</f>
        <v>3.0154305757458557E-2</v>
      </c>
      <c r="AF208" s="1092">
        <f>IFERROR(O208*$G$1/(_xlfn.XLOOKUP($AA208,Métrés!$A:$A,Métrés!$E:$E,0)),0)</f>
        <v>2.2685747055920837E-2</v>
      </c>
      <c r="AG208" s="1092">
        <f>IFERROR(Q208*$G$1/(_xlfn.XLOOKUP($AA208,Métrés!$A:$A,Métrés!$E:$E,0)),0)</f>
        <v>1.736439898107521E-2</v>
      </c>
      <c r="AH208" s="1092">
        <f>IFERROR(R208*$G$1/(_xlfn.XLOOKUP($AA208,Métrés!$A:$A,Métrés!$E:$E,0)),0)</f>
        <v>1.0642696149691256E-2</v>
      </c>
      <c r="AI208" s="1092">
        <f>IFERROR(S208*$G$1/(_xlfn.XLOOKUP($AA208,Métrés!$A:$A,Métrés!$E:$E,0)),0)</f>
        <v>3.4573202989201711E-2</v>
      </c>
      <c r="AJ208" s="1022">
        <v>0.01</v>
      </c>
      <c r="AK208" s="638">
        <f t="shared" si="483"/>
        <v>2.6868012658402775E-4</v>
      </c>
      <c r="AL208" s="638">
        <f t="shared" si="484"/>
        <v>2.6868012658402773E-2</v>
      </c>
      <c r="AM208" s="638" t="str">
        <f t="shared" si="485"/>
        <v>Revêtement</v>
      </c>
      <c r="AN208" s="1017">
        <f t="shared" si="486"/>
        <v>0</v>
      </c>
      <c r="AO208" s="638">
        <f t="shared" si="487"/>
        <v>0</v>
      </c>
      <c r="AP208" s="638">
        <f t="shared" si="488"/>
        <v>0</v>
      </c>
      <c r="AQ208" s="1018">
        <f t="shared" si="489"/>
        <v>0</v>
      </c>
      <c r="AR208" s="1018">
        <f t="shared" si="490"/>
        <v>0</v>
      </c>
      <c r="AS208" s="1017">
        <f t="shared" si="491"/>
        <v>0</v>
      </c>
      <c r="AT208" s="638">
        <f t="shared" si="492"/>
        <v>0</v>
      </c>
      <c r="AU208" s="638">
        <f t="shared" si="493"/>
        <v>0</v>
      </c>
      <c r="AV208" s="1018">
        <f t="shared" si="494"/>
        <v>0</v>
      </c>
      <c r="AW208" s="1018">
        <f t="shared" si="495"/>
        <v>0</v>
      </c>
      <c r="AX208" s="1017">
        <f t="shared" si="496"/>
        <v>2.3433937233116372E-2</v>
      </c>
      <c r="AY208" s="638">
        <f t="shared" si="497"/>
        <v>3.6928402636706603E-2</v>
      </c>
      <c r="AZ208" s="638">
        <f t="shared" si="498"/>
        <v>1.3494465403590233E-2</v>
      </c>
      <c r="BA208" s="638">
        <f t="shared" si="499"/>
        <v>2.6868012658402773E-2</v>
      </c>
      <c r="BB208" s="1018">
        <f t="shared" si="500"/>
        <v>2.6868012658402775E-4</v>
      </c>
      <c r="BC208" s="1017"/>
      <c r="BF208" s="1018"/>
      <c r="BG208" s="1017">
        <f t="shared" si="501"/>
        <v>0</v>
      </c>
      <c r="BH208" s="638">
        <f t="shared" si="502"/>
        <v>0</v>
      </c>
      <c r="BI208" s="1018">
        <f t="shared" si="503"/>
        <v>0</v>
      </c>
      <c r="BJ208" s="638">
        <f>_xlfn.XLOOKUP(H208, 'Baumaterialien Matériaux'!A:A, 'Baumaterialien Matériaux'!E:E, "-", 0, 1)</f>
        <v>2.7</v>
      </c>
      <c r="BK208" s="1032">
        <f t="shared" si="470"/>
        <v>0</v>
      </c>
      <c r="BL208" s="1030">
        <f t="shared" si="471"/>
        <v>0</v>
      </c>
      <c r="BM208" s="1033">
        <f t="shared" si="472"/>
        <v>0</v>
      </c>
      <c r="BN208" s="720">
        <f>IFERROR((J208*VLOOKUP(H208, 'Baumaterialien Matériaux'!$A$11:$AH$318, 32,FALSE))*($L$2/L208-1),0)/$G$1</f>
        <v>2.582811657891464E-2</v>
      </c>
      <c r="BO208" s="720">
        <f t="shared" si="504"/>
        <v>3.6928402636706603E-2</v>
      </c>
    </row>
    <row r="209" spans="2:67">
      <c r="B209" s="1103"/>
      <c r="C209" s="1099"/>
      <c r="D209" s="478"/>
      <c r="E209" s="478"/>
      <c r="F209" s="478" t="s">
        <v>3405</v>
      </c>
      <c r="G209" s="478" t="str">
        <f>_xlfn.XLOOKUP(H209, 'Baumaterialien Matériaux'!A:A, 'Baumaterialien Matériaux'!AD:AD, "-", 0, 1)</f>
        <v>Dalle en céramique/grès, 9 mm</v>
      </c>
      <c r="H209" s="892" t="s">
        <v>786</v>
      </c>
      <c r="I209" s="641" t="str">
        <f>_xlfn.XLOOKUP(H209, 'Baumaterialien Matériaux'!A:A, 'Baumaterialien Matériaux'!F:F, "-", 0, 1)</f>
        <v>m2</v>
      </c>
      <c r="J209" s="649">
        <v>46</v>
      </c>
      <c r="K209" s="478">
        <f>_xlfn.XLOOKUP(H209, 'Baumaterialien Matériaux'!A:A, 'Baumaterialien Matériaux'!E:E, "-", 0, 1)/(Métrés!E$15)*J209</f>
        <v>1.1042797508702207</v>
      </c>
      <c r="L209" s="478">
        <f>L202</f>
        <v>30</v>
      </c>
      <c r="M209" s="648">
        <f t="shared" si="448"/>
        <v>2.245553666929232</v>
      </c>
      <c r="N209" s="720">
        <f>IFERROR(($J209*VLOOKUP($H209, 'Baumaterialien Matériaux'!$A$11:$AH$318, 26,FALSE)),0)/$G$1</f>
        <v>0.67223581111894204</v>
      </c>
      <c r="O209" s="720">
        <f>IFERROR(($J209*VLOOKUP($H209, 'Baumaterialien Matériaux'!$A$11:$AH$318, 33,FALSE)),0)/$G$1</f>
        <v>0.50536876580572943</v>
      </c>
      <c r="P209" s="720">
        <f t="shared" si="505"/>
        <v>0.87009245056175122</v>
      </c>
      <c r="Q209" s="720">
        <f>IFERROR(($J209*VLOOKUP($H209, 'Baumaterialien Matériaux'!$A$11:$AH$318, 27,FALSE)),0)/$G$1</f>
        <v>0.19785663944280918</v>
      </c>
      <c r="R209" s="720">
        <f>IFERROR(($J209*VLOOKUP($H209, 'Baumaterialien Matériaux'!$A$11:$AH$318, 34,FALSE)),0)/$G$1</f>
        <v>2.1883421085361304E-3</v>
      </c>
      <c r="S209" s="720">
        <f>IFERROR((J209*VLOOKUP(H209, 'Baumaterialien Matériaux'!$A$11:$AD$318, 29,FALSE)),0)/$G$1</f>
        <v>0</v>
      </c>
      <c r="T209" s="720">
        <f t="shared" si="481"/>
        <v>0</v>
      </c>
      <c r="V209" s="638">
        <f t="shared" si="480"/>
        <v>0</v>
      </c>
      <c r="W209" s="638">
        <f t="shared" si="482"/>
        <v>0</v>
      </c>
      <c r="X209" s="638" t="str">
        <f t="shared" si="439"/>
        <v>Revêtement</v>
      </c>
      <c r="Z209" s="638">
        <f t="shared" si="476"/>
        <v>30</v>
      </c>
      <c r="AA209" s="615" t="s">
        <v>3460</v>
      </c>
      <c r="AB209" t="str">
        <f>_xlfn.XLOOKUP($H209,'[1]Baumaterialien Matériaux'!$A:$A,'[1]Baumaterialien Matériaux'!AK:AK,0,0)</f>
        <v>stone</v>
      </c>
      <c r="AC209" cm="1">
        <f t="array" ref="AC209">_xlfn.SWITCH(I209,"kg"," ",0," ",_xlfn.XLOOKUP(H209, '[1]Baumaterialien Matériaux'!$A:$A, '[1]Baumaterialien Matériaux'!$AL:$AL, "-", 0, 1))</f>
        <v>18</v>
      </c>
      <c r="AD209" s="1112" cm="1">
        <f t="array" ref="AD209">IFERROR(_xlfn.SWITCH(I209,"kg",1,"m3",AC209,AC209)*J209/(_xlfn.XLOOKUP(AA209,Métrés!A:A,Métrés!E:E,0)),0)</f>
        <v>1.1042797508702205</v>
      </c>
      <c r="AE209" s="1092">
        <f>IFERROR(N209*$G$1/(_xlfn.XLOOKUP($AA209,Métrés!$A:$A,Métrés!$E:$E,0)),0)</f>
        <v>0.86501913818167275</v>
      </c>
      <c r="AF209" s="1092">
        <f>IFERROR(O209*$G$1/(_xlfn.XLOOKUP($AA209,Métrés!$A:$A,Métrés!$E:$E,0)),0)</f>
        <v>0.65029807551246321</v>
      </c>
      <c r="AG209" s="1092">
        <f>IFERROR(Q209*$G$1/(_xlfn.XLOOKUP($AA209,Métrés!$A:$A,Métrés!$E:$E,0)),0)</f>
        <v>0.25459783145063419</v>
      </c>
      <c r="AH209" s="1092">
        <f>IFERROR(R209*$G$1/(_xlfn.XLOOKUP($AA209,Métrés!$A:$A,Métrés!$E:$E,0)),0)</f>
        <v>2.8159133647190624E-3</v>
      </c>
      <c r="AI209" s="1092">
        <f>IFERROR(S209*$G$1/(_xlfn.XLOOKUP($AA209,Métrés!$A:$A,Métrés!$E:$E,0)),0)</f>
        <v>0</v>
      </c>
      <c r="AJ209" s="1022"/>
      <c r="AK209" s="638">
        <f t="shared" si="483"/>
        <v>0</v>
      </c>
      <c r="AL209" s="638">
        <f t="shared" si="484"/>
        <v>0</v>
      </c>
      <c r="AM209" s="638" t="str">
        <f t="shared" si="485"/>
        <v>Revêtement</v>
      </c>
      <c r="AN209" s="1017">
        <f t="shared" si="486"/>
        <v>0</v>
      </c>
      <c r="AO209" s="638">
        <f t="shared" si="487"/>
        <v>0</v>
      </c>
      <c r="AP209" s="638">
        <f t="shared" si="488"/>
        <v>0</v>
      </c>
      <c r="AQ209" s="1018">
        <f t="shared" si="489"/>
        <v>0</v>
      </c>
      <c r="AR209" s="1018">
        <f t="shared" si="490"/>
        <v>0</v>
      </c>
      <c r="AS209" s="1017">
        <f t="shared" si="491"/>
        <v>0</v>
      </c>
      <c r="AT209" s="638">
        <f t="shared" si="492"/>
        <v>0</v>
      </c>
      <c r="AU209" s="638">
        <f t="shared" si="493"/>
        <v>0</v>
      </c>
      <c r="AV209" s="1018">
        <f t="shared" si="494"/>
        <v>0</v>
      </c>
      <c r="AW209" s="1018">
        <f t="shared" si="495"/>
        <v>0</v>
      </c>
      <c r="AX209" s="1017">
        <f t="shared" si="496"/>
        <v>0.67223581111894204</v>
      </c>
      <c r="AY209" s="638">
        <f t="shared" si="497"/>
        <v>0.87009245056175122</v>
      </c>
      <c r="AZ209" s="638">
        <f t="shared" si="498"/>
        <v>0.19785663944280918</v>
      </c>
      <c r="BA209" s="638">
        <f t="shared" si="499"/>
        <v>0</v>
      </c>
      <c r="BB209" s="1018">
        <f t="shared" si="500"/>
        <v>0</v>
      </c>
      <c r="BC209" s="1017"/>
      <c r="BF209" s="1018"/>
      <c r="BG209" s="1017">
        <f t="shared" si="501"/>
        <v>0</v>
      </c>
      <c r="BH209" s="638">
        <f t="shared" si="502"/>
        <v>0</v>
      </c>
      <c r="BI209" s="1018">
        <f t="shared" si="503"/>
        <v>0</v>
      </c>
      <c r="BJ209" s="638">
        <f>_xlfn.XLOOKUP(H209, 'Baumaterialien Matériaux'!A:A, 'Baumaterialien Matériaux'!E:E, "-", 0, 1)</f>
        <v>18</v>
      </c>
      <c r="BK209" s="1032">
        <f t="shared" si="470"/>
        <v>0</v>
      </c>
      <c r="BL209" s="1030">
        <f t="shared" si="471"/>
        <v>0</v>
      </c>
      <c r="BM209" s="1033">
        <f t="shared" si="472"/>
        <v>0</v>
      </c>
      <c r="BN209" s="720">
        <f>IFERROR((J209*VLOOKUP(H209, 'Baumaterialien Matériaux'!$A$11:$AH$318, 32,FALSE))*($L$2/L209-1),0)/$G$1</f>
        <v>0.51013639567182123</v>
      </c>
      <c r="BO209" s="720">
        <f t="shared" si="504"/>
        <v>0.87009245056175122</v>
      </c>
    </row>
    <row r="210" spans="2:67">
      <c r="B210" s="1103"/>
      <c r="C210" s="1099"/>
      <c r="D210" s="478"/>
      <c r="E210" s="478"/>
      <c r="F210" s="478"/>
      <c r="G210" s="478"/>
      <c r="H210" s="478"/>
      <c r="I210" s="641"/>
      <c r="J210" s="649"/>
      <c r="K210" s="478"/>
      <c r="L210" s="478"/>
      <c r="M210" s="648"/>
      <c r="N210" s="720"/>
      <c r="O210" s="720"/>
      <c r="P210" s="720"/>
      <c r="Q210" s="720"/>
      <c r="R210" s="720"/>
      <c r="S210" s="720"/>
      <c r="T210" s="720">
        <f t="shared" si="481"/>
        <v>0</v>
      </c>
      <c r="V210" s="638">
        <f t="shared" si="480"/>
        <v>0</v>
      </c>
      <c r="W210" s="638">
        <f t="shared" si="482"/>
        <v>0</v>
      </c>
      <c r="X210" s="638">
        <f t="shared" si="439"/>
        <v>0</v>
      </c>
      <c r="Z210" s="638">
        <f t="shared" si="476"/>
        <v>0</v>
      </c>
      <c r="AA210" s="615" t="s">
        <v>3460</v>
      </c>
      <c r="AB210">
        <f>_xlfn.XLOOKUP($H210,'[1]Baumaterialien Matériaux'!$A:$A,'[1]Baumaterialien Matériaux'!AK:AK,0,0)</f>
        <v>0</v>
      </c>
      <c r="AC210" t="str" cm="1">
        <f t="array" ref="AC210">_xlfn.SWITCH(I210,"kg"," ",0," ",_xlfn.XLOOKUP(H210, '[1]Baumaterialien Matériaux'!$A:$A, '[1]Baumaterialien Matériaux'!$AL:$AL, "-", 0, 1))</f>
        <v xml:space="preserve"> </v>
      </c>
      <c r="AD210" s="1112" cm="1">
        <f t="array" ref="AD210">IFERROR(_xlfn.SWITCH(I210,"kg",1,"m3",AC210,AC210)*J210/(_xlfn.XLOOKUP(AA210,Métrés!A:A,Métrés!E:E,0)),0)</f>
        <v>0</v>
      </c>
      <c r="AE210" s="1092">
        <f>IFERROR(N210*$G$1/(_xlfn.XLOOKUP($AA210,Métrés!$A:$A,Métrés!$E:$E,0)),0)</f>
        <v>0</v>
      </c>
      <c r="AF210" s="1092">
        <f>IFERROR(O210*$G$1/(_xlfn.XLOOKUP($AA210,Métrés!$A:$A,Métrés!$E:$E,0)),0)</f>
        <v>0</v>
      </c>
      <c r="AG210" s="1092">
        <f>IFERROR(Q210*$G$1/(_xlfn.XLOOKUP($AA210,Métrés!$A:$A,Métrés!$E:$E,0)),0)</f>
        <v>0</v>
      </c>
      <c r="AH210" s="1092">
        <f>IFERROR(R210*$G$1/(_xlfn.XLOOKUP($AA210,Métrés!$A:$A,Métrés!$E:$E,0)),0)</f>
        <v>0</v>
      </c>
      <c r="AI210" s="1092">
        <f>IFERROR(S210*$G$1/(_xlfn.XLOOKUP($AA210,Métrés!$A:$A,Métrés!$E:$E,0)),0)</f>
        <v>0</v>
      </c>
      <c r="AJ210" s="1022"/>
      <c r="AK210" s="638">
        <f t="shared" si="483"/>
        <v>0</v>
      </c>
      <c r="AL210" s="638">
        <f t="shared" si="484"/>
        <v>0</v>
      </c>
      <c r="AM210" s="638">
        <f t="shared" si="485"/>
        <v>0</v>
      </c>
      <c r="AN210" s="1017">
        <f t="shared" si="486"/>
        <v>0</v>
      </c>
      <c r="AO210" s="638">
        <f t="shared" si="487"/>
        <v>0</v>
      </c>
      <c r="AP210" s="638">
        <f t="shared" si="488"/>
        <v>0</v>
      </c>
      <c r="AQ210" s="1018">
        <f t="shared" si="489"/>
        <v>0</v>
      </c>
      <c r="AR210" s="1018">
        <f t="shared" si="490"/>
        <v>0</v>
      </c>
      <c r="AS210" s="1017">
        <f t="shared" si="491"/>
        <v>0</v>
      </c>
      <c r="AT210" s="638">
        <f t="shared" si="492"/>
        <v>0</v>
      </c>
      <c r="AU210" s="638">
        <f t="shared" si="493"/>
        <v>0</v>
      </c>
      <c r="AV210" s="1018">
        <f t="shared" si="494"/>
        <v>0</v>
      </c>
      <c r="AW210" s="1018">
        <f t="shared" si="495"/>
        <v>0</v>
      </c>
      <c r="AX210" s="1017">
        <f t="shared" si="496"/>
        <v>0</v>
      </c>
      <c r="AY210" s="638">
        <f t="shared" si="497"/>
        <v>0</v>
      </c>
      <c r="AZ210" s="638">
        <f t="shared" si="498"/>
        <v>0</v>
      </c>
      <c r="BA210" s="638">
        <f t="shared" si="499"/>
        <v>0</v>
      </c>
      <c r="BB210" s="1018">
        <f t="shared" si="500"/>
        <v>0</v>
      </c>
      <c r="BC210" s="1017"/>
      <c r="BF210" s="1018"/>
      <c r="BG210" s="1017">
        <f t="shared" si="501"/>
        <v>0</v>
      </c>
      <c r="BH210" s="638">
        <f t="shared" si="502"/>
        <v>0</v>
      </c>
      <c r="BI210" s="1018">
        <f t="shared" si="503"/>
        <v>0</v>
      </c>
      <c r="BJ210" s="638">
        <f>_xlfn.XLOOKUP(H210, 'Baumaterialien Matériaux'!A:A, 'Baumaterialien Matériaux'!E:E, "-", 0, 1)</f>
        <v>0</v>
      </c>
      <c r="BK210" s="1032">
        <f t="shared" si="470"/>
        <v>0</v>
      </c>
      <c r="BL210" s="1030">
        <f t="shared" si="471"/>
        <v>0</v>
      </c>
      <c r="BM210" s="1033">
        <f t="shared" si="472"/>
        <v>0</v>
      </c>
      <c r="BN210" s="720">
        <f>IFERROR((J210*VLOOKUP(H210, 'Baumaterialien Matériaux'!$A$11:$AH$318, 32,FALSE))*($L$2/L210-1),0)/$G$1</f>
        <v>0</v>
      </c>
      <c r="BO210" s="720">
        <f t="shared" si="504"/>
        <v>0</v>
      </c>
    </row>
    <row r="211" spans="2:67">
      <c r="B211" s="1103"/>
      <c r="C211" s="1099"/>
      <c r="D211" s="478"/>
      <c r="E211" s="478"/>
      <c r="F211" s="478"/>
      <c r="G211" s="478"/>
      <c r="H211" s="478"/>
      <c r="I211" s="641"/>
      <c r="J211" s="649"/>
      <c r="K211" s="478"/>
      <c r="L211" s="478"/>
      <c r="M211" s="648"/>
      <c r="N211" s="720"/>
      <c r="O211" s="720"/>
      <c r="P211" s="720"/>
      <c r="Q211" s="720"/>
      <c r="R211" s="720"/>
      <c r="S211" s="720"/>
      <c r="T211" s="720">
        <f t="shared" si="481"/>
        <v>0</v>
      </c>
      <c r="V211" s="638">
        <f t="shared" si="480"/>
        <v>0</v>
      </c>
      <c r="W211" s="638">
        <f t="shared" si="482"/>
        <v>0</v>
      </c>
      <c r="X211" s="638">
        <f t="shared" si="439"/>
        <v>0</v>
      </c>
      <c r="Z211" s="638">
        <f t="shared" si="476"/>
        <v>0</v>
      </c>
      <c r="AA211" s="615" t="s">
        <v>3460</v>
      </c>
      <c r="AB211">
        <f>_xlfn.XLOOKUP($H211,'[1]Baumaterialien Matériaux'!$A:$A,'[1]Baumaterialien Matériaux'!AK:AK,0,0)</f>
        <v>0</v>
      </c>
      <c r="AC211" t="str" cm="1">
        <f t="array" ref="AC211">_xlfn.SWITCH(I211,"kg"," ",0," ",_xlfn.XLOOKUP(H211, '[1]Baumaterialien Matériaux'!$A:$A, '[1]Baumaterialien Matériaux'!$AL:$AL, "-", 0, 1))</f>
        <v xml:space="preserve"> </v>
      </c>
      <c r="AD211" s="1112" cm="1">
        <f t="array" ref="AD211">IFERROR(_xlfn.SWITCH(I211,"kg",1,"m3",AC211,AC211)*J211/(_xlfn.XLOOKUP(AA211,Métrés!A:A,Métrés!E:E,0)),0)</f>
        <v>0</v>
      </c>
      <c r="AE211" s="1092">
        <f>IFERROR(N211*$G$1/(_xlfn.XLOOKUP($AA211,Métrés!$A:$A,Métrés!$E:$E,0)),0)</f>
        <v>0</v>
      </c>
      <c r="AF211" s="1092">
        <f>IFERROR(O211*$G$1/(_xlfn.XLOOKUP($AA211,Métrés!$A:$A,Métrés!$E:$E,0)),0)</f>
        <v>0</v>
      </c>
      <c r="AG211" s="1092">
        <f>IFERROR(Q211*$G$1/(_xlfn.XLOOKUP($AA211,Métrés!$A:$A,Métrés!$E:$E,0)),0)</f>
        <v>0</v>
      </c>
      <c r="AH211" s="1092">
        <f>IFERROR(R211*$G$1/(_xlfn.XLOOKUP($AA211,Métrés!$A:$A,Métrés!$E:$E,0)),0)</f>
        <v>0</v>
      </c>
      <c r="AI211" s="1092">
        <f>IFERROR(S211*$G$1/(_xlfn.XLOOKUP($AA211,Métrés!$A:$A,Métrés!$E:$E,0)),0)</f>
        <v>0</v>
      </c>
      <c r="AJ211" s="1022"/>
      <c r="AK211" s="638">
        <f t="shared" si="483"/>
        <v>0</v>
      </c>
      <c r="AL211" s="638">
        <f t="shared" si="484"/>
        <v>0</v>
      </c>
      <c r="AM211" s="638">
        <f t="shared" si="485"/>
        <v>0</v>
      </c>
      <c r="AN211" s="1017">
        <f t="shared" si="486"/>
        <v>0</v>
      </c>
      <c r="AO211" s="638">
        <f t="shared" si="487"/>
        <v>0</v>
      </c>
      <c r="AP211" s="638">
        <f t="shared" si="488"/>
        <v>0</v>
      </c>
      <c r="AQ211" s="1018">
        <f t="shared" si="489"/>
        <v>0</v>
      </c>
      <c r="AR211" s="1018">
        <f t="shared" si="490"/>
        <v>0</v>
      </c>
      <c r="AS211" s="1017">
        <f t="shared" si="491"/>
        <v>0</v>
      </c>
      <c r="AT211" s="638">
        <f t="shared" si="492"/>
        <v>0</v>
      </c>
      <c r="AU211" s="638">
        <f t="shared" si="493"/>
        <v>0</v>
      </c>
      <c r="AV211" s="1018">
        <f t="shared" si="494"/>
        <v>0</v>
      </c>
      <c r="AW211" s="1018">
        <f t="shared" si="495"/>
        <v>0</v>
      </c>
      <c r="AX211" s="1017">
        <f t="shared" si="496"/>
        <v>0</v>
      </c>
      <c r="AY211" s="638">
        <f t="shared" si="497"/>
        <v>0</v>
      </c>
      <c r="AZ211" s="638">
        <f t="shared" si="498"/>
        <v>0</v>
      </c>
      <c r="BA211" s="638">
        <f t="shared" si="499"/>
        <v>0</v>
      </c>
      <c r="BB211" s="1018">
        <f t="shared" si="500"/>
        <v>0</v>
      </c>
      <c r="BC211" s="1017"/>
      <c r="BF211" s="1018"/>
      <c r="BG211" s="1017">
        <f t="shared" si="501"/>
        <v>0</v>
      </c>
      <c r="BH211" s="638">
        <f t="shared" si="502"/>
        <v>0</v>
      </c>
      <c r="BI211" s="1018">
        <f t="shared" si="503"/>
        <v>0</v>
      </c>
      <c r="BJ211" s="638">
        <f>_xlfn.XLOOKUP(H211, 'Baumaterialien Matériaux'!A:A, 'Baumaterialien Matériaux'!E:E, "-", 0, 1)</f>
        <v>0</v>
      </c>
      <c r="BK211" s="1032">
        <f t="shared" si="470"/>
        <v>0</v>
      </c>
      <c r="BL211" s="1030">
        <f t="shared" si="471"/>
        <v>0</v>
      </c>
      <c r="BM211" s="1033">
        <f t="shared" si="472"/>
        <v>0</v>
      </c>
      <c r="BN211" s="720">
        <f>IFERROR((J211*VLOOKUP(H211, 'Baumaterialien Matériaux'!$A$11:$AH$318, 32,FALSE))*($L$2/L211-1),0)/$G$1</f>
        <v>0</v>
      </c>
      <c r="BO211" s="720">
        <f t="shared" si="504"/>
        <v>0</v>
      </c>
    </row>
    <row r="212" spans="2:67">
      <c r="B212" s="1103"/>
      <c r="C212" s="1099"/>
      <c r="D212" s="478"/>
      <c r="E212" s="478"/>
      <c r="F212" s="478"/>
      <c r="G212" s="478"/>
      <c r="H212" s="478"/>
      <c r="I212" s="641"/>
      <c r="J212" s="649"/>
      <c r="K212" s="478"/>
      <c r="L212" s="478"/>
      <c r="M212" s="648"/>
      <c r="N212" s="720"/>
      <c r="O212" s="720"/>
      <c r="P212" s="720"/>
      <c r="Q212" s="720"/>
      <c r="R212" s="720"/>
      <c r="S212" s="720"/>
      <c r="T212" s="720">
        <f t="shared" si="481"/>
        <v>0</v>
      </c>
      <c r="V212" s="638">
        <f t="shared" si="480"/>
        <v>0</v>
      </c>
      <c r="W212" s="638">
        <f t="shared" si="482"/>
        <v>0</v>
      </c>
      <c r="X212" s="638">
        <f t="shared" si="439"/>
        <v>0</v>
      </c>
      <c r="Z212" s="638">
        <f t="shared" si="476"/>
        <v>0</v>
      </c>
      <c r="AA212" s="615" t="s">
        <v>3460</v>
      </c>
      <c r="AB212">
        <f>_xlfn.XLOOKUP($H212,'[1]Baumaterialien Matériaux'!$A:$A,'[1]Baumaterialien Matériaux'!AK:AK,0,0)</f>
        <v>0</v>
      </c>
      <c r="AC212" t="str" cm="1">
        <f t="array" ref="AC212">_xlfn.SWITCH(I212,"kg"," ",0," ",_xlfn.XLOOKUP(H212, '[1]Baumaterialien Matériaux'!$A:$A, '[1]Baumaterialien Matériaux'!$AL:$AL, "-", 0, 1))</f>
        <v xml:space="preserve"> </v>
      </c>
      <c r="AD212" s="1112" cm="1">
        <f t="array" ref="AD212">IFERROR(_xlfn.SWITCH(I212,"kg",1,"m3",AC212,AC212)*J212/(_xlfn.XLOOKUP(AA212,Métrés!A:A,Métrés!E:E,0)),0)</f>
        <v>0</v>
      </c>
      <c r="AE212" s="1092">
        <f>IFERROR(N212*$G$1/(_xlfn.XLOOKUP($AA212,Métrés!$A:$A,Métrés!$E:$E,0)),0)</f>
        <v>0</v>
      </c>
      <c r="AF212" s="1092">
        <f>IFERROR(O212*$G$1/(_xlfn.XLOOKUP($AA212,Métrés!$A:$A,Métrés!$E:$E,0)),0)</f>
        <v>0</v>
      </c>
      <c r="AG212" s="1092">
        <f>IFERROR(Q212*$G$1/(_xlfn.XLOOKUP($AA212,Métrés!$A:$A,Métrés!$E:$E,0)),0)</f>
        <v>0</v>
      </c>
      <c r="AH212" s="1092">
        <f>IFERROR(R212*$G$1/(_xlfn.XLOOKUP($AA212,Métrés!$A:$A,Métrés!$E:$E,0)),0)</f>
        <v>0</v>
      </c>
      <c r="AI212" s="1092">
        <f>IFERROR(S212*$G$1/(_xlfn.XLOOKUP($AA212,Métrés!$A:$A,Métrés!$E:$E,0)),0)</f>
        <v>0</v>
      </c>
      <c r="AJ212" s="1022"/>
      <c r="AK212" s="638">
        <f t="shared" si="483"/>
        <v>0</v>
      </c>
      <c r="AL212" s="638">
        <f t="shared" si="484"/>
        <v>0</v>
      </c>
      <c r="AM212" s="638">
        <f t="shared" si="485"/>
        <v>0</v>
      </c>
      <c r="AN212" s="1017">
        <f t="shared" si="486"/>
        <v>0</v>
      </c>
      <c r="AO212" s="638">
        <f t="shared" si="487"/>
        <v>0</v>
      </c>
      <c r="AP212" s="638">
        <f t="shared" si="488"/>
        <v>0</v>
      </c>
      <c r="AQ212" s="1018">
        <f t="shared" si="489"/>
        <v>0</v>
      </c>
      <c r="AR212" s="1018">
        <f t="shared" si="490"/>
        <v>0</v>
      </c>
      <c r="AS212" s="1017">
        <f t="shared" si="491"/>
        <v>0</v>
      </c>
      <c r="AT212" s="638">
        <f t="shared" si="492"/>
        <v>0</v>
      </c>
      <c r="AU212" s="638">
        <f t="shared" si="493"/>
        <v>0</v>
      </c>
      <c r="AV212" s="1018">
        <f t="shared" si="494"/>
        <v>0</v>
      </c>
      <c r="AW212" s="1018">
        <f t="shared" si="495"/>
        <v>0</v>
      </c>
      <c r="AX212" s="1017">
        <f t="shared" si="496"/>
        <v>0</v>
      </c>
      <c r="AY212" s="638">
        <f t="shared" si="497"/>
        <v>0</v>
      </c>
      <c r="AZ212" s="638">
        <f t="shared" si="498"/>
        <v>0</v>
      </c>
      <c r="BA212" s="638">
        <f t="shared" si="499"/>
        <v>0</v>
      </c>
      <c r="BB212" s="1018">
        <f t="shared" si="500"/>
        <v>0</v>
      </c>
      <c r="BC212" s="1017"/>
      <c r="BF212" s="1018"/>
      <c r="BG212" s="1017">
        <f t="shared" si="501"/>
        <v>0</v>
      </c>
      <c r="BH212" s="638">
        <f t="shared" si="502"/>
        <v>0</v>
      </c>
      <c r="BI212" s="1018">
        <f t="shared" si="503"/>
        <v>0</v>
      </c>
      <c r="BJ212" s="638">
        <f>_xlfn.XLOOKUP(H212, 'Baumaterialien Matériaux'!A:A, 'Baumaterialien Matériaux'!E:E, "-", 0, 1)</f>
        <v>0</v>
      </c>
      <c r="BK212" s="1032">
        <f t="shared" si="470"/>
        <v>0</v>
      </c>
      <c r="BL212" s="1030">
        <f t="shared" si="471"/>
        <v>0</v>
      </c>
      <c r="BM212" s="1033">
        <f t="shared" si="472"/>
        <v>0</v>
      </c>
      <c r="BN212" s="720">
        <f>IFERROR((J212*VLOOKUP(H212, 'Baumaterialien Matériaux'!$A$11:$AH$318, 32,FALSE))*($L$2/L212-1),0)/$G$1</f>
        <v>0</v>
      </c>
      <c r="BO212" s="720">
        <f t="shared" si="504"/>
        <v>0</v>
      </c>
    </row>
    <row r="213" spans="2:67">
      <c r="B213" s="1103"/>
      <c r="C213" s="1097" t="s">
        <v>142</v>
      </c>
      <c r="D213" s="473" t="s">
        <v>143</v>
      </c>
      <c r="E213" s="473"/>
      <c r="F213" s="473"/>
      <c r="G213" s="473"/>
      <c r="H213" s="473"/>
      <c r="I213" s="463"/>
      <c r="J213" s="654"/>
      <c r="K213" s="652"/>
      <c r="L213" s="652"/>
      <c r="M213" s="653">
        <f t="shared" ref="M213:T213" si="506">M214+M220+M227</f>
        <v>10.212209441606898</v>
      </c>
      <c r="N213" s="653">
        <f t="shared" si="506"/>
        <v>3.7146366008871938</v>
      </c>
      <c r="O213" s="653">
        <f t="shared" ref="O213" si="507">O214+O220+O227</f>
        <v>1.7227207543634178</v>
      </c>
      <c r="P213" s="653">
        <f t="shared" si="506"/>
        <v>2.8298295624144938</v>
      </c>
      <c r="Q213" s="653">
        <f t="shared" si="506"/>
        <v>1.9450225239417933</v>
      </c>
      <c r="R213" s="653">
        <f t="shared" ref="R213" si="508">R214+R220+R227</f>
        <v>1.6491791350275695</v>
      </c>
      <c r="S213" s="653">
        <f t="shared" si="506"/>
        <v>11.775903515746995</v>
      </c>
      <c r="T213" s="653">
        <f t="shared" si="506"/>
        <v>-1.1777007148363114</v>
      </c>
      <c r="V213" s="638">
        <f t="shared" si="480"/>
        <v>-1.1777007148363114</v>
      </c>
      <c r="X213" s="638">
        <f t="shared" si="439"/>
        <v>0</v>
      </c>
      <c r="Z213" s="638">
        <f t="shared" si="476"/>
        <v>0</v>
      </c>
      <c r="AA213" s="615" t="s">
        <v>3460</v>
      </c>
      <c r="AB213">
        <f>_xlfn.XLOOKUP($H213,'[1]Baumaterialien Matériaux'!$A:$A,'[1]Baumaterialien Matériaux'!AK:AK,0,0)</f>
        <v>0</v>
      </c>
      <c r="AC213" t="str" cm="1">
        <f t="array" ref="AC213">_xlfn.SWITCH(I213,"kg"," ",0," ",_xlfn.XLOOKUP(H213, '[1]Baumaterialien Matériaux'!$A:$A, '[1]Baumaterialien Matériaux'!$AL:$AL, "-", 0, 1))</f>
        <v xml:space="preserve"> </v>
      </c>
      <c r="AD213" s="1112" cm="1">
        <f t="array" ref="AD213">IFERROR(_xlfn.SWITCH(I213,"kg",1,"m3",AC213,AC213)*J213/(_xlfn.XLOOKUP(AA213,Métrés!A:A,Métrés!E:E,0)),0)</f>
        <v>0</v>
      </c>
      <c r="AE213" s="1092">
        <f>IFERROR(N213*$G$1/(_xlfn.XLOOKUP($AA213,Métrés!$A:$A,Métrés!$E:$E,0)),0)</f>
        <v>4.7799175497792774</v>
      </c>
      <c r="AF213" s="1092">
        <f>IFERROR(O213*$G$1/(_xlfn.XLOOKUP($AA213,Métrés!$A:$A,Métrés!$E:$E,0)),0)</f>
        <v>2.2167614364172259</v>
      </c>
      <c r="AG213" s="1092">
        <f>IFERROR(Q213*$G$1/(_xlfn.XLOOKUP($AA213,Métrés!$A:$A,Métrés!$E:$E,0)),0)</f>
        <v>2.5028147557381204</v>
      </c>
      <c r="AH213" s="1092">
        <f>IFERROR(R213*$G$1/(_xlfn.XLOOKUP($AA213,Métrés!$A:$A,Métrés!$E:$E,0)),0)</f>
        <v>2.1221296016857609</v>
      </c>
      <c r="AI213" s="1092">
        <f>IFERROR(S213*$G$1/(_xlfn.XLOOKUP($AA213,Métrés!$A:$A,Métrés!$E:$E,0)),0)</f>
        <v>15.152989088080091</v>
      </c>
      <c r="AJ213" s="666"/>
      <c r="AK213" s="666"/>
      <c r="AL213" s="666"/>
      <c r="AM213" s="666"/>
      <c r="AN213" s="1051"/>
      <c r="AO213" s="666"/>
      <c r="AP213" s="666"/>
      <c r="AQ213" s="666"/>
      <c r="AR213" s="1052"/>
      <c r="AS213" s="1051"/>
      <c r="AT213" s="666"/>
      <c r="AU213" s="666"/>
      <c r="AV213" s="666"/>
      <c r="AW213" s="1052"/>
      <c r="AX213" s="1051"/>
      <c r="AY213" s="666"/>
      <c r="AZ213" s="666"/>
      <c r="BA213" s="666"/>
      <c r="BB213" s="1052"/>
      <c r="BC213" s="1051"/>
      <c r="BD213" s="666"/>
      <c r="BE213" s="666"/>
      <c r="BF213" s="1052"/>
      <c r="BG213" s="1051"/>
      <c r="BH213" s="666"/>
      <c r="BI213" s="1052"/>
      <c r="BJ213" s="666"/>
      <c r="BK213" s="1051"/>
      <c r="BL213" s="666"/>
      <c r="BM213" s="1052"/>
    </row>
    <row r="214" spans="2:67">
      <c r="B214" s="1103"/>
      <c r="C214" s="1098"/>
      <c r="D214" s="478"/>
      <c r="E214" s="479" t="str">
        <f>BillQuantities!E36</f>
        <v>Balcons y c. dispositifs antichute</v>
      </c>
      <c r="F214" s="479" t="s">
        <v>3036</v>
      </c>
      <c r="G214" s="479"/>
      <c r="H214" s="479"/>
      <c r="I214" s="459" t="s">
        <v>39</v>
      </c>
      <c r="J214" s="662">
        <v>10.220000000000001</v>
      </c>
      <c r="K214" s="663"/>
      <c r="L214" s="663"/>
      <c r="M214" s="664">
        <f>SUM(M215:M219)</f>
        <v>3.7130359830023631</v>
      </c>
      <c r="N214" s="664">
        <f t="shared" ref="N214:S214" si="509">SUM(N215:N219)</f>
        <v>1.6723902367231873</v>
      </c>
      <c r="O214" s="664">
        <f t="shared" ref="O214" si="510">SUM(O215:O219)</f>
        <v>0.51671961344886197</v>
      </c>
      <c r="P214" s="664">
        <f t="shared" si="509"/>
        <v>1.065438789851167</v>
      </c>
      <c r="Q214" s="664">
        <f t="shared" si="509"/>
        <v>0.45848734297914673</v>
      </c>
      <c r="R214" s="664">
        <f t="shared" ref="R214" si="511">SUM(R215:R219)</f>
        <v>0.34772032734961233</v>
      </c>
      <c r="S214" s="664">
        <f t="shared" si="509"/>
        <v>2.0218106955211916</v>
      </c>
      <c r="T214" s="664">
        <f t="shared" ref="T214" si="512">SUM(T215:T219)</f>
        <v>-0.49491421742050495</v>
      </c>
      <c r="V214" s="638">
        <f t="shared" si="480"/>
        <v>-0.49491421742050495</v>
      </c>
      <c r="X214" s="638">
        <f t="shared" si="439"/>
        <v>0</v>
      </c>
      <c r="Z214" s="638">
        <f t="shared" si="476"/>
        <v>0</v>
      </c>
      <c r="AA214" s="615"/>
      <c r="AB214">
        <f>_xlfn.XLOOKUP($H214,'[1]Baumaterialien Matériaux'!$A:$A,'[1]Baumaterialien Matériaux'!AK:AK,0,0)</f>
        <v>0</v>
      </c>
      <c r="AC214" cm="1">
        <f t="array" ref="AC214">_xlfn.SWITCH(I214,"kg"," ",0," ",_xlfn.XLOOKUP(H214, '[1]Baumaterialien Matériaux'!$A:$A, '[1]Baumaterialien Matériaux'!$AL:$AL, "-", 0, 1))</f>
        <v>0</v>
      </c>
      <c r="AD214" s="1112" cm="1">
        <f t="array" ref="AD214">IFERROR(_xlfn.SWITCH(I214,"kg",1,"m3",AC214,AC214)*J214/(_xlfn.XLOOKUP(AA214,Métrés!A:A,Métrés!E:E,0)),0)</f>
        <v>0</v>
      </c>
      <c r="AE214" s="1092">
        <f>IFERROR(N214*$G$1/(_xlfn.XLOOKUP($AA214,Métrés!$A:$A,Métrés!$E:$E,0)),0)</f>
        <v>0</v>
      </c>
      <c r="AF214" s="1092">
        <f>IFERROR(O214*$G$1/(_xlfn.XLOOKUP($AA214,Métrés!$A:$A,Métrés!$E:$E,0)),0)</f>
        <v>0</v>
      </c>
      <c r="AG214" s="1092">
        <f>IFERROR(Q214*$G$1/(_xlfn.XLOOKUP($AA214,Métrés!$A:$A,Métrés!$E:$E,0)),0)</f>
        <v>0</v>
      </c>
      <c r="AH214" s="1092">
        <f>IFERROR(R214*$G$1/(_xlfn.XLOOKUP($AA214,Métrés!$A:$A,Métrés!$E:$E,0)),0)</f>
        <v>0</v>
      </c>
      <c r="AI214" s="1092">
        <f>IFERROR(S214*$G$1/(_xlfn.XLOOKUP($AA214,Métrés!$A:$A,Métrés!$E:$E,0)),0)</f>
        <v>0</v>
      </c>
      <c r="AJ214" s="878"/>
      <c r="AK214" s="878"/>
      <c r="AL214" s="878"/>
      <c r="AM214" s="878"/>
      <c r="AN214" s="1053"/>
      <c r="AO214" s="878"/>
      <c r="AP214" s="878"/>
      <c r="AQ214" s="878"/>
      <c r="AR214" s="1054"/>
      <c r="AS214" s="1053"/>
      <c r="AT214" s="878"/>
      <c r="AU214" s="878"/>
      <c r="AV214" s="878"/>
      <c r="AW214" s="1054"/>
      <c r="AX214" s="1053"/>
      <c r="AY214" s="878"/>
      <c r="AZ214" s="878"/>
      <c r="BA214" s="878"/>
      <c r="BB214" s="1054"/>
      <c r="BC214" s="1053"/>
      <c r="BD214" s="878"/>
      <c r="BE214" s="878"/>
      <c r="BF214" s="1054"/>
      <c r="BG214" s="1053"/>
      <c r="BH214" s="878"/>
      <c r="BI214" s="1054"/>
      <c r="BJ214" s="878"/>
      <c r="BK214" s="1053"/>
      <c r="BL214" s="878"/>
      <c r="BM214" s="1054"/>
    </row>
    <row r="215" spans="2:67">
      <c r="B215" s="1103"/>
      <c r="C215" s="1099"/>
      <c r="D215" s="478"/>
      <c r="E215" s="479"/>
      <c r="F215" s="3" t="s">
        <v>3319</v>
      </c>
      <c r="G215" s="478" t="str">
        <f>_xlfn.XLOOKUP(H215, 'Baumaterialien Matériaux'!A:A, 'Baumaterialien Matériaux'!AD:AD, "-", 0, 1)</f>
        <v>Lé d'étanchéité bitumineux</v>
      </c>
      <c r="H215" s="892" t="s">
        <v>696</v>
      </c>
      <c r="I215" s="641" t="str">
        <f>_xlfn.XLOOKUP(H215, 'Baumaterialien Matériaux'!A:A, 'Baumaterialien Matériaux'!F:F, "-", 0, 1)</f>
        <v>kg</v>
      </c>
      <c r="J215" s="649">
        <f>22*K215</f>
        <v>125.83999999999999</v>
      </c>
      <c r="K215" s="893">
        <f>0.0052*1100</f>
        <v>5.72</v>
      </c>
      <c r="L215" s="647">
        <v>40</v>
      </c>
      <c r="M215" s="648">
        <f t="shared" ref="M215:M219" si="513">SUM(N215:Q215)</f>
        <v>0.72634111355250597</v>
      </c>
      <c r="N215" s="720">
        <f>IFERROR(($J215*VLOOKUP($H215, 'Baumaterialien Matériaux'!$A$11:$AH$318, 26,FALSE)),0)/$G$1</f>
        <v>0.13173002777662615</v>
      </c>
      <c r="O215" s="720">
        <f>IFERROR(($J215*VLOOKUP($H215, 'Baumaterialien Matériaux'!$A$11:$AH$318, 33,FALSE)),0)/$G$1</f>
        <v>7.2908005472409929E-2</v>
      </c>
      <c r="P215" s="720">
        <f>IFERROR((N215+Q215)*($L$2/L215-1),0)</f>
        <v>0.21781103602669871</v>
      </c>
      <c r="Q215" s="720">
        <f>IFERROR(($J215*VLOOKUP($H215, 'Baumaterialien Matériaux'!$A$11:$AH$318, 27,FALSE)),0)/$G$1</f>
        <v>0.30389204427677124</v>
      </c>
      <c r="R215" s="720">
        <f>IFERROR(($J215*VLOOKUP($H215, 'Baumaterialien Matériaux'!$A$11:$AH$318, 34,FALSE)),0)/$G$1</f>
        <v>0.3065005596782886</v>
      </c>
      <c r="S215" s="720">
        <f>IFERROR((J215*VLOOKUP(H215, 'Baumaterialien Matériaux'!$A$11:$AD$318, 29,FALSE)),0)/$G$1</f>
        <v>0</v>
      </c>
      <c r="T215" s="720">
        <f>S215*AJ215</f>
        <v>0</v>
      </c>
      <c r="V215" s="638">
        <f t="shared" si="480"/>
        <v>0</v>
      </c>
      <c r="W215" s="638">
        <f t="shared" si="482"/>
        <v>0</v>
      </c>
      <c r="X215" s="638" t="str">
        <f t="shared" si="439"/>
        <v>Revêtement</v>
      </c>
      <c r="Z215" s="638">
        <f t="shared" si="476"/>
        <v>40</v>
      </c>
      <c r="AA215" s="527" t="s">
        <v>3450</v>
      </c>
      <c r="AB215" t="str">
        <f>_xlfn.XLOOKUP($H215,'[1]Baumaterialien Matériaux'!$A:$A,'[1]Baumaterialien Matériaux'!AK:AK,0,0)</f>
        <v>oil_product</v>
      </c>
      <c r="AC215" t="str" cm="1">
        <f t="array" ref="AC215">_xlfn.SWITCH(I215,"kg"," ",0," ",_xlfn.XLOOKUP(H215, '[1]Baumaterialien Matériaux'!$A:$A, '[1]Baumaterialien Matériaux'!$AL:$AL, "-", 0, 1))</f>
        <v xml:space="preserve"> </v>
      </c>
      <c r="AD215" s="1112" cm="1">
        <f t="array" ref="AD215">IFERROR(_xlfn.SWITCH(I215,"kg",1,"m3",AC215,AC215)*J215/(_xlfn.XLOOKUP(AA215,Métrés!A:A,Métrés!E:E,0)),0)</f>
        <v>1.4000890075656431</v>
      </c>
      <c r="AE215" s="1092">
        <f>IFERROR(N215*$G$1/(_xlfn.XLOOKUP($AA215,Métrés!$A:$A,Métrés!$E:$E,0)),0)</f>
        <v>1.4140898976412994</v>
      </c>
      <c r="AF215" s="1092">
        <f>IFERROR(O215*$G$1/(_xlfn.XLOOKUP($AA215,Métrés!$A:$A,Métrés!$E:$E,0)),0)</f>
        <v>0.78264975522919455</v>
      </c>
      <c r="AG215" s="1092">
        <f>IFERROR(Q215*$G$1/(_xlfn.XLOOKUP($AA215,Métrés!$A:$A,Métrés!$E:$E,0)),0)</f>
        <v>3.2622073876279485</v>
      </c>
      <c r="AH215" s="1092">
        <f>IFERROR(R215*$G$1/(_xlfn.XLOOKUP($AA215,Métrés!$A:$A,Métrés!$E:$E,0)),0)</f>
        <v>3.2902091677792611</v>
      </c>
      <c r="AI215" s="1092">
        <f>IFERROR(S215*$G$1/(_xlfn.XLOOKUP($AA215,Métrés!$A:$A,Métrés!$E:$E,0)),0)</f>
        <v>0</v>
      </c>
      <c r="AJ215" s="1022"/>
      <c r="AK215" s="638">
        <f>IF(L215=60,0,T215)</f>
        <v>0</v>
      </c>
      <c r="AL215" s="638">
        <f>IF(L215=60,0,S215)</f>
        <v>0</v>
      </c>
      <c r="AM215" s="638" t="str">
        <f>IF(L215=$L$2, "Structure", IF(L215&gt;0,"Revêtement",0))</f>
        <v>Revêtement</v>
      </c>
      <c r="AN215" s="1017">
        <f>IF(AM215="Structure",N215,0)</f>
        <v>0</v>
      </c>
      <c r="AO215" s="638">
        <f>IF(AM215="Structure",P215,0)</f>
        <v>0</v>
      </c>
      <c r="AP215" s="638">
        <f>IF(AM215="Structure",Q215,0)</f>
        <v>0</v>
      </c>
      <c r="AQ215" s="1018">
        <f>IF(AM215="Structure",S215,0)</f>
        <v>0</v>
      </c>
      <c r="AR215" s="1018">
        <f>IF(AM215="Structure",T215,0)</f>
        <v>0</v>
      </c>
      <c r="AS215" s="1017">
        <f>IF(AM215="Insulation",N215,0)</f>
        <v>0</v>
      </c>
      <c r="AT215" s="638">
        <f>IF(AM215="Insulation",P215,0)</f>
        <v>0</v>
      </c>
      <c r="AU215" s="638">
        <f>IF(AM215="Insulation",Q215,0)</f>
        <v>0</v>
      </c>
      <c r="AV215" s="1018">
        <f>IF(AM215="Insulation",S215,0)</f>
        <v>0</v>
      </c>
      <c r="AW215" s="1018">
        <f>IF(AM215="Insulation",T215,0)</f>
        <v>0</v>
      </c>
      <c r="AX215" s="1017">
        <f>IF(AM215="Revêtement",N215,0)</f>
        <v>0.13173002777662615</v>
      </c>
      <c r="AY215" s="638">
        <f>IF(AM215="Revêtement",P215,0)</f>
        <v>0.21781103602669871</v>
      </c>
      <c r="AZ215" s="638">
        <f>IF(AM215="Revêtement",Q215,0)</f>
        <v>0.30389204427677124</v>
      </c>
      <c r="BA215" s="638">
        <f>IF(AM215="Revêtement",S215,0)</f>
        <v>0</v>
      </c>
      <c r="BB215" s="1018">
        <f>IF(AM215="Revêtement",T215,0)</f>
        <v>0</v>
      </c>
      <c r="BC215" s="1017"/>
      <c r="BF215" s="1018"/>
      <c r="BG215" s="1017">
        <f>IF($AM215="Structure", IF($I215="kg",$J215,0), 0)</f>
        <v>0</v>
      </c>
      <c r="BH215" s="638">
        <f>IF($AM215="Insulation", IF($I215="kg",$J215,0), 0)</f>
        <v>0</v>
      </c>
      <c r="BI215" s="1018">
        <f>IF($AM215="Revêtement", IF($I215="kg",$J215,0), 0)</f>
        <v>125.83999999999999</v>
      </c>
      <c r="BJ215" s="638">
        <f>_xlfn.XLOOKUP(H215, 'Baumaterialien Matériaux'!A:A, 'Baumaterialien Matériaux'!E:E, "-", 0, 1)</f>
        <v>1100</v>
      </c>
      <c r="BK215" s="1032">
        <f t="shared" si="470"/>
        <v>0</v>
      </c>
      <c r="BL215" s="1030">
        <f t="shared" si="471"/>
        <v>0</v>
      </c>
      <c r="BM215" s="1033">
        <f t="shared" si="472"/>
        <v>0.11439999999999999</v>
      </c>
    </row>
    <row r="216" spans="2:67">
      <c r="B216" s="1103"/>
      <c r="C216" s="1099"/>
      <c r="D216" s="478"/>
      <c r="E216" s="478"/>
      <c r="F216" s="3" t="s">
        <v>3320</v>
      </c>
      <c r="G216" s="478" t="str">
        <f>_xlfn.XLOOKUP(H216, 'Baumaterialien Matériaux'!A:A, 'Baumaterialien Matériaux'!AD:AD, "-", 0, 1)</f>
        <v>Béton pour bâtiment (sans armature)</v>
      </c>
      <c r="H216" s="891">
        <v>1.0019999999999998</v>
      </c>
      <c r="I216" s="641" t="str">
        <f>_xlfn.XLOOKUP(H216, 'Baumaterialien Matériaux'!A:A, 'Baumaterialien Matériaux'!F:F, "-", 0, 1)</f>
        <v>kg</v>
      </c>
      <c r="J216" s="649">
        <f>4*2300</f>
        <v>9200</v>
      </c>
      <c r="K216" s="879">
        <f>0.2*2300</f>
        <v>460</v>
      </c>
      <c r="L216" s="647">
        <v>40</v>
      </c>
      <c r="M216" s="648">
        <f t="shared" si="513"/>
        <v>1.6500766966543676</v>
      </c>
      <c r="N216" s="720">
        <f>IFERROR(($J216*VLOOKUP($H216, 'Baumaterialien Matériaux'!$A$11:$AH$318, 26,FALSE)),0)/$G$1</f>
        <v>0.84673106421790145</v>
      </c>
      <c r="O216" s="720">
        <f>IFERROR(($J216*VLOOKUP($H216, 'Baumaterialien Matériaux'!$A$11:$AH$318, 33,FALSE)),0)/$G$1</f>
        <v>0.19833340242941833</v>
      </c>
      <c r="P216" s="720">
        <f>IFERROR((N216+Q216)*($L$2/L216-1),0)</f>
        <v>0.48391443140831641</v>
      </c>
      <c r="Q216" s="720">
        <f>IFERROR(($J216*VLOOKUP($H216, 'Baumaterialien Matériaux'!$A$11:$AH$318, 27,FALSE)),0)/$G$1</f>
        <v>0.12109779859873138</v>
      </c>
      <c r="R216" s="720">
        <f>IFERROR(($J216*VLOOKUP($H216, 'Baumaterialien Matériaux'!$A$11:$AH$318, 34,FALSE)),0)/$G$1</f>
        <v>2.5554496082251982E-2</v>
      </c>
      <c r="S216" s="720">
        <f>IFERROR((J216*VLOOKUP(H216, 'Baumaterialien Matériaux'!$A$11:$AD$318, 29,FALSE)),0)/$G$1</f>
        <v>0</v>
      </c>
      <c r="T216" s="720">
        <f>S216*AJ216</f>
        <v>0</v>
      </c>
      <c r="V216" s="638">
        <f t="shared" si="480"/>
        <v>0</v>
      </c>
      <c r="W216" s="638">
        <f t="shared" si="482"/>
        <v>0</v>
      </c>
      <c r="X216" s="638" t="s">
        <v>3407</v>
      </c>
      <c r="Z216" s="638">
        <f t="shared" si="476"/>
        <v>40</v>
      </c>
      <c r="AA216" s="527" t="s">
        <v>3450</v>
      </c>
      <c r="AB216" t="str">
        <f>_xlfn.XLOOKUP($H216,'[1]Baumaterialien Matériaux'!$A:$A,'[1]Baumaterialien Matériaux'!AK:AK,0,0)</f>
        <v>concrete</v>
      </c>
      <c r="AC216" t="str" cm="1">
        <f t="array" ref="AC216">_xlfn.SWITCH(I216,"kg"," ",0," ",_xlfn.XLOOKUP(H216, '[1]Baumaterialien Matériaux'!$A:$A, '[1]Baumaterialien Matériaux'!$AL:$AL, "-", 0, 1))</f>
        <v xml:space="preserve"> </v>
      </c>
      <c r="AD216" s="1112" cm="1">
        <f t="array" ref="AD216">IFERROR(_xlfn.SWITCH(I216,"kg",1,"m3",AC216,AC216)*J216/(_xlfn.XLOOKUP(AA216,Métrés!A:A,Métrés!E:E,0)),0)</f>
        <v>102.35870048954162</v>
      </c>
      <c r="AE216" s="1092">
        <f>IFERROR(N216*$G$1/(_xlfn.XLOOKUP($AA216,Métrés!$A:$A,Métrés!$E:$E,0)),0)</f>
        <v>9.0894526034712957</v>
      </c>
      <c r="AF216" s="1092">
        <f>IFERROR(O216*$G$1/(_xlfn.XLOOKUP($AA216,Métrés!$A:$A,Métrés!$E:$E,0)),0)</f>
        <v>2.1290609701824654</v>
      </c>
      <c r="AG216" s="1092">
        <f>IFERROR(Q216*$G$1/(_xlfn.XLOOKUP($AA216,Métrés!$A:$A,Métrés!$E:$E,0)),0)</f>
        <v>1.2999554962171784</v>
      </c>
      <c r="AH216" s="1092">
        <f>IFERROR(R216*$G$1/(_xlfn.XLOOKUP($AA216,Métrés!$A:$A,Métrés!$E:$E,0)),0)</f>
        <v>0.27432131731197157</v>
      </c>
      <c r="AI216" s="1092">
        <f>IFERROR(S216*$G$1/(_xlfn.XLOOKUP($AA216,Métrés!$A:$A,Métrés!$E:$E,0)),0)</f>
        <v>0</v>
      </c>
      <c r="AJ216" s="1022"/>
      <c r="AK216" s="638">
        <f>IF(L216=60,0,T216)</f>
        <v>0</v>
      </c>
      <c r="AL216" s="638">
        <f>IF(L216=60,0,S216)</f>
        <v>0</v>
      </c>
      <c r="AM216" s="638" t="str">
        <f>IF(L216=$L$2, "Structure", IF(L216&gt;0,"Revêtement",0))</f>
        <v>Revêtement</v>
      </c>
      <c r="AN216" s="1017">
        <f>IF(AM216="Structure",N216,0)</f>
        <v>0</v>
      </c>
      <c r="AO216" s="638">
        <f>IF(AM216="Structure",P216,0)</f>
        <v>0</v>
      </c>
      <c r="AP216" s="638">
        <f>IF(AM216="Structure",Q216,0)</f>
        <v>0</v>
      </c>
      <c r="AQ216" s="1018">
        <f>IF(AM216="Structure",S216,0)</f>
        <v>0</v>
      </c>
      <c r="AR216" s="1018">
        <f>IF(AM216="Structure",T216,0)</f>
        <v>0</v>
      </c>
      <c r="AS216" s="1017">
        <f>IF(AM216="Insulation",N216,0)</f>
        <v>0</v>
      </c>
      <c r="AT216" s="638">
        <f>IF(AM216="Insulation",P216,0)</f>
        <v>0</v>
      </c>
      <c r="AU216" s="638">
        <f>IF(AM216="Insulation",Q216,0)</f>
        <v>0</v>
      </c>
      <c r="AV216" s="1018">
        <f>IF(AM216="Insulation",S216,0)</f>
        <v>0</v>
      </c>
      <c r="AW216" s="1018">
        <f>IF(AM216="Insulation",T216,0)</f>
        <v>0</v>
      </c>
      <c r="AX216" s="1017">
        <f>IF(AM216="Revêtement",N216,0)</f>
        <v>0.84673106421790145</v>
      </c>
      <c r="AY216" s="638">
        <f>IF(AM216="Revêtement",P216,0)</f>
        <v>0.48391443140831641</v>
      </c>
      <c r="AZ216" s="638">
        <f>IF(AM216="Revêtement",Q216,0)</f>
        <v>0.12109779859873138</v>
      </c>
      <c r="BA216" s="638">
        <f>IF(AM216="Revêtement",S216,0)</f>
        <v>0</v>
      </c>
      <c r="BB216" s="1018">
        <f>IF(AM216="Revêtement",T216,0)</f>
        <v>0</v>
      </c>
      <c r="BC216" s="1017"/>
      <c r="BF216" s="1018"/>
      <c r="BG216" s="1017">
        <f>IF($AM216="Structure", IF($I216="kg",$J216,0), 0)</f>
        <v>0</v>
      </c>
      <c r="BH216" s="638">
        <f>IF($AM216="Insulation", IF($I216="kg",$J216,0), 0)</f>
        <v>0</v>
      </c>
      <c r="BI216" s="1018">
        <f>IF($AM216="Revêtement", IF($I216="kg",$J216,0), 0)</f>
        <v>9200</v>
      </c>
      <c r="BJ216" s="638">
        <f>_xlfn.XLOOKUP(H216, 'Baumaterialien Matériaux'!A:A, 'Baumaterialien Matériaux'!E:E, "-", 0, 1)</f>
        <v>2300</v>
      </c>
      <c r="BK216" s="1032">
        <f t="shared" si="470"/>
        <v>0</v>
      </c>
      <c r="BL216" s="1030">
        <f t="shared" si="471"/>
        <v>0</v>
      </c>
      <c r="BM216" s="1033">
        <f t="shared" si="472"/>
        <v>4</v>
      </c>
      <c r="BN216" s="720">
        <f>IFERROR((J216*VLOOKUP(H216, 'Baumaterialien Matériaux'!$A$11:$AH$318, 32,FALSE))*($L$2/L216-1),0)/$G$1</f>
        <v>0.112039301853157</v>
      </c>
      <c r="BO216" s="720">
        <f>IFERROR((N216+Q216)*($L$2/L216-1),0)</f>
        <v>0.48391443140831641</v>
      </c>
    </row>
    <row r="217" spans="2:67">
      <c r="B217" s="1103"/>
      <c r="C217" s="1099"/>
      <c r="D217" s="478"/>
      <c r="E217" s="478"/>
      <c r="F217" s="3" t="s">
        <v>3008</v>
      </c>
      <c r="G217" s="478" t="str">
        <f>_xlfn.XLOOKUP(H217, 'Baumaterialien Matériaux'!A:A, 'Baumaterialien Matériaux'!AD:AD, "-", 0, 1)</f>
        <v>Acier d'armature</v>
      </c>
      <c r="H217" s="892" t="s">
        <v>497</v>
      </c>
      <c r="I217" s="641" t="str">
        <f>_xlfn.XLOOKUP(H217, 'Baumaterialien Matériaux'!A:A, 'Baumaterialien Matériaux'!F:F, "-", 0, 1)</f>
        <v>kg</v>
      </c>
      <c r="J217" s="649">
        <f t="shared" ref="J217:J219" si="514">$J$214*K217</f>
        <v>306.60000000000002</v>
      </c>
      <c r="K217" s="894">
        <f>0.2*150</f>
        <v>30</v>
      </c>
      <c r="L217" s="647">
        <v>40</v>
      </c>
      <c r="M217" s="648">
        <f t="shared" si="513"/>
        <v>0.81337150201069619</v>
      </c>
      <c r="N217" s="720">
        <f>IFERROR(($J217*VLOOKUP($H217, 'Baumaterialien Matériaux'!$A$11:$AH$318, 26,FALSE)),0)/$G$1</f>
        <v>0.47665934248165504</v>
      </c>
      <c r="O217" s="720">
        <f>IFERROR(($J217*VLOOKUP($H217, 'Baumaterialien Matériaux'!$A$11:$AH$318, 33,FALSE)),0)/$G$1</f>
        <v>9.2471912441441068E-2</v>
      </c>
      <c r="P217" s="720">
        <f>IFERROR((N217+Q217)*($L$2/L217-1),0)</f>
        <v>0.24029986318975169</v>
      </c>
      <c r="Q217" s="720">
        <f>IFERROR(($J217*VLOOKUP($H217, 'Baumaterialien Matériaux'!$A$11:$AH$318, 27,FALSE)),0)/$G$1</f>
        <v>3.9403838978483482E-3</v>
      </c>
      <c r="R217" s="720">
        <f>IFERROR(($J217*VLOOKUP($H217, 'Baumaterialien Matériaux'!$A$11:$AH$318, 34,FALSE)),0)/$G$1</f>
        <v>0</v>
      </c>
      <c r="S217" s="720">
        <f>IFERROR((J217*VLOOKUP(H217, 'Baumaterialien Matériaux'!$A$11:$AD$318, 29,FALSE)),0)/$G$1</f>
        <v>0</v>
      </c>
      <c r="T217" s="720">
        <f>S217*AJ217</f>
        <v>0</v>
      </c>
      <c r="V217" s="638">
        <f t="shared" si="480"/>
        <v>0</v>
      </c>
      <c r="W217" s="638">
        <f t="shared" si="482"/>
        <v>0</v>
      </c>
      <c r="Z217" s="638">
        <f t="shared" si="476"/>
        <v>40</v>
      </c>
      <c r="AA217" s="527" t="s">
        <v>3450</v>
      </c>
      <c r="AB217" t="str">
        <f>_xlfn.XLOOKUP($H217,'[1]Baumaterialien Matériaux'!$A:$A,'[1]Baumaterialien Matériaux'!AK:AK,0,0)</f>
        <v>metal</v>
      </c>
      <c r="AC217" t="str" cm="1">
        <f t="array" ref="AC217">_xlfn.SWITCH(I217,"kg"," ",0," ",_xlfn.XLOOKUP(H217, '[1]Baumaterialien Matériaux'!$A:$A, '[1]Baumaterialien Matériaux'!$AL:$AL, "-", 0, 1))</f>
        <v xml:space="preserve"> </v>
      </c>
      <c r="AD217" s="1112" cm="1">
        <f t="array" ref="AD217">IFERROR(_xlfn.SWITCH(I217,"kg",1,"m3",AC217,AC217)*J217/(_xlfn.XLOOKUP(AA217,Métrés!A:A,Métrés!E:E,0)),0)</f>
        <v>3.4112149532710285</v>
      </c>
      <c r="AE217" s="1092">
        <f>IFERROR(N217*$G$1/(_xlfn.XLOOKUP($AA217,Métrés!$A:$A,Métrés!$E:$E,0)),0)</f>
        <v>5.1168224299065423</v>
      </c>
      <c r="AF217" s="1092">
        <f>IFERROR(O217*$G$1/(_xlfn.XLOOKUP($AA217,Métrés!$A:$A,Métrés!$E:$E,0)),0)</f>
        <v>0.99266355140186924</v>
      </c>
      <c r="AG217" s="1092">
        <f>IFERROR(Q217*$G$1/(_xlfn.XLOOKUP($AA217,Métrés!$A:$A,Métrés!$E:$E,0)),0)</f>
        <v>4.2299065420560757E-2</v>
      </c>
      <c r="AH217" s="1092">
        <f>IFERROR(R217*$G$1/(_xlfn.XLOOKUP($AA217,Métrés!$A:$A,Métrés!$E:$E,0)),0)</f>
        <v>0</v>
      </c>
      <c r="AI217" s="1092">
        <f>IFERROR(S217*$G$1/(_xlfn.XLOOKUP($AA217,Métrés!$A:$A,Métrés!$E:$E,0)),0)</f>
        <v>0</v>
      </c>
      <c r="AJ217" s="1022"/>
      <c r="AK217" s="638">
        <f>IF(L217=60,0,T217)</f>
        <v>0</v>
      </c>
      <c r="AL217" s="638">
        <f>IF(L217=60,0,S217)</f>
        <v>0</v>
      </c>
      <c r="AM217" s="638" t="str">
        <f>IF(L217=$L$2, "Structure", IF(L217&gt;0,"Revêtement",0))</f>
        <v>Revêtement</v>
      </c>
      <c r="AN217" s="1017">
        <f>IF(AM217="Structure",N217,0)</f>
        <v>0</v>
      </c>
      <c r="AO217" s="638">
        <f>IF(AM217="Structure",P217,0)</f>
        <v>0</v>
      </c>
      <c r="AP217" s="638">
        <f>IF(AM217="Structure",Q217,0)</f>
        <v>0</v>
      </c>
      <c r="AQ217" s="1018">
        <f>IF(AM217="Structure",S217,0)</f>
        <v>0</v>
      </c>
      <c r="AR217" s="1018">
        <f>IF(AM217="Structure",T217,0)</f>
        <v>0</v>
      </c>
      <c r="AS217" s="1017">
        <f>IF(AM217="Insulation",N217,0)</f>
        <v>0</v>
      </c>
      <c r="AT217" s="638">
        <f>IF(AM217="Insulation",P217,0)</f>
        <v>0</v>
      </c>
      <c r="AU217" s="638">
        <f>IF(AM217="Insulation",Q217,0)</f>
        <v>0</v>
      </c>
      <c r="AV217" s="1018">
        <f>IF(AM217="Insulation",S217,0)</f>
        <v>0</v>
      </c>
      <c r="AW217" s="1018">
        <f>IF(AM217="Insulation",T217,0)</f>
        <v>0</v>
      </c>
      <c r="AX217" s="1017">
        <f>IF(AM217="Revêtement",N217,0)</f>
        <v>0.47665934248165504</v>
      </c>
      <c r="AY217" s="638">
        <f>IF(AM217="Revêtement",P217,0)</f>
        <v>0.24029986318975169</v>
      </c>
      <c r="AZ217" s="638">
        <f>IF(AM217="Revêtement",Q217,0)</f>
        <v>3.9403838978483482E-3</v>
      </c>
      <c r="BA217" s="638">
        <f>IF(AM217="Revêtement",S217,0)</f>
        <v>0</v>
      </c>
      <c r="BB217" s="1018">
        <f>IF(AM217="Revêtement",T217,0)</f>
        <v>0</v>
      </c>
      <c r="BC217" s="1017"/>
      <c r="BF217" s="1018"/>
      <c r="BG217" s="1017">
        <f>IF($AM217="Structure", IF($I217="kg",$J217,0), 0)</f>
        <v>0</v>
      </c>
      <c r="BH217" s="638">
        <f>IF($AM217="Insulation", IF($I217="kg",$J217,0), 0)</f>
        <v>0</v>
      </c>
      <c r="BI217" s="1018">
        <f>IF($AM217="Revêtement", IF($I217="kg",$J217,0), 0)</f>
        <v>306.60000000000002</v>
      </c>
      <c r="BJ217" s="638">
        <f>_xlfn.XLOOKUP(H217, 'Baumaterialien Matériaux'!A:A, 'Baumaterialien Matériaux'!E:E, "-", 0, 1)</f>
        <v>7850</v>
      </c>
      <c r="BK217" s="1032">
        <f t="shared" si="470"/>
        <v>0</v>
      </c>
      <c r="BL217" s="1030">
        <f t="shared" si="471"/>
        <v>0</v>
      </c>
      <c r="BM217" s="1033">
        <f t="shared" si="472"/>
        <v>3.9057324840764338E-2</v>
      </c>
      <c r="BN217" s="720"/>
      <c r="BO217" s="720"/>
    </row>
    <row r="218" spans="2:67">
      <c r="B218" s="1103"/>
      <c r="C218" s="1099"/>
      <c r="D218" s="478"/>
      <c r="E218" s="478"/>
      <c r="F218" s="638" t="s">
        <v>3321</v>
      </c>
      <c r="G218" s="478" t="str">
        <f>_xlfn.XLOOKUP(H218, 'Baumaterialien Matériaux'!A:A, 'Baumaterialien Matériaux'!AD:AD, "-", 0, 1)</f>
        <v>Botte de paille pour la construction</v>
      </c>
      <c r="H218" s="892">
        <v>10.015000000000001</v>
      </c>
      <c r="I218" s="641" t="str">
        <f>_xlfn.XLOOKUP(H218, 'Baumaterialien Matériaux'!A:A, 'Baumaterialien Matériaux'!F:F, "-", 0, 1)</f>
        <v>kg</v>
      </c>
      <c r="J218" s="649">
        <f t="shared" si="514"/>
        <v>1010.7580000000002</v>
      </c>
      <c r="K218" s="894">
        <f>0.46*215</f>
        <v>98.9</v>
      </c>
      <c r="L218" s="647">
        <v>40</v>
      </c>
      <c r="M218" s="648">
        <f t="shared" si="513"/>
        <v>0.22355598565565279</v>
      </c>
      <c r="N218" s="720">
        <f>IFERROR(($J218*VLOOKUP($H218, 'Baumaterialien Matériaux'!$A$11:$AH$318, 26,FALSE)),0)/$G$1</f>
        <v>0.10014972928153892</v>
      </c>
      <c r="O218" s="720">
        <f>IFERROR(($J218*VLOOKUP($H218, 'Baumaterialien Matériaux'!$A$11:$AH$318, 33,FALSE)),0)/$G$1</f>
        <v>7.3331391733344409E-2</v>
      </c>
      <c r="P218" s="720">
        <f t="shared" ref="P218:P219" si="515">IFERROR((N218+Q218)*($L$2/L218-1),0)</f>
        <v>5.0074864640769462E-2</v>
      </c>
      <c r="Q218" s="720">
        <f>IFERROR(($J218*VLOOKUP($H218, 'Baumaterialien Matériaux'!$A$11:$AH$318, 27,FALSE)),0)/$G$1</f>
        <v>0</v>
      </c>
      <c r="R218" s="720">
        <f>IFERROR(($J218*VLOOKUP($H218, 'Baumaterialien Matériaux'!$A$11:$AH$318, 34,FALSE)),0)/$G$1</f>
        <v>0</v>
      </c>
      <c r="S218" s="720">
        <f>IFERROR((J218*VLOOKUP(H218, 'Baumaterialien Matériaux'!$A$11:$AD$318, 29,FALSE)),0)/$G$1</f>
        <v>1.4135498749360862</v>
      </c>
      <c r="T218" s="720">
        <f>S218*AJ218</f>
        <v>-0.45233595997954756</v>
      </c>
      <c r="U218" s="638">
        <v>-0.32</v>
      </c>
      <c r="V218" s="638">
        <f t="shared" si="480"/>
        <v>-0.45233595997954756</v>
      </c>
      <c r="W218" s="638">
        <f t="shared" si="482"/>
        <v>1.4135498749360862</v>
      </c>
      <c r="X218" s="638" t="s">
        <v>3407</v>
      </c>
      <c r="Z218" s="638">
        <f t="shared" si="476"/>
        <v>40</v>
      </c>
      <c r="AA218" s="527" t="s">
        <v>3450</v>
      </c>
      <c r="AB218" t="str">
        <f>_xlfn.XLOOKUP($H218,'[1]Baumaterialien Matériaux'!$A:$A,'[1]Baumaterialien Matériaux'!AK:AK,0,0)</f>
        <v>vegetal_fiber</v>
      </c>
      <c r="AC218" t="str" cm="1">
        <f t="array" ref="AC218">_xlfn.SWITCH(I218,"kg"," ",0," ",_xlfn.XLOOKUP(H218, '[1]Baumaterialien Matériaux'!$A:$A, '[1]Baumaterialien Matériaux'!$AL:$AL, "-", 0, 1))</f>
        <v xml:space="preserve"> </v>
      </c>
      <c r="AD218" s="1112" cm="1">
        <f t="array" ref="AD218">IFERROR(_xlfn.SWITCH(I218,"kg",1,"m3",AC218,AC218)*J218/(_xlfn.XLOOKUP(AA218,Métrés!A:A,Métrés!E:E,0)),0)</f>
        <v>11.245638629283491</v>
      </c>
      <c r="AE218" s="1092">
        <f>IFERROR(N218*$G$1/(_xlfn.XLOOKUP($AA218,Métrés!$A:$A,Métrés!$E:$E,0)),0)</f>
        <v>1.0750830529595019</v>
      </c>
      <c r="AF218" s="1092">
        <f>IFERROR(O218*$G$1/(_xlfn.XLOOKUP($AA218,Métrés!$A:$A,Métrés!$E:$E,0)),0)</f>
        <v>0.78719470404984448</v>
      </c>
      <c r="AG218" s="1092">
        <f>IFERROR(Q218*$G$1/(_xlfn.XLOOKUP($AA218,Métrés!$A:$A,Métrés!$E:$E,0)),0)</f>
        <v>0</v>
      </c>
      <c r="AH218" s="1092">
        <f>IFERROR(R218*$G$1/(_xlfn.XLOOKUP($AA218,Métrés!$A:$A,Métrés!$E:$E,0)),0)</f>
        <v>0</v>
      </c>
      <c r="AI218" s="1092">
        <f>IFERROR(S218*$G$1/(_xlfn.XLOOKUP($AA218,Métrés!$A:$A,Métrés!$E:$E,0)),0)</f>
        <v>15.174115057113189</v>
      </c>
      <c r="AJ218" s="1022">
        <v>-0.32</v>
      </c>
      <c r="AK218" s="638">
        <f>IF(L218=60,0,T218)</f>
        <v>-0.45233595997954756</v>
      </c>
      <c r="AL218" s="638">
        <f>IF(L218=60,0,S218)</f>
        <v>1.4135498749360862</v>
      </c>
      <c r="AM218" s="638" t="s">
        <v>3388</v>
      </c>
      <c r="AN218" s="1017">
        <f>IF(AM218="Structure",N218,0)</f>
        <v>0</v>
      </c>
      <c r="AO218" s="638">
        <f>IF(AM218="Structure",P218,0)</f>
        <v>0</v>
      </c>
      <c r="AP218" s="638">
        <f>IF(AM218="Structure",Q218,0)</f>
        <v>0</v>
      </c>
      <c r="AQ218" s="1018">
        <f>IF(AM218="Structure",S218,0)</f>
        <v>0</v>
      </c>
      <c r="AR218" s="1018">
        <f>IF(AM218="Structure",T218,0)</f>
        <v>0</v>
      </c>
      <c r="AS218" s="1017">
        <f>IF(AM218="Insulation",N218,0)</f>
        <v>0.10014972928153892</v>
      </c>
      <c r="AT218" s="638">
        <f>IF(AM218="Insulation",P218,0)</f>
        <v>5.0074864640769462E-2</v>
      </c>
      <c r="AU218" s="638">
        <f>IF(AM218="Insulation",Q218,0)</f>
        <v>0</v>
      </c>
      <c r="AV218" s="1018">
        <f>IF(AM218="Insulation",S218,0)</f>
        <v>1.4135498749360862</v>
      </c>
      <c r="AW218" s="1018">
        <f>IF(AM218="Insulation",T218,0)</f>
        <v>-0.45233595997954756</v>
      </c>
      <c r="AX218" s="1017">
        <f>IF(AM218="Revêtement",N218,0)</f>
        <v>0</v>
      </c>
      <c r="AY218" s="638">
        <f>IF(AM218="Revêtement",P218,0)</f>
        <v>0</v>
      </c>
      <c r="AZ218" s="638">
        <f>IF(AM218="Revêtement",Q218,0)</f>
        <v>0</v>
      </c>
      <c r="BA218" s="638">
        <f>IF(AM218="Revêtement",S218,0)</f>
        <v>0</v>
      </c>
      <c r="BB218" s="1018">
        <f>IF(AM218="Revêtement",T218,0)</f>
        <v>0</v>
      </c>
      <c r="BC218" s="1017"/>
      <c r="BF218" s="1018"/>
      <c r="BG218" s="1017">
        <f>IF($AM218="Structure", IF($I218="kg",$J218,0), 0)</f>
        <v>0</v>
      </c>
      <c r="BH218" s="638">
        <f>IF($AM218="Insulation", IF($I218="kg",$J218,0), 0)</f>
        <v>1010.7580000000002</v>
      </c>
      <c r="BI218" s="1018">
        <f>IF($AM218="Revêtement", IF($I218="kg",$J218,0), 0)</f>
        <v>0</v>
      </c>
      <c r="BJ218" s="638">
        <f>_xlfn.XLOOKUP(H218, 'Baumaterialien Matériaux'!A:A, 'Baumaterialien Matériaux'!E:E, "-", 0, 1)</f>
        <v>215</v>
      </c>
      <c r="BK218" s="1032">
        <f t="shared" si="470"/>
        <v>0</v>
      </c>
      <c r="BL218" s="1030">
        <f t="shared" si="471"/>
        <v>4.7012000000000009</v>
      </c>
      <c r="BM218" s="1033">
        <f t="shared" si="472"/>
        <v>0</v>
      </c>
      <c r="BN218" s="720">
        <f>IFERROR((J218*VLOOKUP(H218, 'Baumaterialien Matériaux'!$A$11:$AH$318, 32,FALSE))*($L$2/L218-1),0)/$G$1</f>
        <v>3.6665695866672204E-2</v>
      </c>
      <c r="BO218" s="720">
        <f>IFERROR((N218+Q218)*($L$2/L218-1),0)</f>
        <v>5.0074864640769462E-2</v>
      </c>
    </row>
    <row r="219" spans="2:67">
      <c r="B219" s="1103"/>
      <c r="C219" s="1099"/>
      <c r="D219" s="478"/>
      <c r="E219" s="478"/>
      <c r="F219" s="3" t="s">
        <v>3322</v>
      </c>
      <c r="G219" s="478" t="str">
        <f>_xlfn.XLOOKUP(H219, 'Baumaterialien Matériaux'!A:A, 'Baumaterialien Matériaux'!AD:AD, "-", 0, 1)</f>
        <v>Contreplaqué de planches</v>
      </c>
      <c r="H219" s="857" t="s">
        <v>1454</v>
      </c>
      <c r="I219" s="641" t="str">
        <f>_xlfn.XLOOKUP(H219, 'Baumaterialien Matériaux'!A:A, 'Baumaterialien Matériaux'!F:F, "-", 0, 1)</f>
        <v>kg</v>
      </c>
      <c r="J219" s="649">
        <f t="shared" si="514"/>
        <v>356.47360000000003</v>
      </c>
      <c r="K219" s="894">
        <f>0.08*436</f>
        <v>34.880000000000003</v>
      </c>
      <c r="L219" s="647">
        <v>40</v>
      </c>
      <c r="M219" s="648">
        <f t="shared" si="513"/>
        <v>0.2996906851291406</v>
      </c>
      <c r="N219" s="720">
        <f>IFERROR(($J219*VLOOKUP($H219, 'Baumaterialien Matériaux'!$A$11:$AH$318, 26,FALSE)),0)/$G$1</f>
        <v>0.11712007296546578</v>
      </c>
      <c r="O219" s="720">
        <f>IFERROR(($J219*VLOOKUP($H219, 'Baumaterialien Matériaux'!$A$11:$AH$318, 33,FALSE)),0)/$G$1</f>
        <v>7.9674901372248252E-2</v>
      </c>
      <c r="P219" s="720">
        <f t="shared" si="515"/>
        <v>7.3338594585630787E-2</v>
      </c>
      <c r="Q219" s="720">
        <f>IFERROR(($J219*VLOOKUP($H219, 'Baumaterialien Matériaux'!$A$11:$AH$318, 27,FALSE)),0)/$G$1</f>
        <v>2.9557116205795781E-2</v>
      </c>
      <c r="R219" s="720">
        <f>IFERROR(($J219*VLOOKUP($H219, 'Baumaterialien Matériaux'!$A$11:$AH$318, 34,FALSE)),0)/$G$1</f>
        <v>1.5665271589071765E-2</v>
      </c>
      <c r="S219" s="720">
        <f>IFERROR((J219*VLOOKUP(H219, 'Baumaterialien Matériaux'!$A$11:$AD$318, 29,FALSE)),0)/$G$1</f>
        <v>0.60826082058510555</v>
      </c>
      <c r="T219" s="720">
        <f>S219*AJ219</f>
        <v>-4.257825744095739E-2</v>
      </c>
      <c r="U219" s="638">
        <v>-7.0000000000000007E-2</v>
      </c>
      <c r="V219" s="638">
        <f t="shared" si="480"/>
        <v>-4.257825744095739E-2</v>
      </c>
      <c r="W219" s="638">
        <f t="shared" si="482"/>
        <v>0.60826082058510555</v>
      </c>
      <c r="X219" s="638" t="s">
        <v>3407</v>
      </c>
      <c r="Z219" s="638">
        <f t="shared" si="476"/>
        <v>40</v>
      </c>
      <c r="AA219" s="527" t="s">
        <v>3450</v>
      </c>
      <c r="AB219" t="str">
        <f>_xlfn.XLOOKUP($H219,'[1]Baumaterialien Matériaux'!$A:$A,'[1]Baumaterialien Matériaux'!AK:AK,0,0)</f>
        <v>timber</v>
      </c>
      <c r="AC219" t="str" cm="1">
        <f t="array" ref="AC219">_xlfn.SWITCH(I219,"kg"," ",0," ",_xlfn.XLOOKUP(H219, '[1]Baumaterialien Matériaux'!$A:$A, '[1]Baumaterialien Matériaux'!$AL:$AL, "-", 0, 1))</f>
        <v xml:space="preserve"> </v>
      </c>
      <c r="AD219" s="1112" cm="1">
        <f t="array" ref="AD219">IFERROR(_xlfn.SWITCH(I219,"kg",1,"m3",AC219,AC219)*J219/(_xlfn.XLOOKUP(AA219,Métrés!A:A,Métrés!E:E,0)),0)</f>
        <v>3.966105919003116</v>
      </c>
      <c r="AE219" s="1092">
        <f>IFERROR(N219*$G$1/(_xlfn.XLOOKUP($AA219,Métrés!$A:$A,Métrés!$E:$E,0)),0)</f>
        <v>1.2572555763239877</v>
      </c>
      <c r="AF219" s="1092">
        <f>IFERROR(O219*$G$1/(_xlfn.XLOOKUP($AA219,Métrés!$A:$A,Métrés!$E:$E,0)),0)</f>
        <v>0.85529074143302197</v>
      </c>
      <c r="AG219" s="1092">
        <f>IFERROR(Q219*$G$1/(_xlfn.XLOOKUP($AA219,Métrés!$A:$A,Métrés!$E:$E,0)),0)</f>
        <v>0.31728847352024925</v>
      </c>
      <c r="AH219" s="1092">
        <f>IFERROR(R219*$G$1/(_xlfn.XLOOKUP($AA219,Métrés!$A:$A,Métrés!$E:$E,0)),0)</f>
        <v>0.16816289096573211</v>
      </c>
      <c r="AI219" s="1092">
        <f>IFERROR(S219*$G$1/(_xlfn.XLOOKUP($AA219,Métrés!$A:$A,Métrés!$E:$E,0)),0)</f>
        <v>6.5295323779854622</v>
      </c>
      <c r="AJ219" s="1022">
        <v>-7.0000000000000007E-2</v>
      </c>
      <c r="AK219" s="638">
        <f>IF(L219=60,0,T219)</f>
        <v>-4.257825744095739E-2</v>
      </c>
      <c r="AL219" s="638">
        <f>IF(L219=60,0,S219)</f>
        <v>0.60826082058510555</v>
      </c>
      <c r="AM219" s="638" t="str">
        <f>IF(L219=$L$2, "Structure", IF(L219&gt;0,"Revêtement",0))</f>
        <v>Revêtement</v>
      </c>
      <c r="AN219" s="1017">
        <f>IF(AM219="Structure",N219,0)</f>
        <v>0</v>
      </c>
      <c r="AO219" s="638">
        <f>IF(AM219="Structure",P219,0)</f>
        <v>0</v>
      </c>
      <c r="AP219" s="638">
        <f>IF(AM219="Structure",Q219,0)</f>
        <v>0</v>
      </c>
      <c r="AQ219" s="1018">
        <f>IF(AM219="Structure",S219,0)</f>
        <v>0</v>
      </c>
      <c r="AR219" s="1018">
        <f>IF(AM219="Structure",T219,0)</f>
        <v>0</v>
      </c>
      <c r="AS219" s="1017">
        <f>IF(AM219="Insulation",N219,0)</f>
        <v>0</v>
      </c>
      <c r="AT219" s="638">
        <f>IF(AM219="Insulation",P219,0)</f>
        <v>0</v>
      </c>
      <c r="AU219" s="638">
        <f>IF(AM219="Insulation",Q219,0)</f>
        <v>0</v>
      </c>
      <c r="AV219" s="1018">
        <f>IF(AM219="Insulation",S219,0)</f>
        <v>0</v>
      </c>
      <c r="AW219" s="1018">
        <f>IF(AM219="Insulation",T219,0)</f>
        <v>0</v>
      </c>
      <c r="AX219" s="1017">
        <f>IF(AM219="Revêtement",N219,0)</f>
        <v>0.11712007296546578</v>
      </c>
      <c r="AY219" s="638">
        <f>IF(AM219="Revêtement",P219,0)</f>
        <v>7.3338594585630787E-2</v>
      </c>
      <c r="AZ219" s="638">
        <f>IF(AM219="Revêtement",Q219,0)</f>
        <v>2.9557116205795781E-2</v>
      </c>
      <c r="BA219" s="638">
        <f>IF(AM219="Revêtement",S219,0)</f>
        <v>0.60826082058510555</v>
      </c>
      <c r="BB219" s="1018">
        <f>IF(AM219="Revêtement",T219,0)</f>
        <v>-4.257825744095739E-2</v>
      </c>
      <c r="BC219" s="1017"/>
      <c r="BF219" s="1018"/>
      <c r="BG219" s="1017">
        <f>IF($AM219="Structure", IF($I219="kg",$J219,0), 0)</f>
        <v>0</v>
      </c>
      <c r="BH219" s="638">
        <f>IF($AM219="Insulation", IF($I219="kg",$J219,0), 0)</f>
        <v>0</v>
      </c>
      <c r="BI219" s="1018">
        <f>IF($AM219="Revêtement", IF($I219="kg",$J219,0), 0)</f>
        <v>356.47360000000003</v>
      </c>
      <c r="BJ219" s="638">
        <f>_xlfn.XLOOKUP(H219, 'Baumaterialien Matériaux'!A:A, 'Baumaterialien Matériaux'!E:E, "-", 0, 1)</f>
        <v>436</v>
      </c>
      <c r="BK219" s="1032">
        <f t="shared" si="470"/>
        <v>0</v>
      </c>
      <c r="BL219" s="1030">
        <f t="shared" si="471"/>
        <v>0</v>
      </c>
      <c r="BM219" s="1033">
        <f t="shared" si="472"/>
        <v>0.8176000000000001</v>
      </c>
      <c r="BN219" s="720">
        <f>IFERROR((J219*VLOOKUP(H219, 'Baumaterialien Matériaux'!$A$11:$AH$318, 32,FALSE))*($L$2/L219-1),0)/$G$1</f>
        <v>4.7670086480660012E-2</v>
      </c>
      <c r="BO219" s="720">
        <f>IFERROR((N219+Q219)*($L$2/L219-1),0)</f>
        <v>7.3338594585630787E-2</v>
      </c>
    </row>
    <row r="220" spans="2:67">
      <c r="B220" s="1103"/>
      <c r="C220" s="1099"/>
      <c r="D220" s="478"/>
      <c r="E220" s="478"/>
      <c r="F220" s="479" t="s">
        <v>3039</v>
      </c>
      <c r="G220" s="479"/>
      <c r="H220" s="479"/>
      <c r="I220" s="459" t="s">
        <v>39</v>
      </c>
      <c r="J220" s="662">
        <v>79.66</v>
      </c>
      <c r="K220" s="663"/>
      <c r="L220" s="663"/>
      <c r="M220" s="664">
        <f>SUM(M221:M226)</f>
        <v>6.4991734586045355</v>
      </c>
      <c r="N220" s="664">
        <f t="shared" ref="N220:S220" si="516">SUM(N221:N226)</f>
        <v>2.0422463641640065</v>
      </c>
      <c r="O220" s="664">
        <f t="shared" ref="O220" si="517">SUM(O221:O226)</f>
        <v>1.2060011409145559</v>
      </c>
      <c r="P220" s="664">
        <f t="shared" si="516"/>
        <v>1.7643907725633265</v>
      </c>
      <c r="Q220" s="664">
        <f t="shared" si="516"/>
        <v>1.4865351809626466</v>
      </c>
      <c r="R220" s="664">
        <f t="shared" ref="R220" si="518">SUM(R221:R226)</f>
        <v>1.3014588076779572</v>
      </c>
      <c r="S220" s="664">
        <f t="shared" si="516"/>
        <v>9.7540928202258037</v>
      </c>
      <c r="T220" s="664">
        <f>SUM(T221:T226)</f>
        <v>-0.68278649741580644</v>
      </c>
      <c r="V220" s="638">
        <f t="shared" si="480"/>
        <v>-0.68278649741580644</v>
      </c>
      <c r="Z220" s="638">
        <f t="shared" si="476"/>
        <v>0</v>
      </c>
      <c r="AA220" s="527" t="s">
        <v>3450</v>
      </c>
      <c r="AB220">
        <f>_xlfn.XLOOKUP($H220,'[1]Baumaterialien Matériaux'!$A:$A,'[1]Baumaterialien Matériaux'!AK:AK,0,0)</f>
        <v>0</v>
      </c>
      <c r="AC220" cm="1">
        <f t="array" ref="AC220">_xlfn.SWITCH(I220,"kg"," ",0," ",_xlfn.XLOOKUP(H220, '[1]Baumaterialien Matériaux'!$A:$A, '[1]Baumaterialien Matériaux'!$AL:$AL, "-", 0, 1))</f>
        <v>0</v>
      </c>
      <c r="AD220" s="1112" cm="1">
        <f t="array" ref="AD220">IFERROR(_xlfn.SWITCH(I220,"kg",1,"m3",AC220,AC220)*J220/(_xlfn.XLOOKUP(AA220,Métrés!A:A,Métrés!E:E,0)),0)</f>
        <v>0</v>
      </c>
      <c r="AE220" s="1092">
        <f>IFERROR(N220*$G$1/(_xlfn.XLOOKUP($AA220,Métrés!$A:$A,Métrés!$E:$E,0)),0)</f>
        <v>21.92301938139742</v>
      </c>
      <c r="AF220" s="1092">
        <f>IFERROR(O220*$G$1/(_xlfn.XLOOKUP($AA220,Métrés!$A:$A,Métrés!$E:$E,0)),0)</f>
        <v>12.946129737427684</v>
      </c>
      <c r="AG220" s="1092">
        <f>IFERROR(Q220*$G$1/(_xlfn.XLOOKUP($AA220,Métrés!$A:$A,Métrés!$E:$E,0)),0)</f>
        <v>15.957594615042279</v>
      </c>
      <c r="AH220" s="1092">
        <f>IFERROR(R220*$G$1/(_xlfn.XLOOKUP($AA220,Métrés!$A:$A,Métrés!$E:$E,0)),0)</f>
        <v>13.970844637294174</v>
      </c>
      <c r="AI220" s="1092">
        <f>IFERROR(S220*$G$1/(_xlfn.XLOOKUP($AA220,Métrés!$A:$A,Métrés!$E:$E,0)),0)</f>
        <v>104.70782061266873</v>
      </c>
      <c r="AJ220" s="878"/>
      <c r="AK220" s="878"/>
      <c r="AL220" s="878"/>
      <c r="AM220" s="878"/>
      <c r="AN220" s="1053"/>
      <c r="AO220" s="878"/>
      <c r="AP220" s="878"/>
      <c r="AQ220" s="878"/>
      <c r="AR220" s="1054"/>
      <c r="AS220" s="1053"/>
      <c r="AT220" s="878"/>
      <c r="AU220" s="878"/>
      <c r="AV220" s="878"/>
      <c r="AW220" s="1054"/>
      <c r="AX220" s="1053"/>
      <c r="AY220" s="878"/>
      <c r="AZ220" s="878"/>
      <c r="BA220" s="878"/>
      <c r="BB220" s="1054"/>
      <c r="BC220" s="1053"/>
      <c r="BD220" s="878"/>
      <c r="BE220" s="878"/>
      <c r="BF220" s="1054"/>
      <c r="BG220" s="1053"/>
      <c r="BH220" s="878"/>
      <c r="BI220" s="1054"/>
      <c r="BJ220" s="878"/>
      <c r="BK220" s="1053"/>
      <c r="BL220" s="878"/>
      <c r="BM220" s="1054"/>
      <c r="BN220" s="720"/>
      <c r="BO220" s="720"/>
    </row>
    <row r="221" spans="2:67">
      <c r="B221" s="1103"/>
      <c r="C221" s="1099"/>
      <c r="D221" s="478"/>
      <c r="E221" s="478"/>
      <c r="F221" s="3" t="s">
        <v>3356</v>
      </c>
      <c r="G221" s="478" t="str">
        <f>_xlfn.XLOOKUP(H221, 'Baumaterialien Matériaux'!A:A, 'Baumaterialien Matériaux'!AD:AD, "-", 0, 1)</f>
        <v>Contreplaqué de planches</v>
      </c>
      <c r="H221" s="857" t="s">
        <v>1454</v>
      </c>
      <c r="I221" s="641" t="str">
        <f>_xlfn.XLOOKUP(H221, 'Baumaterialien Matériaux'!A:A, 'Baumaterialien Matériaux'!F:F, "-", 0, 1)</f>
        <v>kg</v>
      </c>
      <c r="J221" s="649">
        <f>436*7.97</f>
        <v>3474.92</v>
      </c>
      <c r="K221" s="894"/>
      <c r="L221" s="647">
        <v>40</v>
      </c>
      <c r="M221" s="648">
        <f t="shared" ref="M221:M226" si="519">SUM(N221:Q221)</f>
        <v>2.9213977011732517</v>
      </c>
      <c r="N221" s="720">
        <f>IFERROR(($J221*VLOOKUP($H221, 'Baumaterialien Matériaux'!$A$11:$AH$318, 26,FALSE)),0)/$G$1</f>
        <v>1.1416915136188384</v>
      </c>
      <c r="O221" s="720">
        <f>IFERROR(($J221*VLOOKUP($H221, 'Baumaterialien Matériaux'!$A$11:$AH$318, 33,FALSE)),0)/$G$1</f>
        <v>0.77667436880726348</v>
      </c>
      <c r="P221" s="720">
        <f t="shared" ref="P221:P224" si="520">IFERROR((N221+Q221)*($L$2/L221-1),0)</f>
        <v>0.71490777745532941</v>
      </c>
      <c r="Q221" s="720">
        <f>IFERROR(($J221*VLOOKUP($H221, 'Baumaterialien Matériaux'!$A$11:$AH$318, 27,FALSE)),0)/$G$1</f>
        <v>0.2881240412918204</v>
      </c>
      <c r="R221" s="720">
        <f>IFERROR(($J221*VLOOKUP($H221, 'Baumaterialien Matériaux'!$A$11:$AH$318, 34,FALSE)),0)/$G$1</f>
        <v>0.15270574188466482</v>
      </c>
      <c r="S221" s="720">
        <f>IFERROR((J221*VLOOKUP(H221, 'Baumaterialien Matériaux'!$A$11:$AD$318, 29,FALSE)),0)/$G$1</f>
        <v>5.9293526664179197</v>
      </c>
      <c r="T221" s="720">
        <f t="shared" ref="T221:T226" si="521">S221*AJ221</f>
        <v>-0.41505468664925443</v>
      </c>
      <c r="V221" s="638">
        <f t="shared" si="480"/>
        <v>-0.41505468664925443</v>
      </c>
      <c r="W221" s="638">
        <f t="shared" si="482"/>
        <v>5.9293526664179197</v>
      </c>
      <c r="Z221" s="638">
        <f t="shared" si="476"/>
        <v>40</v>
      </c>
      <c r="AA221" s="527" t="s">
        <v>3450</v>
      </c>
      <c r="AB221" t="str">
        <f>_xlfn.XLOOKUP($H221,'[1]Baumaterialien Matériaux'!$A:$A,'[1]Baumaterialien Matériaux'!AK:AK,0,0)</f>
        <v>timber</v>
      </c>
      <c r="AC221" t="str" cm="1">
        <f t="array" ref="AC221">_xlfn.SWITCH(I221,"kg"," ",0," ",_xlfn.XLOOKUP(H221, '[1]Baumaterialien Matériaux'!$A:$A, '[1]Baumaterialien Matériaux'!$AL:$AL, "-", 0, 1))</f>
        <v xml:space="preserve"> </v>
      </c>
      <c r="AD221" s="1112" cm="1">
        <f t="array" ref="AD221">IFERROR(_xlfn.SWITCH(I221,"kg",1,"m3",AC221,AC221)*J221/(_xlfn.XLOOKUP(AA221,Métrés!A:A,Métrés!E:E,0)),0)</f>
        <v>38.661771250556299</v>
      </c>
      <c r="AE221" s="1092">
        <f>IFERROR(N221*$G$1/(_xlfn.XLOOKUP($AA221,Métrés!$A:$A,Métrés!$E:$E,0)),0)</f>
        <v>12.255781486426347</v>
      </c>
      <c r="AF221" s="1092">
        <f>IFERROR(O221*$G$1/(_xlfn.XLOOKUP($AA221,Métrés!$A:$A,Métrés!$E:$E,0)),0)</f>
        <v>8.3374109701824661</v>
      </c>
      <c r="AG221" s="1092">
        <f>IFERROR(Q221*$G$1/(_xlfn.XLOOKUP($AA221,Métrés!$A:$A,Métrés!$E:$E,0)),0)</f>
        <v>3.0929417000445043</v>
      </c>
      <c r="AH221" s="1092">
        <f>IFERROR(R221*$G$1/(_xlfn.XLOOKUP($AA221,Métrés!$A:$A,Métrés!$E:$E,0)),0)</f>
        <v>1.6392591010235873</v>
      </c>
      <c r="AI221" s="1092">
        <f>IFERROR(S221*$G$1/(_xlfn.XLOOKUP($AA221,Métrés!$A:$A,Métrés!$E:$E,0)),0)</f>
        <v>63.65016273549918</v>
      </c>
      <c r="AJ221" s="1022">
        <v>-7.0000000000000007E-2</v>
      </c>
      <c r="AK221" s="638">
        <f t="shared" ref="AK221:AK226" si="522">IF(L221=60,0,T221)</f>
        <v>-0.41505468664925443</v>
      </c>
      <c r="AL221" s="638">
        <f t="shared" ref="AL221:AL226" si="523">IF(L221=60,0,S221)</f>
        <v>5.9293526664179197</v>
      </c>
      <c r="AM221" s="638" t="str">
        <f t="shared" ref="AM221:AM226" si="524">IF(L221=$L$2, "Structure", IF(L221&gt;0,"Revêtement",0))</f>
        <v>Revêtement</v>
      </c>
      <c r="AN221" s="1017">
        <f t="shared" ref="AN221:AN226" si="525">IF(AM221="Structure",N221,0)</f>
        <v>0</v>
      </c>
      <c r="AO221" s="638">
        <f t="shared" ref="AO221:AO226" si="526">IF(AM221="Structure",P221,0)</f>
        <v>0</v>
      </c>
      <c r="AP221" s="638">
        <f t="shared" ref="AP221:AP226" si="527">IF(AM221="Structure",Q221,0)</f>
        <v>0</v>
      </c>
      <c r="AQ221" s="1018">
        <f t="shared" ref="AQ221:AQ226" si="528">IF(AM221="Structure",S221,0)</f>
        <v>0</v>
      </c>
      <c r="AR221" s="1018">
        <f t="shared" ref="AR221:AR226" si="529">IF(AM221="Structure",T221,0)</f>
        <v>0</v>
      </c>
      <c r="AS221" s="1017">
        <f t="shared" ref="AS221:AS226" si="530">IF(AM221="Insulation",N221,0)</f>
        <v>0</v>
      </c>
      <c r="AT221" s="638">
        <f t="shared" ref="AT221:AT226" si="531">IF(AM221="Insulation",P221,0)</f>
        <v>0</v>
      </c>
      <c r="AU221" s="638">
        <f t="shared" ref="AU221:AU226" si="532">IF(AM221="Insulation",Q221,0)</f>
        <v>0</v>
      </c>
      <c r="AV221" s="1018">
        <f t="shared" ref="AV221:AV226" si="533">IF(AM221="Insulation",S221,0)</f>
        <v>0</v>
      </c>
      <c r="AW221" s="1018">
        <f t="shared" ref="AW221:AW226" si="534">IF(AM221="Insulation",T221,0)</f>
        <v>0</v>
      </c>
      <c r="AX221" s="1017">
        <f t="shared" ref="AX221:AX226" si="535">IF(AM221="Revêtement",N221,0)</f>
        <v>1.1416915136188384</v>
      </c>
      <c r="AY221" s="638">
        <f t="shared" ref="AY221:AY226" si="536">IF(AM221="Revêtement",P221,0)</f>
        <v>0.71490777745532941</v>
      </c>
      <c r="AZ221" s="638">
        <f t="shared" ref="AZ221:AZ226" si="537">IF(AM221="Revêtement",Q221,0)</f>
        <v>0.2881240412918204</v>
      </c>
      <c r="BA221" s="638">
        <f t="shared" ref="BA221:BA226" si="538">IF(AM221="Revêtement",S221,0)</f>
        <v>5.9293526664179197</v>
      </c>
      <c r="BB221" s="1018">
        <f t="shared" ref="BB221:BB226" si="539">IF(AM221="Revêtement",T221,0)</f>
        <v>-0.41505468664925443</v>
      </c>
      <c r="BC221" s="1017"/>
      <c r="BF221" s="1018"/>
      <c r="BG221" s="1017">
        <f t="shared" ref="BG221:BG226" si="540">IF($AM221="Structure", IF($I221="kg",$J221,0), 0)</f>
        <v>0</v>
      </c>
      <c r="BH221" s="638">
        <f t="shared" ref="BH221:BH226" si="541">IF($AM221="Insulation", IF($I221="kg",$J221,0), 0)</f>
        <v>0</v>
      </c>
      <c r="BI221" s="1018">
        <f t="shared" ref="BI221:BI226" si="542">IF($AM221="Revêtement", IF($I221="kg",$J221,0), 0)</f>
        <v>3474.92</v>
      </c>
      <c r="BJ221" s="638">
        <f>_xlfn.XLOOKUP(H221, 'Baumaterialien Matériaux'!A:A, 'Baumaterialien Matériaux'!E:E, "-", 0, 1)</f>
        <v>436</v>
      </c>
      <c r="BK221" s="1032">
        <f t="shared" si="470"/>
        <v>0</v>
      </c>
      <c r="BL221" s="1030">
        <f t="shared" si="471"/>
        <v>0</v>
      </c>
      <c r="BM221" s="1033">
        <f t="shared" si="472"/>
        <v>7.97</v>
      </c>
      <c r="BN221" s="720"/>
      <c r="BO221" s="720"/>
    </row>
    <row r="222" spans="2:67">
      <c r="B222" s="1103"/>
      <c r="C222" s="1099"/>
      <c r="D222" s="478"/>
      <c r="E222" s="478"/>
      <c r="F222" s="3" t="s">
        <v>3357</v>
      </c>
      <c r="G222" s="478" t="str">
        <f>_xlfn.XLOOKUP(H222, 'Baumaterialien Matériaux'!A:A, 'Baumaterialien Matériaux'!AD:AD, "-", 0, 1)</f>
        <v>Bois lamellé-collé</v>
      </c>
      <c r="H222" s="857" t="s">
        <v>1451</v>
      </c>
      <c r="I222" s="641" t="str">
        <f>_xlfn.XLOOKUP(H222, 'Baumaterialien Matériaux'!A:A, 'Baumaterialien Matériaux'!F:F, "-", 0, 1)</f>
        <v>kg</v>
      </c>
      <c r="J222" s="649">
        <f>439*1.38</f>
        <v>605.81999999999994</v>
      </c>
      <c r="K222" s="894"/>
      <c r="L222" s="647">
        <v>40</v>
      </c>
      <c r="M222" s="648">
        <f t="shared" si="519"/>
        <v>0.40599810538534881</v>
      </c>
      <c r="N222" s="720">
        <f>IFERROR(($J222*VLOOKUP($H222, 'Baumaterialien Matériaux'!$A$11:$AH$318, 26,FALSE)),0)/$G$1</f>
        <v>0.18020639691555074</v>
      </c>
      <c r="O222" s="720">
        <f>IFERROR(($J222*VLOOKUP($H222, 'Baumaterialien Matériaux'!$A$11:$AH$318, 33,FALSE)),0)/$G$1</f>
        <v>8.9161353177728928E-2</v>
      </c>
      <c r="P222" s="720">
        <f t="shared" si="520"/>
        <v>0.10561225073587328</v>
      </c>
      <c r="Q222" s="720">
        <f>IFERROR(($J222*VLOOKUP($H222, 'Baumaterialien Matériaux'!$A$11:$AH$318, 27,FALSE)),0)/$G$1</f>
        <v>3.1018104556195841E-2</v>
      </c>
      <c r="R222" s="720">
        <f>IFERROR(($J222*VLOOKUP($H222, 'Baumaterialien Matériaux'!$A$11:$AH$318, 34,FALSE)),0)/$G$1</f>
        <v>2.6622826582645823E-2</v>
      </c>
      <c r="S222" s="720">
        <f>IFERROR((J222*VLOOKUP(H222, 'Baumaterialien Matériaux'!$A$11:$AD$318, 29,FALSE)),0)/$G$1</f>
        <v>1.0268206542017326</v>
      </c>
      <c r="T222" s="720">
        <f t="shared" si="521"/>
        <v>-7.1877445794121295E-2</v>
      </c>
      <c r="V222" s="638">
        <f t="shared" si="480"/>
        <v>-7.1877445794121295E-2</v>
      </c>
      <c r="W222" s="638">
        <f t="shared" si="482"/>
        <v>1.0268206542017326</v>
      </c>
      <c r="Z222" s="638">
        <f t="shared" si="476"/>
        <v>40</v>
      </c>
      <c r="AA222" s="527" t="s">
        <v>3450</v>
      </c>
      <c r="AB222" t="str">
        <f>_xlfn.XLOOKUP($H222,'[1]Baumaterialien Matériaux'!$A:$A,'[1]Baumaterialien Matériaux'!AK:AK,0,0)</f>
        <v>timber</v>
      </c>
      <c r="AC222" t="str" cm="1">
        <f t="array" ref="AC222">_xlfn.SWITCH(I222,"kg"," ",0," ",_xlfn.XLOOKUP(H222, '[1]Baumaterialien Matériaux'!$A:$A, '[1]Baumaterialien Matériaux'!$AL:$AL, "-", 0, 1))</f>
        <v xml:space="preserve"> </v>
      </c>
      <c r="AD222" s="1112" cm="1">
        <f t="array" ref="AD222">IFERROR(_xlfn.SWITCH(I222,"kg",1,"m3",AC222,AC222)*J222/(_xlfn.XLOOKUP(AA222,Métrés!A:A,Métrés!E:E,0)),0)</f>
        <v>6.7403204272363144</v>
      </c>
      <c r="AE222" s="1092">
        <f>IFERROR(N222*$G$1/(_xlfn.XLOOKUP($AA222,Métrés!$A:$A,Métrés!$E:$E,0)),0)</f>
        <v>1.9344719626168223</v>
      </c>
      <c r="AF222" s="1092">
        <f>IFERROR(O222*$G$1/(_xlfn.XLOOKUP($AA222,Métrés!$A:$A,Métrés!$E:$E,0)),0)</f>
        <v>0.95712550066755653</v>
      </c>
      <c r="AG222" s="1092">
        <f>IFERROR(Q222*$G$1/(_xlfn.XLOOKUP($AA222,Métrés!$A:$A,Métrés!$E:$E,0)),0)</f>
        <v>0.33297182910547396</v>
      </c>
      <c r="AH222" s="1092">
        <f>IFERROR(R222*$G$1/(_xlfn.XLOOKUP($AA222,Métrés!$A:$A,Métrés!$E:$E,0)),0)</f>
        <v>0.28578958611481975</v>
      </c>
      <c r="AI222" s="1092">
        <f>IFERROR(S222*$G$1/(_xlfn.XLOOKUP($AA222,Métrés!$A:$A,Métrés!$E:$E,0)),0)</f>
        <v>11.022670672007118</v>
      </c>
      <c r="AJ222" s="1022">
        <v>-7.0000000000000007E-2</v>
      </c>
      <c r="AK222" s="638">
        <f t="shared" si="522"/>
        <v>-7.1877445794121295E-2</v>
      </c>
      <c r="AL222" s="638">
        <f t="shared" si="523"/>
        <v>1.0268206542017326</v>
      </c>
      <c r="AM222" s="638" t="str">
        <f t="shared" si="524"/>
        <v>Revêtement</v>
      </c>
      <c r="AN222" s="1017">
        <f t="shared" si="525"/>
        <v>0</v>
      </c>
      <c r="AO222" s="638">
        <f t="shared" si="526"/>
        <v>0</v>
      </c>
      <c r="AP222" s="638">
        <f t="shared" si="527"/>
        <v>0</v>
      </c>
      <c r="AQ222" s="1018">
        <f t="shared" si="528"/>
        <v>0</v>
      </c>
      <c r="AR222" s="1018">
        <f t="shared" si="529"/>
        <v>0</v>
      </c>
      <c r="AS222" s="1017">
        <f t="shared" si="530"/>
        <v>0</v>
      </c>
      <c r="AT222" s="638">
        <f t="shared" si="531"/>
        <v>0</v>
      </c>
      <c r="AU222" s="638">
        <f t="shared" si="532"/>
        <v>0</v>
      </c>
      <c r="AV222" s="1018">
        <f t="shared" si="533"/>
        <v>0</v>
      </c>
      <c r="AW222" s="1018">
        <f t="shared" si="534"/>
        <v>0</v>
      </c>
      <c r="AX222" s="1017">
        <f t="shared" si="535"/>
        <v>0.18020639691555074</v>
      </c>
      <c r="AY222" s="638">
        <f t="shared" si="536"/>
        <v>0.10561225073587328</v>
      </c>
      <c r="AZ222" s="638">
        <f t="shared" si="537"/>
        <v>3.1018104556195841E-2</v>
      </c>
      <c r="BA222" s="638">
        <f t="shared" si="538"/>
        <v>1.0268206542017326</v>
      </c>
      <c r="BB222" s="1018">
        <f t="shared" si="539"/>
        <v>-7.1877445794121295E-2</v>
      </c>
      <c r="BC222" s="1017"/>
      <c r="BF222" s="1018"/>
      <c r="BG222" s="1017">
        <f t="shared" si="540"/>
        <v>0</v>
      </c>
      <c r="BH222" s="638">
        <f t="shared" si="541"/>
        <v>0</v>
      </c>
      <c r="BI222" s="1018">
        <f t="shared" si="542"/>
        <v>605.81999999999994</v>
      </c>
      <c r="BJ222" s="638">
        <f>_xlfn.XLOOKUP(H222, 'Baumaterialien Matériaux'!A:A, 'Baumaterialien Matériaux'!E:E, "-", 0, 1)</f>
        <v>439</v>
      </c>
      <c r="BK222" s="1032">
        <f t="shared" si="470"/>
        <v>0</v>
      </c>
      <c r="BL222" s="1030">
        <f t="shared" si="471"/>
        <v>0</v>
      </c>
      <c r="BM222" s="1033">
        <f t="shared" si="472"/>
        <v>1.38</v>
      </c>
      <c r="BN222" s="720"/>
      <c r="BO222" s="720"/>
    </row>
    <row r="223" spans="2:67">
      <c r="B223" s="1103"/>
      <c r="C223" s="1099"/>
      <c r="D223" s="478"/>
      <c r="E223" s="478"/>
      <c r="F223" s="3" t="s">
        <v>3358</v>
      </c>
      <c r="G223" s="478" t="str">
        <f>_xlfn.XLOOKUP(H223, 'Baumaterialien Matériaux'!A:A, 'Baumaterialien Matériaux'!AD:AD, "-", 0, 1)</f>
        <v>Données écobilans dans la construction</v>
      </c>
      <c r="H223" s="857"/>
      <c r="I223" s="641" t="str">
        <f>_xlfn.XLOOKUP(H223, 'Baumaterialien Matériaux'!A:A, 'Baumaterialien Matériaux'!F:F, "-", 0, 1)</f>
        <v>-</v>
      </c>
      <c r="J223" s="649">
        <f t="shared" ref="J223:J224" si="543">$J$220*K223</f>
        <v>0</v>
      </c>
      <c r="K223" s="894"/>
      <c r="L223" s="647">
        <v>40</v>
      </c>
      <c r="M223" s="648">
        <f t="shared" si="519"/>
        <v>0</v>
      </c>
      <c r="N223" s="720">
        <f>IFERROR(($J223*VLOOKUP($H223, 'Baumaterialien Matériaux'!$A$11:$AH$318, 26,FALSE)),0)/$G$1</f>
        <v>0</v>
      </c>
      <c r="O223" s="720">
        <f>IFERROR(($J223*VLOOKUP($H223, 'Baumaterialien Matériaux'!$A$11:$AH$318, 33,FALSE)),0)/$G$1</f>
        <v>0</v>
      </c>
      <c r="P223" s="720">
        <f t="shared" si="520"/>
        <v>0</v>
      </c>
      <c r="Q223" s="720">
        <f>IFERROR(($J223*VLOOKUP($H223, 'Baumaterialien Matériaux'!$A$11:$AH$318, 27,FALSE)),0)/$G$1</f>
        <v>0</v>
      </c>
      <c r="R223" s="720">
        <f>IFERROR(($J223*VLOOKUP($H223, 'Baumaterialien Matériaux'!$A$11:$AH$318, 34,FALSE)),0)/$G$1</f>
        <v>0</v>
      </c>
      <c r="S223" s="720">
        <f>IFERROR((J223*VLOOKUP(H223, 'Baumaterialien Matériaux'!$A$11:$AD$318, 29,FALSE)),0)/$G$1</f>
        <v>0</v>
      </c>
      <c r="T223" s="720">
        <f t="shared" si="521"/>
        <v>0</v>
      </c>
      <c r="V223" s="638">
        <f t="shared" si="480"/>
        <v>0</v>
      </c>
      <c r="W223" s="638">
        <f t="shared" si="482"/>
        <v>0</v>
      </c>
      <c r="Z223" s="638">
        <f t="shared" si="476"/>
        <v>40</v>
      </c>
      <c r="AA223" s="527" t="s">
        <v>3450</v>
      </c>
      <c r="AB223">
        <f>_xlfn.XLOOKUP($H223,'[1]Baumaterialien Matériaux'!$A:$A,'[1]Baumaterialien Matériaux'!AK:AK,0,0)</f>
        <v>0</v>
      </c>
      <c r="AC223" cm="1">
        <f t="array" ref="AC223">_xlfn.SWITCH(I223,"kg"," ",0," ",_xlfn.XLOOKUP(H223, '[1]Baumaterialien Matériaux'!$A:$A, '[1]Baumaterialien Matériaux'!$AL:$AL, "-", 0, 1))</f>
        <v>0</v>
      </c>
      <c r="AD223" s="1112" cm="1">
        <f t="array" ref="AD223">IFERROR(_xlfn.SWITCH(I223,"kg",1,"m3",AC223,AC223)*J223/(_xlfn.XLOOKUP(AA223,Métrés!A:A,Métrés!E:E,0)),0)</f>
        <v>0</v>
      </c>
      <c r="AE223" s="1092">
        <f>IFERROR(N223*$G$1/(_xlfn.XLOOKUP($AA223,Métrés!$A:$A,Métrés!$E:$E,0)),0)</f>
        <v>0</v>
      </c>
      <c r="AF223" s="1092">
        <f>IFERROR(O223*$G$1/(_xlfn.XLOOKUP($AA223,Métrés!$A:$A,Métrés!$E:$E,0)),0)</f>
        <v>0</v>
      </c>
      <c r="AG223" s="1092">
        <f>IFERROR(Q223*$G$1/(_xlfn.XLOOKUP($AA223,Métrés!$A:$A,Métrés!$E:$E,0)),0)</f>
        <v>0</v>
      </c>
      <c r="AH223" s="1092">
        <f>IFERROR(R223*$G$1/(_xlfn.XLOOKUP($AA223,Métrés!$A:$A,Métrés!$E:$E,0)),0)</f>
        <v>0</v>
      </c>
      <c r="AI223" s="1092">
        <f>IFERROR(S223*$G$1/(_xlfn.XLOOKUP($AA223,Métrés!$A:$A,Métrés!$E:$E,0)),0)</f>
        <v>0</v>
      </c>
      <c r="AJ223" s="1022">
        <v>-7.0000000000000007E-2</v>
      </c>
      <c r="AK223" s="638">
        <f t="shared" si="522"/>
        <v>0</v>
      </c>
      <c r="AL223" s="638">
        <f t="shared" si="523"/>
        <v>0</v>
      </c>
      <c r="AM223" s="638" t="str">
        <f t="shared" si="524"/>
        <v>Revêtement</v>
      </c>
      <c r="AN223" s="1017">
        <f t="shared" si="525"/>
        <v>0</v>
      </c>
      <c r="AO223" s="638">
        <f t="shared" si="526"/>
        <v>0</v>
      </c>
      <c r="AP223" s="638">
        <f t="shared" si="527"/>
        <v>0</v>
      </c>
      <c r="AQ223" s="1018">
        <f t="shared" si="528"/>
        <v>0</v>
      </c>
      <c r="AR223" s="1018">
        <f t="shared" si="529"/>
        <v>0</v>
      </c>
      <c r="AS223" s="1017">
        <f t="shared" si="530"/>
        <v>0</v>
      </c>
      <c r="AT223" s="638">
        <f t="shared" si="531"/>
        <v>0</v>
      </c>
      <c r="AU223" s="638">
        <f t="shared" si="532"/>
        <v>0</v>
      </c>
      <c r="AV223" s="1018">
        <f t="shared" si="533"/>
        <v>0</v>
      </c>
      <c r="AW223" s="1018">
        <f t="shared" si="534"/>
        <v>0</v>
      </c>
      <c r="AX223" s="1017">
        <f t="shared" si="535"/>
        <v>0</v>
      </c>
      <c r="AY223" s="638">
        <f t="shared" si="536"/>
        <v>0</v>
      </c>
      <c r="AZ223" s="638">
        <f t="shared" si="537"/>
        <v>0</v>
      </c>
      <c r="BA223" s="638">
        <f t="shared" si="538"/>
        <v>0</v>
      </c>
      <c r="BB223" s="1018">
        <f t="shared" si="539"/>
        <v>0</v>
      </c>
      <c r="BC223" s="1017"/>
      <c r="BF223" s="1018"/>
      <c r="BG223" s="1017">
        <f t="shared" si="540"/>
        <v>0</v>
      </c>
      <c r="BH223" s="638">
        <f t="shared" si="541"/>
        <v>0</v>
      </c>
      <c r="BI223" s="1018">
        <f t="shared" si="542"/>
        <v>0</v>
      </c>
      <c r="BJ223" s="638">
        <f>_xlfn.XLOOKUP(H223, 'Baumaterialien Matériaux'!A:A, 'Baumaterialien Matériaux'!E:E, "-", 0, 1)</f>
        <v>0</v>
      </c>
      <c r="BK223" s="1032">
        <f t="shared" si="470"/>
        <v>0</v>
      </c>
      <c r="BL223" s="1030">
        <f t="shared" si="471"/>
        <v>0</v>
      </c>
      <c r="BM223" s="1033">
        <f t="shared" si="472"/>
        <v>0</v>
      </c>
      <c r="BN223" s="720"/>
      <c r="BO223" s="720"/>
    </row>
    <row r="224" spans="2:67">
      <c r="B224" s="1103"/>
      <c r="C224" s="1099"/>
      <c r="D224" s="478"/>
      <c r="E224" s="478"/>
      <c r="F224" s="3" t="s">
        <v>2994</v>
      </c>
      <c r="G224" s="478" t="str">
        <f>_xlfn.XLOOKUP(H224, 'Baumaterialien Matériaux'!A:A, 'Baumaterialien Matériaux'!AD:AD, "-", 0, 1)</f>
        <v>Lé d'étanchéité bitumineux</v>
      </c>
      <c r="H224" s="892" t="s">
        <v>696</v>
      </c>
      <c r="I224" s="641" t="str">
        <f>_xlfn.XLOOKUP(H224, 'Baumaterialien Matériaux'!A:A, 'Baumaterialien Matériaux'!F:F, "-", 0, 1)</f>
        <v>kg</v>
      </c>
      <c r="J224" s="649">
        <f t="shared" si="543"/>
        <v>455.65519999999998</v>
      </c>
      <c r="K224" s="893">
        <f>0.0052*1100</f>
        <v>5.72</v>
      </c>
      <c r="L224" s="647">
        <v>40</v>
      </c>
      <c r="M224" s="648">
        <f t="shared" si="519"/>
        <v>2.6300151411633017</v>
      </c>
      <c r="N224" s="720">
        <f>IFERROR(($J224*VLOOKUP($H224, 'Baumaterialien Matériaux'!$A$11:$AH$318, 26,FALSE)),0)/$G$1</f>
        <v>0.47698245512209275</v>
      </c>
      <c r="O224" s="720">
        <f>IFERROR(($J224*VLOOKUP($H224, 'Baumaterialien Matériaux'!$A$11:$AH$318, 33,FALSE)),0)/$G$1</f>
        <v>0.26399325981509886</v>
      </c>
      <c r="P224" s="720">
        <f t="shared" si="520"/>
        <v>0.78867396044940086</v>
      </c>
      <c r="Q224" s="720">
        <f>IFERROR(($J224*VLOOKUP($H224, 'Baumaterialien Matériaux'!$A$11:$AH$318, 27,FALSE)),0)/$G$1</f>
        <v>1.100365465776709</v>
      </c>
      <c r="R224" s="720">
        <f>IFERROR(($J224*VLOOKUP($H224, 'Baumaterialien Matériaux'!$A$11:$AH$318, 34,FALSE)),0)/$G$1</f>
        <v>1.1098106629078397</v>
      </c>
      <c r="S224" s="720">
        <f>IFERROR((J224*VLOOKUP(H224, 'Baumaterialien Matériaux'!$A$11:$AD$318, 29,FALSE)),0)/$G$1</f>
        <v>0</v>
      </c>
      <c r="T224" s="720">
        <f t="shared" si="521"/>
        <v>0</v>
      </c>
      <c r="U224" s="638">
        <v>-7.0000000000000007E-2</v>
      </c>
      <c r="V224" s="638">
        <f t="shared" si="480"/>
        <v>0</v>
      </c>
      <c r="W224" s="638">
        <f t="shared" si="482"/>
        <v>0</v>
      </c>
      <c r="Z224" s="638">
        <f t="shared" si="476"/>
        <v>40</v>
      </c>
      <c r="AA224" s="527" t="s">
        <v>3450</v>
      </c>
      <c r="AB224" t="str">
        <f>_xlfn.XLOOKUP($H224,'[1]Baumaterialien Matériaux'!$A:$A,'[1]Baumaterialien Matériaux'!AK:AK,0,0)</f>
        <v>oil_product</v>
      </c>
      <c r="AC224" t="str" cm="1">
        <f t="array" ref="AC224">_xlfn.SWITCH(I224,"kg"," ",0," ",_xlfn.XLOOKUP(H224, '[1]Baumaterialien Matériaux'!$A:$A, '[1]Baumaterialien Matériaux'!$AL:$AL, "-", 0, 1))</f>
        <v xml:space="preserve"> </v>
      </c>
      <c r="AD224" s="1112" cm="1">
        <f t="array" ref="AD224">IFERROR(_xlfn.SWITCH(I224,"kg",1,"m3",AC224,AC224)*J224/(_xlfn.XLOOKUP(AA224,Métrés!A:A,Métrés!E:E,0)),0)</f>
        <v>5.0695950155763239</v>
      </c>
      <c r="AE224" s="1092">
        <f>IFERROR(N224*$G$1/(_xlfn.XLOOKUP($AA224,Métrés!$A:$A,Métrés!$E:$E,0)),0)</f>
        <v>5.120290965732087</v>
      </c>
      <c r="AF224" s="1092">
        <f>IFERROR(O224*$G$1/(_xlfn.XLOOKUP($AA224,Métrés!$A:$A,Métrés!$E:$E,0)),0)</f>
        <v>2.8339036137071654</v>
      </c>
      <c r="AG224" s="1092">
        <f>IFERROR(Q224*$G$1/(_xlfn.XLOOKUP($AA224,Métrés!$A:$A,Métrés!$E:$E,0)),0)</f>
        <v>11.812156386292836</v>
      </c>
      <c r="AH224" s="1092">
        <f>IFERROR(R224*$G$1/(_xlfn.XLOOKUP($AA224,Métrés!$A:$A,Métrés!$E:$E,0)),0)</f>
        <v>11.913548286604362</v>
      </c>
      <c r="AI224" s="1092">
        <f>IFERROR(S224*$G$1/(_xlfn.XLOOKUP($AA224,Métrés!$A:$A,Métrés!$E:$E,0)),0)</f>
        <v>0</v>
      </c>
      <c r="AJ224" s="1022"/>
      <c r="AK224" s="638">
        <f t="shared" si="522"/>
        <v>0</v>
      </c>
      <c r="AL224" s="638">
        <f t="shared" si="523"/>
        <v>0</v>
      </c>
      <c r="AM224" s="638" t="str">
        <f t="shared" si="524"/>
        <v>Revêtement</v>
      </c>
      <c r="AN224" s="1017">
        <f t="shared" si="525"/>
        <v>0</v>
      </c>
      <c r="AO224" s="638">
        <f t="shared" si="526"/>
        <v>0</v>
      </c>
      <c r="AP224" s="638">
        <f t="shared" si="527"/>
        <v>0</v>
      </c>
      <c r="AQ224" s="1018">
        <f t="shared" si="528"/>
        <v>0</v>
      </c>
      <c r="AR224" s="1018">
        <f t="shared" si="529"/>
        <v>0</v>
      </c>
      <c r="AS224" s="1017">
        <f t="shared" si="530"/>
        <v>0</v>
      </c>
      <c r="AT224" s="638">
        <f t="shared" si="531"/>
        <v>0</v>
      </c>
      <c r="AU224" s="638">
        <f t="shared" si="532"/>
        <v>0</v>
      </c>
      <c r="AV224" s="1018">
        <f t="shared" si="533"/>
        <v>0</v>
      </c>
      <c r="AW224" s="1018">
        <f t="shared" si="534"/>
        <v>0</v>
      </c>
      <c r="AX224" s="1017">
        <f t="shared" si="535"/>
        <v>0.47698245512209275</v>
      </c>
      <c r="AY224" s="638">
        <f t="shared" si="536"/>
        <v>0.78867396044940086</v>
      </c>
      <c r="AZ224" s="638">
        <f t="shared" si="537"/>
        <v>1.100365465776709</v>
      </c>
      <c r="BA224" s="638">
        <f t="shared" si="538"/>
        <v>0</v>
      </c>
      <c r="BB224" s="1018">
        <f t="shared" si="539"/>
        <v>0</v>
      </c>
      <c r="BC224" s="1017"/>
      <c r="BF224" s="1018"/>
      <c r="BG224" s="1017">
        <f t="shared" si="540"/>
        <v>0</v>
      </c>
      <c r="BH224" s="638">
        <f t="shared" si="541"/>
        <v>0</v>
      </c>
      <c r="BI224" s="1018">
        <f t="shared" si="542"/>
        <v>455.65519999999998</v>
      </c>
      <c r="BJ224" s="638">
        <f>_xlfn.XLOOKUP(H224, 'Baumaterialien Matériaux'!A:A, 'Baumaterialien Matériaux'!E:E, "-", 0, 1)</f>
        <v>1100</v>
      </c>
      <c r="BK224" s="1032">
        <f t="shared" si="470"/>
        <v>0</v>
      </c>
      <c r="BL224" s="1030">
        <f t="shared" si="471"/>
        <v>0</v>
      </c>
      <c r="BM224" s="1033">
        <f t="shared" si="472"/>
        <v>0.41423199999999999</v>
      </c>
      <c r="BN224" s="720"/>
      <c r="BO224" s="720"/>
    </row>
    <row r="225" spans="2:68">
      <c r="B225" s="1103"/>
      <c r="C225" s="1099"/>
      <c r="D225" s="478"/>
      <c r="E225" s="478"/>
      <c r="F225" s="3" t="s">
        <v>3359</v>
      </c>
      <c r="G225" s="478" t="str">
        <f>_xlfn.XLOOKUP(H225, 'Baumaterialien Matériaux'!A:A, 'Baumaterialien Matériaux'!AD:AD, "-", 0, 1)</f>
        <v>Bois massif de construction</v>
      </c>
      <c r="H225" s="892" t="s">
        <v>547</v>
      </c>
      <c r="I225" s="641" t="str">
        <f>_xlfn.XLOOKUP(H225, 'Baumaterialien Matériaux'!A:A, 'Baumaterialien Matériaux'!F:F, "-", 0, 1)</f>
        <v>kg</v>
      </c>
      <c r="J225" s="649">
        <f>436*0.3</f>
        <v>130.79999999999998</v>
      </c>
      <c r="K225" s="894"/>
      <c r="L225" s="647">
        <v>40</v>
      </c>
      <c r="M225" s="648">
        <f t="shared" si="519"/>
        <v>6.8063882094440517E-2</v>
      </c>
      <c r="N225" s="720">
        <f>IFERROR(($J225*VLOOKUP($H225, 'Baumaterialien Matériaux'!$A$11:$AH$318, 26,FALSE)),0)/$G$1</f>
        <v>3.3213797106255952E-2</v>
      </c>
      <c r="O225" s="720">
        <f>IFERROR(($J225*VLOOKUP($H225, 'Baumaterialien Matériaux'!$A$11:$AH$318, 33,FALSE)),0)/$G$1</f>
        <v>9.2347912607271664E-3</v>
      </c>
      <c r="P225" s="720">
        <f t="shared" ref="P225:P226" si="544">IFERROR((N225+Q225)*($L$2/L225-1),0)</f>
        <v>1.9609696944571115E-2</v>
      </c>
      <c r="Q225" s="720">
        <f>IFERROR(($J225*VLOOKUP($H225, 'Baumaterialien Matériaux'!$A$11:$AH$318, 27,FALSE)),0)/$G$1</f>
        <v>6.0055967828862803E-3</v>
      </c>
      <c r="R225" s="720">
        <f>IFERROR(($J225*VLOOKUP($H225, 'Baumaterialien Matériaux'!$A$11:$AH$318, 34,FALSE)),0)/$G$1</f>
        <v>9.869242568716055E-4</v>
      </c>
      <c r="S225" s="720">
        <f>IFERROR((J225*VLOOKUP(H225, 'Baumaterialien Matériaux'!$A$11:$AD$318, 29,FALSE)),0)/$G$1</f>
        <v>0.22368475602172377</v>
      </c>
      <c r="T225" s="720">
        <f t="shared" si="521"/>
        <v>-1.5657932921520665E-2</v>
      </c>
      <c r="Z225" s="638">
        <f t="shared" si="476"/>
        <v>40</v>
      </c>
      <c r="AA225" s="527" t="s">
        <v>3450</v>
      </c>
      <c r="AB225" t="str">
        <f>_xlfn.XLOOKUP($H225,'[1]Baumaterialien Matériaux'!$A:$A,'[1]Baumaterialien Matériaux'!AK:AK,0,0)</f>
        <v>timber</v>
      </c>
      <c r="AC225" t="str" cm="1">
        <f t="array" ref="AC225">_xlfn.SWITCH(I225,"kg"," ",0," ",_xlfn.XLOOKUP(H225, '[1]Baumaterialien Matériaux'!$A:$A, '[1]Baumaterialien Matériaux'!$AL:$AL, "-", 0, 1))</f>
        <v xml:space="preserve"> </v>
      </c>
      <c r="AD225" s="1112" cm="1">
        <f t="array" ref="AD225">IFERROR(_xlfn.SWITCH(I225,"kg",1,"m3",AC225,AC225)*J225/(_xlfn.XLOOKUP(AA225,Métrés!A:A,Métrés!E:E,0)),0)</f>
        <v>1.4552736982643524</v>
      </c>
      <c r="AE225" s="1092">
        <f>IFERROR(N225*$G$1/(_xlfn.XLOOKUP($AA225,Métrés!$A:$A,Métrés!$E:$E,0)),0)</f>
        <v>0.3565420560747663</v>
      </c>
      <c r="AF225" s="1092">
        <f>IFERROR(O225*$G$1/(_xlfn.XLOOKUP($AA225,Métrés!$A:$A,Métrés!$E:$E,0)),0)</f>
        <v>9.9133244325767686E-2</v>
      </c>
      <c r="AG225" s="1092">
        <f>IFERROR(Q225*$G$1/(_xlfn.XLOOKUP($AA225,Métrés!$A:$A,Métrés!$E:$E,0)),0)</f>
        <v>6.4468624833110805E-2</v>
      </c>
      <c r="AH225" s="1092">
        <f>IFERROR(R225*$G$1/(_xlfn.XLOOKUP($AA225,Métrés!$A:$A,Métrés!$E:$E,0)),0)</f>
        <v>1.0594392523364485E-2</v>
      </c>
      <c r="AI225" s="1092">
        <f>IFERROR(S225*$G$1/(_xlfn.XLOOKUP($AA225,Métrés!$A:$A,Métrés!$E:$E,0)),0)</f>
        <v>2.4012016021361813</v>
      </c>
      <c r="AJ225" s="1022">
        <v>-7.0000000000000007E-2</v>
      </c>
      <c r="AK225" s="638">
        <f t="shared" si="522"/>
        <v>-1.5657932921520665E-2</v>
      </c>
      <c r="AL225" s="638">
        <f t="shared" si="523"/>
        <v>0.22368475602172377</v>
      </c>
      <c r="AM225" s="638" t="str">
        <f t="shared" si="524"/>
        <v>Revêtement</v>
      </c>
      <c r="AN225" s="1017">
        <f t="shared" si="525"/>
        <v>0</v>
      </c>
      <c r="AO225" s="638">
        <f t="shared" si="526"/>
        <v>0</v>
      </c>
      <c r="AP225" s="638">
        <f t="shared" si="527"/>
        <v>0</v>
      </c>
      <c r="AQ225" s="1018">
        <f t="shared" si="528"/>
        <v>0</v>
      </c>
      <c r="AR225" s="1018">
        <f t="shared" si="529"/>
        <v>0</v>
      </c>
      <c r="AS225" s="1017">
        <f t="shared" si="530"/>
        <v>0</v>
      </c>
      <c r="AT225" s="638">
        <f t="shared" si="531"/>
        <v>0</v>
      </c>
      <c r="AU225" s="638">
        <f t="shared" si="532"/>
        <v>0</v>
      </c>
      <c r="AV225" s="1018">
        <f t="shared" si="533"/>
        <v>0</v>
      </c>
      <c r="AW225" s="1018">
        <f t="shared" si="534"/>
        <v>0</v>
      </c>
      <c r="AX225" s="1017">
        <f t="shared" si="535"/>
        <v>3.3213797106255952E-2</v>
      </c>
      <c r="AY225" s="638">
        <f t="shared" si="536"/>
        <v>1.9609696944571115E-2</v>
      </c>
      <c r="AZ225" s="638">
        <f t="shared" si="537"/>
        <v>6.0055967828862803E-3</v>
      </c>
      <c r="BA225" s="638">
        <f t="shared" si="538"/>
        <v>0.22368475602172377</v>
      </c>
      <c r="BB225" s="1018">
        <f t="shared" si="539"/>
        <v>-1.5657932921520665E-2</v>
      </c>
      <c r="BC225" s="1017"/>
      <c r="BF225" s="1018"/>
      <c r="BG225" s="1017">
        <f t="shared" si="540"/>
        <v>0</v>
      </c>
      <c r="BH225" s="638">
        <f t="shared" si="541"/>
        <v>0</v>
      </c>
      <c r="BI225" s="1018">
        <f t="shared" si="542"/>
        <v>130.79999999999998</v>
      </c>
      <c r="BJ225" s="638">
        <f>_xlfn.XLOOKUP(H225, 'Baumaterialien Matériaux'!A:A, 'Baumaterialien Matériaux'!E:E, "-", 0, 1)</f>
        <v>436</v>
      </c>
      <c r="BK225" s="1032">
        <f t="shared" si="470"/>
        <v>0</v>
      </c>
      <c r="BL225" s="1030">
        <f t="shared" si="471"/>
        <v>0</v>
      </c>
      <c r="BM225" s="1033">
        <f t="shared" si="472"/>
        <v>0.29999999999999993</v>
      </c>
      <c r="BN225" s="720"/>
      <c r="BO225" s="720"/>
    </row>
    <row r="226" spans="2:68">
      <c r="B226" s="1103"/>
      <c r="C226" s="1099"/>
      <c r="D226" s="478"/>
      <c r="E226" s="478"/>
      <c r="F226" s="3" t="s">
        <v>3360</v>
      </c>
      <c r="G226" s="478" t="str">
        <f>_xlfn.XLOOKUP(H226, 'Baumaterialien Matériaux'!A:A, 'Baumaterialien Matériaux'!AD:AD, "-", 0, 1)</f>
        <v>Bois massif épicéa / sapin / mélèze, séché en cellule, raboté</v>
      </c>
      <c r="H226" s="892" t="s">
        <v>129</v>
      </c>
      <c r="I226" s="641" t="str">
        <f>_xlfn.XLOOKUP(H226, 'Baumaterialien Matériaux'!A:A, 'Baumaterialien Matériaux'!F:F, "-", 0, 1)</f>
        <v>kg</v>
      </c>
      <c r="J226" s="649">
        <f>465*3.23</f>
        <v>1501.95</v>
      </c>
      <c r="K226" s="894"/>
      <c r="L226" s="647">
        <v>40</v>
      </c>
      <c r="M226" s="648">
        <f t="shared" si="519"/>
        <v>0.47369862878819291</v>
      </c>
      <c r="N226" s="720">
        <f>IFERROR(($J226*VLOOKUP($H226, 'Baumaterialien Matériaux'!$A$11:$AH$318, 26,FALSE)),0)/$G$1</f>
        <v>0.21015220140126861</v>
      </c>
      <c r="O226" s="720">
        <f>IFERROR(($J226*VLOOKUP($H226, 'Baumaterialien Matériaux'!$A$11:$AH$318, 33,FALSE)),0)/$G$1</f>
        <v>6.6937367853737398E-2</v>
      </c>
      <c r="P226" s="720">
        <f t="shared" si="544"/>
        <v>0.13558708697815183</v>
      </c>
      <c r="Q226" s="720">
        <f>IFERROR(($J226*VLOOKUP($H226, 'Baumaterialien Matériaux'!$A$11:$AH$318, 27,FALSE)),0)/$G$1</f>
        <v>6.1021972555035033E-2</v>
      </c>
      <c r="R226" s="720">
        <f>IFERROR(($J226*VLOOKUP($H226, 'Baumaterialien Matériaux'!$A$11:$AH$318, 34,FALSE)),0)/$G$1</f>
        <v>1.1332652045935077E-2</v>
      </c>
      <c r="S226" s="720">
        <f>IFERROR((J226*VLOOKUP(H226, 'Baumaterialien Matériaux'!$A$11:$AD$318, 29,FALSE)),0)/$G$1</f>
        <v>2.5742347435844284</v>
      </c>
      <c r="T226" s="720">
        <f t="shared" si="521"/>
        <v>-0.18019643205091002</v>
      </c>
      <c r="Z226" s="638">
        <f t="shared" si="476"/>
        <v>40</v>
      </c>
      <c r="AA226" s="527" t="s">
        <v>3450</v>
      </c>
      <c r="AB226" t="str">
        <f>_xlfn.XLOOKUP($H226,'[1]Baumaterialien Matériaux'!$A:$A,'[1]Baumaterialien Matériaux'!AK:AK,0,0)</f>
        <v>timber</v>
      </c>
      <c r="AC226" t="str" cm="1">
        <f t="array" ref="AC226">_xlfn.SWITCH(I226,"kg"," ",0," ",_xlfn.XLOOKUP(H226, '[1]Baumaterialien Matériaux'!$A:$A, '[1]Baumaterialien Matériaux'!$AL:$AL, "-", 0, 1))</f>
        <v xml:space="preserve"> </v>
      </c>
      <c r="AD226" s="1112" cm="1">
        <f t="array" ref="AD226">IFERROR(_xlfn.SWITCH(I226,"kg",1,"m3",AC226,AC226)*J226/(_xlfn.XLOOKUP(AA226,Métrés!A:A,Métrés!E:E,0)),0)</f>
        <v>16.71061415220294</v>
      </c>
      <c r="AE226" s="1092">
        <f>IFERROR(N226*$G$1/(_xlfn.XLOOKUP($AA226,Métrés!$A:$A,Métrés!$E:$E,0)),0)</f>
        <v>2.2559329105473971</v>
      </c>
      <c r="AF226" s="1092">
        <f>IFERROR(O226*$G$1/(_xlfn.XLOOKUP($AA226,Métrés!$A:$A,Métrés!$E:$E,0)),0)</f>
        <v>0.71855640854472635</v>
      </c>
      <c r="AG226" s="1092">
        <f>IFERROR(Q226*$G$1/(_xlfn.XLOOKUP($AA226,Métrés!$A:$A,Métrés!$E:$E,0)),0)</f>
        <v>0.65505607476635519</v>
      </c>
      <c r="AH226" s="1092">
        <f>IFERROR(R226*$G$1/(_xlfn.XLOOKUP($AA226,Métrés!$A:$A,Métrés!$E:$E,0)),0)</f>
        <v>0.12165327102803739</v>
      </c>
      <c r="AI226" s="1092">
        <f>IFERROR(S226*$G$1/(_xlfn.XLOOKUP($AA226,Métrés!$A:$A,Métrés!$E:$E,0)),0)</f>
        <v>27.633785603026261</v>
      </c>
      <c r="AJ226" s="1022">
        <v>-7.0000000000000007E-2</v>
      </c>
      <c r="AK226" s="638">
        <f t="shared" si="522"/>
        <v>-0.18019643205091002</v>
      </c>
      <c r="AL226" s="638">
        <f t="shared" si="523"/>
        <v>2.5742347435844284</v>
      </c>
      <c r="AM226" s="638" t="str">
        <f t="shared" si="524"/>
        <v>Revêtement</v>
      </c>
      <c r="AN226" s="1017">
        <f t="shared" si="525"/>
        <v>0</v>
      </c>
      <c r="AO226" s="638">
        <f t="shared" si="526"/>
        <v>0</v>
      </c>
      <c r="AP226" s="638">
        <f t="shared" si="527"/>
        <v>0</v>
      </c>
      <c r="AQ226" s="1018">
        <f t="shared" si="528"/>
        <v>0</v>
      </c>
      <c r="AR226" s="1018">
        <f t="shared" si="529"/>
        <v>0</v>
      </c>
      <c r="AS226" s="1017">
        <f t="shared" si="530"/>
        <v>0</v>
      </c>
      <c r="AT226" s="638">
        <f t="shared" si="531"/>
        <v>0</v>
      </c>
      <c r="AU226" s="638">
        <f t="shared" si="532"/>
        <v>0</v>
      </c>
      <c r="AV226" s="1018">
        <f t="shared" si="533"/>
        <v>0</v>
      </c>
      <c r="AW226" s="1018">
        <f t="shared" si="534"/>
        <v>0</v>
      </c>
      <c r="AX226" s="1017">
        <f t="shared" si="535"/>
        <v>0.21015220140126861</v>
      </c>
      <c r="AY226" s="638">
        <f t="shared" si="536"/>
        <v>0.13558708697815183</v>
      </c>
      <c r="AZ226" s="638">
        <f t="shared" si="537"/>
        <v>6.1021972555035033E-2</v>
      </c>
      <c r="BA226" s="638">
        <f t="shared" si="538"/>
        <v>2.5742347435844284</v>
      </c>
      <c r="BB226" s="1018">
        <f t="shared" si="539"/>
        <v>-0.18019643205091002</v>
      </c>
      <c r="BC226" s="1017"/>
      <c r="BF226" s="1018"/>
      <c r="BG226" s="1017">
        <f t="shared" si="540"/>
        <v>0</v>
      </c>
      <c r="BH226" s="638">
        <f t="shared" si="541"/>
        <v>0</v>
      </c>
      <c r="BI226" s="1018">
        <f t="shared" si="542"/>
        <v>1501.95</v>
      </c>
      <c r="BJ226" s="638">
        <f>_xlfn.XLOOKUP(H226, 'Baumaterialien Matériaux'!A:A, 'Baumaterialien Matériaux'!E:E, "-", 0, 1)</f>
        <v>465</v>
      </c>
      <c r="BK226" s="1032">
        <f t="shared" si="470"/>
        <v>0</v>
      </c>
      <c r="BL226" s="1030">
        <f t="shared" si="471"/>
        <v>0</v>
      </c>
      <c r="BM226" s="1033">
        <f t="shared" si="472"/>
        <v>3.23</v>
      </c>
      <c r="BN226" s="720"/>
      <c r="BO226" s="720"/>
    </row>
    <row r="227" spans="2:68">
      <c r="B227" s="1103"/>
      <c r="C227" s="1099"/>
      <c r="D227" s="478"/>
      <c r="E227" s="478"/>
      <c r="F227" s="479"/>
      <c r="G227" s="479"/>
      <c r="H227" s="479"/>
      <c r="I227" s="459"/>
      <c r="J227" s="662">
        <v>40.090000000000003</v>
      </c>
      <c r="K227" s="663"/>
      <c r="L227" s="663"/>
      <c r="M227" s="664">
        <f>SUM(M228:M231)</f>
        <v>0</v>
      </c>
      <c r="N227" s="664">
        <f t="shared" ref="N227:T227" si="545">SUM(N228:N231)</f>
        <v>0</v>
      </c>
      <c r="O227" s="664">
        <f t="shared" ref="O227" si="546">SUM(O228:O231)</f>
        <v>0</v>
      </c>
      <c r="P227" s="664">
        <f t="shared" si="545"/>
        <v>0</v>
      </c>
      <c r="Q227" s="664">
        <f t="shared" si="545"/>
        <v>0</v>
      </c>
      <c r="R227" s="664">
        <f t="shared" ref="R227" si="547">SUM(R228:R231)</f>
        <v>0</v>
      </c>
      <c r="S227" s="664">
        <f t="shared" si="545"/>
        <v>0</v>
      </c>
      <c r="T227" s="664">
        <f t="shared" si="545"/>
        <v>0</v>
      </c>
      <c r="V227" s="638">
        <f t="shared" si="480"/>
        <v>0</v>
      </c>
      <c r="W227" s="638">
        <f t="shared" si="482"/>
        <v>0</v>
      </c>
      <c r="X227" s="638" t="s">
        <v>3407</v>
      </c>
      <c r="Z227" s="638">
        <f t="shared" si="476"/>
        <v>0</v>
      </c>
      <c r="AA227" s="527" t="s">
        <v>3450</v>
      </c>
      <c r="AB227">
        <f>_xlfn.XLOOKUP($H227,'[1]Baumaterialien Matériaux'!$A:$A,'[1]Baumaterialien Matériaux'!AK:AK,0,0)</f>
        <v>0</v>
      </c>
      <c r="AC227" t="str" cm="1">
        <f t="array" ref="AC227">_xlfn.SWITCH(I227,"kg"," ",0," ",_xlfn.XLOOKUP(H227, '[1]Baumaterialien Matériaux'!$A:$A, '[1]Baumaterialien Matériaux'!$AL:$AL, "-", 0, 1))</f>
        <v xml:space="preserve"> </v>
      </c>
      <c r="AD227" s="1112" cm="1">
        <f t="array" ref="AD227">IFERROR(_xlfn.SWITCH(I227,"kg",1,"m3",AC227,AC227)*J227/(_xlfn.XLOOKUP(AA227,Métrés!A:A,Métrés!E:E,0)),0)</f>
        <v>0</v>
      </c>
      <c r="AE227" s="1092">
        <f>IFERROR(N227*$G$1/(_xlfn.XLOOKUP($AA227,Métrés!$A:$A,Métrés!$E:$E,0)),0)</f>
        <v>0</v>
      </c>
      <c r="AF227" s="1092">
        <f>IFERROR(O227*$G$1/(_xlfn.XLOOKUP($AA227,Métrés!$A:$A,Métrés!$E:$E,0)),0)</f>
        <v>0</v>
      </c>
      <c r="AG227" s="1092">
        <f>IFERROR(Q227*$G$1/(_xlfn.XLOOKUP($AA227,Métrés!$A:$A,Métrés!$E:$E,0)),0)</f>
        <v>0</v>
      </c>
      <c r="AH227" s="1092">
        <f>IFERROR(R227*$G$1/(_xlfn.XLOOKUP($AA227,Métrés!$A:$A,Métrés!$E:$E,0)),0)</f>
        <v>0</v>
      </c>
      <c r="AI227" s="1092">
        <f>IFERROR(S227*$G$1/(_xlfn.XLOOKUP($AA227,Métrés!$A:$A,Métrés!$E:$E,0)),0)</f>
        <v>0</v>
      </c>
      <c r="AJ227" s="878"/>
      <c r="AK227" s="878"/>
      <c r="AL227" s="878"/>
      <c r="AM227" s="878"/>
      <c r="AN227" s="1053"/>
      <c r="AO227" s="878"/>
      <c r="AP227" s="878"/>
      <c r="AQ227" s="878"/>
      <c r="AR227" s="1054"/>
      <c r="AS227" s="1053"/>
      <c r="AT227" s="878"/>
      <c r="AU227" s="878"/>
      <c r="AV227" s="878"/>
      <c r="AW227" s="1054"/>
      <c r="AX227" s="1053"/>
      <c r="AY227" s="878"/>
      <c r="AZ227" s="878"/>
      <c r="BA227" s="878"/>
      <c r="BB227" s="1054"/>
      <c r="BC227" s="1053"/>
      <c r="BD227" s="878"/>
      <c r="BE227" s="878"/>
      <c r="BF227" s="1054"/>
      <c r="BG227" s="1053"/>
      <c r="BH227" s="878"/>
      <c r="BI227" s="1054"/>
      <c r="BJ227" s="878"/>
      <c r="BK227" s="1053"/>
      <c r="BL227" s="878"/>
      <c r="BM227" s="1054"/>
      <c r="BN227" s="720">
        <f>IFERROR((J227*VLOOKUP(H227, 'Baumaterialien Matériaux'!$A$11:$AH$318, 32,FALSE))*($L$2/L227-1),0)/$G$1</f>
        <v>0</v>
      </c>
      <c r="BO227" s="720">
        <f>IFERROR((N227+Q227)*($L$2/L227-1),0)</f>
        <v>0</v>
      </c>
    </row>
    <row r="228" spans="2:68">
      <c r="B228" s="1103"/>
      <c r="C228" s="1099"/>
      <c r="D228" s="478"/>
      <c r="E228" s="478"/>
      <c r="F228" s="3"/>
      <c r="G228" s="478"/>
      <c r="H228" s="875"/>
      <c r="I228" s="641"/>
      <c r="J228" s="649"/>
      <c r="K228" s="650"/>
      <c r="L228" s="647"/>
      <c r="M228" s="648"/>
      <c r="N228" s="720"/>
      <c r="O228" s="720"/>
      <c r="P228" s="720"/>
      <c r="Q228" s="720"/>
      <c r="R228" s="720"/>
      <c r="S228" s="720"/>
      <c r="T228" s="720">
        <f>S228*AJ228</f>
        <v>0</v>
      </c>
      <c r="V228" s="638">
        <f t="shared" si="480"/>
        <v>0</v>
      </c>
      <c r="W228" s="638">
        <f t="shared" si="482"/>
        <v>0</v>
      </c>
      <c r="X228" s="638" t="s">
        <v>3407</v>
      </c>
      <c r="Z228" s="638">
        <f t="shared" si="476"/>
        <v>0</v>
      </c>
      <c r="AA228" s="527" t="s">
        <v>3450</v>
      </c>
      <c r="AB228">
        <f>_xlfn.XLOOKUP($H228,'[1]Baumaterialien Matériaux'!$A:$A,'[1]Baumaterialien Matériaux'!AK:AK,0,0)</f>
        <v>0</v>
      </c>
      <c r="AC228" t="str" cm="1">
        <f t="array" ref="AC228">_xlfn.SWITCH(I228,"kg"," ",0," ",_xlfn.XLOOKUP(H228, '[1]Baumaterialien Matériaux'!$A:$A, '[1]Baumaterialien Matériaux'!$AL:$AL, "-", 0, 1))</f>
        <v xml:space="preserve"> </v>
      </c>
      <c r="AD228" s="1112" cm="1">
        <f t="array" ref="AD228">IFERROR(_xlfn.SWITCH(I228,"kg",1,"m3",AC228,AC228)*J228/(_xlfn.XLOOKUP(AA228,Métrés!A:A,Métrés!E:E,0)),0)</f>
        <v>0</v>
      </c>
      <c r="AE228" s="1092">
        <f>IFERROR(N228*$G$1/(_xlfn.XLOOKUP($AA228,Métrés!$A:$A,Métrés!$E:$E,0)),0)</f>
        <v>0</v>
      </c>
      <c r="AF228" s="1092">
        <f>IFERROR(O228*$G$1/(_xlfn.XLOOKUP($AA228,Métrés!$A:$A,Métrés!$E:$E,0)),0)</f>
        <v>0</v>
      </c>
      <c r="AG228" s="1092">
        <f>IFERROR(Q228*$G$1/(_xlfn.XLOOKUP($AA228,Métrés!$A:$A,Métrés!$E:$E,0)),0)</f>
        <v>0</v>
      </c>
      <c r="AH228" s="1092">
        <f>IFERROR(R228*$G$1/(_xlfn.XLOOKUP($AA228,Métrés!$A:$A,Métrés!$E:$E,0)),0)</f>
        <v>0</v>
      </c>
      <c r="AI228" s="1092">
        <f>IFERROR(S228*$G$1/(_xlfn.XLOOKUP($AA228,Métrés!$A:$A,Métrés!$E:$E,0)),0)</f>
        <v>0</v>
      </c>
      <c r="AJ228" s="1022"/>
      <c r="AK228" s="638">
        <f>IF(L228=60,0,T228)</f>
        <v>0</v>
      </c>
      <c r="AL228" s="638">
        <f>IF(L228=60,0,S228)</f>
        <v>0</v>
      </c>
      <c r="AM228" s="638">
        <f>IF(L228=$L$2, "Structure", IF(L228&gt;0,"Revêtement",0))</f>
        <v>0</v>
      </c>
      <c r="AN228" s="1017">
        <f>IF(AM228="Structure",N228,0)</f>
        <v>0</v>
      </c>
      <c r="AO228" s="638">
        <f>IF(AM228="Structure",P228,0)</f>
        <v>0</v>
      </c>
      <c r="AP228" s="638">
        <f>IF(AM228="Structure",Q228,0)</f>
        <v>0</v>
      </c>
      <c r="AQ228" s="1018">
        <f>IF(AM228="Structure",S228,0)</f>
        <v>0</v>
      </c>
      <c r="AR228" s="1018">
        <f>IF(AM228="Structure",T228,0)</f>
        <v>0</v>
      </c>
      <c r="AS228" s="1017">
        <f>IF(AM228="Insulation",N228,0)</f>
        <v>0</v>
      </c>
      <c r="AT228" s="638">
        <f>IF(AM228="Insulation",P228,0)</f>
        <v>0</v>
      </c>
      <c r="AU228" s="638">
        <f>IF(AM228="Insulation",Q228,0)</f>
        <v>0</v>
      </c>
      <c r="AV228" s="1018">
        <f>IF(AM228="Insulation",S228,0)</f>
        <v>0</v>
      </c>
      <c r="AW228" s="1018">
        <f>IF(AM228="Insulation",T228,0)</f>
        <v>0</v>
      </c>
      <c r="AX228" s="1017">
        <f>IF(AM228="Revêtement",N228,0)</f>
        <v>0</v>
      </c>
      <c r="AY228" s="638">
        <f>IF(AM228="Revêtement",P228,0)</f>
        <v>0</v>
      </c>
      <c r="AZ228" s="638">
        <f>IF(AM228="Revêtement",Q228,0)</f>
        <v>0</v>
      </c>
      <c r="BA228" s="638">
        <f>IF(AM228="Revêtement",S228,0)</f>
        <v>0</v>
      </c>
      <c r="BB228" s="1018">
        <f>IF(AM228="Revêtement",T228,0)</f>
        <v>0</v>
      </c>
      <c r="BC228" s="1017"/>
      <c r="BF228" s="1018"/>
      <c r="BG228" s="1017">
        <f>IF($AM228="Structure", IF($I228="kg",$J228,0), 0)</f>
        <v>0</v>
      </c>
      <c r="BH228" s="638">
        <f>IF($AM228="Insulation", IF($I228="kg",$J228,0), 0)</f>
        <v>0</v>
      </c>
      <c r="BI228" s="1018">
        <f>IF($AM228="Revêtement", IF($I228="kg",$J228,0), 0)</f>
        <v>0</v>
      </c>
      <c r="BJ228" s="638">
        <f>_xlfn.XLOOKUP(H228, 'Baumaterialien Matériaux'!A:A, 'Baumaterialien Matériaux'!E:E, "-", 0, 1)</f>
        <v>0</v>
      </c>
      <c r="BK228" s="1032">
        <f t="shared" si="470"/>
        <v>0</v>
      </c>
      <c r="BL228" s="1030">
        <f t="shared" si="471"/>
        <v>0</v>
      </c>
      <c r="BM228" s="1033">
        <f t="shared" si="472"/>
        <v>0</v>
      </c>
      <c r="BN228" s="720">
        <f>IFERROR((J228*VLOOKUP(H228, 'Baumaterialien Matériaux'!$A$11:$AH$318, 32,FALSE))*($L$2/L228-1),0)/$G$1/57.8</f>
        <v>0</v>
      </c>
      <c r="BO228" s="720">
        <f>IFERROR((N228+Q228)*($L$2/L228-1),0)</f>
        <v>0</v>
      </c>
      <c r="BP228" s="638" t="e">
        <f>VLOOKUP(H228, 'Baumaterialien Matériaux'!$A$11:$AH$318, 32,FALSE)</f>
        <v>#N/A</v>
      </c>
    </row>
    <row r="229" spans="2:68">
      <c r="B229" s="1103"/>
      <c r="C229" s="1099"/>
      <c r="D229" s="478"/>
      <c r="E229" s="478"/>
      <c r="F229" s="3"/>
      <c r="G229" s="478"/>
      <c r="H229" s="875"/>
      <c r="I229" s="641"/>
      <c r="J229" s="649"/>
      <c r="K229" s="650"/>
      <c r="L229" s="647"/>
      <c r="M229" s="648"/>
      <c r="N229" s="720"/>
      <c r="O229" s="720"/>
      <c r="P229" s="720"/>
      <c r="Q229" s="720"/>
      <c r="R229" s="720"/>
      <c r="S229" s="720"/>
      <c r="T229" s="720">
        <f>S229*AJ229</f>
        <v>0</v>
      </c>
      <c r="V229" s="638">
        <f t="shared" si="480"/>
        <v>0</v>
      </c>
      <c r="W229" s="638">
        <f t="shared" si="482"/>
        <v>0</v>
      </c>
      <c r="Z229" s="638">
        <f t="shared" si="476"/>
        <v>0</v>
      </c>
      <c r="AA229" s="527" t="s">
        <v>3450</v>
      </c>
      <c r="AB229">
        <f>_xlfn.XLOOKUP($H229,'[1]Baumaterialien Matériaux'!$A:$A,'[1]Baumaterialien Matériaux'!AK:AK,0,0)</f>
        <v>0</v>
      </c>
      <c r="AC229" t="str" cm="1">
        <f t="array" ref="AC229">_xlfn.SWITCH(I229,"kg"," ",0," ",_xlfn.XLOOKUP(H229, '[1]Baumaterialien Matériaux'!$A:$A, '[1]Baumaterialien Matériaux'!$AL:$AL, "-", 0, 1))</f>
        <v xml:space="preserve"> </v>
      </c>
      <c r="AD229" s="1112" cm="1">
        <f t="array" ref="AD229">IFERROR(_xlfn.SWITCH(I229,"kg",1,"m3",AC229,AC229)*J229/(_xlfn.XLOOKUP(AA229,Métrés!A:A,Métrés!E:E,0)),0)</f>
        <v>0</v>
      </c>
      <c r="AE229" s="1092">
        <f>IFERROR(N229*$G$1/(_xlfn.XLOOKUP($AA229,Métrés!$A:$A,Métrés!$E:$E,0)),0)</f>
        <v>0</v>
      </c>
      <c r="AF229" s="1092">
        <f>IFERROR(O229*$G$1/(_xlfn.XLOOKUP($AA229,Métrés!$A:$A,Métrés!$E:$E,0)),0)</f>
        <v>0</v>
      </c>
      <c r="AG229" s="1092">
        <f>IFERROR(Q229*$G$1/(_xlfn.XLOOKUP($AA229,Métrés!$A:$A,Métrés!$E:$E,0)),0)</f>
        <v>0</v>
      </c>
      <c r="AH229" s="1092">
        <f>IFERROR(R229*$G$1/(_xlfn.XLOOKUP($AA229,Métrés!$A:$A,Métrés!$E:$E,0)),0)</f>
        <v>0</v>
      </c>
      <c r="AI229" s="1092">
        <f>IFERROR(S229*$G$1/(_xlfn.XLOOKUP($AA229,Métrés!$A:$A,Métrés!$E:$E,0)),0)</f>
        <v>0</v>
      </c>
      <c r="AJ229" s="1022"/>
      <c r="AK229" s="638">
        <f>IF(L229=60,0,T229)</f>
        <v>0</v>
      </c>
      <c r="AL229" s="638">
        <f>IF(L229=60,0,S229)</f>
        <v>0</v>
      </c>
      <c r="AM229" s="638">
        <f>IF(L229=$L$2, "Structure", IF(L229&gt;0,"Revêtement",0))</f>
        <v>0</v>
      </c>
      <c r="AN229" s="1017">
        <f>IF(AM229="Structure",N229,0)</f>
        <v>0</v>
      </c>
      <c r="AO229" s="638">
        <f>IF(AM229="Structure",P229,0)</f>
        <v>0</v>
      </c>
      <c r="AP229" s="638">
        <f>IF(AM229="Structure",Q229,0)</f>
        <v>0</v>
      </c>
      <c r="AQ229" s="1018">
        <f>IF(AM229="Structure",S229,0)</f>
        <v>0</v>
      </c>
      <c r="AR229" s="1018">
        <f>IF(AM229="Structure",T229,0)</f>
        <v>0</v>
      </c>
      <c r="AS229" s="1017">
        <f>IF(AM229="Insulation",N229,0)</f>
        <v>0</v>
      </c>
      <c r="AT229" s="638">
        <f>IF(AM229="Insulation",P229,0)</f>
        <v>0</v>
      </c>
      <c r="AU229" s="638">
        <f>IF(AM229="Insulation",Q229,0)</f>
        <v>0</v>
      </c>
      <c r="AV229" s="1018">
        <f>IF(AM229="Insulation",S229,0)</f>
        <v>0</v>
      </c>
      <c r="AW229" s="1018">
        <f>IF(AM229="Insulation",T229,0)</f>
        <v>0</v>
      </c>
      <c r="AX229" s="1017">
        <f>IF(AM229="Revêtement",N229,0)</f>
        <v>0</v>
      </c>
      <c r="AY229" s="638">
        <f>IF(AM229="Revêtement",P229,0)</f>
        <v>0</v>
      </c>
      <c r="AZ229" s="638">
        <f>IF(AM229="Revêtement",Q229,0)</f>
        <v>0</v>
      </c>
      <c r="BA229" s="638">
        <f>IF(AM229="Revêtement",S229,0)</f>
        <v>0</v>
      </c>
      <c r="BB229" s="1018">
        <f>IF(AM229="Revêtement",T229,0)</f>
        <v>0</v>
      </c>
      <c r="BC229" s="1017"/>
      <c r="BF229" s="1018"/>
      <c r="BG229" s="1017">
        <f>IF($AM229="Structure", IF($I229="kg",$J229,0), 0)</f>
        <v>0</v>
      </c>
      <c r="BH229" s="638">
        <f>IF($AM229="Insulation", IF($I229="kg",$J229,0), 0)</f>
        <v>0</v>
      </c>
      <c r="BI229" s="1018">
        <f>IF($AM229="Revêtement", IF($I229="kg",$J229,0), 0)</f>
        <v>0</v>
      </c>
      <c r="BJ229" s="638">
        <f>_xlfn.XLOOKUP(H229, 'Baumaterialien Matériaux'!A:A, 'Baumaterialien Matériaux'!E:E, "-", 0, 1)</f>
        <v>0</v>
      </c>
      <c r="BK229" s="1032">
        <f t="shared" si="470"/>
        <v>0</v>
      </c>
      <c r="BL229" s="1030">
        <f t="shared" si="471"/>
        <v>0</v>
      </c>
      <c r="BM229" s="1033">
        <f t="shared" si="472"/>
        <v>0</v>
      </c>
      <c r="BN229" s="720"/>
      <c r="BO229" s="720"/>
    </row>
    <row r="230" spans="2:68">
      <c r="B230" s="1103"/>
      <c r="C230" s="1099"/>
      <c r="D230" s="478"/>
      <c r="E230" s="478"/>
      <c r="F230" s="3"/>
      <c r="G230" s="478"/>
      <c r="H230" s="875"/>
      <c r="I230" s="641"/>
      <c r="J230" s="649"/>
      <c r="K230" s="650"/>
      <c r="L230" s="647"/>
      <c r="M230" s="648"/>
      <c r="N230" s="720"/>
      <c r="O230" s="720"/>
      <c r="P230" s="720"/>
      <c r="Q230" s="720"/>
      <c r="R230" s="720"/>
      <c r="S230" s="720"/>
      <c r="T230" s="720">
        <f>S230*AJ230</f>
        <v>0</v>
      </c>
      <c r="V230" s="638">
        <f t="shared" si="480"/>
        <v>0</v>
      </c>
      <c r="W230" s="638">
        <f t="shared" si="482"/>
        <v>0</v>
      </c>
      <c r="Z230" s="638">
        <f t="shared" si="476"/>
        <v>0</v>
      </c>
      <c r="AA230" s="527" t="s">
        <v>3450</v>
      </c>
      <c r="AB230">
        <f>_xlfn.XLOOKUP($H230,'[1]Baumaterialien Matériaux'!$A:$A,'[1]Baumaterialien Matériaux'!AK:AK,0,0)</f>
        <v>0</v>
      </c>
      <c r="AC230" t="str" cm="1">
        <f t="array" ref="AC230">_xlfn.SWITCH(I230,"kg"," ",0," ",_xlfn.XLOOKUP(H230, '[1]Baumaterialien Matériaux'!$A:$A, '[1]Baumaterialien Matériaux'!$AL:$AL, "-", 0, 1))</f>
        <v xml:space="preserve"> </v>
      </c>
      <c r="AD230" s="1112" cm="1">
        <f t="array" ref="AD230">IFERROR(_xlfn.SWITCH(I230,"kg",1,"m3",AC230,AC230)*J230/(_xlfn.XLOOKUP(AA230,Métrés!A:A,Métrés!E:E,0)),0)</f>
        <v>0</v>
      </c>
      <c r="AE230" s="1092">
        <f>IFERROR(N230*$G$1/(_xlfn.XLOOKUP($AA230,Métrés!$A:$A,Métrés!$E:$E,0)),0)</f>
        <v>0</v>
      </c>
      <c r="AF230" s="1092">
        <f>IFERROR(O230*$G$1/(_xlfn.XLOOKUP($AA230,Métrés!$A:$A,Métrés!$E:$E,0)),0)</f>
        <v>0</v>
      </c>
      <c r="AG230" s="1092">
        <f>IFERROR(Q230*$G$1/(_xlfn.XLOOKUP($AA230,Métrés!$A:$A,Métrés!$E:$E,0)),0)</f>
        <v>0</v>
      </c>
      <c r="AH230" s="1092">
        <f>IFERROR(R230*$G$1/(_xlfn.XLOOKUP($AA230,Métrés!$A:$A,Métrés!$E:$E,0)),0)</f>
        <v>0</v>
      </c>
      <c r="AI230" s="1092">
        <f>IFERROR(S230*$G$1/(_xlfn.XLOOKUP($AA230,Métrés!$A:$A,Métrés!$E:$E,0)),0)</f>
        <v>0</v>
      </c>
      <c r="AJ230" s="1022"/>
      <c r="AK230" s="638">
        <f>IF(L230=60,0,T230)</f>
        <v>0</v>
      </c>
      <c r="AL230" s="638">
        <f>IF(L230=60,0,S230)</f>
        <v>0</v>
      </c>
      <c r="AM230" s="638">
        <f>IF(L230=$L$2, "Structure", IF(L230&gt;0,"Revêtement",0))</f>
        <v>0</v>
      </c>
      <c r="AN230" s="1017">
        <f>IF(AM230="Structure",N230,0)</f>
        <v>0</v>
      </c>
      <c r="AO230" s="638">
        <f>IF(AM230="Structure",P230,0)</f>
        <v>0</v>
      </c>
      <c r="AP230" s="638">
        <f>IF(AM230="Structure",Q230,0)</f>
        <v>0</v>
      </c>
      <c r="AQ230" s="1018">
        <f>IF(AM230="Structure",S230,0)</f>
        <v>0</v>
      </c>
      <c r="AR230" s="1018">
        <f>IF(AM230="Structure",T230,0)</f>
        <v>0</v>
      </c>
      <c r="AS230" s="1017">
        <f>IF(AM230="Insulation",N230,0)</f>
        <v>0</v>
      </c>
      <c r="AT230" s="638">
        <f>IF(AM230="Insulation",P230,0)</f>
        <v>0</v>
      </c>
      <c r="AU230" s="638">
        <f>IF(AM230="Insulation",Q230,0)</f>
        <v>0</v>
      </c>
      <c r="AV230" s="1018">
        <f>IF(AM230="Insulation",S230,0)</f>
        <v>0</v>
      </c>
      <c r="AW230" s="1018">
        <f>IF(AM230="Insulation",T230,0)</f>
        <v>0</v>
      </c>
      <c r="AX230" s="1017">
        <f>IF(AM230="Revêtement",N230,0)</f>
        <v>0</v>
      </c>
      <c r="AY230" s="638">
        <f>IF(AM230="Revêtement",P230,0)</f>
        <v>0</v>
      </c>
      <c r="AZ230" s="638">
        <f>IF(AM230="Revêtement",Q230,0)</f>
        <v>0</v>
      </c>
      <c r="BA230" s="638">
        <f>IF(AM230="Revêtement",S230,0)</f>
        <v>0</v>
      </c>
      <c r="BB230" s="1018">
        <f>IF(AM230="Revêtement",T230,0)</f>
        <v>0</v>
      </c>
      <c r="BC230" s="1017"/>
      <c r="BF230" s="1018"/>
      <c r="BG230" s="1017">
        <f>IF($AM230="Structure", IF($I230="kg",$J230,0), 0)</f>
        <v>0</v>
      </c>
      <c r="BH230" s="638">
        <f>IF($AM230="Insulation", IF($I230="kg",$J230,0), 0)</f>
        <v>0</v>
      </c>
      <c r="BI230" s="1018">
        <f>IF($AM230="Revêtement", IF($I230="kg",$J230,0), 0)</f>
        <v>0</v>
      </c>
      <c r="BJ230" s="638">
        <f>_xlfn.XLOOKUP(H230, 'Baumaterialien Matériaux'!A:A, 'Baumaterialien Matériaux'!E:E, "-", 0, 1)</f>
        <v>0</v>
      </c>
      <c r="BK230" s="1032">
        <f t="shared" si="470"/>
        <v>0</v>
      </c>
      <c r="BL230" s="1030">
        <f t="shared" si="471"/>
        <v>0</v>
      </c>
      <c r="BM230" s="1033">
        <f t="shared" si="472"/>
        <v>0</v>
      </c>
      <c r="BN230" s="720"/>
      <c r="BO230" s="720"/>
    </row>
    <row r="231" spans="2:68">
      <c r="B231" s="1104"/>
      <c r="C231" s="1099"/>
      <c r="D231" s="478"/>
      <c r="E231" s="478"/>
      <c r="F231" s="3"/>
      <c r="G231" s="478"/>
      <c r="H231" s="875"/>
      <c r="I231" s="641"/>
      <c r="J231" s="649"/>
      <c r="K231" s="650"/>
      <c r="L231" s="647"/>
      <c r="M231" s="648"/>
      <c r="N231" s="720"/>
      <c r="O231" s="720"/>
      <c r="P231" s="720"/>
      <c r="Q231" s="720"/>
      <c r="R231" s="720"/>
      <c r="S231" s="720"/>
      <c r="T231" s="720">
        <f>S231*AJ231</f>
        <v>0</v>
      </c>
      <c r="V231" s="638">
        <f t="shared" si="480"/>
        <v>0</v>
      </c>
      <c r="W231" s="638">
        <f t="shared" si="482"/>
        <v>0</v>
      </c>
      <c r="X231" s="638" t="s">
        <v>3407</v>
      </c>
      <c r="Z231" s="638">
        <f t="shared" si="476"/>
        <v>0</v>
      </c>
      <c r="AA231" s="527" t="s">
        <v>3450</v>
      </c>
      <c r="AB231">
        <f>_xlfn.XLOOKUP($H231,'[1]Baumaterialien Matériaux'!$A:$A,'[1]Baumaterialien Matériaux'!AK:AK,0,0)</f>
        <v>0</v>
      </c>
      <c r="AC231" t="str" cm="1">
        <f t="array" ref="AC231">_xlfn.SWITCH(I231,"kg"," ",0," ",_xlfn.XLOOKUP(H231, '[1]Baumaterialien Matériaux'!$A:$A, '[1]Baumaterialien Matériaux'!$AL:$AL, "-", 0, 1))</f>
        <v xml:space="preserve"> </v>
      </c>
      <c r="AD231" s="1112" cm="1">
        <f t="array" ref="AD231">IFERROR(_xlfn.SWITCH(I231,"kg",1,"m3",AC231,AC231)*J231/(_xlfn.XLOOKUP(AA231,Métrés!A:A,Métrés!E:E,0)),0)</f>
        <v>0</v>
      </c>
      <c r="AE231" s="1092">
        <f>IFERROR(N231*$G$1/(_xlfn.XLOOKUP($AA231,Métrés!$A:$A,Métrés!$E:$E,0)),0)</f>
        <v>0</v>
      </c>
      <c r="AF231" s="1092">
        <f>IFERROR(O231*$G$1/(_xlfn.XLOOKUP($AA231,Métrés!$A:$A,Métrés!$E:$E,0)),0)</f>
        <v>0</v>
      </c>
      <c r="AG231" s="1092">
        <f>IFERROR(Q231*$G$1/(_xlfn.XLOOKUP($AA231,Métrés!$A:$A,Métrés!$E:$E,0)),0)</f>
        <v>0</v>
      </c>
      <c r="AH231" s="1092">
        <f>IFERROR(R231*$G$1/(_xlfn.XLOOKUP($AA231,Métrés!$A:$A,Métrés!$E:$E,0)),0)</f>
        <v>0</v>
      </c>
      <c r="AI231" s="1092">
        <f>IFERROR(S231*$G$1/(_xlfn.XLOOKUP($AA231,Métrés!$A:$A,Métrés!$E:$E,0)),0)</f>
        <v>0</v>
      </c>
      <c r="AJ231" s="1022"/>
      <c r="AK231" s="638">
        <f>IF(L231=60,0,T231)</f>
        <v>0</v>
      </c>
      <c r="AL231" s="638">
        <f>IF(L231=60,0,S231)</f>
        <v>0</v>
      </c>
      <c r="AM231" s="638">
        <f>IF(L231=$L$2, "Structure", IF(L231&gt;0,"Revêtement",0))</f>
        <v>0</v>
      </c>
      <c r="AN231" s="1017">
        <f>IF(AM231="Structure",N231,0)</f>
        <v>0</v>
      </c>
      <c r="AO231" s="638">
        <f>IF(AM231="Structure",P231,0)</f>
        <v>0</v>
      </c>
      <c r="AP231" s="638">
        <f>IF(AM231="Structure",Q231,0)</f>
        <v>0</v>
      </c>
      <c r="AQ231" s="1018">
        <f>IF(AM231="Structure",S231,0)</f>
        <v>0</v>
      </c>
      <c r="AR231" s="1018">
        <f>IF(AM231="Structure",T231,0)</f>
        <v>0</v>
      </c>
      <c r="AS231" s="1017">
        <f>IF(AM231="Insulation",N231,0)</f>
        <v>0</v>
      </c>
      <c r="AT231" s="638">
        <f>IF(AM231="Insulation",P231,0)</f>
        <v>0</v>
      </c>
      <c r="AU231" s="638">
        <f>IF(AM231="Insulation",Q231,0)</f>
        <v>0</v>
      </c>
      <c r="AV231" s="1018">
        <f>IF(AM231="Insulation",S231,0)</f>
        <v>0</v>
      </c>
      <c r="AW231" s="1018">
        <f>IF(AM231="Insulation",T231,0)</f>
        <v>0</v>
      </c>
      <c r="AX231" s="1017">
        <f>IF(AM231="Revêtement",N231,0)</f>
        <v>0</v>
      </c>
      <c r="AY231" s="638">
        <f>IF(AM231="Revêtement",P231,0)</f>
        <v>0</v>
      </c>
      <c r="AZ231" s="638">
        <f>IF(AM231="Revêtement",Q231,0)</f>
        <v>0</v>
      </c>
      <c r="BA231" s="638">
        <f>IF(AM231="Revêtement",S231,0)</f>
        <v>0</v>
      </c>
      <c r="BB231" s="1018">
        <f>IF(AM231="Revêtement",T231,0)</f>
        <v>0</v>
      </c>
      <c r="BC231" s="1017"/>
      <c r="BF231" s="1018"/>
      <c r="BG231" s="1017">
        <f>IF($AM231="Structure", IF($I231="kg",$J231,0), 0)</f>
        <v>0</v>
      </c>
      <c r="BH231" s="638">
        <f>IF($AM231="Insulation", IF($I231="kg",$J231,0), 0)</f>
        <v>0</v>
      </c>
      <c r="BI231" s="1018">
        <f>IF($AM231="Revêtement", IF($I231="kg",$J231,0), 0)</f>
        <v>0</v>
      </c>
      <c r="BJ231" s="638">
        <f>_xlfn.XLOOKUP(H231, 'Baumaterialien Matériaux'!A:A, 'Baumaterialien Matériaux'!E:E, "-", 0, 1)</f>
        <v>0</v>
      </c>
      <c r="BK231" s="1032">
        <f t="shared" si="470"/>
        <v>0</v>
      </c>
      <c r="BL231" s="1030">
        <f t="shared" si="471"/>
        <v>0</v>
      </c>
      <c r="BM231" s="1033">
        <f t="shared" si="472"/>
        <v>0</v>
      </c>
      <c r="BN231" s="720">
        <f>IFERROR((J231*VLOOKUP(H231, 'Baumaterialien Matériaux'!$A$11:$AH$318, 32,FALSE))*($L$2/L231-1),0)/$G$1</f>
        <v>0</v>
      </c>
      <c r="BO231" s="720">
        <f>IFERROR((N231+Q231)*($L$2/L231-1),0)</f>
        <v>0</v>
      </c>
    </row>
    <row r="232" spans="2:68" ht="15.75" customHeight="1">
      <c r="B232" s="1101"/>
      <c r="C232" s="1097" t="s">
        <v>2987</v>
      </c>
      <c r="D232" s="473" t="s">
        <v>2988</v>
      </c>
      <c r="E232" s="473"/>
      <c r="F232" s="473"/>
      <c r="G232" s="473"/>
      <c r="H232" s="473"/>
      <c r="I232" s="463"/>
      <c r="J232" s="654"/>
      <c r="K232" s="652"/>
      <c r="L232" s="652"/>
      <c r="M232" s="653">
        <f>M233+M240</f>
        <v>8.2884676176118894</v>
      </c>
      <c r="N232" s="653">
        <f t="shared" ref="N232:S232" si="548">N233+N240</f>
        <v>5.942510269060155</v>
      </c>
      <c r="O232" s="653">
        <f t="shared" ref="O232" si="549">O233+O240</f>
        <v>1.38802757366678</v>
      </c>
      <c r="P232" s="653">
        <f t="shared" si="548"/>
        <v>0.53733422121802576</v>
      </c>
      <c r="Q232" s="653">
        <f t="shared" si="548"/>
        <v>0.42059555366692919</v>
      </c>
      <c r="R232" s="653">
        <f t="shared" ref="R232" si="550">R233+R240</f>
        <v>8.5375643591529132E-2</v>
      </c>
      <c r="S232" s="653">
        <f t="shared" si="548"/>
        <v>0.24559491729198624</v>
      </c>
      <c r="T232" s="653">
        <f t="shared" ref="T232" si="551">T233+T240</f>
        <v>2.4559491729198623E-3</v>
      </c>
      <c r="V232" s="638">
        <f t="shared" si="480"/>
        <v>2.4559491729198623E-3</v>
      </c>
      <c r="Z232" s="638">
        <f t="shared" si="476"/>
        <v>0</v>
      </c>
      <c r="AB232">
        <f>_xlfn.XLOOKUP($H232,'[1]Baumaterialien Matériaux'!$A:$A,'[1]Baumaterialien Matériaux'!AK:AK,0,0)</f>
        <v>0</v>
      </c>
      <c r="AC232" t="str" cm="1">
        <f t="array" ref="AC232">_xlfn.SWITCH(I232,"kg"," ",0," ",_xlfn.XLOOKUP(H232, '[1]Baumaterialien Matériaux'!$A:$A, '[1]Baumaterialien Matériaux'!$AL:$AL, "-", 0, 1))</f>
        <v xml:space="preserve"> </v>
      </c>
      <c r="AD232" s="1112" cm="1">
        <f t="array" ref="AD232">IFERROR(_xlfn.SWITCH(I232,"kg",1,"m3",AC232,AC232)*J232/(_xlfn.XLOOKUP(AA232,Métrés!A:A,Métrés!E:E,0)),0)</f>
        <v>0</v>
      </c>
      <c r="AE232" s="1092">
        <f>IFERROR(N232*$G$1/(_xlfn.XLOOKUP($AA232,Métrés!$A:$A,Métrés!$E:$E,0)),0)</f>
        <v>0</v>
      </c>
      <c r="AF232" s="1092">
        <f>IFERROR(O232*$G$1/(_xlfn.XLOOKUP($AA232,Métrés!$A:$A,Métrés!$E:$E,0)),0)</f>
        <v>0</v>
      </c>
      <c r="AG232" s="1092">
        <f>IFERROR(Q232*$G$1/(_xlfn.XLOOKUP($AA232,Métrés!$A:$A,Métrés!$E:$E,0)),0)</f>
        <v>0</v>
      </c>
      <c r="AH232" s="1092">
        <f>IFERROR(R232*$G$1/(_xlfn.XLOOKUP($AA232,Métrés!$A:$A,Métrés!$E:$E,0)),0)</f>
        <v>0</v>
      </c>
      <c r="AI232" s="1092">
        <f>IFERROR(S232*$G$1/(_xlfn.XLOOKUP($AA232,Métrés!$A:$A,Métrés!$E:$E,0)),0)</f>
        <v>0</v>
      </c>
      <c r="AJ232" s="666"/>
      <c r="AK232" s="666"/>
      <c r="AL232" s="666"/>
      <c r="AM232" s="666"/>
      <c r="AN232" s="1051"/>
      <c r="AO232" s="666"/>
      <c r="AP232" s="666"/>
      <c r="AQ232" s="666"/>
      <c r="AR232" s="1052"/>
      <c r="AS232" s="1051"/>
      <c r="AT232" s="666"/>
      <c r="AU232" s="666"/>
      <c r="AV232" s="666"/>
      <c r="AW232" s="1052"/>
      <c r="AX232" s="1051"/>
      <c r="AY232" s="666"/>
      <c r="AZ232" s="666"/>
      <c r="BA232" s="666"/>
      <c r="BB232" s="1052"/>
      <c r="BC232" s="1051"/>
      <c r="BD232" s="666"/>
      <c r="BE232" s="666"/>
      <c r="BF232" s="1052"/>
      <c r="BG232" s="1051"/>
      <c r="BH232" s="666"/>
      <c r="BI232" s="1052"/>
      <c r="BJ232" s="666"/>
      <c r="BK232" s="1051"/>
      <c r="BL232" s="666"/>
      <c r="BM232" s="1052"/>
      <c r="BN232" s="720"/>
      <c r="BO232" s="720"/>
    </row>
    <row r="233" spans="2:68">
      <c r="B233" s="1101"/>
      <c r="C233" s="1098"/>
      <c r="D233" s="478"/>
      <c r="E233" s="479">
        <f>BillQuantities!E45</f>
        <v>0</v>
      </c>
      <c r="F233" s="479" t="s">
        <v>61</v>
      </c>
      <c r="G233" s="479"/>
      <c r="H233" s="479"/>
      <c r="I233" s="459" t="s">
        <v>39</v>
      </c>
      <c r="J233" s="662">
        <v>13.38</v>
      </c>
      <c r="K233" s="663"/>
      <c r="L233" s="663"/>
      <c r="M233" s="664">
        <f>SUM(M234:M238)</f>
        <v>3.1412929565281873</v>
      </c>
      <c r="N233" s="664">
        <f t="shared" ref="N233:S233" si="552">SUM(N234:N238)</f>
        <v>1.9385717922142531</v>
      </c>
      <c r="O233" s="664">
        <f t="shared" ref="O233" si="553">SUM(O234:O238)</f>
        <v>0.53461146322359787</v>
      </c>
      <c r="P233" s="664">
        <f t="shared" si="552"/>
        <v>0.53733422121802576</v>
      </c>
      <c r="Q233" s="664">
        <f t="shared" si="552"/>
        <v>0.13077547987231042</v>
      </c>
      <c r="R233" s="664">
        <f t="shared" ref="R233" si="554">SUM(R234:R238)</f>
        <v>2.7878027406462183E-2</v>
      </c>
      <c r="S233" s="664">
        <f t="shared" si="552"/>
        <v>0.24559491729198624</v>
      </c>
      <c r="T233" s="664">
        <f t="shared" ref="T233" si="555">SUM(T234:T238)</f>
        <v>2.4559491729198623E-3</v>
      </c>
      <c r="V233" s="638">
        <f t="shared" si="480"/>
        <v>2.4559491729198623E-3</v>
      </c>
      <c r="Z233" s="638">
        <f t="shared" si="476"/>
        <v>0</v>
      </c>
      <c r="AA233" s="647" t="s">
        <v>3463</v>
      </c>
      <c r="AB233">
        <f>_xlfn.XLOOKUP($H233,'[1]Baumaterialien Matériaux'!$A:$A,'[1]Baumaterialien Matériaux'!AK:AK,0,0)</f>
        <v>0</v>
      </c>
      <c r="AC233" cm="1">
        <f t="array" ref="AC233">_xlfn.SWITCH(I233,"kg"," ",0," ",_xlfn.XLOOKUP(H233, '[1]Baumaterialien Matériaux'!$A:$A, '[1]Baumaterialien Matériaux'!$AL:$AL, "-", 0, 1))</f>
        <v>0</v>
      </c>
      <c r="AD233" s="1112" cm="1">
        <f t="array" ref="AD233">IFERROR(_xlfn.SWITCH(I233,"kg",1,"m3",AC233,AC233)*J233/(_xlfn.XLOOKUP(AA233,Métrés!A:A,Métrés!E:E,0)),0)</f>
        <v>0</v>
      </c>
      <c r="AE233" s="1092">
        <f>IFERROR(N233*$G$1/(_xlfn.XLOOKUP($AA233,Métrés!$A:$A,Métrés!$E:$E,0)),0)</f>
        <v>83.575138873994632</v>
      </c>
      <c r="AF233" s="1092">
        <f>IFERROR(O233*$G$1/(_xlfn.XLOOKUP($AA233,Métrés!$A:$A,Métrés!$E:$E,0)),0)</f>
        <v>23.04801269779518</v>
      </c>
      <c r="AG233" s="1092">
        <f>IFERROR(Q233*$G$1/(_xlfn.XLOOKUP($AA233,Métrés!$A:$A,Métrés!$E:$E,0)),0)</f>
        <v>5.6379541554959776</v>
      </c>
      <c r="AH233" s="1092">
        <f>IFERROR(R233*$G$1/(_xlfn.XLOOKUP($AA233,Métrés!$A:$A,Métrés!$E:$E,0)),0)</f>
        <v>1.2018693459718932</v>
      </c>
      <c r="AI233" s="1092">
        <f>IFERROR(S233*$G$1/(_xlfn.XLOOKUP($AA233,Métrés!$A:$A,Métrés!$E:$E,0)),0)</f>
        <v>10.588016085790883</v>
      </c>
      <c r="AJ233" s="878"/>
      <c r="AK233" s="878"/>
      <c r="AL233" s="878"/>
      <c r="AM233" s="878"/>
      <c r="AN233" s="1053"/>
      <c r="AO233" s="878"/>
      <c r="AP233" s="878"/>
      <c r="AQ233" s="878"/>
      <c r="AR233" s="1054"/>
      <c r="AS233" s="1053"/>
      <c r="AT233" s="878"/>
      <c r="AU233" s="878"/>
      <c r="AV233" s="878"/>
      <c r="AW233" s="1054"/>
      <c r="AX233" s="1053"/>
      <c r="AY233" s="878"/>
      <c r="AZ233" s="878"/>
      <c r="BA233" s="878"/>
      <c r="BB233" s="1054"/>
      <c r="BC233" s="1053"/>
      <c r="BD233" s="878"/>
      <c r="BE233" s="878"/>
      <c r="BF233" s="1054"/>
      <c r="BG233" s="1053"/>
      <c r="BH233" s="878"/>
      <c r="BI233" s="1054"/>
      <c r="BJ233" s="878"/>
      <c r="BK233" s="1053"/>
      <c r="BL233" s="878"/>
      <c r="BM233" s="1054"/>
      <c r="BN233" s="720"/>
      <c r="BO233" s="720"/>
    </row>
    <row r="234" spans="2:68">
      <c r="B234" s="1101"/>
      <c r="C234" s="1099"/>
      <c r="D234" s="478"/>
      <c r="E234" s="478"/>
      <c r="F234" s="478" t="s">
        <v>3022</v>
      </c>
      <c r="G234" s="478" t="str">
        <f>_xlfn.XLOOKUP(H234, 'Baumaterialien Matériaux'!A:A, 'Baumaterialien Matériaux'!AD:AD, "-", 0, 1)</f>
        <v>Chape de ciment, 85 mm</v>
      </c>
      <c r="H234" s="891" t="s">
        <v>780</v>
      </c>
      <c r="I234" s="641" t="str">
        <f>_xlfn.XLOOKUP(H234, 'Baumaterialien Matériaux'!A:A, 'Baumaterialien Matériaux'!F:F, "-", 0, 1)</f>
        <v>kg</v>
      </c>
      <c r="J234" s="649">
        <f>$J$233*K234</f>
        <v>1980.24</v>
      </c>
      <c r="K234" s="893">
        <f>0.08*1850</f>
        <v>148</v>
      </c>
      <c r="L234" s="647">
        <v>30</v>
      </c>
      <c r="M234" s="648">
        <f t="shared" ref="M234:M238" si="556">SUM(N234:Q234)</f>
        <v>0.54634953774719119</v>
      </c>
      <c r="N234" s="720">
        <f>IFERROR(($J234*VLOOKUP($H234, 'Baumaterialien Matériaux'!$A$11:$AH$318, 26,FALSE)),0)/$G$1</f>
        <v>0.22165946685460799</v>
      </c>
      <c r="O234" s="720">
        <f>IFERROR(($J234*VLOOKUP($H234, 'Baumaterialien Matériaux'!$A$11:$AH$318, 33,FALSE)),0)/$G$1</f>
        <v>5.0489100783549602E-2</v>
      </c>
      <c r="P234" s="720">
        <f t="shared" ref="P234:P238" si="557">IFERROR((N234+Q234)*($L$2/L234-1),0)</f>
        <v>0.24793021848182079</v>
      </c>
      <c r="Q234" s="720">
        <f>IFERROR(($J234*VLOOKUP($H234, 'Baumaterialien Matériaux'!$A$11:$AH$318, 27,FALSE)),0)/$G$1</f>
        <v>2.6270751627212801E-2</v>
      </c>
      <c r="R234" s="720">
        <f>IFERROR(($J234*VLOOKUP($H234, 'Baumaterialien Matériaux'!$A$11:$AH$318, 34,FALSE)),0)/$G$1</f>
        <v>6.7113560797645196E-3</v>
      </c>
      <c r="S234" s="720">
        <f>IFERROR((J234*VLOOKUP(H234, 'Baumaterialien Matériaux'!$A$11:$AD$318, 29,FALSE)),0)/$G$1</f>
        <v>0</v>
      </c>
      <c r="T234" s="720">
        <f t="shared" ref="T234:T239" si="558">S234*AJ234</f>
        <v>0</v>
      </c>
      <c r="V234" s="638">
        <f t="shared" si="480"/>
        <v>0</v>
      </c>
      <c r="W234" s="638">
        <f t="shared" si="482"/>
        <v>0</v>
      </c>
      <c r="X234" s="638" t="s">
        <v>3407</v>
      </c>
      <c r="Z234" s="638">
        <f t="shared" si="476"/>
        <v>30</v>
      </c>
      <c r="AA234" s="647" t="s">
        <v>3463</v>
      </c>
      <c r="AB234" t="str">
        <f>_xlfn.XLOOKUP($H234,'[1]Baumaterialien Matériaux'!$A:$A,'[1]Baumaterialien Matériaux'!AK:AK,0,0)</f>
        <v>concrete</v>
      </c>
      <c r="AC234" t="str" cm="1">
        <f t="array" ref="AC234">_xlfn.SWITCH(I234,"kg"," ",0," ",_xlfn.XLOOKUP(H234, '[1]Baumaterialien Matériaux'!$A:$A, '[1]Baumaterialien Matériaux'!$AL:$AL, "-", 0, 1))</f>
        <v xml:space="preserve"> </v>
      </c>
      <c r="AD234" s="1112" cm="1">
        <f t="array" ref="AD234">IFERROR(_xlfn.SWITCH(I234,"kg",1,"m3",AC234,AC234)*J234/(_xlfn.XLOOKUP(AA234,Métrés!A:A,Métrés!E:E,0)),0)</f>
        <v>88.482573726541546</v>
      </c>
      <c r="AE234" s="1092">
        <f>IFERROR(N234*$G$1/(_xlfn.XLOOKUP($AA234,Métrés!$A:$A,Métrés!$E:$E,0)),0)</f>
        <v>9.5561179624664856</v>
      </c>
      <c r="AF234" s="1092">
        <f>IFERROR(O234*$G$1/(_xlfn.XLOOKUP($AA234,Métrés!$A:$A,Métrés!$E:$E,0)),0)</f>
        <v>2.1766713136729221</v>
      </c>
      <c r="AG234" s="1092">
        <f>IFERROR(Q234*$G$1/(_xlfn.XLOOKUP($AA234,Métrés!$A:$A,Métrés!$E:$E,0)),0)</f>
        <v>1.1325769436997317</v>
      </c>
      <c r="AH234" s="1092">
        <f>IFERROR(R234*$G$1/(_xlfn.XLOOKUP($AA234,Métrés!$A:$A,Métrés!$E:$E,0)),0)</f>
        <v>0.28933801608579085</v>
      </c>
      <c r="AI234" s="1092">
        <f>IFERROR(S234*$G$1/(_xlfn.XLOOKUP($AA234,Métrés!$A:$A,Métrés!$E:$E,0)),0)</f>
        <v>0</v>
      </c>
      <c r="AJ234" s="1022"/>
      <c r="AK234" s="638">
        <f t="shared" ref="AK234:AK239" si="559">IF(L234=60,0,T234)</f>
        <v>0</v>
      </c>
      <c r="AL234" s="638">
        <f t="shared" ref="AL234:AL239" si="560">IF(L234=60,0,S234)</f>
        <v>0</v>
      </c>
      <c r="AM234" s="638" t="str">
        <f>IF(L234=$L$2, "Structure", IF(L234&gt;0,"Revêtement",0))</f>
        <v>Revêtement</v>
      </c>
      <c r="AN234" s="1017">
        <f t="shared" ref="AN234:AN239" si="561">IF(AM234="Structure",N234,0)</f>
        <v>0</v>
      </c>
      <c r="AO234" s="638">
        <f t="shared" ref="AO234:AO239" si="562">IF(AM234="Structure",P234,0)</f>
        <v>0</v>
      </c>
      <c r="AP234" s="638">
        <f t="shared" ref="AP234:AP239" si="563">IF(AM234="Structure",Q234,0)</f>
        <v>0</v>
      </c>
      <c r="AQ234" s="1018">
        <f t="shared" ref="AQ234:AQ239" si="564">IF(AM234="Structure",S234,0)</f>
        <v>0</v>
      </c>
      <c r="AR234" s="1018">
        <f t="shared" ref="AR234:AR239" si="565">IF(AM234="Structure",T234,0)</f>
        <v>0</v>
      </c>
      <c r="AS234" s="1017">
        <f t="shared" ref="AS234:AS239" si="566">IF(AM234="Insulation",N234,0)</f>
        <v>0</v>
      </c>
      <c r="AT234" s="638">
        <f t="shared" ref="AT234:AT239" si="567">IF(AM234="Insulation",P234,0)</f>
        <v>0</v>
      </c>
      <c r="AU234" s="638">
        <f t="shared" ref="AU234:AU239" si="568">IF(AM234="Insulation",Q234,0)</f>
        <v>0</v>
      </c>
      <c r="AV234" s="1018">
        <f t="shared" ref="AV234:AV239" si="569">IF(AM234="Insulation",S234,0)</f>
        <v>0</v>
      </c>
      <c r="AW234" s="1018">
        <f t="shared" ref="AW234:AW239" si="570">IF(AM234="Insulation",T234,0)</f>
        <v>0</v>
      </c>
      <c r="AX234" s="1017">
        <f t="shared" ref="AX234:AX239" si="571">IF(AM234="Revêtement",N234,0)</f>
        <v>0.22165946685460799</v>
      </c>
      <c r="AY234" s="638">
        <f t="shared" ref="AY234:AY239" si="572">IF(AM234="Revêtement",P234,0)</f>
        <v>0.24793021848182079</v>
      </c>
      <c r="AZ234" s="638">
        <f t="shared" ref="AZ234:AZ239" si="573">IF(AM234="Revêtement",Q234,0)</f>
        <v>2.6270751627212801E-2</v>
      </c>
      <c r="BA234" s="638">
        <f t="shared" ref="BA234:BA239" si="574">IF(AM234="Revêtement",S234,0)</f>
        <v>0</v>
      </c>
      <c r="BB234" s="1018">
        <f t="shared" ref="BB234:BB239" si="575">IF(AM234="Revêtement",T234,0)</f>
        <v>0</v>
      </c>
      <c r="BC234" s="1017"/>
      <c r="BF234" s="1018"/>
      <c r="BG234" s="1017">
        <f t="shared" ref="BG234:BG239" si="576">IF($AM234="Structure", IF($I234="kg",$J234,0), 0)</f>
        <v>0</v>
      </c>
      <c r="BH234" s="638">
        <f t="shared" ref="BH234:BH239" si="577">IF($AM234="Insulation", IF($I234="kg",$J234,0), 0)</f>
        <v>0</v>
      </c>
      <c r="BI234" s="1018">
        <f t="shared" ref="BI234:BI239" si="578">IF($AM234="Revêtement", IF($I234="kg",$J234,0), 0)</f>
        <v>1980.24</v>
      </c>
      <c r="BJ234" s="638">
        <f>_xlfn.XLOOKUP(H234, 'Baumaterialien Matériaux'!A:A, 'Baumaterialien Matériaux'!E:E, "-", 0, 1)</f>
        <v>1850</v>
      </c>
      <c r="BK234" s="1032">
        <f t="shared" si="470"/>
        <v>0</v>
      </c>
      <c r="BL234" s="1030">
        <f t="shared" si="471"/>
        <v>0</v>
      </c>
      <c r="BM234" s="1033">
        <f t="shared" si="472"/>
        <v>1.0704</v>
      </c>
      <c r="BN234" s="720"/>
      <c r="BO234" s="720"/>
    </row>
    <row r="235" spans="2:68">
      <c r="B235" s="1101"/>
      <c r="C235" s="1099"/>
      <c r="D235" s="478"/>
      <c r="E235" s="478"/>
      <c r="F235" s="478" t="s">
        <v>3287</v>
      </c>
      <c r="G235" s="478" t="str">
        <f>_xlfn.XLOOKUP(H235, 'Baumaterialien Matériaux'!A:A, 'Baumaterialien Matériaux'!AD:AD, "-", 0, 1)</f>
        <v>GUTEX Pyroresist</v>
      </c>
      <c r="H235" s="892" t="s">
        <v>2997</v>
      </c>
      <c r="I235" s="641" t="str">
        <f>_xlfn.XLOOKUP(H235, 'Baumaterialien Matériaux'!A:A, 'Baumaterialien Matériaux'!F:F, "-", 0, 1)</f>
        <v>kg</v>
      </c>
      <c r="J235" s="649">
        <f t="shared" ref="J235:J238" si="579">$J$233*K235</f>
        <v>101.68800000000002</v>
      </c>
      <c r="K235" s="893">
        <f>0.04*190</f>
        <v>7.6000000000000005</v>
      </c>
      <c r="L235" s="647">
        <v>30</v>
      </c>
      <c r="M235" s="648">
        <f t="shared" si="556"/>
        <v>0.43338942840361766</v>
      </c>
      <c r="N235" s="720">
        <f>IFERROR(($J235*VLOOKUP($H235, 'Baumaterialien Matériaux'!$A$11:$AH$318, 26,FALSE)),0)/$G$1</f>
        <v>0.16474690104058706</v>
      </c>
      <c r="O235" s="720">
        <f>IFERROR(($J235*VLOOKUP($H235, 'Baumaterialien Matériaux'!$A$11:$AH$318, 33,FALSE)),0)/$G$1</f>
        <v>0.10264199670509762</v>
      </c>
      <c r="P235" s="720">
        <f t="shared" si="557"/>
        <v>0.16537371584926</v>
      </c>
      <c r="Q235" s="720">
        <f>IFERROR(($J235*VLOOKUP($H235, 'Baumaterialien Matériaux'!$A$11:$AH$318, 27,FALSE)),0)/$G$1</f>
        <v>6.2681480867294052E-4</v>
      </c>
      <c r="R235" s="720">
        <f>IFERROR(($J235*VLOOKUP($H235, 'Baumaterialien Matériaux'!$A$11:$AH$318, 34,FALSE)),0)/$G$1</f>
        <v>3.7229821249472707E-4</v>
      </c>
      <c r="S235" s="720">
        <f>IFERROR((J235*VLOOKUP(H235, 'Baumaterialien Matériaux'!$A$11:$AD$318, 29,FALSE)),0)/$G$1</f>
        <v>0.14033995273827787</v>
      </c>
      <c r="T235" s="720">
        <f t="shared" si="558"/>
        <v>1.4033995273827788E-3</v>
      </c>
      <c r="U235" s="638">
        <v>0.01</v>
      </c>
      <c r="V235" s="638">
        <f t="shared" si="480"/>
        <v>1.4033995273827788E-3</v>
      </c>
      <c r="W235" s="638">
        <f t="shared" si="482"/>
        <v>0.14033995273827787</v>
      </c>
      <c r="X235" s="638" t="s">
        <v>3407</v>
      </c>
      <c r="Z235" s="638">
        <f t="shared" si="476"/>
        <v>30</v>
      </c>
      <c r="AA235" s="647" t="s">
        <v>3463</v>
      </c>
      <c r="AB235" t="str">
        <f>_xlfn.XLOOKUP($H235,'[1]Baumaterialien Matériaux'!$A:$A,'[1]Baumaterialien Matériaux'!AK:AK,0,0)</f>
        <v>vegetal_fiber</v>
      </c>
      <c r="AC235" t="str" cm="1">
        <f t="array" ref="AC235">_xlfn.SWITCH(I235,"kg"," ",0," ",_xlfn.XLOOKUP(H235, '[1]Baumaterialien Matériaux'!$A:$A, '[1]Baumaterialien Matériaux'!$AL:$AL, "-", 0, 1))</f>
        <v xml:space="preserve"> </v>
      </c>
      <c r="AD235" s="1112" cm="1">
        <f t="array" ref="AD235">IFERROR(_xlfn.SWITCH(I235,"kg",1,"m3",AC235,AC235)*J235/(_xlfn.XLOOKUP(AA235,Métrés!A:A,Métrés!E:E,0)),0)</f>
        <v>4.5436997319034855</v>
      </c>
      <c r="AE235" s="1092">
        <f>IFERROR(N235*$G$1/(_xlfn.XLOOKUP($AA235,Métrés!$A:$A,Métrés!$E:$E,0)),0)</f>
        <v>7.1025201072386057</v>
      </c>
      <c r="AF235" s="1092">
        <f>IFERROR(O235*$G$1/(_xlfn.XLOOKUP($AA235,Métrés!$A:$A,Métrés!$E:$E,0)),0)</f>
        <v>4.425071675645504</v>
      </c>
      <c r="AG235" s="1092">
        <f>IFERROR(Q235*$G$1/(_xlfn.XLOOKUP($AA235,Métrés!$A:$A,Métrés!$E:$E,0)),0)</f>
        <v>2.7023056300268092E-2</v>
      </c>
      <c r="AH235" s="1092">
        <f>IFERROR(R235*$G$1/(_xlfn.XLOOKUP($AA235,Métrés!$A:$A,Métrés!$E:$E,0)),0)</f>
        <v>1.6050411409446488E-2</v>
      </c>
      <c r="AI235" s="1092">
        <f>IFERROR(S235*$G$1/(_xlfn.XLOOKUP($AA235,Métrés!$A:$A,Métrés!$E:$E,0)),0)</f>
        <v>6.0502949061662203</v>
      </c>
      <c r="AJ235" s="1022">
        <v>0.01</v>
      </c>
      <c r="AK235" s="638">
        <f t="shared" si="559"/>
        <v>1.4033995273827788E-3</v>
      </c>
      <c r="AL235" s="638">
        <f t="shared" si="560"/>
        <v>0.14033995273827787</v>
      </c>
      <c r="AM235" s="638" t="s">
        <v>3388</v>
      </c>
      <c r="AN235" s="1017">
        <f t="shared" si="561"/>
        <v>0</v>
      </c>
      <c r="AO235" s="638">
        <f t="shared" si="562"/>
        <v>0</v>
      </c>
      <c r="AP235" s="638">
        <f t="shared" si="563"/>
        <v>0</v>
      </c>
      <c r="AQ235" s="1018">
        <f t="shared" si="564"/>
        <v>0</v>
      </c>
      <c r="AR235" s="1018">
        <f t="shared" si="565"/>
        <v>0</v>
      </c>
      <c r="AS235" s="1017">
        <f t="shared" si="566"/>
        <v>0.16474690104058706</v>
      </c>
      <c r="AT235" s="638">
        <f t="shared" si="567"/>
        <v>0.16537371584926</v>
      </c>
      <c r="AU235" s="638">
        <f t="shared" si="568"/>
        <v>6.2681480867294052E-4</v>
      </c>
      <c r="AV235" s="1018">
        <f t="shared" si="569"/>
        <v>0.14033995273827787</v>
      </c>
      <c r="AW235" s="1018">
        <f t="shared" si="570"/>
        <v>1.4033995273827788E-3</v>
      </c>
      <c r="AX235" s="1017">
        <f t="shared" si="571"/>
        <v>0</v>
      </c>
      <c r="AY235" s="638">
        <f t="shared" si="572"/>
        <v>0</v>
      </c>
      <c r="AZ235" s="638">
        <f t="shared" si="573"/>
        <v>0</v>
      </c>
      <c r="BA235" s="638">
        <f t="shared" si="574"/>
        <v>0</v>
      </c>
      <c r="BB235" s="1018">
        <f t="shared" si="575"/>
        <v>0</v>
      </c>
      <c r="BC235" s="1017"/>
      <c r="BF235" s="1018"/>
      <c r="BG235" s="1017">
        <f t="shared" si="576"/>
        <v>0</v>
      </c>
      <c r="BH235" s="638">
        <f t="shared" si="577"/>
        <v>101.68800000000002</v>
      </c>
      <c r="BI235" s="1018">
        <f t="shared" si="578"/>
        <v>0</v>
      </c>
      <c r="BJ235" s="638">
        <f>_xlfn.XLOOKUP(H235, 'Baumaterialien Matériaux'!A:A, 'Baumaterialien Matériaux'!E:E, "-", 0, 1)</f>
        <v>190</v>
      </c>
      <c r="BK235" s="1032">
        <f t="shared" si="470"/>
        <v>0</v>
      </c>
      <c r="BL235" s="1030">
        <f t="shared" si="471"/>
        <v>0.53520000000000012</v>
      </c>
      <c r="BM235" s="1033">
        <f t="shared" si="472"/>
        <v>0</v>
      </c>
      <c r="BN235" s="720"/>
      <c r="BO235" s="720"/>
    </row>
    <row r="236" spans="2:68">
      <c r="B236" s="1101"/>
      <c r="C236" s="1099"/>
      <c r="D236" s="478"/>
      <c r="E236" s="478"/>
      <c r="F236" s="478" t="s">
        <v>3284</v>
      </c>
      <c r="G236" s="478" t="str">
        <f>_xlfn.XLOOKUP(H236, 'Baumaterialien Matériaux'!A:A, 'Baumaterialien Matériaux'!AD:AD, "-", 0, 1)</f>
        <v>GUTEX Pyroresist</v>
      </c>
      <c r="H236" s="885" t="s">
        <v>2997</v>
      </c>
      <c r="I236" s="641" t="str">
        <f>_xlfn.XLOOKUP(H236, 'Baumaterialien Matériaux'!A:A, 'Baumaterialien Matériaux'!F:F, "-", 0, 1)</f>
        <v>kg</v>
      </c>
      <c r="J236" s="649">
        <f t="shared" si="579"/>
        <v>76.266000000000005</v>
      </c>
      <c r="K236" s="893">
        <f>0.03*190</f>
        <v>5.7</v>
      </c>
      <c r="L236" s="647">
        <v>30</v>
      </c>
      <c r="M236" s="648">
        <f t="shared" si="556"/>
        <v>0.32504207130271318</v>
      </c>
      <c r="N236" s="720">
        <f>IFERROR(($J236*VLOOKUP($H236, 'Baumaterialien Matériaux'!$A$11:$AH$318, 26,FALSE)),0)/$G$1</f>
        <v>0.12356017578044028</v>
      </c>
      <c r="O236" s="720">
        <f>IFERROR(($J236*VLOOKUP($H236, 'Baumaterialien Matériaux'!$A$11:$AH$318, 33,FALSE)),0)/$G$1</f>
        <v>7.6981497528823203E-2</v>
      </c>
      <c r="P236" s="720">
        <f t="shared" si="557"/>
        <v>0.12403028688694498</v>
      </c>
      <c r="Q236" s="720">
        <f>IFERROR(($J236*VLOOKUP($H236, 'Baumaterialien Matériaux'!$A$11:$AH$318, 27,FALSE)),0)/$G$1</f>
        <v>4.7011110650470539E-4</v>
      </c>
      <c r="R236" s="720">
        <f>IFERROR(($J236*VLOOKUP($H236, 'Baumaterialien Matériaux'!$A$11:$AH$318, 34,FALSE)),0)/$G$1</f>
        <v>2.7922365937104533E-4</v>
      </c>
      <c r="S236" s="720">
        <f>IFERROR((J236*VLOOKUP(H236, 'Baumaterialien Matériaux'!$A$11:$AD$318, 29,FALSE)),0)/$G$1</f>
        <v>0.10525496455370838</v>
      </c>
      <c r="T236" s="720">
        <f t="shared" si="558"/>
        <v>1.0525496455370837E-3</v>
      </c>
      <c r="U236" s="638">
        <v>0.01</v>
      </c>
      <c r="V236" s="638">
        <f t="shared" si="480"/>
        <v>1.0525496455370837E-3</v>
      </c>
      <c r="W236" s="638">
        <f t="shared" si="482"/>
        <v>0.10525496455370838</v>
      </c>
      <c r="Z236" s="638">
        <f t="shared" si="476"/>
        <v>30</v>
      </c>
      <c r="AA236" s="647" t="s">
        <v>3463</v>
      </c>
      <c r="AB236" t="str">
        <f>_xlfn.XLOOKUP($H236,'[1]Baumaterialien Matériaux'!$A:$A,'[1]Baumaterialien Matériaux'!AK:AK,0,0)</f>
        <v>vegetal_fiber</v>
      </c>
      <c r="AC236" t="str" cm="1">
        <f t="array" ref="AC236">_xlfn.SWITCH(I236,"kg"," ",0," ",_xlfn.XLOOKUP(H236, '[1]Baumaterialien Matériaux'!$A:$A, '[1]Baumaterialien Matériaux'!$AL:$AL, "-", 0, 1))</f>
        <v xml:space="preserve"> </v>
      </c>
      <c r="AD236" s="1112" cm="1">
        <f t="array" ref="AD236">IFERROR(_xlfn.SWITCH(I236,"kg",1,"m3",AC236,AC236)*J236/(_xlfn.XLOOKUP(AA236,Métrés!A:A,Métrés!E:E,0)),0)</f>
        <v>3.4077747989276137</v>
      </c>
      <c r="AE236" s="1092">
        <f>IFERROR(N236*$G$1/(_xlfn.XLOOKUP($AA236,Métrés!$A:$A,Métrés!$E:$E,0)),0)</f>
        <v>5.3268900804289538</v>
      </c>
      <c r="AF236" s="1092">
        <f>IFERROR(O236*$G$1/(_xlfn.XLOOKUP($AA236,Métrés!$A:$A,Métrés!$E:$E,0)),0)</f>
        <v>3.3188037567341273</v>
      </c>
      <c r="AG236" s="1092">
        <f>IFERROR(Q236*$G$1/(_xlfn.XLOOKUP($AA236,Métrés!$A:$A,Métrés!$E:$E,0)),0)</f>
        <v>2.0267292225201069E-2</v>
      </c>
      <c r="AH236" s="1092">
        <f>IFERROR(R236*$G$1/(_xlfn.XLOOKUP($AA236,Métrés!$A:$A,Métrés!$E:$E,0)),0)</f>
        <v>1.2037808557084867E-2</v>
      </c>
      <c r="AI236" s="1092">
        <f>IFERROR(S236*$G$1/(_xlfn.XLOOKUP($AA236,Métrés!$A:$A,Métrés!$E:$E,0)),0)</f>
        <v>4.5377211796246639</v>
      </c>
      <c r="AJ236" s="1022">
        <v>0.01</v>
      </c>
      <c r="AK236" s="638">
        <f t="shared" si="559"/>
        <v>1.0525496455370837E-3</v>
      </c>
      <c r="AL236" s="638">
        <f t="shared" si="560"/>
        <v>0.10525496455370838</v>
      </c>
      <c r="AM236" s="638" t="s">
        <v>3388</v>
      </c>
      <c r="AN236" s="1017">
        <f t="shared" si="561"/>
        <v>0</v>
      </c>
      <c r="AO236" s="638">
        <f t="shared" si="562"/>
        <v>0</v>
      </c>
      <c r="AP236" s="638">
        <f t="shared" si="563"/>
        <v>0</v>
      </c>
      <c r="AQ236" s="1018">
        <f t="shared" si="564"/>
        <v>0</v>
      </c>
      <c r="AR236" s="1018">
        <f t="shared" si="565"/>
        <v>0</v>
      </c>
      <c r="AS236" s="1017">
        <f t="shared" si="566"/>
        <v>0.12356017578044028</v>
      </c>
      <c r="AT236" s="638">
        <f t="shared" si="567"/>
        <v>0.12403028688694498</v>
      </c>
      <c r="AU236" s="638">
        <f t="shared" si="568"/>
        <v>4.7011110650470539E-4</v>
      </c>
      <c r="AV236" s="1018">
        <f t="shared" si="569"/>
        <v>0.10525496455370838</v>
      </c>
      <c r="AW236" s="1018">
        <f t="shared" si="570"/>
        <v>1.0525496455370837E-3</v>
      </c>
      <c r="AX236" s="1017">
        <f t="shared" si="571"/>
        <v>0</v>
      </c>
      <c r="AY236" s="638">
        <f t="shared" si="572"/>
        <v>0</v>
      </c>
      <c r="AZ236" s="638">
        <f t="shared" si="573"/>
        <v>0</v>
      </c>
      <c r="BA236" s="638">
        <f t="shared" si="574"/>
        <v>0</v>
      </c>
      <c r="BB236" s="1018">
        <f t="shared" si="575"/>
        <v>0</v>
      </c>
      <c r="BC236" s="1017"/>
      <c r="BF236" s="1018"/>
      <c r="BG236" s="1017">
        <f t="shared" si="576"/>
        <v>0</v>
      </c>
      <c r="BH236" s="638">
        <f t="shared" si="577"/>
        <v>76.266000000000005</v>
      </c>
      <c r="BI236" s="1018">
        <f t="shared" si="578"/>
        <v>0</v>
      </c>
      <c r="BJ236" s="638">
        <f>_xlfn.XLOOKUP(H236, 'Baumaterialien Matériaux'!A:A, 'Baumaterialien Matériaux'!E:E, "-", 0, 1)</f>
        <v>190</v>
      </c>
      <c r="BK236" s="1032">
        <f t="shared" si="470"/>
        <v>0</v>
      </c>
      <c r="BL236" s="1030">
        <f t="shared" si="471"/>
        <v>0.40140000000000003</v>
      </c>
      <c r="BM236" s="1033">
        <f t="shared" si="472"/>
        <v>0</v>
      </c>
      <c r="BN236" s="720"/>
      <c r="BO236" s="720"/>
    </row>
    <row r="237" spans="2:68">
      <c r="B237" s="1101"/>
      <c r="C237" s="1099"/>
      <c r="D237" s="478"/>
      <c r="E237" s="478"/>
      <c r="F237" s="483" t="s">
        <v>3007</v>
      </c>
      <c r="G237" s="478" t="str">
        <f>_xlfn.XLOOKUP(H237, 'Baumaterialien Matériaux'!A:A, 'Baumaterialien Matériaux'!AD:AD, "-", 0, 1)</f>
        <v>Béton pour bâtiment (sans armature)</v>
      </c>
      <c r="H237" s="891">
        <v>1.0019999999999998</v>
      </c>
      <c r="I237" s="641" t="str">
        <f>_xlfn.XLOOKUP(H237, 'Baumaterialien Matériaux'!A:A, 'Baumaterialien Matériaux'!F:F, "-", 0, 1)</f>
        <v>kg</v>
      </c>
      <c r="J237" s="649">
        <f t="shared" si="579"/>
        <v>7385.76</v>
      </c>
      <c r="K237" s="893">
        <f>0.24*2300</f>
        <v>552</v>
      </c>
      <c r="L237" s="647">
        <v>60</v>
      </c>
      <c r="M237" s="648">
        <f t="shared" si="556"/>
        <v>0.93619506653952989</v>
      </c>
      <c r="N237" s="720">
        <f>IFERROR(($J237*VLOOKUP($H237, 'Baumaterialien Matériaux'!$A$11:$AH$318, 26,FALSE)),0)/$G$1</f>
        <v>0.6797556983541313</v>
      </c>
      <c r="O237" s="720">
        <f>IFERROR(($J237*VLOOKUP($H237, 'Baumaterialien Matériaux'!$A$11:$AH$318, 33,FALSE)),0)/$G$1</f>
        <v>0.15922205547033705</v>
      </c>
      <c r="P237" s="720">
        <f t="shared" si="557"/>
        <v>0</v>
      </c>
      <c r="Q237" s="720">
        <f>IFERROR(($J237*VLOOKUP($H237, 'Baumaterialien Matériaux'!$A$11:$AH$318, 27,FALSE)),0)/$G$1</f>
        <v>9.7217312715061552E-2</v>
      </c>
      <c r="R237" s="720">
        <f>IFERROR(($J237*VLOOKUP($H237, 'Baumaterialien Matériaux'!$A$11:$AH$318, 34,FALSE)),0)/$G$1</f>
        <v>2.0515149454831891E-2</v>
      </c>
      <c r="S237" s="720">
        <f>IFERROR((J237*VLOOKUP(H237, 'Baumaterialien Matériaux'!$A$11:$AD$318, 29,FALSE)),0)/$G$1</f>
        <v>0</v>
      </c>
      <c r="T237" s="720">
        <f t="shared" si="558"/>
        <v>0</v>
      </c>
      <c r="V237" s="638">
        <f t="shared" si="480"/>
        <v>0</v>
      </c>
      <c r="W237" s="638">
        <f t="shared" si="482"/>
        <v>0</v>
      </c>
      <c r="Z237" s="638">
        <f t="shared" si="476"/>
        <v>60</v>
      </c>
      <c r="AA237" s="647" t="s">
        <v>3463</v>
      </c>
      <c r="AB237" t="str">
        <f>_xlfn.XLOOKUP($H237,'[1]Baumaterialien Matériaux'!$A:$A,'[1]Baumaterialien Matériaux'!AK:AK,0,0)</f>
        <v>concrete</v>
      </c>
      <c r="AC237" t="str" cm="1">
        <f t="array" ref="AC237">_xlfn.SWITCH(I237,"kg"," ",0," ",_xlfn.XLOOKUP(H237, '[1]Baumaterialien Matériaux'!$A:$A, '[1]Baumaterialien Matériaux'!$AL:$AL, "-", 0, 1))</f>
        <v xml:space="preserve"> </v>
      </c>
      <c r="AD237" s="1112" cm="1">
        <f t="array" ref="AD237">IFERROR(_xlfn.SWITCH(I237,"kg",1,"m3",AC237,AC237)*J237/(_xlfn.XLOOKUP(AA237,Métrés!A:A,Métrés!E:E,0)),0)</f>
        <v>330.01608579088469</v>
      </c>
      <c r="AE237" s="1092">
        <f>IFERROR(N237*$G$1/(_xlfn.XLOOKUP($AA237,Métrés!$A:$A,Métrés!$E:$E,0)),0)</f>
        <v>29.305428418230562</v>
      </c>
      <c r="AF237" s="1092">
        <f>IFERROR(O237*$G$1/(_xlfn.XLOOKUP($AA237,Métrés!$A:$A,Métrés!$E:$E,0)),0)</f>
        <v>6.8643345844504013</v>
      </c>
      <c r="AG237" s="1092">
        <f>IFERROR(Q237*$G$1/(_xlfn.XLOOKUP($AA237,Métrés!$A:$A,Métrés!$E:$E,0)),0)</f>
        <v>4.1912042895442347</v>
      </c>
      <c r="AH237" s="1092">
        <f>IFERROR(R237*$G$1/(_xlfn.XLOOKUP($AA237,Métrés!$A:$A,Métrés!$E:$E,0)),0)</f>
        <v>0.88444310991957098</v>
      </c>
      <c r="AI237" s="1092">
        <f>IFERROR(S237*$G$1/(_xlfn.XLOOKUP($AA237,Métrés!$A:$A,Métrés!$E:$E,0)),0)</f>
        <v>0</v>
      </c>
      <c r="AJ237" s="1022"/>
      <c r="AK237" s="638">
        <f t="shared" si="559"/>
        <v>0</v>
      </c>
      <c r="AL237" s="638">
        <f t="shared" si="560"/>
        <v>0</v>
      </c>
      <c r="AM237" s="638" t="str">
        <f>IF(L237=$L$2, "Structure", IF(L237&gt;0,"Revêtement",0))</f>
        <v>Structure</v>
      </c>
      <c r="AN237" s="1017">
        <f t="shared" si="561"/>
        <v>0.6797556983541313</v>
      </c>
      <c r="AO237" s="638">
        <f t="shared" si="562"/>
        <v>0</v>
      </c>
      <c r="AP237" s="638">
        <f t="shared" si="563"/>
        <v>9.7217312715061552E-2</v>
      </c>
      <c r="AQ237" s="1018">
        <f t="shared" si="564"/>
        <v>0</v>
      </c>
      <c r="AR237" s="1018">
        <f t="shared" si="565"/>
        <v>0</v>
      </c>
      <c r="AS237" s="1017">
        <f t="shared" si="566"/>
        <v>0</v>
      </c>
      <c r="AT237" s="638">
        <f t="shared" si="567"/>
        <v>0</v>
      </c>
      <c r="AU237" s="638">
        <f t="shared" si="568"/>
        <v>0</v>
      </c>
      <c r="AV237" s="1018">
        <f t="shared" si="569"/>
        <v>0</v>
      </c>
      <c r="AW237" s="1018">
        <f t="shared" si="570"/>
        <v>0</v>
      </c>
      <c r="AX237" s="1017">
        <f t="shared" si="571"/>
        <v>0</v>
      </c>
      <c r="AY237" s="638">
        <f t="shared" si="572"/>
        <v>0</v>
      </c>
      <c r="AZ237" s="638">
        <f t="shared" si="573"/>
        <v>0</v>
      </c>
      <c r="BA237" s="638">
        <f t="shared" si="574"/>
        <v>0</v>
      </c>
      <c r="BB237" s="1018">
        <f t="shared" si="575"/>
        <v>0</v>
      </c>
      <c r="BC237" s="1017"/>
      <c r="BF237" s="1018"/>
      <c r="BG237" s="1017">
        <f t="shared" si="576"/>
        <v>7385.76</v>
      </c>
      <c r="BH237" s="638">
        <f t="shared" si="577"/>
        <v>0</v>
      </c>
      <c r="BI237" s="1018">
        <f t="shared" si="578"/>
        <v>0</v>
      </c>
      <c r="BJ237" s="638">
        <f>_xlfn.XLOOKUP(H237, 'Baumaterialien Matériaux'!A:A, 'Baumaterialien Matériaux'!E:E, "-", 0, 1)</f>
        <v>2300</v>
      </c>
      <c r="BK237" s="1032">
        <f t="shared" si="470"/>
        <v>3.2112000000000003</v>
      </c>
      <c r="BL237" s="1030">
        <f t="shared" si="471"/>
        <v>0</v>
      </c>
      <c r="BM237" s="1033">
        <f t="shared" si="472"/>
        <v>0</v>
      </c>
      <c r="BN237" s="720"/>
      <c r="BO237" s="720"/>
    </row>
    <row r="238" spans="2:68">
      <c r="B238" s="1101"/>
      <c r="C238" s="1099"/>
      <c r="D238" s="478"/>
      <c r="E238" s="478"/>
      <c r="F238" s="638" t="s">
        <v>3008</v>
      </c>
      <c r="G238" s="478" t="str">
        <f>_xlfn.XLOOKUP(H238, 'Baumaterialien Matériaux'!A:A, 'Baumaterialien Matériaux'!AD:AD, "-", 0, 1)</f>
        <v>Acier d'armature</v>
      </c>
      <c r="H238" s="892" t="s">
        <v>497</v>
      </c>
      <c r="I238" s="641" t="str">
        <f>_xlfn.XLOOKUP(H238, 'Baumaterialien Matériaux'!A:A, 'Baumaterialien Matériaux'!F:F, "-", 0, 1)</f>
        <v>kg</v>
      </c>
      <c r="J238" s="649">
        <f t="shared" si="579"/>
        <v>481.68</v>
      </c>
      <c r="K238" s="894">
        <f>0.24*150</f>
        <v>36</v>
      </c>
      <c r="L238" s="647">
        <v>60</v>
      </c>
      <c r="M238" s="648">
        <f t="shared" si="556"/>
        <v>0.90031685253513538</v>
      </c>
      <c r="N238" s="720">
        <f>IFERROR(($J238*VLOOKUP($H238, 'Baumaterialien Matériaux'!$A$11:$AH$318, 26,FALSE)),0)/$G$1</f>
        <v>0.74884955018448651</v>
      </c>
      <c r="O238" s="720">
        <f>IFERROR(($J238*VLOOKUP($H238, 'Baumaterialien Matériaux'!$A$11:$AH$318, 33,FALSE)),0)/$G$1</f>
        <v>0.14527681273579038</v>
      </c>
      <c r="P238" s="720">
        <f t="shared" si="557"/>
        <v>0</v>
      </c>
      <c r="Q238" s="720">
        <f>IFERROR(($J238*VLOOKUP($H238, 'Baumaterialien Matériaux'!$A$11:$AH$318, 27,FALSE)),0)/$G$1</f>
        <v>6.1904896148584215E-3</v>
      </c>
      <c r="R238" s="720">
        <f>IFERROR(($J238*VLOOKUP($H238, 'Baumaterialien Matériaux'!$A$11:$AH$318, 34,FALSE)),0)/$G$1</f>
        <v>0</v>
      </c>
      <c r="S238" s="720">
        <f>IFERROR((J238*VLOOKUP(H238, 'Baumaterialien Matériaux'!$A$11:$AD$318, 29,FALSE)),0)/$G$1</f>
        <v>0</v>
      </c>
      <c r="T238" s="720">
        <f t="shared" si="558"/>
        <v>0</v>
      </c>
      <c r="V238" s="638">
        <f t="shared" si="480"/>
        <v>0</v>
      </c>
      <c r="W238" s="638">
        <f t="shared" si="482"/>
        <v>0</v>
      </c>
      <c r="Z238" s="638">
        <f t="shared" si="476"/>
        <v>60</v>
      </c>
      <c r="AA238" s="647" t="s">
        <v>3463</v>
      </c>
      <c r="AB238" t="str">
        <f>_xlfn.XLOOKUP($H238,'[1]Baumaterialien Matériaux'!$A:$A,'[1]Baumaterialien Matériaux'!AK:AK,0,0)</f>
        <v>metal</v>
      </c>
      <c r="AC238" t="str" cm="1">
        <f t="array" ref="AC238">_xlfn.SWITCH(I238,"kg"," ",0," ",_xlfn.XLOOKUP(H238, '[1]Baumaterialien Matériaux'!$A:$A, '[1]Baumaterialien Matériaux'!$AL:$AL, "-", 0, 1))</f>
        <v xml:space="preserve"> </v>
      </c>
      <c r="AD238" s="1112" cm="1">
        <f t="array" ref="AD238">IFERROR(_xlfn.SWITCH(I238,"kg",1,"m3",AC238,AC238)*J238/(_xlfn.XLOOKUP(AA238,Métrés!A:A,Métrés!E:E,0)),0)</f>
        <v>21.52278820375335</v>
      </c>
      <c r="AE238" s="1092">
        <f>IFERROR(N238*$G$1/(_xlfn.XLOOKUP($AA238,Métrés!$A:$A,Métrés!$E:$E,0)),0)</f>
        <v>32.284182305630026</v>
      </c>
      <c r="AF238" s="1092">
        <f>IFERROR(O238*$G$1/(_xlfn.XLOOKUP($AA238,Métrés!$A:$A,Métrés!$E:$E,0)),0)</f>
        <v>6.2631313672922246</v>
      </c>
      <c r="AG238" s="1092">
        <f>IFERROR(Q238*$G$1/(_xlfn.XLOOKUP($AA238,Métrés!$A:$A,Métrés!$E:$E,0)),0)</f>
        <v>0.26688257372654151</v>
      </c>
      <c r="AH238" s="1092">
        <f>IFERROR(R238*$G$1/(_xlfn.XLOOKUP($AA238,Métrés!$A:$A,Métrés!$E:$E,0)),0)</f>
        <v>0</v>
      </c>
      <c r="AI238" s="1092">
        <f>IFERROR(S238*$G$1/(_xlfn.XLOOKUP($AA238,Métrés!$A:$A,Métrés!$E:$E,0)),0)</f>
        <v>0</v>
      </c>
      <c r="AJ238" s="1022"/>
      <c r="AK238" s="638">
        <f t="shared" si="559"/>
        <v>0</v>
      </c>
      <c r="AL238" s="638">
        <f t="shared" si="560"/>
        <v>0</v>
      </c>
      <c r="AM238" s="638" t="str">
        <f>IF(L238=$L$2, "Structure", IF(L238&gt;0,"Revêtement",0))</f>
        <v>Structure</v>
      </c>
      <c r="AN238" s="1017">
        <f t="shared" si="561"/>
        <v>0.74884955018448651</v>
      </c>
      <c r="AO238" s="638">
        <f t="shared" si="562"/>
        <v>0</v>
      </c>
      <c r="AP238" s="638">
        <f t="shared" si="563"/>
        <v>6.1904896148584215E-3</v>
      </c>
      <c r="AQ238" s="1018">
        <f t="shared" si="564"/>
        <v>0</v>
      </c>
      <c r="AR238" s="1018">
        <f t="shared" si="565"/>
        <v>0</v>
      </c>
      <c r="AS238" s="1017">
        <f t="shared" si="566"/>
        <v>0</v>
      </c>
      <c r="AT238" s="638">
        <f t="shared" si="567"/>
        <v>0</v>
      </c>
      <c r="AU238" s="638">
        <f t="shared" si="568"/>
        <v>0</v>
      </c>
      <c r="AV238" s="1018">
        <f t="shared" si="569"/>
        <v>0</v>
      </c>
      <c r="AW238" s="1018">
        <f t="shared" si="570"/>
        <v>0</v>
      </c>
      <c r="AX238" s="1017">
        <f t="shared" si="571"/>
        <v>0</v>
      </c>
      <c r="AY238" s="638">
        <f t="shared" si="572"/>
        <v>0</v>
      </c>
      <c r="AZ238" s="638">
        <f t="shared" si="573"/>
        <v>0</v>
      </c>
      <c r="BA238" s="638">
        <f t="shared" si="574"/>
        <v>0</v>
      </c>
      <c r="BB238" s="1018">
        <f t="shared" si="575"/>
        <v>0</v>
      </c>
      <c r="BC238" s="1017"/>
      <c r="BF238" s="1018"/>
      <c r="BG238" s="1017">
        <f t="shared" si="576"/>
        <v>481.68</v>
      </c>
      <c r="BH238" s="638">
        <f t="shared" si="577"/>
        <v>0</v>
      </c>
      <c r="BI238" s="1018">
        <f t="shared" si="578"/>
        <v>0</v>
      </c>
      <c r="BJ238" s="638">
        <f>_xlfn.XLOOKUP(H238, 'Baumaterialien Matériaux'!A:A, 'Baumaterialien Matériaux'!E:E, "-", 0, 1)</f>
        <v>7850</v>
      </c>
      <c r="BK238" s="1032">
        <f t="shared" si="470"/>
        <v>6.136050955414013E-2</v>
      </c>
      <c r="BL238" s="1030">
        <f t="shared" si="471"/>
        <v>0</v>
      </c>
      <c r="BM238" s="1033">
        <f t="shared" si="472"/>
        <v>0</v>
      </c>
      <c r="BN238" s="720"/>
      <c r="BO238" s="720"/>
    </row>
    <row r="239" spans="2:68">
      <c r="B239" s="1101"/>
      <c r="C239" s="1099"/>
      <c r="D239" s="478"/>
      <c r="E239" s="478"/>
      <c r="F239" s="483"/>
      <c r="G239" s="478"/>
      <c r="H239" s="892"/>
      <c r="I239" s="641"/>
      <c r="J239" s="649"/>
      <c r="K239" s="894"/>
      <c r="L239" s="647"/>
      <c r="M239" s="648"/>
      <c r="N239" s="720"/>
      <c r="O239" s="720"/>
      <c r="P239" s="720"/>
      <c r="Q239" s="720"/>
      <c r="R239" s="720"/>
      <c r="S239" s="720"/>
      <c r="T239" s="720">
        <f t="shared" si="558"/>
        <v>0</v>
      </c>
      <c r="V239" s="638">
        <f t="shared" si="480"/>
        <v>0</v>
      </c>
      <c r="W239" s="638">
        <f t="shared" si="482"/>
        <v>0</v>
      </c>
      <c r="Z239" s="638">
        <f t="shared" si="476"/>
        <v>0</v>
      </c>
      <c r="AA239" s="647" t="s">
        <v>3463</v>
      </c>
      <c r="AB239">
        <f>_xlfn.XLOOKUP($H239,'[1]Baumaterialien Matériaux'!$A:$A,'[1]Baumaterialien Matériaux'!AK:AK,0,0)</f>
        <v>0</v>
      </c>
      <c r="AC239" t="str" cm="1">
        <f t="array" ref="AC239">_xlfn.SWITCH(I239,"kg"," ",0," ",_xlfn.XLOOKUP(H239, '[1]Baumaterialien Matériaux'!$A:$A, '[1]Baumaterialien Matériaux'!$AL:$AL, "-", 0, 1))</f>
        <v xml:space="preserve"> </v>
      </c>
      <c r="AD239" s="1112" cm="1">
        <f t="array" ref="AD239">IFERROR(_xlfn.SWITCH(I239,"kg",1,"m3",AC239,AC239)*J239/(_xlfn.XLOOKUP(AA239,Métrés!A:A,Métrés!E:E,0)),0)</f>
        <v>0</v>
      </c>
      <c r="AE239" s="1092">
        <f>IFERROR(N239*$G$1/(_xlfn.XLOOKUP($AA239,Métrés!$A:$A,Métrés!$E:$E,0)),0)</f>
        <v>0</v>
      </c>
      <c r="AF239" s="1092">
        <f>IFERROR(O239*$G$1/(_xlfn.XLOOKUP($AA239,Métrés!$A:$A,Métrés!$E:$E,0)),0)</f>
        <v>0</v>
      </c>
      <c r="AG239" s="1092">
        <f>IFERROR(Q239*$G$1/(_xlfn.XLOOKUP($AA239,Métrés!$A:$A,Métrés!$E:$E,0)),0)</f>
        <v>0</v>
      </c>
      <c r="AH239" s="1092">
        <f>IFERROR(R239*$G$1/(_xlfn.XLOOKUP($AA239,Métrés!$A:$A,Métrés!$E:$E,0)),0)</f>
        <v>0</v>
      </c>
      <c r="AI239" s="1092">
        <f>IFERROR(S239*$G$1/(_xlfn.XLOOKUP($AA239,Métrés!$A:$A,Métrés!$E:$E,0)),0)</f>
        <v>0</v>
      </c>
      <c r="AJ239" s="1022"/>
      <c r="AK239" s="638">
        <f t="shared" si="559"/>
        <v>0</v>
      </c>
      <c r="AL239" s="638">
        <f t="shared" si="560"/>
        <v>0</v>
      </c>
      <c r="AM239" s="638">
        <f>IF(L239=$L$2, "Structure", IF(L239&gt;0,"Revêtement",0))</f>
        <v>0</v>
      </c>
      <c r="AN239" s="1017">
        <f t="shared" si="561"/>
        <v>0</v>
      </c>
      <c r="AO239" s="638">
        <f t="shared" si="562"/>
        <v>0</v>
      </c>
      <c r="AP239" s="638">
        <f t="shared" si="563"/>
        <v>0</v>
      </c>
      <c r="AQ239" s="1018">
        <f t="shared" si="564"/>
        <v>0</v>
      </c>
      <c r="AR239" s="1018">
        <f t="shared" si="565"/>
        <v>0</v>
      </c>
      <c r="AS239" s="1017">
        <f t="shared" si="566"/>
        <v>0</v>
      </c>
      <c r="AT239" s="638">
        <f t="shared" si="567"/>
        <v>0</v>
      </c>
      <c r="AU239" s="638">
        <f t="shared" si="568"/>
        <v>0</v>
      </c>
      <c r="AV239" s="1018">
        <f t="shared" si="569"/>
        <v>0</v>
      </c>
      <c r="AW239" s="1018">
        <f t="shared" si="570"/>
        <v>0</v>
      </c>
      <c r="AX239" s="1017">
        <f t="shared" si="571"/>
        <v>0</v>
      </c>
      <c r="AY239" s="638">
        <f t="shared" si="572"/>
        <v>0</v>
      </c>
      <c r="AZ239" s="638">
        <f t="shared" si="573"/>
        <v>0</v>
      </c>
      <c r="BA239" s="638">
        <f t="shared" si="574"/>
        <v>0</v>
      </c>
      <c r="BB239" s="1018">
        <f t="shared" si="575"/>
        <v>0</v>
      </c>
      <c r="BC239" s="1017"/>
      <c r="BF239" s="1018"/>
      <c r="BG239" s="1017">
        <f t="shared" si="576"/>
        <v>0</v>
      </c>
      <c r="BH239" s="638">
        <f t="shared" si="577"/>
        <v>0</v>
      </c>
      <c r="BI239" s="1018">
        <f t="shared" si="578"/>
        <v>0</v>
      </c>
      <c r="BJ239" s="638">
        <f>_xlfn.XLOOKUP(H239, 'Baumaterialien Matériaux'!A:A, 'Baumaterialien Matériaux'!E:E, "-", 0, 1)</f>
        <v>0</v>
      </c>
      <c r="BK239" s="1032">
        <f t="shared" si="470"/>
        <v>0</v>
      </c>
      <c r="BL239" s="1030">
        <f t="shared" si="471"/>
        <v>0</v>
      </c>
      <c r="BM239" s="1033">
        <f t="shared" si="472"/>
        <v>0</v>
      </c>
      <c r="BN239" s="720"/>
      <c r="BO239" s="720"/>
    </row>
    <row r="240" spans="2:68">
      <c r="B240" s="1101"/>
      <c r="C240" s="1099"/>
      <c r="D240" s="478"/>
      <c r="E240" s="478"/>
      <c r="F240" s="479" t="s">
        <v>3061</v>
      </c>
      <c r="G240" s="479"/>
      <c r="H240" s="479"/>
      <c r="I240" s="459" t="s">
        <v>39</v>
      </c>
      <c r="J240" s="876">
        <v>9</v>
      </c>
      <c r="K240" s="663"/>
      <c r="L240" s="663"/>
      <c r="M240" s="664">
        <f>SUM(M241:M242)</f>
        <v>5.147174661083703</v>
      </c>
      <c r="N240" s="664">
        <f t="shared" ref="N240:T240" si="580">SUM(N241:N242)</f>
        <v>4.0039384768459021</v>
      </c>
      <c r="O240" s="664">
        <f t="shared" ref="O240" si="581">SUM(O241:O242)</f>
        <v>0.85341611044318222</v>
      </c>
      <c r="P240" s="664">
        <f t="shared" si="580"/>
        <v>0</v>
      </c>
      <c r="Q240" s="664">
        <f t="shared" si="580"/>
        <v>0.28982007379461877</v>
      </c>
      <c r="R240" s="664">
        <f t="shared" ref="R240" si="582">SUM(R241:R242)</f>
        <v>5.7497616185066949E-2</v>
      </c>
      <c r="S240" s="664">
        <f t="shared" si="580"/>
        <v>0</v>
      </c>
      <c r="T240" s="664">
        <f t="shared" si="580"/>
        <v>0</v>
      </c>
      <c r="V240" s="638">
        <f t="shared" si="480"/>
        <v>0</v>
      </c>
      <c r="W240" s="638">
        <f t="shared" si="482"/>
        <v>0</v>
      </c>
      <c r="Z240" s="638">
        <f t="shared" si="476"/>
        <v>0</v>
      </c>
      <c r="AA240" s="647" t="s">
        <v>3463</v>
      </c>
      <c r="AB240">
        <f>_xlfn.XLOOKUP($H240,'[1]Baumaterialien Matériaux'!$A:$A,'[1]Baumaterialien Matériaux'!AK:AK,0,0)</f>
        <v>0</v>
      </c>
      <c r="AC240" cm="1">
        <f t="array" ref="AC240">_xlfn.SWITCH(I240,"kg"," ",0," ",_xlfn.XLOOKUP(H240, '[1]Baumaterialien Matériaux'!$A:$A, '[1]Baumaterialien Matériaux'!$AL:$AL, "-", 0, 1))</f>
        <v>0</v>
      </c>
      <c r="AD240" s="1112" cm="1">
        <f t="array" ref="AD240">IFERROR(_xlfn.SWITCH(I240,"kg",1,"m3",AC240,AC240)*J240/(_xlfn.XLOOKUP(AA240,Métrés!A:A,Métrés!E:E,0)),0)</f>
        <v>0</v>
      </c>
      <c r="AE240" s="1092">
        <f>IFERROR(N240*$G$1/(_xlfn.XLOOKUP($AA240,Métrés!$A:$A,Métrés!$E:$E,0)),0)</f>
        <v>172.6166219839142</v>
      </c>
      <c r="AF240" s="1092">
        <f>IFERROR(O240*$G$1/(_xlfn.XLOOKUP($AA240,Métrés!$A:$A,Métrés!$E:$E,0)),0)</f>
        <v>36.792225201072384</v>
      </c>
      <c r="AG240" s="1092">
        <f>IFERROR(Q240*$G$1/(_xlfn.XLOOKUP($AA240,Métrés!$A:$A,Métrés!$E:$E,0)),0)</f>
        <v>12.494638069705092</v>
      </c>
      <c r="AH240" s="1092">
        <f>IFERROR(R240*$G$1/(_xlfn.XLOOKUP($AA240,Métrés!$A:$A,Métrés!$E:$E,0)),0)</f>
        <v>2.4788203753351201</v>
      </c>
      <c r="AI240" s="1092">
        <f>IFERROR(S240*$G$1/(_xlfn.XLOOKUP($AA240,Métrés!$A:$A,Métrés!$E:$E,0)),0)</f>
        <v>0</v>
      </c>
      <c r="AJ240" s="878"/>
      <c r="AK240" s="878"/>
      <c r="AL240" s="878"/>
      <c r="AM240" s="878"/>
      <c r="AN240" s="1053"/>
      <c r="AO240" s="878"/>
      <c r="AP240" s="878"/>
      <c r="AQ240" s="878"/>
      <c r="AR240" s="1054"/>
      <c r="AS240" s="1053"/>
      <c r="AT240" s="878"/>
      <c r="AU240" s="878"/>
      <c r="AV240" s="878"/>
      <c r="AW240" s="1054"/>
      <c r="AX240" s="1053"/>
      <c r="AY240" s="878"/>
      <c r="AZ240" s="878"/>
      <c r="BA240" s="878"/>
      <c r="BB240" s="1054"/>
      <c r="BC240" s="1053"/>
      <c r="BD240" s="878"/>
      <c r="BE240" s="878"/>
      <c r="BF240" s="1054"/>
      <c r="BG240" s="1053"/>
      <c r="BH240" s="878"/>
      <c r="BI240" s="1054"/>
      <c r="BJ240" s="878"/>
      <c r="BK240" s="1053"/>
      <c r="BL240" s="878"/>
      <c r="BM240" s="1054"/>
      <c r="BN240" s="720"/>
      <c r="BO240" s="720"/>
    </row>
    <row r="241" spans="2:67">
      <c r="B241" s="1101"/>
      <c r="C241" s="1099"/>
      <c r="D241" s="478"/>
      <c r="E241" s="478"/>
      <c r="F241" s="638" t="s">
        <v>3403</v>
      </c>
      <c r="G241" s="478" t="str">
        <f>_xlfn.XLOOKUP(H241, 'Baumaterialien Matériaux'!A:A, 'Baumaterialien Matériaux'!AD:AD, "-", 0, 1)</f>
        <v>Béton pour bâtiment (sans armature)</v>
      </c>
      <c r="H241" s="891">
        <v>1.0019999999999998</v>
      </c>
      <c r="I241" s="641" t="str">
        <f>_xlfn.XLOOKUP(H241, 'Baumaterialien Matériaux'!A:A, 'Baumaterialien Matériaux'!F:F, "-", 0, 1)</f>
        <v>kg</v>
      </c>
      <c r="J241" s="649">
        <f>9*2300</f>
        <v>20700</v>
      </c>
      <c r="K241" s="894">
        <f>J241/J240</f>
        <v>2300</v>
      </c>
      <c r="L241" s="647">
        <v>60</v>
      </c>
      <c r="M241" s="648">
        <f t="shared" ref="M241:M242" si="583">SUM(N241:Q241)</f>
        <v>2.6238650968036148</v>
      </c>
      <c r="N241" s="720">
        <f>IFERROR(($J241*VLOOKUP($H241, 'Baumaterialien Matériaux'!$A$11:$AH$318, 26,FALSE)),0)/$G$1</f>
        <v>1.9051448944902782</v>
      </c>
      <c r="O241" s="720">
        <f>IFERROR(($J241*VLOOKUP($H241, 'Baumaterialien Matériaux'!$A$11:$AH$318, 33,FALSE)),0)/$G$1</f>
        <v>0.44625015546619129</v>
      </c>
      <c r="P241" s="720">
        <f t="shared" ref="P241:P242" si="584">IFERROR((N241+Q241)*($L$2/L241-1),0)</f>
        <v>0</v>
      </c>
      <c r="Q241" s="720">
        <f>IFERROR(($J241*VLOOKUP($H241, 'Baumaterialien Matériaux'!$A$11:$AH$318, 27,FALSE)),0)/$G$1</f>
        <v>0.2724700468471456</v>
      </c>
      <c r="R241" s="720">
        <f>IFERROR(($J241*VLOOKUP($H241, 'Baumaterialien Matériaux'!$A$11:$AH$318, 34,FALSE)),0)/$G$1</f>
        <v>5.7497616185066949E-2</v>
      </c>
      <c r="S241" s="720">
        <f>IFERROR((J241*VLOOKUP(H241, 'Baumaterialien Matériaux'!$A$11:$AD$318, 29,FALSE)),0)/$G$1</f>
        <v>0</v>
      </c>
      <c r="T241" s="720">
        <f>S241*AJ241</f>
        <v>0</v>
      </c>
      <c r="V241" s="638">
        <f t="shared" si="480"/>
        <v>0</v>
      </c>
      <c r="W241" s="638">
        <f t="shared" si="482"/>
        <v>0</v>
      </c>
      <c r="Z241" s="638">
        <f t="shared" si="476"/>
        <v>60</v>
      </c>
      <c r="AA241" s="647" t="s">
        <v>3463</v>
      </c>
      <c r="AB241" t="str">
        <f>_xlfn.XLOOKUP($H241,'[1]Baumaterialien Matériaux'!$A:$A,'[1]Baumaterialien Matériaux'!AK:AK,0,0)</f>
        <v>concrete</v>
      </c>
      <c r="AC241" t="str" cm="1">
        <f t="array" ref="AC241">_xlfn.SWITCH(I241,"kg"," ",0," ",_xlfn.XLOOKUP(H241, '[1]Baumaterialien Matériaux'!$A:$A, '[1]Baumaterialien Matériaux'!$AL:$AL, "-", 0, 1))</f>
        <v xml:space="preserve"> </v>
      </c>
      <c r="AD241" s="1112" cm="1">
        <f t="array" ref="AD241">IFERROR(_xlfn.SWITCH(I241,"kg",1,"m3",AC241,AC241)*J241/(_xlfn.XLOOKUP(AA241,Métrés!A:A,Métrés!E:E,0)),0)</f>
        <v>924.9329758713136</v>
      </c>
      <c r="AE241" s="1092">
        <f>IFERROR(N241*$G$1/(_xlfn.XLOOKUP($AA241,Métrés!$A:$A,Métrés!$E:$E,0)),0)</f>
        <v>82.134048257372655</v>
      </c>
      <c r="AF241" s="1092">
        <f>IFERROR(O241*$G$1/(_xlfn.XLOOKUP($AA241,Métrés!$A:$A,Métrés!$E:$E,0)),0)</f>
        <v>19.238605898123321</v>
      </c>
      <c r="AG241" s="1092">
        <f>IFERROR(Q241*$G$1/(_xlfn.XLOOKUP($AA241,Métrés!$A:$A,Métrés!$E:$E,0)),0)</f>
        <v>11.746648793565681</v>
      </c>
      <c r="AH241" s="1092">
        <f>IFERROR(R241*$G$1/(_xlfn.XLOOKUP($AA241,Métrés!$A:$A,Métrés!$E:$E,0)),0)</f>
        <v>2.4788203753351201</v>
      </c>
      <c r="AI241" s="1092">
        <f>IFERROR(S241*$G$1/(_xlfn.XLOOKUP($AA241,Métrés!$A:$A,Métrés!$E:$E,0)),0)</f>
        <v>0</v>
      </c>
      <c r="AJ241" s="1022"/>
      <c r="AK241" s="638">
        <f>IF(L241=60,0,T241)</f>
        <v>0</v>
      </c>
      <c r="AL241" s="638">
        <f>IF(L241=60,0,S241)</f>
        <v>0</v>
      </c>
      <c r="AM241" s="638" t="str">
        <f>IF(L241=$L$2, "Structure", IF(L241&gt;0,"Revêtement",0))</f>
        <v>Structure</v>
      </c>
      <c r="AN241" s="1017">
        <f>IF(AM241="Structure",N241,0)</f>
        <v>1.9051448944902782</v>
      </c>
      <c r="AO241" s="638">
        <f>IF(AM241="Structure",P241,0)</f>
        <v>0</v>
      </c>
      <c r="AP241" s="638">
        <f>IF(AM241="Structure",Q241,0)</f>
        <v>0.2724700468471456</v>
      </c>
      <c r="AQ241" s="1018">
        <f>IF(AM241="Structure",S241,0)</f>
        <v>0</v>
      </c>
      <c r="AR241" s="1018">
        <f>IF(AM241="Structure",T241,0)</f>
        <v>0</v>
      </c>
      <c r="AS241" s="1017">
        <f>IF(AM241="Insulation",N241,0)</f>
        <v>0</v>
      </c>
      <c r="AT241" s="638">
        <f>IF(AM241="Insulation",P241,0)</f>
        <v>0</v>
      </c>
      <c r="AU241" s="638">
        <f>IF(AM241="Insulation",Q241,0)</f>
        <v>0</v>
      </c>
      <c r="AV241" s="1018">
        <f>IF(AM241="Insulation",S241,0)</f>
        <v>0</v>
      </c>
      <c r="AW241" s="1018">
        <f>IF(AM241="Insulation",T241,0)</f>
        <v>0</v>
      </c>
      <c r="AX241" s="1017">
        <f>IF(AM241="Revêtement",N241,0)</f>
        <v>0</v>
      </c>
      <c r="AY241" s="638">
        <f>IF(AM241="Revêtement",P241,0)</f>
        <v>0</v>
      </c>
      <c r="AZ241" s="638">
        <f>IF(AM241="Revêtement",Q241,0)</f>
        <v>0</v>
      </c>
      <c r="BA241" s="638">
        <f>IF(AM241="Revêtement",S241,0)</f>
        <v>0</v>
      </c>
      <c r="BB241" s="1018">
        <f>IF(AM241="Revêtement",T241,0)</f>
        <v>0</v>
      </c>
      <c r="BC241" s="1017"/>
      <c r="BF241" s="1018"/>
      <c r="BG241" s="1017">
        <f>IF($AM241="Structure", IF($I241="kg",$J241,0), 0)</f>
        <v>20700</v>
      </c>
      <c r="BH241" s="638">
        <f>IF($AM241="Insulation", IF($I241="kg",$J241,0), 0)</f>
        <v>0</v>
      </c>
      <c r="BI241" s="1018">
        <f>IF($AM241="Revêtement", IF($I241="kg",$J241,0), 0)</f>
        <v>0</v>
      </c>
      <c r="BJ241" s="638">
        <f>_xlfn.XLOOKUP(H241, 'Baumaterialien Matériaux'!A:A, 'Baumaterialien Matériaux'!E:E, "-", 0, 1)</f>
        <v>2300</v>
      </c>
      <c r="BK241" s="1032">
        <f t="shared" si="470"/>
        <v>9</v>
      </c>
      <c r="BL241" s="1030">
        <f t="shared" si="471"/>
        <v>0</v>
      </c>
      <c r="BM241" s="1033">
        <f t="shared" si="472"/>
        <v>0</v>
      </c>
      <c r="BN241" s="720"/>
      <c r="BO241" s="720"/>
    </row>
    <row r="242" spans="2:67">
      <c r="B242" s="1101"/>
      <c r="C242" s="1099"/>
      <c r="D242" s="478"/>
      <c r="E242" s="478"/>
      <c r="F242" s="638" t="s">
        <v>3004</v>
      </c>
      <c r="G242" s="478" t="str">
        <f>_xlfn.XLOOKUP(H242, 'Baumaterialien Matériaux'!A:A, 'Baumaterialien Matériaux'!AD:AD, "-", 0, 1)</f>
        <v>Acier d'armature</v>
      </c>
      <c r="H242" s="892" t="s">
        <v>497</v>
      </c>
      <c r="I242" s="641" t="str">
        <f>_xlfn.XLOOKUP(H242, 'Baumaterialien Matériaux'!A:A, 'Baumaterialien Matériaux'!F:F, "-", 0, 1)</f>
        <v>kg</v>
      </c>
      <c r="J242" s="649">
        <f>150*9</f>
        <v>1350</v>
      </c>
      <c r="K242" s="894">
        <f>J242/J240</f>
        <v>150</v>
      </c>
      <c r="L242" s="647">
        <v>60</v>
      </c>
      <c r="M242" s="648">
        <f t="shared" si="583"/>
        <v>2.5233095642800878</v>
      </c>
      <c r="N242" s="720">
        <f>IFERROR(($J242*VLOOKUP($H242, 'Baumaterialien Matériaux'!$A$11:$AH$318, 26,FALSE)),0)/$G$1</f>
        <v>2.0987935823556239</v>
      </c>
      <c r="O242" s="720">
        <f>IFERROR(($J242*VLOOKUP($H242, 'Baumaterialien Matériaux'!$A$11:$AH$318, 33,FALSE)),0)/$G$1</f>
        <v>0.40716595497699093</v>
      </c>
      <c r="P242" s="720">
        <f t="shared" si="584"/>
        <v>0</v>
      </c>
      <c r="Q242" s="720">
        <f>IFERROR(($J242*VLOOKUP($H242, 'Baumaterialien Matériaux'!$A$11:$AH$318, 27,FALSE)),0)/$G$1</f>
        <v>1.7350026947473153E-2</v>
      </c>
      <c r="R242" s="720">
        <f>IFERROR(($J242*VLOOKUP($H242, 'Baumaterialien Matériaux'!$A$11:$AH$318, 34,FALSE)),0)/$G$1</f>
        <v>0</v>
      </c>
      <c r="S242" s="720">
        <f>IFERROR((J242*VLOOKUP(H242, 'Baumaterialien Matériaux'!$A$11:$AD$318, 29,FALSE)),0)/$G$1</f>
        <v>0</v>
      </c>
      <c r="T242" s="720">
        <f>S242*AJ242</f>
        <v>0</v>
      </c>
      <c r="V242" s="638">
        <f t="shared" si="480"/>
        <v>0</v>
      </c>
      <c r="W242" s="638">
        <f t="shared" si="482"/>
        <v>0</v>
      </c>
      <c r="Z242" s="638">
        <f t="shared" si="476"/>
        <v>60</v>
      </c>
      <c r="AA242" s="647" t="s">
        <v>3463</v>
      </c>
      <c r="AB242" t="str">
        <f>_xlfn.XLOOKUP($H242,'[1]Baumaterialien Matériaux'!$A:$A,'[1]Baumaterialien Matériaux'!AK:AK,0,0)</f>
        <v>metal</v>
      </c>
      <c r="AC242" t="str" cm="1">
        <f t="array" ref="AC242">_xlfn.SWITCH(I242,"kg"," ",0," ",_xlfn.XLOOKUP(H242, '[1]Baumaterialien Matériaux'!$A:$A, '[1]Baumaterialien Matériaux'!$AL:$AL, "-", 0, 1))</f>
        <v xml:space="preserve"> </v>
      </c>
      <c r="AD242" s="1112" cm="1">
        <f t="array" ref="AD242">IFERROR(_xlfn.SWITCH(I242,"kg",1,"m3",AC242,AC242)*J242/(_xlfn.XLOOKUP(AA242,Métrés!A:A,Métrés!E:E,0)),0)</f>
        <v>60.321715817694361</v>
      </c>
      <c r="AE242" s="1092">
        <f>IFERROR(N242*$G$1/(_xlfn.XLOOKUP($AA242,Métrés!$A:$A,Métrés!$E:$E,0)),0)</f>
        <v>90.48257372654156</v>
      </c>
      <c r="AF242" s="1092">
        <f>IFERROR(O242*$G$1/(_xlfn.XLOOKUP($AA242,Métrés!$A:$A,Métrés!$E:$E,0)),0)</f>
        <v>17.553619302949059</v>
      </c>
      <c r="AG242" s="1092">
        <f>IFERROR(Q242*$G$1/(_xlfn.XLOOKUP($AA242,Métrés!$A:$A,Métrés!$E:$E,0)),0)</f>
        <v>0.74798927613941002</v>
      </c>
      <c r="AH242" s="1092">
        <f>IFERROR(R242*$G$1/(_xlfn.XLOOKUP($AA242,Métrés!$A:$A,Métrés!$E:$E,0)),0)</f>
        <v>0</v>
      </c>
      <c r="AI242" s="1092">
        <f>IFERROR(S242*$G$1/(_xlfn.XLOOKUP($AA242,Métrés!$A:$A,Métrés!$E:$E,0)),0)</f>
        <v>0</v>
      </c>
      <c r="AJ242" s="1022"/>
      <c r="AK242" s="638">
        <f>IF(L242=60,0,T242)</f>
        <v>0</v>
      </c>
      <c r="AL242" s="638">
        <f>IF(L242=60,0,S242)</f>
        <v>0</v>
      </c>
      <c r="AM242" s="638" t="str">
        <f>IF(L242=$L$2, "Structure", IF(L242&gt;0,"Revêtement",0))</f>
        <v>Structure</v>
      </c>
      <c r="AN242" s="1017">
        <f>IF(AM242="Structure",N242,0)</f>
        <v>2.0987935823556239</v>
      </c>
      <c r="AO242" s="638">
        <f>IF(AM242="Structure",P242,0)</f>
        <v>0</v>
      </c>
      <c r="AP242" s="638">
        <f>IF(AM242="Structure",Q242,0)</f>
        <v>1.7350026947473153E-2</v>
      </c>
      <c r="AQ242" s="1018">
        <f>IF(AM242="Structure",S242,0)</f>
        <v>0</v>
      </c>
      <c r="AR242" s="1018">
        <f>IF(AM242="Structure",T242,0)</f>
        <v>0</v>
      </c>
      <c r="AS242" s="1017">
        <f>IF(AM242="Insulation",N242,0)</f>
        <v>0</v>
      </c>
      <c r="AT242" s="638">
        <f>IF(AM242="Insulation",P242,0)</f>
        <v>0</v>
      </c>
      <c r="AU242" s="638">
        <f>IF(AM242="Insulation",Q242,0)</f>
        <v>0</v>
      </c>
      <c r="AV242" s="1018">
        <f>IF(AM242="Insulation",S242,0)</f>
        <v>0</v>
      </c>
      <c r="AW242" s="1018">
        <f>IF(AM242="Insulation",T242,0)</f>
        <v>0</v>
      </c>
      <c r="AX242" s="1017">
        <f>IF(AM242="Revêtement",N242,0)</f>
        <v>0</v>
      </c>
      <c r="AY242" s="638">
        <f>IF(AM242="Revêtement",P242,0)</f>
        <v>0</v>
      </c>
      <c r="AZ242" s="638">
        <f>IF(AM242="Revêtement",Q242,0)</f>
        <v>0</v>
      </c>
      <c r="BA242" s="638">
        <f>IF(AM242="Revêtement",S242,0)</f>
        <v>0</v>
      </c>
      <c r="BB242" s="1018">
        <f>IF(AM242="Revêtement",T242,0)</f>
        <v>0</v>
      </c>
      <c r="BC242" s="1017"/>
      <c r="BF242" s="1018"/>
      <c r="BG242" s="1017">
        <f>IF($AM242="Structure", IF($I242="kg",$J242,0), 0)</f>
        <v>1350</v>
      </c>
      <c r="BH242" s="638">
        <f>IF($AM242="Insulation", IF($I242="kg",$J242,0), 0)</f>
        <v>0</v>
      </c>
      <c r="BI242" s="1018">
        <f>IF($AM242="Revêtement", IF($I242="kg",$J242,0), 0)</f>
        <v>0</v>
      </c>
      <c r="BJ242" s="638">
        <f>_xlfn.XLOOKUP(H242, 'Baumaterialien Matériaux'!A:A, 'Baumaterialien Matériaux'!E:E, "-", 0, 1)</f>
        <v>7850</v>
      </c>
      <c r="BK242" s="1032">
        <f t="shared" si="470"/>
        <v>0.17197452229299362</v>
      </c>
      <c r="BL242" s="1030">
        <f t="shared" si="471"/>
        <v>0</v>
      </c>
      <c r="BM242" s="1033">
        <f t="shared" si="472"/>
        <v>0</v>
      </c>
      <c r="BN242" s="720"/>
      <c r="BO242" s="720"/>
    </row>
    <row r="243" spans="2:67">
      <c r="B243" s="1101"/>
      <c r="C243" s="1099"/>
      <c r="D243" s="478"/>
      <c r="E243" s="478"/>
      <c r="F243" s="479" t="s">
        <v>3290</v>
      </c>
      <c r="G243" s="479"/>
      <c r="H243" s="479"/>
      <c r="I243" s="459" t="s">
        <v>39</v>
      </c>
      <c r="J243" s="662"/>
      <c r="K243" s="663"/>
      <c r="L243" s="663"/>
      <c r="M243" s="664">
        <f>SUM(M244:M245)</f>
        <v>0</v>
      </c>
      <c r="N243" s="664">
        <f t="shared" ref="N243:T243" si="585">SUM(N244:N245)</f>
        <v>0</v>
      </c>
      <c r="O243" s="664">
        <f t="shared" ref="O243" si="586">SUM(O244:O245)</f>
        <v>0</v>
      </c>
      <c r="P243" s="664">
        <f t="shared" si="585"/>
        <v>0</v>
      </c>
      <c r="Q243" s="664">
        <f t="shared" si="585"/>
        <v>0</v>
      </c>
      <c r="R243" s="664">
        <f t="shared" ref="R243" si="587">SUM(R244:R245)</f>
        <v>0</v>
      </c>
      <c r="S243" s="664">
        <f t="shared" si="585"/>
        <v>0</v>
      </c>
      <c r="T243" s="664">
        <f t="shared" si="585"/>
        <v>0</v>
      </c>
      <c r="V243" s="638">
        <f t="shared" si="480"/>
        <v>0</v>
      </c>
      <c r="W243" s="638">
        <f t="shared" si="482"/>
        <v>0</v>
      </c>
      <c r="Z243" s="638">
        <f t="shared" si="476"/>
        <v>0</v>
      </c>
      <c r="AA243" s="647" t="s">
        <v>3463</v>
      </c>
      <c r="AB243">
        <f>_xlfn.XLOOKUP($H243,'[1]Baumaterialien Matériaux'!$A:$A,'[1]Baumaterialien Matériaux'!AK:AK,0,0)</f>
        <v>0</v>
      </c>
      <c r="AC243" cm="1">
        <f t="array" ref="AC243">_xlfn.SWITCH(I243,"kg"," ",0," ",_xlfn.XLOOKUP(H243, '[1]Baumaterialien Matériaux'!$A:$A, '[1]Baumaterialien Matériaux'!$AL:$AL, "-", 0, 1))</f>
        <v>0</v>
      </c>
      <c r="AD243" s="1112" cm="1">
        <f t="array" ref="AD243">IFERROR(_xlfn.SWITCH(I243,"kg",1,"m3",AC243,AC243)*J243/(_xlfn.XLOOKUP(AA243,Métrés!A:A,Métrés!E:E,0)),0)</f>
        <v>0</v>
      </c>
      <c r="AE243" s="1092">
        <f>IFERROR(N243*$G$1/(_xlfn.XLOOKUP($AA243,Métrés!$A:$A,Métrés!$E:$E,0)),0)</f>
        <v>0</v>
      </c>
      <c r="AF243" s="1092">
        <f>IFERROR(O243*$G$1/(_xlfn.XLOOKUP($AA243,Métrés!$A:$A,Métrés!$E:$E,0)),0)</f>
        <v>0</v>
      </c>
      <c r="AG243" s="1092">
        <f>IFERROR(Q243*$G$1/(_xlfn.XLOOKUP($AA243,Métrés!$A:$A,Métrés!$E:$E,0)),0)</f>
        <v>0</v>
      </c>
      <c r="AH243" s="1092">
        <f>IFERROR(R243*$G$1/(_xlfn.XLOOKUP($AA243,Métrés!$A:$A,Métrés!$E:$E,0)),0)</f>
        <v>0</v>
      </c>
      <c r="AI243" s="1092">
        <f>IFERROR(S243*$G$1/(_xlfn.XLOOKUP($AA243,Métrés!$A:$A,Métrés!$E:$E,0)),0)</f>
        <v>0</v>
      </c>
      <c r="AJ243" s="878"/>
      <c r="AK243" s="878"/>
      <c r="AL243" s="878"/>
      <c r="AM243" s="878"/>
      <c r="AN243" s="1053"/>
      <c r="AO243" s="878"/>
      <c r="AP243" s="878"/>
      <c r="AQ243" s="878"/>
      <c r="AR243" s="1054"/>
      <c r="AS243" s="1053"/>
      <c r="AT243" s="878"/>
      <c r="AU243" s="878"/>
      <c r="AV243" s="878"/>
      <c r="AW243" s="1054"/>
      <c r="AX243" s="1053"/>
      <c r="AY243" s="878"/>
      <c r="AZ243" s="878"/>
      <c r="BA243" s="878"/>
      <c r="BB243" s="1054"/>
      <c r="BC243" s="1053"/>
      <c r="BD243" s="878"/>
      <c r="BE243" s="878"/>
      <c r="BF243" s="1054"/>
      <c r="BG243" s="1053"/>
      <c r="BH243" s="878"/>
      <c r="BI243" s="1054"/>
      <c r="BJ243" s="878"/>
      <c r="BK243" s="1053"/>
      <c r="BL243" s="878"/>
      <c r="BM243" s="1054"/>
      <c r="BN243" s="720"/>
      <c r="BO243" s="720"/>
    </row>
    <row r="244" spans="2:67">
      <c r="B244" s="1101"/>
      <c r="C244" s="1099"/>
      <c r="D244" s="478"/>
      <c r="E244" s="478"/>
      <c r="F244" s="638" t="s">
        <v>3402</v>
      </c>
      <c r="G244" s="478" t="str">
        <f>_xlfn.XLOOKUP(H244, 'Baumaterialien Matériaux'!A:A, 'Baumaterialien Matériaux'!AD:AD, "-", 0, 1)</f>
        <v>Données écobilans dans la construction</v>
      </c>
      <c r="H244" s="891"/>
      <c r="I244" s="641">
        <f>_xlfn.XLOOKUP(H244, 'Baumaterialien Matériaux'!A:A, 'Baumaterialien Matériaux'!F:F, "-", 0, 1)</f>
        <v>0</v>
      </c>
      <c r="J244" s="649"/>
      <c r="K244" s="894"/>
      <c r="L244" s="647">
        <v>60</v>
      </c>
      <c r="M244" s="648">
        <f t="shared" ref="M244" si="588">SUM(N244:Q244)</f>
        <v>0</v>
      </c>
      <c r="N244" s="720">
        <f>IFERROR(($J244*VLOOKUP($H244, 'Baumaterialien Matériaux'!$A$11:$AH$318, 26,FALSE)),0)/$G$1</f>
        <v>0</v>
      </c>
      <c r="O244" s="720">
        <f>IFERROR(($J244*VLOOKUP($H244, 'Baumaterialien Matériaux'!$A$11:$AH$318, 33,FALSE)),0)/$G$1</f>
        <v>0</v>
      </c>
      <c r="P244" s="720">
        <f t="shared" ref="P244" si="589">IFERROR((N244+Q244)*($L$2/L244-1),0)</f>
        <v>0</v>
      </c>
      <c r="Q244" s="720">
        <f>IFERROR(($J244*VLOOKUP($H244, 'Baumaterialien Matériaux'!$A$11:$AH$318, 27,FALSE)),0)/$G$1</f>
        <v>0</v>
      </c>
      <c r="R244" s="720">
        <f>IFERROR(($J244*VLOOKUP($H244, 'Baumaterialien Matériaux'!$A$11:$AH$318, 34,FALSE)),0)/$G$1</f>
        <v>0</v>
      </c>
      <c r="S244" s="720">
        <f>IFERROR((J244*VLOOKUP(H244, 'Baumaterialien Matériaux'!$A$11:$AD$318, 29,FALSE)),0)/$G$1</f>
        <v>0</v>
      </c>
      <c r="T244" s="720">
        <f>S244*AJ244</f>
        <v>0</v>
      </c>
      <c r="V244" s="638">
        <f t="shared" si="480"/>
        <v>0</v>
      </c>
      <c r="W244" s="638">
        <f t="shared" si="482"/>
        <v>0</v>
      </c>
      <c r="Z244" s="638">
        <f t="shared" si="476"/>
        <v>60</v>
      </c>
      <c r="AA244" s="647" t="s">
        <v>3463</v>
      </c>
      <c r="AB244">
        <f>_xlfn.XLOOKUP($H244,'[1]Baumaterialien Matériaux'!$A:$A,'[1]Baumaterialien Matériaux'!AK:AK,0,0)</f>
        <v>0</v>
      </c>
      <c r="AC244" t="str" cm="1">
        <f t="array" ref="AC244">_xlfn.SWITCH(I244,"kg"," ",0," ",_xlfn.XLOOKUP(H244, '[1]Baumaterialien Matériaux'!$A:$A, '[1]Baumaterialien Matériaux'!$AL:$AL, "-", 0, 1))</f>
        <v xml:space="preserve"> </v>
      </c>
      <c r="AD244" s="1112" cm="1">
        <f t="array" ref="AD244">IFERROR(_xlfn.SWITCH(I244,"kg",1,"m3",AC244,AC244)*J244/(_xlfn.XLOOKUP(AA244,Métrés!A:A,Métrés!E:E,0)),0)</f>
        <v>0</v>
      </c>
      <c r="AE244" s="1092">
        <f>IFERROR(N244*$G$1/(_xlfn.XLOOKUP($AA244,Métrés!$A:$A,Métrés!$E:$E,0)),0)</f>
        <v>0</v>
      </c>
      <c r="AF244" s="1092">
        <f>IFERROR(O244*$G$1/(_xlfn.XLOOKUP($AA244,Métrés!$A:$A,Métrés!$E:$E,0)),0)</f>
        <v>0</v>
      </c>
      <c r="AG244" s="1092">
        <f>IFERROR(Q244*$G$1/(_xlfn.XLOOKUP($AA244,Métrés!$A:$A,Métrés!$E:$E,0)),0)</f>
        <v>0</v>
      </c>
      <c r="AH244" s="1092">
        <f>IFERROR(R244*$G$1/(_xlfn.XLOOKUP($AA244,Métrés!$A:$A,Métrés!$E:$E,0)),0)</f>
        <v>0</v>
      </c>
      <c r="AI244" s="1092">
        <f>IFERROR(S244*$G$1/(_xlfn.XLOOKUP($AA244,Métrés!$A:$A,Métrés!$E:$E,0)),0)</f>
        <v>0</v>
      </c>
      <c r="AJ244" s="1022"/>
      <c r="AK244" s="638">
        <f>IF(L244=60,0,T244)</f>
        <v>0</v>
      </c>
      <c r="AL244" s="638">
        <f>IF(L244=60,0,S244)</f>
        <v>0</v>
      </c>
      <c r="AM244" s="638" t="str">
        <f>IF(L244=$L$2, "Structure", IF(L244&gt;0,"Revêtement",0))</f>
        <v>Structure</v>
      </c>
      <c r="AN244" s="1017">
        <f>IF(AM244="Structure",N244,0)</f>
        <v>0</v>
      </c>
      <c r="AO244" s="638">
        <f>IF(AM244="Structure",P244,0)</f>
        <v>0</v>
      </c>
      <c r="AP244" s="638">
        <f>IF(AM244="Structure",Q244,0)</f>
        <v>0</v>
      </c>
      <c r="AQ244" s="1018">
        <f>IF(AM244="Structure",S244,0)</f>
        <v>0</v>
      </c>
      <c r="AR244" s="1018">
        <f>IF(AM244="Structure",T244,0)</f>
        <v>0</v>
      </c>
      <c r="AS244" s="1017">
        <f>IF(AM244="Insulation",N244,0)</f>
        <v>0</v>
      </c>
      <c r="AT244" s="638">
        <f>IF(AM244="Insulation",P244,0)</f>
        <v>0</v>
      </c>
      <c r="AU244" s="638">
        <f>IF(AM244="Insulation",Q244,0)</f>
        <v>0</v>
      </c>
      <c r="AV244" s="1018">
        <f>IF(AM244="Insulation",S244,0)</f>
        <v>0</v>
      </c>
      <c r="AW244" s="1018">
        <f>IF(AM244="Insulation",T244,0)</f>
        <v>0</v>
      </c>
      <c r="AX244" s="1017">
        <f>IF(AM244="Revêtement",N244,0)</f>
        <v>0</v>
      </c>
      <c r="AY244" s="638">
        <f>IF(AM244="Revêtement",P244,0)</f>
        <v>0</v>
      </c>
      <c r="AZ244" s="638">
        <f>IF(AM244="Revêtement",Q244,0)</f>
        <v>0</v>
      </c>
      <c r="BA244" s="638">
        <f>IF(AM244="Revêtement",S244,0)</f>
        <v>0</v>
      </c>
      <c r="BB244" s="1018">
        <f>IF(AM244="Revêtement",T244,0)</f>
        <v>0</v>
      </c>
      <c r="BC244" s="1017"/>
      <c r="BF244" s="1018"/>
      <c r="BG244" s="1017">
        <f>IF($AM244="Structure", IF($I244="kg",$J244,0), 0)</f>
        <v>0</v>
      </c>
      <c r="BH244" s="638">
        <f>IF($AM244="Insulation", IF($I244="kg",$J244,0), 0)</f>
        <v>0</v>
      </c>
      <c r="BI244" s="1018">
        <f>IF($AM244="Revêtement", IF($I244="kg",$J244,0), 0)</f>
        <v>0</v>
      </c>
      <c r="BJ244" s="638">
        <f>_xlfn.XLOOKUP(H244, 'Baumaterialien Matériaux'!A:A, 'Baumaterialien Matériaux'!E:E, "-", 0, 1)</f>
        <v>0</v>
      </c>
      <c r="BK244" s="1032">
        <f t="shared" si="470"/>
        <v>0</v>
      </c>
      <c r="BL244" s="1030">
        <f t="shared" si="471"/>
        <v>0</v>
      </c>
      <c r="BM244" s="1033">
        <f t="shared" si="472"/>
        <v>0</v>
      </c>
      <c r="BN244" s="720"/>
      <c r="BO244" s="720"/>
    </row>
    <row r="245" spans="2:67">
      <c r="B245" s="1101"/>
      <c r="C245" s="1099"/>
      <c r="D245" s="478"/>
      <c r="E245" s="478"/>
      <c r="G245" s="478"/>
      <c r="H245" s="892"/>
      <c r="I245" s="641"/>
      <c r="J245" s="649"/>
      <c r="K245" s="894"/>
      <c r="L245" s="647"/>
      <c r="M245" s="648"/>
      <c r="N245" s="720"/>
      <c r="O245" s="720"/>
      <c r="P245" s="720"/>
      <c r="Q245" s="720"/>
      <c r="R245" s="720"/>
      <c r="S245" s="720"/>
      <c r="T245" s="720">
        <f>S245*AJ245</f>
        <v>0</v>
      </c>
      <c r="V245" s="638">
        <f t="shared" si="480"/>
        <v>0</v>
      </c>
      <c r="W245" s="638">
        <f t="shared" si="482"/>
        <v>0</v>
      </c>
      <c r="Z245" s="638">
        <f t="shared" si="476"/>
        <v>0</v>
      </c>
      <c r="AA245" s="647" t="s">
        <v>3463</v>
      </c>
      <c r="AB245">
        <f>_xlfn.XLOOKUP($H245,'[1]Baumaterialien Matériaux'!$A:$A,'[1]Baumaterialien Matériaux'!AK:AK,0,0)</f>
        <v>0</v>
      </c>
      <c r="AC245" t="str" cm="1">
        <f t="array" ref="AC245">_xlfn.SWITCH(I245,"kg"," ",0," ",_xlfn.XLOOKUP(H245, '[1]Baumaterialien Matériaux'!$A:$A, '[1]Baumaterialien Matériaux'!$AL:$AL, "-", 0, 1))</f>
        <v xml:space="preserve"> </v>
      </c>
      <c r="AD245" s="1112" cm="1">
        <f t="array" ref="AD245">IFERROR(_xlfn.SWITCH(I245,"kg",1,"m3",AC245,AC245)*J245/(_xlfn.XLOOKUP(AA245,Métrés!A:A,Métrés!E:E,0)),0)</f>
        <v>0</v>
      </c>
      <c r="AE245" s="1092">
        <f>IFERROR(N245*$G$1/(_xlfn.XLOOKUP($AA245,Métrés!$A:$A,Métrés!$E:$E,0)),0)</f>
        <v>0</v>
      </c>
      <c r="AF245" s="1092">
        <f>IFERROR(O245*$G$1/(_xlfn.XLOOKUP($AA245,Métrés!$A:$A,Métrés!$E:$E,0)),0)</f>
        <v>0</v>
      </c>
      <c r="AG245" s="1092">
        <f>IFERROR(Q245*$G$1/(_xlfn.XLOOKUP($AA245,Métrés!$A:$A,Métrés!$E:$E,0)),0)</f>
        <v>0</v>
      </c>
      <c r="AH245" s="1092">
        <f>IFERROR(R245*$G$1/(_xlfn.XLOOKUP($AA245,Métrés!$A:$A,Métrés!$E:$E,0)),0)</f>
        <v>0</v>
      </c>
      <c r="AI245" s="1092">
        <f>IFERROR(S245*$G$1/(_xlfn.XLOOKUP($AA245,Métrés!$A:$A,Métrés!$E:$E,0)),0)</f>
        <v>0</v>
      </c>
      <c r="AJ245" s="1022"/>
      <c r="AK245" s="638">
        <f>IF(L245=60,0,T245)</f>
        <v>0</v>
      </c>
      <c r="AL245" s="638">
        <f>IF(L245=60,0,S245)</f>
        <v>0</v>
      </c>
      <c r="AM245" s="638">
        <f>IF(L245=$L$2, "Structure", IF(L245&gt;0,"Revêtement",0))</f>
        <v>0</v>
      </c>
      <c r="AN245" s="1017">
        <f>IF(AM245="Structure",N245,0)</f>
        <v>0</v>
      </c>
      <c r="AO245" s="638">
        <f>IF(AM245="Structure",P245,0)</f>
        <v>0</v>
      </c>
      <c r="AP245" s="638">
        <f>IF(AM245="Structure",Q245,0)</f>
        <v>0</v>
      </c>
      <c r="AQ245" s="1018">
        <f>IF(AM245="Structure",S245,0)</f>
        <v>0</v>
      </c>
      <c r="AR245" s="1018">
        <f>IF(AM245="Structure",T245,0)</f>
        <v>0</v>
      </c>
      <c r="AS245" s="1017">
        <f>IF(AM245="Insulation",N245,0)</f>
        <v>0</v>
      </c>
      <c r="AT245" s="638">
        <f>IF(AM245="Insulation",P245,0)</f>
        <v>0</v>
      </c>
      <c r="AU245" s="638">
        <f>IF(AM245="Insulation",Q245,0)</f>
        <v>0</v>
      </c>
      <c r="AV245" s="1018">
        <f>IF(AM245="Insulation",S245,0)</f>
        <v>0</v>
      </c>
      <c r="AW245" s="1018">
        <f>IF(AM245="Insulation",T245,0)</f>
        <v>0</v>
      </c>
      <c r="AX245" s="1017">
        <f>IF(AM245="Revêtement",N245,0)</f>
        <v>0</v>
      </c>
      <c r="AY245" s="638">
        <f>IF(AM245="Revêtement",P245,0)</f>
        <v>0</v>
      </c>
      <c r="AZ245" s="638">
        <f>IF(AM245="Revêtement",Q245,0)</f>
        <v>0</v>
      </c>
      <c r="BA245" s="638">
        <f>IF(AM245="Revêtement",S245,0)</f>
        <v>0</v>
      </c>
      <c r="BB245" s="1018">
        <f>IF(AM245="Revêtement",T245,0)</f>
        <v>0</v>
      </c>
      <c r="BC245" s="1017">
        <f>IF(AM245="Installation",N245,0)</f>
        <v>0</v>
      </c>
      <c r="BD245" s="638">
        <f>IF(AM245="Installation",P245,0)</f>
        <v>0</v>
      </c>
      <c r="BE245" s="638">
        <f>IF(AM245="Installation",Q245,0)</f>
        <v>0</v>
      </c>
      <c r="BF245" s="1018"/>
      <c r="BG245" s="1017">
        <f>IF($AM245="Structure", IF($I245="kg",$J245,0), 0)</f>
        <v>0</v>
      </c>
      <c r="BH245" s="638">
        <f>IF($AM245="Insulation", IF($I245="kg",$J245,0), 0)</f>
        <v>0</v>
      </c>
      <c r="BI245" s="1018">
        <f>IF($AM245="Revêtement", IF($I245="kg",$J245,0), 0)</f>
        <v>0</v>
      </c>
      <c r="BJ245" s="638">
        <f>_xlfn.XLOOKUP(H245, 'Baumaterialien Matériaux'!A:A, 'Baumaterialien Matériaux'!E:E, "-", 0, 1)</f>
        <v>0</v>
      </c>
      <c r="BK245" s="1032">
        <f t="shared" si="470"/>
        <v>0</v>
      </c>
      <c r="BL245" s="1030">
        <f t="shared" si="471"/>
        <v>0</v>
      </c>
      <c r="BM245" s="1033">
        <f t="shared" si="472"/>
        <v>0</v>
      </c>
      <c r="BN245" s="720"/>
      <c r="BO245" s="720"/>
    </row>
    <row r="246" spans="2:67">
      <c r="B246" s="1101"/>
      <c r="C246" s="1099"/>
      <c r="D246" s="478"/>
      <c r="E246" s="478"/>
      <c r="G246" s="478"/>
      <c r="H246" s="875"/>
      <c r="I246" s="641"/>
      <c r="J246" s="649"/>
      <c r="K246" s="650"/>
      <c r="L246" s="647"/>
      <c r="M246" s="648"/>
      <c r="N246" s="720"/>
      <c r="O246" s="720"/>
      <c r="P246" s="720"/>
      <c r="Q246" s="720"/>
      <c r="R246" s="720"/>
      <c r="S246" s="720"/>
      <c r="T246" s="720"/>
      <c r="Z246" s="638">
        <f t="shared" si="476"/>
        <v>0</v>
      </c>
      <c r="AA246" s="647" t="s">
        <v>3463</v>
      </c>
      <c r="AB246">
        <f>_xlfn.XLOOKUP($H246,'[1]Baumaterialien Matériaux'!$A:$A,'[1]Baumaterialien Matériaux'!AK:AK,0,0)</f>
        <v>0</v>
      </c>
      <c r="AC246" t="str" cm="1">
        <f t="array" ref="AC246">_xlfn.SWITCH(I246,"kg"," ",0," ",_xlfn.XLOOKUP(H246, '[1]Baumaterialien Matériaux'!$A:$A, '[1]Baumaterialien Matériaux'!$AL:$AL, "-", 0, 1))</f>
        <v xml:space="preserve"> </v>
      </c>
      <c r="AD246" s="1112" cm="1">
        <f t="array" ref="AD246">IFERROR(_xlfn.SWITCH(I246,"kg",1,"m3",AC246,AC246)*J246/(_xlfn.XLOOKUP(AA246,Métrés!A:A,Métrés!E:E,0)),0)</f>
        <v>0</v>
      </c>
      <c r="AE246" s="1092">
        <f>IFERROR(N246*$G$1/(_xlfn.XLOOKUP($AA246,Métrés!$A:$A,Métrés!$E:$E,0)),0)</f>
        <v>0</v>
      </c>
      <c r="AF246" s="1092">
        <f>IFERROR(O246*$G$1/(_xlfn.XLOOKUP($AA246,Métrés!$A:$A,Métrés!$E:$E,0)),0)</f>
        <v>0</v>
      </c>
      <c r="AG246" s="1092">
        <f>IFERROR(Q246*$G$1/(_xlfn.XLOOKUP($AA246,Métrés!$A:$A,Métrés!$E:$E,0)),0)</f>
        <v>0</v>
      </c>
      <c r="AH246" s="1092">
        <f>IFERROR(R246*$G$1/(_xlfn.XLOOKUP($AA246,Métrés!$A:$A,Métrés!$E:$E,0)),0)</f>
        <v>0</v>
      </c>
      <c r="AI246" s="1092">
        <f>IFERROR(S246*$G$1/(_xlfn.XLOOKUP($AA246,Métrés!$A:$A,Métrés!$E:$E,0)),0)</f>
        <v>0</v>
      </c>
      <c r="AJ246" s="1022"/>
      <c r="AM246" s="638">
        <f>IF(L246=$L$2, "Structure", IF(L246&gt;0,"Revêtement",0))</f>
        <v>0</v>
      </c>
      <c r="AN246" s="1017">
        <f>IF(AM246="Structure",N246,0)</f>
        <v>0</v>
      </c>
      <c r="AO246" s="638">
        <f>IF(AM246="Structure",P246,0)</f>
        <v>0</v>
      </c>
      <c r="AP246" s="638">
        <f>IF(AM246="Structure",Q246,0)</f>
        <v>0</v>
      </c>
      <c r="AQ246" s="1018">
        <f>IF(AM246="Structure",S246,0)</f>
        <v>0</v>
      </c>
      <c r="AR246" s="1018">
        <f>IF(AM246="Structure",T246,0)</f>
        <v>0</v>
      </c>
      <c r="AS246" s="1017">
        <f>IF(AM246="Insulation",N246,0)</f>
        <v>0</v>
      </c>
      <c r="AT246" s="638">
        <f>IF(AM246="Insulation",P246,0)</f>
        <v>0</v>
      </c>
      <c r="AU246" s="638">
        <f>IF(AM246="Insulation",Q246,0)</f>
        <v>0</v>
      </c>
      <c r="AV246" s="1018">
        <f>IF(AM246="Insulation",S246,0)</f>
        <v>0</v>
      </c>
      <c r="AW246" s="1018">
        <f>IF(AM246="Insulation",T246,0)</f>
        <v>0</v>
      </c>
      <c r="AX246" s="1017">
        <f>IF(AM246="Revêtement",N246,0)</f>
        <v>0</v>
      </c>
      <c r="AY246" s="638">
        <f>IF(AM246="Revêtement",P246,0)</f>
        <v>0</v>
      </c>
      <c r="AZ246" s="638">
        <f>IF(AM246="Revêtement",Q246,0)</f>
        <v>0</v>
      </c>
      <c r="BA246" s="638">
        <f>IF(AM246="Revêtement",S246,0)</f>
        <v>0</v>
      </c>
      <c r="BB246" s="1018">
        <f>IF(AM246="Revêtement",T246,0)</f>
        <v>0</v>
      </c>
      <c r="BC246" s="1017">
        <f>IF(AM246="Installation",N246,0)</f>
        <v>0</v>
      </c>
      <c r="BD246" s="638">
        <f>IF(AM246="Installation",P246,0)</f>
        <v>0</v>
      </c>
      <c r="BE246" s="638">
        <f>IF(AM246="Installation",Q246,0)</f>
        <v>0</v>
      </c>
      <c r="BF246" s="1018"/>
      <c r="BG246" s="1017">
        <f>IF($AM246="Structure", IF($I246="kg",$J246,0), 0)</f>
        <v>0</v>
      </c>
      <c r="BH246" s="638">
        <f>IF($AM246="Insulation", IF($I246="kg",$J246,0), 0)</f>
        <v>0</v>
      </c>
      <c r="BI246" s="1018">
        <f>IF($AM246="Revêtement", IF($I246="kg",$J246,0), 0)</f>
        <v>0</v>
      </c>
      <c r="BJ246" s="638">
        <f>_xlfn.XLOOKUP(H246, 'Baumaterialien Matériaux'!A:A, 'Baumaterialien Matériaux'!E:E, "-", 0, 1)</f>
        <v>0</v>
      </c>
      <c r="BK246" s="1032">
        <f t="shared" si="470"/>
        <v>0</v>
      </c>
      <c r="BL246" s="1030">
        <f t="shared" si="471"/>
        <v>0</v>
      </c>
      <c r="BM246" s="1033">
        <f t="shared" si="472"/>
        <v>0</v>
      </c>
      <c r="BN246" s="720"/>
      <c r="BO246" s="720"/>
    </row>
    <row r="247" spans="2:67" ht="15.75" customHeight="1">
      <c r="B247" s="1105" t="s">
        <v>145</v>
      </c>
      <c r="C247" s="1097" t="s">
        <v>146</v>
      </c>
      <c r="D247" s="473" t="s">
        <v>147</v>
      </c>
      <c r="E247" s="473"/>
      <c r="F247" s="473"/>
      <c r="G247" s="473"/>
      <c r="H247" s="473"/>
      <c r="I247" s="463"/>
      <c r="J247" s="654"/>
      <c r="K247" s="652"/>
      <c r="L247" s="652"/>
      <c r="M247" s="653">
        <f>SUM(M248:M249)</f>
        <v>86.921221259483445</v>
      </c>
      <c r="N247" s="653">
        <f>N248+N249</f>
        <v>30.80046971518594</v>
      </c>
      <c r="O247" s="653">
        <f>O248+O249</f>
        <v>18.480281829111561</v>
      </c>
      <c r="P247" s="653">
        <f t="shared" ref="P247:Q247" si="590">P248+P249</f>
        <v>34.220469715185942</v>
      </c>
      <c r="Q247" s="653">
        <f t="shared" si="590"/>
        <v>3.42</v>
      </c>
      <c r="R247" s="653">
        <f t="shared" ref="R247" si="591">R248+R249</f>
        <v>2.0519999999999996</v>
      </c>
      <c r="S247" s="653"/>
      <c r="T247" s="666"/>
      <c r="X247" s="638">
        <f t="shared" ref="X247:X259" si="592">IF(L247=$L$2, "Structure", IF(L247&gt;0,"Revêtement",0))</f>
        <v>0</v>
      </c>
      <c r="Z247" s="638">
        <f t="shared" si="476"/>
        <v>0</v>
      </c>
      <c r="AB247">
        <f>_xlfn.XLOOKUP($H247,'[1]Baumaterialien Matériaux'!$A:$A,'[1]Baumaterialien Matériaux'!AK:AK,0,0)</f>
        <v>0</v>
      </c>
      <c r="AC247" t="str" cm="1">
        <f t="array" ref="AC247">_xlfn.SWITCH(I247,"kg"," ",0," ",_xlfn.XLOOKUP(H247, '[1]Baumaterialien Matériaux'!$A:$A, '[1]Baumaterialien Matériaux'!$AL:$AL, "-", 0, 1))</f>
        <v xml:space="preserve"> </v>
      </c>
      <c r="AD247" s="1112" cm="1">
        <f t="array" ref="AD247">IFERROR(_xlfn.SWITCH(I247,"kg",1,"m3",AC247,AC247)*J247/(_xlfn.XLOOKUP(AA247,Métrés!A:A,Métrés!E:E,0)),0)</f>
        <v>0</v>
      </c>
      <c r="AE247" s="1092">
        <f>IFERROR(N247*$G$1/(_xlfn.XLOOKUP($AA247,Métrés!$A:$A,Métrés!$E:$E,0)),0)</f>
        <v>0</v>
      </c>
      <c r="AF247" s="1092">
        <f>IFERROR(O247*$G$1/(_xlfn.XLOOKUP($AA247,Métrés!$A:$A,Métrés!$E:$E,0)),0)</f>
        <v>0</v>
      </c>
      <c r="AG247" s="1092">
        <f>IFERROR(Q247*$G$1/(_xlfn.XLOOKUP($AA247,Métrés!$A:$A,Métrés!$E:$E,0)),0)</f>
        <v>0</v>
      </c>
      <c r="AH247" s="1092">
        <f>IFERROR(R247*$G$1/(_xlfn.XLOOKUP($AA247,Métrés!$A:$A,Métrés!$E:$E,0)),0)</f>
        <v>0</v>
      </c>
      <c r="AI247" s="1092">
        <f>IFERROR(S247*$G$1/(_xlfn.XLOOKUP($AA247,Métrés!$A:$A,Métrés!$E:$E,0)),0)</f>
        <v>0</v>
      </c>
      <c r="AJ247" s="666"/>
      <c r="AK247" s="666"/>
      <c r="AL247" s="666"/>
      <c r="AM247" s="666"/>
      <c r="AN247" s="1051"/>
      <c r="AO247" s="666"/>
      <c r="AP247" s="666"/>
      <c r="AQ247" s="666"/>
      <c r="AR247" s="1052"/>
      <c r="AS247" s="1051"/>
      <c r="AT247" s="666"/>
      <c r="AU247" s="666"/>
      <c r="AV247" s="666"/>
      <c r="AW247" s="1052"/>
      <c r="AX247" s="1051"/>
      <c r="AY247" s="666"/>
      <c r="AZ247" s="666"/>
      <c r="BA247" s="666"/>
      <c r="BB247" s="1052"/>
      <c r="BC247" s="1051"/>
      <c r="BD247" s="666"/>
      <c r="BE247" s="666"/>
      <c r="BF247" s="1052"/>
      <c r="BG247" s="1051"/>
      <c r="BH247" s="666"/>
      <c r="BI247" s="1052"/>
      <c r="BJ247" s="666"/>
      <c r="BK247" s="1051"/>
      <c r="BL247" s="666"/>
      <c r="BM247" s="1052"/>
    </row>
    <row r="248" spans="2:67">
      <c r="B248" s="1105"/>
      <c r="C248" s="1099"/>
      <c r="D248" s="478" t="s">
        <v>147</v>
      </c>
      <c r="E248" s="479" t="str">
        <f>BillQuantities!E38</f>
        <v>Habitation</v>
      </c>
      <c r="F248" s="479"/>
      <c r="G248" s="479" t="str">
        <f>VLOOKUP(H248, 'Gebäudetechnik Technique du bât'!$A$10:$X$78, 24,FALSE)</f>
        <v>Installations électriques, habitation</v>
      </c>
      <c r="H248" s="753" t="s">
        <v>800</v>
      </c>
      <c r="I248" s="459" t="str">
        <f>VLOOKUP(H248, 'Gebäudetechnik Technique du bât'!$A$10:$X$78, 23,FALSE)</f>
        <v>SRE</v>
      </c>
      <c r="J248" s="662">
        <f>$G$1</f>
        <v>964.84</v>
      </c>
      <c r="K248" s="663">
        <v>1</v>
      </c>
      <c r="L248" s="663">
        <v>30</v>
      </c>
      <c r="M248" s="664">
        <f>SUM(N248:Q248)</f>
        <v>31.618000000000002</v>
      </c>
      <c r="N248" s="720">
        <f>IFERROR(($J248*VLOOKUP($H248, 'Gebäudetechnik Technique du bât'!$A$10:$U$78, 21,FALSE)),0)/$G$1</f>
        <v>9.5299999999999994</v>
      </c>
      <c r="O248" s="720">
        <f>N248-(40%*N248)</f>
        <v>5.718</v>
      </c>
      <c r="P248" s="720">
        <f>IFERROR((N248+Q248)*($L$2/L248-1),0)</f>
        <v>12.95</v>
      </c>
      <c r="Q248" s="720">
        <f>IFERROR(($J248*VLOOKUP($H248, 'Gebäudetechnik Technique du bât'!$A$10:$V$78, 22,FALSE)),0)/$G$1</f>
        <v>3.42</v>
      </c>
      <c r="R248" s="720">
        <f>Q248-(40%*Q248)</f>
        <v>2.0519999999999996</v>
      </c>
      <c r="X248" s="638" t="s">
        <v>148</v>
      </c>
      <c r="Z248" s="638">
        <f t="shared" si="476"/>
        <v>30</v>
      </c>
      <c r="AA248" s="1093" t="s">
        <v>3446</v>
      </c>
      <c r="AB248" t="str">
        <f>_xlfn.XLOOKUP($H248,'[1]Baumaterialien Matériaux'!$A:$A,'[1]Baumaterialien Matériaux'!AK:AK,0,0)</f>
        <v>equipment</v>
      </c>
      <c r="AC248" cm="1">
        <f t="array" ref="AC248">_xlfn.SWITCH(I248,"kg"," ",0," ",_xlfn.XLOOKUP(H248, '[1]Baumaterialien Matériaux'!$A:$A, '[1]Baumaterialien Matériaux'!$AL:$AL, "-", 0, 1))</f>
        <v>0</v>
      </c>
      <c r="AD248" s="1112" cm="1">
        <f t="array" ref="AD248">IFERROR(_xlfn.SWITCH(I248,"kg",1,"m3",AC248,AC248)*J248/(_xlfn.XLOOKUP(AA248,Métrés!A:A,Métrés!E:E,0)),0)</f>
        <v>0</v>
      </c>
      <c r="AE248" s="1092">
        <f>IFERROR(N248*$G$1/(_xlfn.XLOOKUP($AA248,Métrés!$A:$A,Métrés!$E:$E,0)),0)</f>
        <v>9.5299999999999994</v>
      </c>
      <c r="AF248" s="1092">
        <f>IFERROR(O248*$G$1/(_xlfn.XLOOKUP($AA248,Métrés!$A:$A,Métrés!$E:$E,0)),0)</f>
        <v>5.718</v>
      </c>
      <c r="AG248" s="1092">
        <f>IFERROR(Q248*$G$1/(_xlfn.XLOOKUP($AA248,Métrés!$A:$A,Métrés!$E:$E,0)),0)</f>
        <v>3.42</v>
      </c>
      <c r="AH248" s="1092">
        <f>IFERROR(R248*$G$1/(_xlfn.XLOOKUP($AA248,Métrés!$A:$A,Métrés!$E:$E,0)),0)</f>
        <v>2.0519999999999996</v>
      </c>
      <c r="AI248" s="1092">
        <f>IFERROR(S248*$G$1/(_xlfn.XLOOKUP($AA248,Métrés!$A:$A,Métrés!$E:$E,0)),0)</f>
        <v>0</v>
      </c>
      <c r="AJ248" s="1022"/>
      <c r="AM248" s="638" t="s">
        <v>148</v>
      </c>
      <c r="AN248" s="1017">
        <f>IF(AM248="Structure",N248,0)</f>
        <v>0</v>
      </c>
      <c r="AO248" s="638">
        <f>IF(AM248="Structure",P248,0)</f>
        <v>0</v>
      </c>
      <c r="AP248" s="638">
        <f>IF(AM248="Structure",Q248,0)</f>
        <v>0</v>
      </c>
      <c r="AQ248" s="1018">
        <f>IF(AM248="Structure",S248,0)</f>
        <v>0</v>
      </c>
      <c r="AR248" s="1018">
        <f>IF(AM248="Structure",T248,0)</f>
        <v>0</v>
      </c>
      <c r="AS248" s="1017">
        <f>IF(AM248="Insulation",N248,0)</f>
        <v>0</v>
      </c>
      <c r="AT248" s="638">
        <f>IF(AM248="Insulation",P248,0)</f>
        <v>0</v>
      </c>
      <c r="AU248" s="638">
        <f>IF(AM248="Insulation",Q248,0)</f>
        <v>0</v>
      </c>
      <c r="AV248" s="1018">
        <f>IF(AM248="Insulation",S248,0)</f>
        <v>0</v>
      </c>
      <c r="AW248" s="1018">
        <f>IF(AM248="Insulation",T248,0)</f>
        <v>0</v>
      </c>
      <c r="AX248" s="1017">
        <f>IF(AM248="Revêtement",N248,0)</f>
        <v>0</v>
      </c>
      <c r="AY248" s="638">
        <f>IF(AM248="Revêtement",P248,0)</f>
        <v>0</v>
      </c>
      <c r="AZ248" s="638">
        <f>IF(AM248="Revêtement",Q248,0)</f>
        <v>0</v>
      </c>
      <c r="BA248" s="638">
        <f>IF(AM248="Revêtement",S248,0)</f>
        <v>0</v>
      </c>
      <c r="BB248" s="1018">
        <f>IF(AM248="Revêtement",T248,0)</f>
        <v>0</v>
      </c>
      <c r="BC248" s="1017">
        <f>IF(AM248="Installation",N248,0)</f>
        <v>9.5299999999999994</v>
      </c>
      <c r="BD248" s="638">
        <f>IF(AM248="Installation",P248,0)</f>
        <v>12.95</v>
      </c>
      <c r="BE248" s="638">
        <f>IF(AM248="Installation",Q248,0)</f>
        <v>3.42</v>
      </c>
      <c r="BF248" s="1018"/>
      <c r="BG248" s="1017">
        <f>IF($AM248="Structure", IF($I248="kg",$J248,0), 0)</f>
        <v>0</v>
      </c>
      <c r="BH248" s="638">
        <f>IF($AM248="Insulation", IF($I248="kg",$J248,0), 0)</f>
        <v>0</v>
      </c>
      <c r="BI248" s="1018">
        <f>IF($AM248="Revêtement", IF($I248="kg",$J248,0), 0)</f>
        <v>0</v>
      </c>
      <c r="BJ248" s="638" t="str">
        <f>_xlfn.XLOOKUP(H248, 'Baumaterialien Matériaux'!A:A, 'Baumaterialien Matériaux'!E:E, "-", 0, 1)</f>
        <v>-</v>
      </c>
      <c r="BK248" s="1032">
        <f t="shared" si="470"/>
        <v>0</v>
      </c>
      <c r="BL248" s="1030">
        <f t="shared" si="471"/>
        <v>0</v>
      </c>
      <c r="BM248" s="1033">
        <f t="shared" si="472"/>
        <v>0</v>
      </c>
      <c r="BN248" s="675">
        <f>BO248-(40%*BO248)</f>
        <v>7.77</v>
      </c>
      <c r="BO248" s="720">
        <f>IFERROR((N248+Q248)*($L$2/L248-1),0)</f>
        <v>12.95</v>
      </c>
    </row>
    <row r="249" spans="2:67">
      <c r="B249" s="1105"/>
      <c r="C249" s="1098"/>
      <c r="D249" s="478" t="s">
        <v>149</v>
      </c>
      <c r="E249" s="479" t="str">
        <f>BillQuantities!E39</f>
        <v>Installation photovoltaique (1 m2 = 0.14 kWp)</v>
      </c>
      <c r="F249" s="479" t="s">
        <v>3056</v>
      </c>
      <c r="G249" s="479" t="str">
        <f>VLOOKUP(H249, 'Gebäudetechnik Technique du bât'!$A$10:$X$78, 24,FALSE)</f>
        <v>Installations photovoltaïques 1</v>
      </c>
      <c r="H249" s="753" t="s">
        <v>150</v>
      </c>
      <c r="I249" s="459" t="str">
        <f>VLOOKUP(H249, 'Gebäudetechnik Technique du bât'!$A$10:$X$78, 23,FALSE)</f>
        <v>Puissance max.</v>
      </c>
      <c r="J249" s="662">
        <f>137*0.14</f>
        <v>19.180000000000003</v>
      </c>
      <c r="K249" s="663">
        <v>1</v>
      </c>
      <c r="L249" s="663">
        <v>30</v>
      </c>
      <c r="M249" s="664">
        <f>SUM(N249:Q249)</f>
        <v>55.303221259483443</v>
      </c>
      <c r="N249" s="720">
        <f>IFERROR(($J249*VLOOKUP($H249, 'Gebäudetechnik Technique du bât'!$A$10:$U$78, 21,FALSE)),0)/$G$1</f>
        <v>21.270469715185939</v>
      </c>
      <c r="O249" s="720">
        <f>N249-(40%*N249)</f>
        <v>12.762281829111563</v>
      </c>
      <c r="P249" s="720">
        <f>IFERROR((N249+Q249)*($L$2/L249-1),0)</f>
        <v>21.270469715185939</v>
      </c>
      <c r="Q249" s="720">
        <f>IFERROR(($J249*VLOOKUP($H249, 'Gebäudetechnik Technique du bât'!$A$10:$V$78, 22,FALSE)),0)/$G$1</f>
        <v>0</v>
      </c>
      <c r="R249" s="720">
        <f>Q249-(40%*Q249)</f>
        <v>0</v>
      </c>
      <c r="X249" s="638" t="s">
        <v>148</v>
      </c>
      <c r="Z249" s="638">
        <f t="shared" si="476"/>
        <v>30</v>
      </c>
      <c r="AA249" s="1093" t="s">
        <v>3446</v>
      </c>
      <c r="AB249" t="str">
        <f>_xlfn.XLOOKUP($H249,'[1]Baumaterialien Matériaux'!$A:$A,'[1]Baumaterialien Matériaux'!AK:AK,0,0)</f>
        <v>equipment</v>
      </c>
      <c r="AC249" cm="1">
        <f t="array" ref="AC249">_xlfn.SWITCH(I249,"kg"," ",0," ",_xlfn.XLOOKUP(H249, '[1]Baumaterialien Matériaux'!$A:$A, '[1]Baumaterialien Matériaux'!$AL:$AL, "-", 0, 1))</f>
        <v>0</v>
      </c>
      <c r="AD249" s="1112" cm="1">
        <f t="array" ref="AD249">IFERROR(_xlfn.SWITCH(I249,"kg",1,"m3",AC249,AC249)*J249/(_xlfn.XLOOKUP(AA249,Métrés!A:A,Métrés!E:E,0)),0)</f>
        <v>0</v>
      </c>
      <c r="AE249" s="1092">
        <f>IFERROR(N249*$G$1/(_xlfn.XLOOKUP($AA249,Métrés!$A:$A,Métrés!$E:$E,0)),0)</f>
        <v>21.270469715185939</v>
      </c>
      <c r="AF249" s="1092">
        <f>IFERROR(O249*$G$1/(_xlfn.XLOOKUP($AA249,Métrés!$A:$A,Métrés!$E:$E,0)),0)</f>
        <v>12.762281829111563</v>
      </c>
      <c r="AG249" s="1092">
        <f>IFERROR(Q249*$G$1/(_xlfn.XLOOKUP($AA249,Métrés!$A:$A,Métrés!$E:$E,0)),0)</f>
        <v>0</v>
      </c>
      <c r="AH249" s="1092">
        <f>IFERROR(R249*$G$1/(_xlfn.XLOOKUP($AA249,Métrés!$A:$A,Métrés!$E:$E,0)),0)</f>
        <v>0</v>
      </c>
      <c r="AI249" s="1092">
        <f>IFERROR(S249*$G$1/(_xlfn.XLOOKUP($AA249,Métrés!$A:$A,Métrés!$E:$E,0)),0)</f>
        <v>0</v>
      </c>
      <c r="AJ249" s="1022"/>
      <c r="AM249" s="638" t="s">
        <v>148</v>
      </c>
      <c r="AN249" s="1017">
        <f>IF(AM249="Structure",N249,0)</f>
        <v>0</v>
      </c>
      <c r="AO249" s="638">
        <f>IF(AM249="Structure",P249,0)</f>
        <v>0</v>
      </c>
      <c r="AP249" s="638">
        <f>IF(AM249="Structure",Q249,0)</f>
        <v>0</v>
      </c>
      <c r="AQ249" s="1018">
        <f>IF(AM249="Structure",S249,0)</f>
        <v>0</v>
      </c>
      <c r="AR249" s="1018">
        <f>IF(AM249="Structure",T249,0)</f>
        <v>0</v>
      </c>
      <c r="AS249" s="1017">
        <f>IF(AM249="Insulation",N249,0)</f>
        <v>0</v>
      </c>
      <c r="AT249" s="638">
        <f>IF(AM249="Insulation",P249,0)</f>
        <v>0</v>
      </c>
      <c r="AU249" s="638">
        <f>IF(AM249="Insulation",Q249,0)</f>
        <v>0</v>
      </c>
      <c r="AV249" s="1018">
        <f>IF(AM249="Insulation",S249,0)</f>
        <v>0</v>
      </c>
      <c r="AW249" s="1018">
        <f>IF(AM249="Insulation",T249,0)</f>
        <v>0</v>
      </c>
      <c r="AX249" s="1017">
        <f>IF(AM249="Revêtement",N249,0)</f>
        <v>0</v>
      </c>
      <c r="AY249" s="638">
        <f>IF(AM249="Revêtement",P249,0)</f>
        <v>0</v>
      </c>
      <c r="AZ249" s="638">
        <f>IF(AM249="Revêtement",Q249,0)</f>
        <v>0</v>
      </c>
      <c r="BA249" s="638">
        <f>IF(AM249="Revêtement",S249,0)</f>
        <v>0</v>
      </c>
      <c r="BB249" s="1018">
        <f>IF(AM249="Revêtement",T249,0)</f>
        <v>0</v>
      </c>
      <c r="BC249" s="1017">
        <f>IF(AM249="Installation",N249,0)</f>
        <v>21.270469715185939</v>
      </c>
      <c r="BD249" s="638">
        <f>IF(AM249="Installation",P249,0)</f>
        <v>21.270469715185939</v>
      </c>
      <c r="BE249" s="638">
        <f>IF(AM249="Installation",Q249,0)</f>
        <v>0</v>
      </c>
      <c r="BF249" s="1018"/>
      <c r="BG249" s="1017">
        <f>IF($AM249="Structure", IF($I249="kg",$J249,0), 0)</f>
        <v>0</v>
      </c>
      <c r="BH249" s="638">
        <f>IF($AM249="Insulation", IF($I249="kg",$J249,0), 0)</f>
        <v>0</v>
      </c>
      <c r="BI249" s="1018">
        <f>IF($AM249="Revêtement", IF($I249="kg",$J249,0), 0)</f>
        <v>0</v>
      </c>
      <c r="BJ249" s="638" t="str">
        <f>_xlfn.XLOOKUP(H249, 'Baumaterialien Matériaux'!A:A, 'Baumaterialien Matériaux'!E:E, "-", 0, 1)</f>
        <v>-</v>
      </c>
      <c r="BK249" s="1032">
        <f t="shared" si="470"/>
        <v>0</v>
      </c>
      <c r="BL249" s="1030">
        <f t="shared" si="471"/>
        <v>0</v>
      </c>
      <c r="BM249" s="1033">
        <f t="shared" si="472"/>
        <v>0</v>
      </c>
      <c r="BN249" s="675">
        <f t="shared" ref="BN249:BN260" si="593">BO249-(40%*BO249)</f>
        <v>12.762281829111563</v>
      </c>
      <c r="BO249" s="720">
        <f>IFERROR((N249+Q249)*($L$2/L249-1),0)</f>
        <v>21.270469715185939</v>
      </c>
    </row>
    <row r="250" spans="2:67">
      <c r="B250" s="1105"/>
      <c r="C250" s="1097" t="s">
        <v>152</v>
      </c>
      <c r="D250" s="473" t="s">
        <v>153</v>
      </c>
      <c r="E250" s="473"/>
      <c r="F250" s="473"/>
      <c r="G250" s="473"/>
      <c r="H250" s="473"/>
      <c r="I250" s="463"/>
      <c r="J250" s="654"/>
      <c r="K250" s="652"/>
      <c r="L250" s="652"/>
      <c r="M250" s="653">
        <f>SUM(M251:M255)</f>
        <v>56.646258612826998</v>
      </c>
      <c r="N250" s="653">
        <f>SUM(N251:N255)</f>
        <v>19.80475892375938</v>
      </c>
      <c r="O250" s="653">
        <f>SUM(O251:O255)</f>
        <v>11.882855354255627</v>
      </c>
      <c r="P250" s="653">
        <f t="shared" ref="P250:Q250" si="594">SUM(P251:P255)</f>
        <v>20.253369470585795</v>
      </c>
      <c r="Q250" s="653">
        <f t="shared" si="594"/>
        <v>4.705274864226193</v>
      </c>
      <c r="R250" s="653">
        <f t="shared" ref="R250" si="595">SUM(R251:R255)</f>
        <v>2.8231649185357157</v>
      </c>
      <c r="S250" s="653"/>
      <c r="T250" s="666"/>
      <c r="X250" s="638">
        <f t="shared" si="592"/>
        <v>0</v>
      </c>
      <c r="Z250" s="638">
        <f t="shared" si="476"/>
        <v>0</v>
      </c>
      <c r="AA250" s="1093"/>
      <c r="AB250">
        <f>_xlfn.XLOOKUP($H250,'[1]Baumaterialien Matériaux'!$A:$A,'[1]Baumaterialien Matériaux'!AK:AK,0,0)</f>
        <v>0</v>
      </c>
      <c r="AC250" t="str" cm="1">
        <f t="array" ref="AC250">_xlfn.SWITCH(I250,"kg"," ",0," ",_xlfn.XLOOKUP(H250, '[1]Baumaterialien Matériaux'!$A:$A, '[1]Baumaterialien Matériaux'!$AL:$AL, "-", 0, 1))</f>
        <v xml:space="preserve"> </v>
      </c>
      <c r="AD250" s="1112" cm="1">
        <f t="array" ref="AD250">IFERROR(_xlfn.SWITCH(I250,"kg",1,"m3",AC250,AC250)*J250/(_xlfn.XLOOKUP(AA250,Métrés!A:A,Métrés!E:E,0)),0)</f>
        <v>0</v>
      </c>
      <c r="AE250" s="1092">
        <f>IFERROR(N250*$G$1/(_xlfn.XLOOKUP($AA250,Métrés!$A:$A,Métrés!$E:$E,0)),0)</f>
        <v>0</v>
      </c>
      <c r="AF250" s="1092">
        <f>IFERROR(O250*$G$1/(_xlfn.XLOOKUP($AA250,Métrés!$A:$A,Métrés!$E:$E,0)),0)</f>
        <v>0</v>
      </c>
      <c r="AG250" s="1092">
        <f>IFERROR(Q250*$G$1/(_xlfn.XLOOKUP($AA250,Métrés!$A:$A,Métrés!$E:$E,0)),0)</f>
        <v>0</v>
      </c>
      <c r="AH250" s="1092">
        <f>IFERROR(R250*$G$1/(_xlfn.XLOOKUP($AA250,Métrés!$A:$A,Métrés!$E:$E,0)),0)</f>
        <v>0</v>
      </c>
      <c r="AI250" s="1092">
        <f>IFERROR(S250*$G$1/(_xlfn.XLOOKUP($AA250,Métrés!$A:$A,Métrés!$E:$E,0)),0)</f>
        <v>0</v>
      </c>
      <c r="AJ250" s="666"/>
      <c r="AK250" s="666"/>
      <c r="AL250" s="666"/>
      <c r="AM250" s="666"/>
      <c r="AN250" s="1051"/>
      <c r="AO250" s="666"/>
      <c r="AP250" s="666"/>
      <c r="AQ250" s="666"/>
      <c r="AR250" s="1052"/>
      <c r="AS250" s="1051"/>
      <c r="AT250" s="666"/>
      <c r="AU250" s="666"/>
      <c r="AV250" s="666"/>
      <c r="AW250" s="1052"/>
      <c r="AX250" s="1051"/>
      <c r="AY250" s="666"/>
      <c r="AZ250" s="666"/>
      <c r="BA250" s="666"/>
      <c r="BB250" s="1052"/>
      <c r="BC250" s="1051"/>
      <c r="BD250" s="666"/>
      <c r="BE250" s="666"/>
      <c r="BF250" s="1052"/>
      <c r="BG250" s="1051"/>
      <c r="BH250" s="666"/>
      <c r="BI250" s="1052"/>
      <c r="BJ250" s="666"/>
      <c r="BK250" s="1051"/>
      <c r="BL250" s="666"/>
      <c r="BM250" s="1052"/>
      <c r="BN250" s="675">
        <f t="shared" si="593"/>
        <v>0</v>
      </c>
    </row>
    <row r="251" spans="2:67">
      <c r="B251" s="1105"/>
      <c r="C251" s="1099"/>
      <c r="D251" s="478" t="s">
        <v>154</v>
      </c>
      <c r="E251" s="479" t="str">
        <f>BillQuantities!E41</f>
        <v>Production de chaleur</v>
      </c>
      <c r="F251" s="479"/>
      <c r="G251" s="479" t="str">
        <f>VLOOKUP(H251, 'Gebäudetechnik Technique du bât'!$A$10:$X$78, 24,FALSE)</f>
        <v>Pompe à chaleur saumure-eau 7 kW</v>
      </c>
      <c r="H251" s="753" t="s">
        <v>2207</v>
      </c>
      <c r="I251" s="459" t="str">
        <f>VLOOKUP(H251, 'Gebäudetechnik Technique du bât'!$A$10:$X$78, 23,FALSE)</f>
        <v>appareil</v>
      </c>
      <c r="J251" s="662">
        <v>1</v>
      </c>
      <c r="K251" s="663">
        <v>1</v>
      </c>
      <c r="L251" s="663">
        <v>20</v>
      </c>
      <c r="M251" s="664">
        <f>SUM(N251:Q251)</f>
        <v>8.6719041499108656</v>
      </c>
      <c r="N251" s="720">
        <f>IFERROR(($J251*VLOOKUP($H251, 'Gebäudetechnik Technique du bât'!$A$10:$U$78, 21,FALSE)),0)/$G$1</f>
        <v>2.0003316612080759</v>
      </c>
      <c r="O251" s="720">
        <f>N251-(40%*N251)</f>
        <v>1.2001989967248456</v>
      </c>
      <c r="P251" s="720">
        <f>IFERROR((N251+Q251)*($L$2/L251-1),0)</f>
        <v>4.9811367687906802</v>
      </c>
      <c r="Q251" s="720">
        <f>IFERROR(($J251*VLOOKUP($H251, 'Gebäudetechnik Technique du bât'!$A$10:$V$78, 22,FALSE)),0)/$G$1</f>
        <v>0.49023672318726419</v>
      </c>
      <c r="R251" s="720">
        <f>Q251-(40%*Q251)</f>
        <v>0.29414203391235849</v>
      </c>
      <c r="X251" s="638" t="s">
        <v>148</v>
      </c>
      <c r="Z251" s="638">
        <f t="shared" si="476"/>
        <v>20</v>
      </c>
      <c r="AA251" s="1093" t="s">
        <v>3446</v>
      </c>
      <c r="AB251" t="str">
        <f>_xlfn.XLOOKUP($H251,'[1]Baumaterialien Matériaux'!$A:$A,'[1]Baumaterialien Matériaux'!AK:AK,0,0)</f>
        <v>equipment</v>
      </c>
      <c r="AC251" cm="1">
        <f t="array" ref="AC251">_xlfn.SWITCH(I251,"kg"," ",0," ",_xlfn.XLOOKUP(H251, '[1]Baumaterialien Matériaux'!$A:$A, '[1]Baumaterialien Matériaux'!$AL:$AL, "-", 0, 1))</f>
        <v>0</v>
      </c>
      <c r="AD251" s="1112" cm="1">
        <f t="array" ref="AD251">IFERROR(_xlfn.SWITCH(I251,"kg",1,"m3",AC251,AC251)*J251/(_xlfn.XLOOKUP(AA251,Métrés!A:A,Métrés!E:E,0)),0)</f>
        <v>0</v>
      </c>
      <c r="AE251" s="1092">
        <f>IFERROR(N251*$G$1/(_xlfn.XLOOKUP($AA251,Métrés!$A:$A,Métrés!$E:$E,0)),0)</f>
        <v>2.0003316612080759</v>
      </c>
      <c r="AF251" s="1092">
        <f>IFERROR(O251*$G$1/(_xlfn.XLOOKUP($AA251,Métrés!$A:$A,Métrés!$E:$E,0)),0)</f>
        <v>1.2001989967248454</v>
      </c>
      <c r="AG251" s="1092">
        <f>IFERROR(Q251*$G$1/(_xlfn.XLOOKUP($AA251,Métrés!$A:$A,Métrés!$E:$E,0)),0)</f>
        <v>0.49023672318726419</v>
      </c>
      <c r="AH251" s="1092">
        <f>IFERROR(R251*$G$1/(_xlfn.XLOOKUP($AA251,Métrés!$A:$A,Métrés!$E:$E,0)),0)</f>
        <v>0.29414203391235849</v>
      </c>
      <c r="AI251" s="1092">
        <f>IFERROR(S251*$G$1/(_xlfn.XLOOKUP($AA251,Métrés!$A:$A,Métrés!$E:$E,0)),0)</f>
        <v>0</v>
      </c>
      <c r="AJ251" s="1022"/>
      <c r="AM251" s="638" t="s">
        <v>148</v>
      </c>
      <c r="AN251" s="1017">
        <f>IF(AM251="Structure",N251,0)</f>
        <v>0</v>
      </c>
      <c r="AO251" s="638">
        <f>IF(AM251="Structure",P251,0)</f>
        <v>0</v>
      </c>
      <c r="AP251" s="638">
        <f>IF(AM251="Structure",Q251,0)</f>
        <v>0</v>
      </c>
      <c r="AQ251" s="1018">
        <f>IF(AM251="Structure",S251,0)</f>
        <v>0</v>
      </c>
      <c r="AR251" s="1018">
        <f>IF(AM251="Structure",T251,0)</f>
        <v>0</v>
      </c>
      <c r="AS251" s="1017">
        <f>IF(AM251="Insulation",N251,0)</f>
        <v>0</v>
      </c>
      <c r="AT251" s="638">
        <f>IF(AM251="Insulation",P251,0)</f>
        <v>0</v>
      </c>
      <c r="AU251" s="638">
        <f>IF(AM251="Insulation",Q251,0)</f>
        <v>0</v>
      </c>
      <c r="AV251" s="1018">
        <f>IF(AM251="Insulation",S251,0)</f>
        <v>0</v>
      </c>
      <c r="AW251" s="1018">
        <f>IF(AM251="Insulation",T251,0)</f>
        <v>0</v>
      </c>
      <c r="AX251" s="1017">
        <f>IF(AM251="Revêtement",N251,0)</f>
        <v>0</v>
      </c>
      <c r="AY251" s="638">
        <f>IF(AM251="Revêtement",P251,0)</f>
        <v>0</v>
      </c>
      <c r="AZ251" s="638">
        <f>IF(AM251="Revêtement",Q251,0)</f>
        <v>0</v>
      </c>
      <c r="BA251" s="638">
        <f>IF(AM251="Revêtement",S251,0)</f>
        <v>0</v>
      </c>
      <c r="BB251" s="1018">
        <f>IF(AM251="Revêtement",T251,0)</f>
        <v>0</v>
      </c>
      <c r="BC251" s="1017">
        <f>IF(AM251="Installation",N251,0)</f>
        <v>2.0003316612080759</v>
      </c>
      <c r="BD251" s="638">
        <f>IF(AM251="Installation",P251,0)</f>
        <v>4.9811367687906802</v>
      </c>
      <c r="BE251" s="638">
        <f>IF(AM251="Installation",Q251,0)</f>
        <v>0.49023672318726419</v>
      </c>
      <c r="BF251" s="1018"/>
      <c r="BG251" s="1017">
        <f>IF($AM251="Structure", IF($I251="kg",$J251,0), 0)</f>
        <v>0</v>
      </c>
      <c r="BH251" s="638">
        <f>IF($AM251="Insulation", IF($I251="kg",$J251,0), 0)</f>
        <v>0</v>
      </c>
      <c r="BI251" s="1018">
        <f>IF($AM251="Revêtement", IF($I251="kg",$J251,0), 0)</f>
        <v>0</v>
      </c>
      <c r="BJ251" s="638" t="str">
        <f>_xlfn.XLOOKUP(H251, 'Baumaterialien Matériaux'!A:A, 'Baumaterialien Matériaux'!E:E, "-", 0, 1)</f>
        <v>-</v>
      </c>
      <c r="BK251" s="1032">
        <f t="shared" si="470"/>
        <v>0</v>
      </c>
      <c r="BL251" s="1030">
        <f t="shared" si="471"/>
        <v>0</v>
      </c>
      <c r="BM251" s="1033">
        <f t="shared" si="472"/>
        <v>0</v>
      </c>
      <c r="BN251" s="675">
        <f t="shared" si="593"/>
        <v>2.9886820612744081</v>
      </c>
      <c r="BO251" s="720">
        <f>IFERROR((N251+Q251)*($L$2/L251-1),0)</f>
        <v>4.9811367687906802</v>
      </c>
    </row>
    <row r="252" spans="2:67">
      <c r="B252" s="1105"/>
      <c r="C252" s="1099"/>
      <c r="D252" s="478" t="s">
        <v>156</v>
      </c>
      <c r="E252" s="479" t="str">
        <f>BillQuantities!E42</f>
        <v>Distribution et émissions de chaleur habitation</v>
      </c>
      <c r="F252" s="479" t="s">
        <v>157</v>
      </c>
      <c r="G252" s="479" t="str">
        <f>VLOOKUP(H252, 'Gebäudetechnik Technique du bât'!$A$10:$X$78, 24,FALSE)</f>
        <v>Distribution de chaleur, bâtiment d'habitation</v>
      </c>
      <c r="H252" s="753" t="s">
        <v>812</v>
      </c>
      <c r="I252" s="459" t="str">
        <f>VLOOKUP(H252, 'Gebäudetechnik Technique du bât'!$A$10:$X$78, 23,FALSE)</f>
        <v>SRE</v>
      </c>
      <c r="J252" s="662">
        <f>$G$1</f>
        <v>964.84</v>
      </c>
      <c r="K252" s="663">
        <v>1</v>
      </c>
      <c r="L252" s="663">
        <v>30</v>
      </c>
      <c r="M252" s="664">
        <f>SUM(N252:Q252)</f>
        <v>8.5920000000000005</v>
      </c>
      <c r="N252" s="720">
        <f>IFERROR(($J252*VLOOKUP($H252, 'Gebäudetechnik Technique du bât'!$A$10:$U$78, 21,FALSE)),0)/$G$1</f>
        <v>2.77</v>
      </c>
      <c r="O252" s="720">
        <f>N252-(40%*N252)</f>
        <v>1.6619999999999999</v>
      </c>
      <c r="P252" s="720">
        <f>IFERROR((N252+Q252)*($L$2/L252-1),0)</f>
        <v>3.4649999999999999</v>
      </c>
      <c r="Q252" s="720">
        <f>IFERROR(($J252*VLOOKUP($H252, 'Gebäudetechnik Technique du bât'!$A$10:$V$78, 22,FALSE)),0)/$G$1</f>
        <v>0.69499999999999995</v>
      </c>
      <c r="R252" s="720">
        <f>Q252-(40%*Q252)</f>
        <v>0.41699999999999998</v>
      </c>
      <c r="X252" s="638" t="s">
        <v>148</v>
      </c>
      <c r="Z252" s="638">
        <f t="shared" si="476"/>
        <v>30</v>
      </c>
      <c r="AA252" s="1093" t="s">
        <v>3446</v>
      </c>
      <c r="AB252" t="str">
        <f>_xlfn.XLOOKUP($H252,'[1]Baumaterialien Matériaux'!$A:$A,'[1]Baumaterialien Matériaux'!AK:AK,0,0)</f>
        <v>equipment</v>
      </c>
      <c r="AC252" cm="1">
        <f t="array" ref="AC252">_xlfn.SWITCH(I252,"kg"," ",0," ",_xlfn.XLOOKUP(H252, '[1]Baumaterialien Matériaux'!$A:$A, '[1]Baumaterialien Matériaux'!$AL:$AL, "-", 0, 1))</f>
        <v>0</v>
      </c>
      <c r="AD252" s="1112" cm="1">
        <f t="array" ref="AD252">IFERROR(_xlfn.SWITCH(I252,"kg",1,"m3",AC252,AC252)*J252/(_xlfn.XLOOKUP(AA252,Métrés!A:A,Métrés!E:E,0)),0)</f>
        <v>0</v>
      </c>
      <c r="AE252" s="1092">
        <f>IFERROR(N252*$G$1/(_xlfn.XLOOKUP($AA252,Métrés!$A:$A,Métrés!$E:$E,0)),0)</f>
        <v>2.77</v>
      </c>
      <c r="AF252" s="1092">
        <f>IFERROR(O252*$G$1/(_xlfn.XLOOKUP($AA252,Métrés!$A:$A,Métrés!$E:$E,0)),0)</f>
        <v>1.6619999999999999</v>
      </c>
      <c r="AG252" s="1092">
        <f>IFERROR(Q252*$G$1/(_xlfn.XLOOKUP($AA252,Métrés!$A:$A,Métrés!$E:$E,0)),0)</f>
        <v>0.69499999999999995</v>
      </c>
      <c r="AH252" s="1092">
        <f>IFERROR(R252*$G$1/(_xlfn.XLOOKUP($AA252,Métrés!$A:$A,Métrés!$E:$E,0)),0)</f>
        <v>0.41699999999999998</v>
      </c>
      <c r="AI252" s="1092">
        <f>IFERROR(S252*$G$1/(_xlfn.XLOOKUP($AA252,Métrés!$A:$A,Métrés!$E:$E,0)),0)</f>
        <v>0</v>
      </c>
      <c r="AJ252" s="1022"/>
      <c r="AM252" s="638" t="s">
        <v>148</v>
      </c>
      <c r="AN252" s="1017">
        <f>IF(AM252="Structure",N252,0)</f>
        <v>0</v>
      </c>
      <c r="AO252" s="638">
        <f>IF(AM252="Structure",P252,0)</f>
        <v>0</v>
      </c>
      <c r="AP252" s="638">
        <f>IF(AM252="Structure",Q252,0)</f>
        <v>0</v>
      </c>
      <c r="AQ252" s="1018">
        <f>IF(AM252="Structure",S252,0)</f>
        <v>0</v>
      </c>
      <c r="AR252" s="1018">
        <f>IF(AM252="Structure",T252,0)</f>
        <v>0</v>
      </c>
      <c r="AS252" s="1017">
        <f>IF(AM252="Insulation",N252,0)</f>
        <v>0</v>
      </c>
      <c r="AT252" s="638">
        <f>IF(AM252="Insulation",P252,0)</f>
        <v>0</v>
      </c>
      <c r="AU252" s="638">
        <f>IF(AM252="Insulation",Q252,0)</f>
        <v>0</v>
      </c>
      <c r="AV252" s="1018">
        <f>IF(AM252="Insulation",S252,0)</f>
        <v>0</v>
      </c>
      <c r="AW252" s="1018">
        <f>IF(AM252="Insulation",T252,0)</f>
        <v>0</v>
      </c>
      <c r="AX252" s="1017">
        <f>IF(AM252="Revêtement",N252,0)</f>
        <v>0</v>
      </c>
      <c r="AY252" s="638">
        <f>IF(AM252="Revêtement",P252,0)</f>
        <v>0</v>
      </c>
      <c r="AZ252" s="638">
        <f>IF(AM252="Revêtement",Q252,0)</f>
        <v>0</v>
      </c>
      <c r="BA252" s="638">
        <f>IF(AM252="Revêtement",S252,0)</f>
        <v>0</v>
      </c>
      <c r="BB252" s="1018">
        <f>IF(AM252="Revêtement",T252,0)</f>
        <v>0</v>
      </c>
      <c r="BC252" s="1017">
        <f>IF(AM252="Installation",N252,0)</f>
        <v>2.77</v>
      </c>
      <c r="BD252" s="638">
        <f>IF(AM252="Installation",P252,0)</f>
        <v>3.4649999999999999</v>
      </c>
      <c r="BE252" s="638">
        <f>IF(AM252="Installation",Q252,0)</f>
        <v>0.69499999999999995</v>
      </c>
      <c r="BF252" s="1018"/>
      <c r="BG252" s="1017">
        <f>IF($AM252="Structure", IF($I252="kg",$J252,0), 0)</f>
        <v>0</v>
      </c>
      <c r="BH252" s="638">
        <f>IF($AM252="Insulation", IF($I252="kg",$J252,0), 0)</f>
        <v>0</v>
      </c>
      <c r="BI252" s="1018">
        <f>IF($AM252="Revêtement", IF($I252="kg",$J252,0), 0)</f>
        <v>0</v>
      </c>
      <c r="BJ252" s="638" t="str">
        <f>_xlfn.XLOOKUP(H252, 'Baumaterialien Matériaux'!A:A, 'Baumaterialien Matériaux'!E:E, "-", 0, 1)</f>
        <v>-</v>
      </c>
      <c r="BK252" s="1032">
        <f t="shared" si="470"/>
        <v>0</v>
      </c>
      <c r="BL252" s="1030">
        <f t="shared" si="471"/>
        <v>0</v>
      </c>
      <c r="BM252" s="1033">
        <f t="shared" si="472"/>
        <v>0</v>
      </c>
      <c r="BN252" s="675">
        <f t="shared" si="593"/>
        <v>2.0789999999999997</v>
      </c>
      <c r="BO252" s="720">
        <f>IFERROR((N252+Q252)*($L$2/L252-1),0)</f>
        <v>3.4649999999999999</v>
      </c>
    </row>
    <row r="253" spans="2:67">
      <c r="B253" s="1105"/>
      <c r="C253" s="1099"/>
      <c r="D253" s="478"/>
      <c r="E253" s="479"/>
      <c r="F253" s="479" t="s">
        <v>158</v>
      </c>
      <c r="G253" s="479" t="str">
        <f>VLOOKUP(H253, 'Gebäudetechnik Technique du bât'!$A$10:$X$78, 24,FALSE)</f>
        <v>Diffusion de chaleur par le biais du chauffage au sol</v>
      </c>
      <c r="H253" s="753" t="str">
        <f>Installations!D12</f>
        <v>31.024</v>
      </c>
      <c r="I253" s="459" t="str">
        <f>VLOOKUP(H253, 'Gebäudetechnik Technique du bât'!$A$10:$X$78, 23,FALSE)</f>
        <v>SRE</v>
      </c>
      <c r="J253" s="662">
        <f>$G$1</f>
        <v>964.84</v>
      </c>
      <c r="K253" s="663">
        <v>1</v>
      </c>
      <c r="L253" s="663">
        <v>30</v>
      </c>
      <c r="M253" s="664">
        <f>SUM(N253:Q253)</f>
        <v>11.931999999999999</v>
      </c>
      <c r="N253" s="720">
        <f>IFERROR(($J253*VLOOKUP($H253, 'Gebäudetechnik Technique du bât'!$A$10:$U$78, 21,FALSE)),0)/$G$1</f>
        <v>3.02</v>
      </c>
      <c r="O253" s="720">
        <f>N253-(40%*N253)</f>
        <v>1.8119999999999998</v>
      </c>
      <c r="P253" s="720">
        <f>IFERROR((N253+Q253)*($L$2/L253-1),0)</f>
        <v>5.0600000000000005</v>
      </c>
      <c r="Q253" s="720">
        <f>IFERROR(($J253*VLOOKUP($H253, 'Gebäudetechnik Technique du bât'!$A$10:$V$78, 22,FALSE)),0)/$G$1</f>
        <v>2.04</v>
      </c>
      <c r="R253" s="720">
        <f>Q253-(40%*Q253)</f>
        <v>1.224</v>
      </c>
      <c r="X253" s="638" t="s">
        <v>148</v>
      </c>
      <c r="Z253" s="638">
        <f t="shared" si="476"/>
        <v>30</v>
      </c>
      <c r="AA253" s="1093" t="s">
        <v>3446</v>
      </c>
      <c r="AB253" t="str">
        <f>_xlfn.XLOOKUP($H253,'[1]Baumaterialien Matériaux'!$A:$A,'[1]Baumaterialien Matériaux'!AK:AK,0,0)</f>
        <v>equipment</v>
      </c>
      <c r="AC253" cm="1">
        <f t="array" ref="AC253">_xlfn.SWITCH(I253,"kg"," ",0," ",_xlfn.XLOOKUP(H253, '[1]Baumaterialien Matériaux'!$A:$A, '[1]Baumaterialien Matériaux'!$AL:$AL, "-", 0, 1))</f>
        <v>0</v>
      </c>
      <c r="AD253" s="1112" cm="1">
        <f t="array" ref="AD253">IFERROR(_xlfn.SWITCH(I253,"kg",1,"m3",AC253,AC253)*J253/(_xlfn.XLOOKUP(AA253,Métrés!A:A,Métrés!E:E,0)),0)</f>
        <v>0</v>
      </c>
      <c r="AE253" s="1092">
        <f>IFERROR(N253*$G$1/(_xlfn.XLOOKUP($AA253,Métrés!$A:$A,Métrés!$E:$E,0)),0)</f>
        <v>3.02</v>
      </c>
      <c r="AF253" s="1092">
        <f>IFERROR(O253*$G$1/(_xlfn.XLOOKUP($AA253,Métrés!$A:$A,Métrés!$E:$E,0)),0)</f>
        <v>1.8119999999999998</v>
      </c>
      <c r="AG253" s="1092">
        <f>IFERROR(Q253*$G$1/(_xlfn.XLOOKUP($AA253,Métrés!$A:$A,Métrés!$E:$E,0)),0)</f>
        <v>2.04</v>
      </c>
      <c r="AH253" s="1092">
        <f>IFERROR(R253*$G$1/(_xlfn.XLOOKUP($AA253,Métrés!$A:$A,Métrés!$E:$E,0)),0)</f>
        <v>1.224</v>
      </c>
      <c r="AI253" s="1092">
        <f>IFERROR(S253*$G$1/(_xlfn.XLOOKUP($AA253,Métrés!$A:$A,Métrés!$E:$E,0)),0)</f>
        <v>0</v>
      </c>
      <c r="AJ253" s="1022"/>
      <c r="AM253" s="638" t="s">
        <v>148</v>
      </c>
      <c r="AN253" s="1017">
        <f>IF(AM253="Structure",N253,0)</f>
        <v>0</v>
      </c>
      <c r="AO253" s="638">
        <f>IF(AM253="Structure",P253,0)</f>
        <v>0</v>
      </c>
      <c r="AP253" s="638">
        <f>IF(AM253="Structure",Q253,0)</f>
        <v>0</v>
      </c>
      <c r="AQ253" s="1018">
        <f>IF(AM253="Structure",S253,0)</f>
        <v>0</v>
      </c>
      <c r="AR253" s="1018">
        <f>IF(AM253="Structure",T253,0)</f>
        <v>0</v>
      </c>
      <c r="AS253" s="1017">
        <f>IF(AM253="Insulation",N253,0)</f>
        <v>0</v>
      </c>
      <c r="AT253" s="638">
        <f>IF(AM253="Insulation",P253,0)</f>
        <v>0</v>
      </c>
      <c r="AU253" s="638">
        <f>IF(AM253="Insulation",Q253,0)</f>
        <v>0</v>
      </c>
      <c r="AV253" s="1018">
        <f>IF(AM253="Insulation",S253,0)</f>
        <v>0</v>
      </c>
      <c r="AW253" s="1018">
        <f>IF(AM253="Insulation",T253,0)</f>
        <v>0</v>
      </c>
      <c r="AX253" s="1017">
        <f>IF(AM253="Revêtement",N253,0)</f>
        <v>0</v>
      </c>
      <c r="AY253" s="638">
        <f>IF(AM253="Revêtement",P253,0)</f>
        <v>0</v>
      </c>
      <c r="AZ253" s="638">
        <f>IF(AM253="Revêtement",Q253,0)</f>
        <v>0</v>
      </c>
      <c r="BA253" s="638">
        <f>IF(AM253="Revêtement",S253,0)</f>
        <v>0</v>
      </c>
      <c r="BB253" s="1018">
        <f>IF(AM253="Revêtement",T253,0)</f>
        <v>0</v>
      </c>
      <c r="BC253" s="1017">
        <f>IF(AM253="Installation",N253,0)</f>
        <v>3.02</v>
      </c>
      <c r="BD253" s="638">
        <f>IF(AM253="Installation",P253,0)</f>
        <v>5.0600000000000005</v>
      </c>
      <c r="BE253" s="638">
        <f>IF(AM253="Installation",Q253,0)</f>
        <v>2.04</v>
      </c>
      <c r="BF253" s="1018"/>
      <c r="BG253" s="1017">
        <f>IF($AM253="Structure", IF($I253="kg",$J253,0), 0)</f>
        <v>0</v>
      </c>
      <c r="BH253" s="638">
        <f>IF($AM253="Insulation", IF($I253="kg",$J253,0), 0)</f>
        <v>0</v>
      </c>
      <c r="BI253" s="1018">
        <f>IF($AM253="Revêtement", IF($I253="kg",$J253,0), 0)</f>
        <v>0</v>
      </c>
      <c r="BJ253" s="638" t="str">
        <f>_xlfn.XLOOKUP(H253, 'Baumaterialien Matériaux'!A:A, 'Baumaterialien Matériaux'!E:E, "-", 0, 1)</f>
        <v>-</v>
      </c>
      <c r="BK253" s="1032">
        <f t="shared" si="470"/>
        <v>0</v>
      </c>
      <c r="BL253" s="1030">
        <f t="shared" si="471"/>
        <v>0</v>
      </c>
      <c r="BM253" s="1033">
        <f t="shared" si="472"/>
        <v>0</v>
      </c>
      <c r="BN253" s="675">
        <f t="shared" si="593"/>
        <v>3.036</v>
      </c>
      <c r="BO253" s="720">
        <f>IFERROR((N253+Q253)*($L$2/L253-1),0)</f>
        <v>5.0600000000000005</v>
      </c>
    </row>
    <row r="254" spans="2:67">
      <c r="B254" s="1105"/>
      <c r="C254" s="1099"/>
      <c r="D254" s="478" t="s">
        <v>34</v>
      </c>
      <c r="E254" s="479" t="str">
        <f>BillQuantities!E43</f>
        <v>Sondes géothermiques</v>
      </c>
      <c r="F254" s="479"/>
      <c r="G254" s="479" t="str">
        <f>VLOOKUP(H254, 'Gebäudetechnik Technique du bât'!$A$10:$X$78, 24,FALSE)</f>
        <v>Sondes géothermiques, pour la pompe à chaleur saumure-eau</v>
      </c>
      <c r="H254" s="753" t="s">
        <v>159</v>
      </c>
      <c r="I254" s="459" t="str">
        <f>VLOOKUP(H254, 'Gebäudetechnik Technique du bât'!$A$10:$X$78, 23,FALSE)</f>
        <v>longueur</v>
      </c>
      <c r="J254" s="662">
        <f>4*140</f>
        <v>560</v>
      </c>
      <c r="K254" s="663">
        <v>1</v>
      </c>
      <c r="L254" s="663">
        <v>40</v>
      </c>
      <c r="M254" s="664">
        <f>SUM(N254:Q254)</f>
        <v>27.450354462916131</v>
      </c>
      <c r="N254" s="720">
        <f>IFERROR(($J254*VLOOKUP($H254, 'Gebäudetechnik Technique du bât'!$A$10:$U$78, 21,FALSE)),0)/$G$1</f>
        <v>12.014427262551303</v>
      </c>
      <c r="O254" s="720">
        <f>N254-(40%*N254)</f>
        <v>7.2086563575307814</v>
      </c>
      <c r="P254" s="720">
        <f>IFERROR((N254+Q254)*($L$2/L254-1),0)</f>
        <v>6.7472327017951157</v>
      </c>
      <c r="Q254" s="720">
        <f>IFERROR(($J254*VLOOKUP($H254, 'Gebäudetechnik Technique du bât'!$A$10:$V$78, 22,FALSE)),0)/$G$1</f>
        <v>1.4800381410389287</v>
      </c>
      <c r="R254" s="720">
        <f>Q254-(40%*Q254)</f>
        <v>0.88802288462335721</v>
      </c>
      <c r="X254" s="638" t="s">
        <v>148</v>
      </c>
      <c r="Z254" s="638">
        <f t="shared" si="476"/>
        <v>40</v>
      </c>
      <c r="AA254" s="1093" t="s">
        <v>3446</v>
      </c>
      <c r="AB254" t="str">
        <f>_xlfn.XLOOKUP($H254,'[1]Baumaterialien Matériaux'!$A:$A,'[1]Baumaterialien Matériaux'!AK:AK,0,0)</f>
        <v>equipment</v>
      </c>
      <c r="AC254" cm="1">
        <f t="array" ref="AC254">_xlfn.SWITCH(I254,"kg"," ",0," ",_xlfn.XLOOKUP(H254, '[1]Baumaterialien Matériaux'!$A:$A, '[1]Baumaterialien Matériaux'!$AL:$AL, "-", 0, 1))</f>
        <v>0</v>
      </c>
      <c r="AD254" s="1112" cm="1">
        <f t="array" ref="AD254">IFERROR(_xlfn.SWITCH(I254,"kg",1,"m3",AC254,AC254)*J254/(_xlfn.XLOOKUP(AA254,Métrés!A:A,Métrés!E:E,0)),0)</f>
        <v>0</v>
      </c>
      <c r="AE254" s="1092">
        <f>IFERROR(N254*$G$1/(_xlfn.XLOOKUP($AA254,Métrés!$A:$A,Métrés!$E:$E,0)),0)</f>
        <v>12.014427262551303</v>
      </c>
      <c r="AF254" s="1092">
        <f>IFERROR(O254*$G$1/(_xlfn.XLOOKUP($AA254,Métrés!$A:$A,Métrés!$E:$E,0)),0)</f>
        <v>7.2086563575307814</v>
      </c>
      <c r="AG254" s="1092">
        <f>IFERROR(Q254*$G$1/(_xlfn.XLOOKUP($AA254,Métrés!$A:$A,Métrés!$E:$E,0)),0)</f>
        <v>1.4800381410389287</v>
      </c>
      <c r="AH254" s="1092">
        <f>IFERROR(R254*$G$1/(_xlfn.XLOOKUP($AA254,Métrés!$A:$A,Métrés!$E:$E,0)),0)</f>
        <v>0.88802288462335721</v>
      </c>
      <c r="AI254" s="1092">
        <f>IFERROR(S254*$G$1/(_xlfn.XLOOKUP($AA254,Métrés!$A:$A,Métrés!$E:$E,0)),0)</f>
        <v>0</v>
      </c>
      <c r="AJ254" s="1022"/>
      <c r="AM254" s="638" t="s">
        <v>148</v>
      </c>
      <c r="AN254" s="1017">
        <f>IF(AM254="Structure",N254,0)</f>
        <v>0</v>
      </c>
      <c r="AO254" s="638">
        <f>IF(AM254="Structure",P254,0)</f>
        <v>0</v>
      </c>
      <c r="AP254" s="638">
        <f>IF(AM254="Structure",Q254,0)</f>
        <v>0</v>
      </c>
      <c r="AQ254" s="1018">
        <f>IF(AM254="Structure",S254,0)</f>
        <v>0</v>
      </c>
      <c r="AR254" s="1018">
        <f>IF(AM254="Structure",T254,0)</f>
        <v>0</v>
      </c>
      <c r="AS254" s="1017">
        <f>IF(AM254="Insulation",N254,0)</f>
        <v>0</v>
      </c>
      <c r="AT254" s="638">
        <f>IF(AM254="Insulation",P254,0)</f>
        <v>0</v>
      </c>
      <c r="AU254" s="638">
        <f>IF(AM254="Insulation",Q254,0)</f>
        <v>0</v>
      </c>
      <c r="AV254" s="1018">
        <f>IF(AM254="Insulation",S254,0)</f>
        <v>0</v>
      </c>
      <c r="AW254" s="1018">
        <f>IF(AM254="Insulation",T254,0)</f>
        <v>0</v>
      </c>
      <c r="AX254" s="1017">
        <f>IF(AM254="Revêtement",N254,0)</f>
        <v>0</v>
      </c>
      <c r="AY254" s="638">
        <f>IF(AM254="Revêtement",P254,0)</f>
        <v>0</v>
      </c>
      <c r="AZ254" s="638">
        <f>IF(AM254="Revêtement",Q254,0)</f>
        <v>0</v>
      </c>
      <c r="BA254" s="638">
        <f>IF(AM254="Revêtement",S254,0)</f>
        <v>0</v>
      </c>
      <c r="BB254" s="1018">
        <f>IF(AM254="Revêtement",T254,0)</f>
        <v>0</v>
      </c>
      <c r="BC254" s="1017">
        <f>IF(AM254="Installation",N254,0)</f>
        <v>12.014427262551303</v>
      </c>
      <c r="BD254" s="638">
        <f>IF(AM254="Installation",P254,0)</f>
        <v>6.7472327017951157</v>
      </c>
      <c r="BE254" s="638">
        <f>IF(AM254="Installation",Q254,0)</f>
        <v>1.4800381410389287</v>
      </c>
      <c r="BF254" s="1018"/>
      <c r="BG254" s="1017">
        <f>IF($AM254="Structure", IF($I254="kg",$J254,0), 0)</f>
        <v>0</v>
      </c>
      <c r="BH254" s="638">
        <f>IF($AM254="Insulation", IF($I254="kg",$J254,0), 0)</f>
        <v>0</v>
      </c>
      <c r="BI254" s="1018">
        <f>IF($AM254="Revêtement", IF($I254="kg",$J254,0), 0)</f>
        <v>0</v>
      </c>
      <c r="BJ254" s="638" t="str">
        <f>_xlfn.XLOOKUP(H254, 'Baumaterialien Matériaux'!A:A, 'Baumaterialien Matériaux'!E:E, "-", 0, 1)</f>
        <v>-</v>
      </c>
      <c r="BK254" s="1032">
        <f t="shared" si="470"/>
        <v>0</v>
      </c>
      <c r="BL254" s="1030">
        <f t="shared" si="471"/>
        <v>0</v>
      </c>
      <c r="BM254" s="1033">
        <f t="shared" si="472"/>
        <v>0</v>
      </c>
      <c r="BN254" s="675">
        <f t="shared" si="593"/>
        <v>0</v>
      </c>
    </row>
    <row r="255" spans="2:67">
      <c r="B255" s="1105"/>
      <c r="C255" s="1098"/>
      <c r="D255" s="478" t="s">
        <v>42</v>
      </c>
      <c r="E255" s="479" t="str">
        <f>BillQuantities!E44</f>
        <v>Capteurs solaires</v>
      </c>
      <c r="F255" s="479"/>
      <c r="G255" s="479" t="str">
        <f>VLOOKUP(H255, 'Gebäudetechnik Technique du bât'!$A$10:$X$78, 24,FALSE)</f>
        <v>Collecteurs solaires plan, eau chaude immeuble locatif</v>
      </c>
      <c r="H255" s="753" t="s">
        <v>161</v>
      </c>
      <c r="I255" s="459" t="str">
        <f>VLOOKUP(H255, 'Gebäudetechnik Technique du bât'!$A$10:$X$78, 23,FALSE)</f>
        <v>Surf. collecteurs</v>
      </c>
      <c r="J255" s="662"/>
      <c r="K255" s="663">
        <v>1</v>
      </c>
      <c r="L255" s="663">
        <v>30</v>
      </c>
      <c r="M255" s="664">
        <f>SUM(N255:Q255)</f>
        <v>0</v>
      </c>
      <c r="N255" s="720">
        <f>IFERROR(($J255*VLOOKUP($H255, 'Gebäudetechnik Technique du bât'!$A$10:$U$78, 21,FALSE)),0)/$G$1</f>
        <v>0</v>
      </c>
      <c r="O255" s="720">
        <f>N255-(40%*N255)</f>
        <v>0</v>
      </c>
      <c r="P255" s="720">
        <f>IFERROR((N255+Q255)*($L$2/L255-1),0)</f>
        <v>0</v>
      </c>
      <c r="Q255" s="720">
        <f>IFERROR(($J255*VLOOKUP($H255, 'Gebäudetechnik Technique du bât'!$A$10:$V$78, 22,FALSE)),0)/$G$1</f>
        <v>0</v>
      </c>
      <c r="R255" s="720">
        <f>Q255-(40%*Q255)</f>
        <v>0</v>
      </c>
      <c r="X255" s="638" t="str">
        <f t="shared" si="592"/>
        <v>Revêtement</v>
      </c>
      <c r="Z255" s="638">
        <f t="shared" si="476"/>
        <v>30</v>
      </c>
      <c r="AA255" s="1093" t="s">
        <v>3446</v>
      </c>
      <c r="AB255" t="str">
        <f>_xlfn.XLOOKUP($H255,'[1]Baumaterialien Matériaux'!$A:$A,'[1]Baumaterialien Matériaux'!AK:AK,0,0)</f>
        <v>equipment</v>
      </c>
      <c r="AC255" cm="1">
        <f t="array" ref="AC255">_xlfn.SWITCH(I255,"kg"," ",0," ",_xlfn.XLOOKUP(H255, '[1]Baumaterialien Matériaux'!$A:$A, '[1]Baumaterialien Matériaux'!$AL:$AL, "-", 0, 1))</f>
        <v>0</v>
      </c>
      <c r="AD255" s="1112" cm="1">
        <f t="array" ref="AD255">IFERROR(_xlfn.SWITCH(I255,"kg",1,"m3",AC255,AC255)*J255/(_xlfn.XLOOKUP(AA255,Métrés!A:A,Métrés!E:E,0)),0)</f>
        <v>0</v>
      </c>
      <c r="AE255" s="1092">
        <f>IFERROR(N255*$G$1/(_xlfn.XLOOKUP($AA255,Métrés!$A:$A,Métrés!$E:$E,0)),0)</f>
        <v>0</v>
      </c>
      <c r="AF255" s="1092">
        <f>IFERROR(O255*$G$1/(_xlfn.XLOOKUP($AA255,Métrés!$A:$A,Métrés!$E:$E,0)),0)</f>
        <v>0</v>
      </c>
      <c r="AG255" s="1092">
        <f>IFERROR(Q255*$G$1/(_xlfn.XLOOKUP($AA255,Métrés!$A:$A,Métrés!$E:$E,0)),0)</f>
        <v>0</v>
      </c>
      <c r="AH255" s="1092">
        <f>IFERROR(R255*$G$1/(_xlfn.XLOOKUP($AA255,Métrés!$A:$A,Métrés!$E:$E,0)),0)</f>
        <v>0</v>
      </c>
      <c r="AI255" s="1092">
        <f>IFERROR(S255*$G$1/(_xlfn.XLOOKUP($AA255,Métrés!$A:$A,Métrés!$E:$E,0)),0)</f>
        <v>0</v>
      </c>
      <c r="AJ255" s="1022"/>
      <c r="AM255" s="638" t="s">
        <v>148</v>
      </c>
      <c r="AN255" s="1017">
        <f>IF(AM255="Structure",N255,0)</f>
        <v>0</v>
      </c>
      <c r="AO255" s="638">
        <f>IF(AM255="Structure",P255,0)</f>
        <v>0</v>
      </c>
      <c r="AP255" s="638">
        <f>IF(AM255="Structure",Q255,0)</f>
        <v>0</v>
      </c>
      <c r="AQ255" s="1018">
        <f>IF(AM255="Structure",S255,0)</f>
        <v>0</v>
      </c>
      <c r="AR255" s="1018">
        <f>IF(AM255="Structure",T255,0)</f>
        <v>0</v>
      </c>
      <c r="AS255" s="1017">
        <f>IF(AM255="Insulation",N255,0)</f>
        <v>0</v>
      </c>
      <c r="AT255" s="638">
        <f>IF(AM255="Insulation",P255,0)</f>
        <v>0</v>
      </c>
      <c r="AU255" s="638">
        <f>IF(AM255="Insulation",Q255,0)</f>
        <v>0</v>
      </c>
      <c r="AV255" s="1018">
        <f>IF(AM255="Insulation",S255,0)</f>
        <v>0</v>
      </c>
      <c r="AW255" s="1018">
        <f>IF(AM255="Insulation",T255,0)</f>
        <v>0</v>
      </c>
      <c r="AX255" s="1017">
        <f>IF(AM255="Revêtement",N255,0)</f>
        <v>0</v>
      </c>
      <c r="AY255" s="638">
        <f>IF(AM255="Revêtement",P255,0)</f>
        <v>0</v>
      </c>
      <c r="AZ255" s="638">
        <f>IF(AM255="Revêtement",Q255,0)</f>
        <v>0</v>
      </c>
      <c r="BA255" s="638">
        <f>IF(AM255="Revêtement",S255,0)</f>
        <v>0</v>
      </c>
      <c r="BB255" s="1018">
        <f>IF(AM255="Revêtement",T255,0)</f>
        <v>0</v>
      </c>
      <c r="BC255" s="1017">
        <f>IF(AM255="Installation",N255,0)</f>
        <v>0</v>
      </c>
      <c r="BD255" s="638">
        <f>IF(AM255="Installation",P255,0)</f>
        <v>0</v>
      </c>
      <c r="BE255" s="638">
        <f>IF(AM255="Installation",Q255,0)</f>
        <v>0</v>
      </c>
      <c r="BF255" s="1018"/>
      <c r="BG255" s="1017">
        <f>IF($AM255="Structure", IF($I255="kg",$J255,0), 0)</f>
        <v>0</v>
      </c>
      <c r="BH255" s="638">
        <f>IF($AM255="Insulation", IF($I255="kg",$J255,0), 0)</f>
        <v>0</v>
      </c>
      <c r="BI255" s="1018">
        <f>IF($AM255="Revêtement", IF($I255="kg",$J255,0), 0)</f>
        <v>0</v>
      </c>
      <c r="BJ255" s="638" t="str">
        <f>_xlfn.XLOOKUP(H255, 'Baumaterialien Matériaux'!A:A, 'Baumaterialien Matériaux'!E:E, "-", 0, 1)</f>
        <v>-</v>
      </c>
      <c r="BK255" s="1032">
        <f t="shared" si="470"/>
        <v>0</v>
      </c>
      <c r="BL255" s="1030">
        <f t="shared" si="471"/>
        <v>0</v>
      </c>
      <c r="BM255" s="1033">
        <f t="shared" si="472"/>
        <v>0</v>
      </c>
      <c r="BN255" s="675">
        <f t="shared" si="593"/>
        <v>0</v>
      </c>
    </row>
    <row r="256" spans="2:67">
      <c r="B256" s="1105"/>
      <c r="C256" s="1097" t="s">
        <v>162</v>
      </c>
      <c r="D256" s="473" t="s">
        <v>163</v>
      </c>
      <c r="E256" s="473"/>
      <c r="F256" s="473"/>
      <c r="G256" s="473"/>
      <c r="H256" s="473"/>
      <c r="I256" s="463"/>
      <c r="J256" s="654"/>
      <c r="K256" s="652"/>
      <c r="L256" s="652"/>
      <c r="M256" s="653">
        <f>M257+M258</f>
        <v>45.878000000000007</v>
      </c>
      <c r="N256" s="653">
        <f>N257+N258</f>
        <v>17.32</v>
      </c>
      <c r="O256" s="653">
        <f>O257+O258</f>
        <v>10.392000000000001</v>
      </c>
      <c r="P256" s="653">
        <f t="shared" ref="P256:Q256" si="596">P257+P258</f>
        <v>17.743000000000002</v>
      </c>
      <c r="Q256" s="653">
        <f t="shared" si="596"/>
        <v>0.42299999999999999</v>
      </c>
      <c r="R256" s="653">
        <f t="shared" ref="R256" si="597">R257+R258</f>
        <v>0.25379999999999997</v>
      </c>
      <c r="S256" s="653"/>
      <c r="T256" s="666"/>
      <c r="X256" s="638">
        <f t="shared" si="592"/>
        <v>0</v>
      </c>
      <c r="Z256" s="638">
        <f t="shared" si="476"/>
        <v>0</v>
      </c>
      <c r="AA256" s="1093"/>
      <c r="AB256">
        <f>_xlfn.XLOOKUP($H256,'[1]Baumaterialien Matériaux'!$A:$A,'[1]Baumaterialien Matériaux'!AK:AK,0,0)</f>
        <v>0</v>
      </c>
      <c r="AC256" t="str" cm="1">
        <f t="array" ref="AC256">_xlfn.SWITCH(I256,"kg"," ",0," ",_xlfn.XLOOKUP(H256, '[1]Baumaterialien Matériaux'!$A:$A, '[1]Baumaterialien Matériaux'!$AL:$AL, "-", 0, 1))</f>
        <v xml:space="preserve"> </v>
      </c>
      <c r="AD256" s="1112" cm="1">
        <f t="array" ref="AD256">IFERROR(_xlfn.SWITCH(I256,"kg",1,"m3",AC256,AC256)*J256/(_xlfn.XLOOKUP(AA256,Métrés!A:A,Métrés!E:E,0)),0)</f>
        <v>0</v>
      </c>
      <c r="AE256" s="1092">
        <f>IFERROR(N256*$G$1/(_xlfn.XLOOKUP($AA256,Métrés!$A:$A,Métrés!$E:$E,0)),0)</f>
        <v>0</v>
      </c>
      <c r="AF256" s="1092">
        <f>IFERROR(O256*$G$1/(_xlfn.XLOOKUP($AA256,Métrés!$A:$A,Métrés!$E:$E,0)),0)</f>
        <v>0</v>
      </c>
      <c r="AG256" s="1092">
        <f>IFERROR(Q256*$G$1/(_xlfn.XLOOKUP($AA256,Métrés!$A:$A,Métrés!$E:$E,0)),0)</f>
        <v>0</v>
      </c>
      <c r="AH256" s="1092">
        <f>IFERROR(R256*$G$1/(_xlfn.XLOOKUP($AA256,Métrés!$A:$A,Métrés!$E:$E,0)),0)</f>
        <v>0</v>
      </c>
      <c r="AI256" s="1092">
        <f>IFERROR(S256*$G$1/(_xlfn.XLOOKUP($AA256,Métrés!$A:$A,Métrés!$E:$E,0)),0)</f>
        <v>0</v>
      </c>
      <c r="AJ256" s="666"/>
      <c r="AK256" s="666"/>
      <c r="AL256" s="666"/>
      <c r="AM256" s="666"/>
      <c r="AN256" s="1051"/>
      <c r="AO256" s="666"/>
      <c r="AP256" s="666"/>
      <c r="AQ256" s="666"/>
      <c r="AR256" s="1052"/>
      <c r="AS256" s="1051"/>
      <c r="AT256" s="666"/>
      <c r="AU256" s="666"/>
      <c r="AV256" s="666"/>
      <c r="AW256" s="1052"/>
      <c r="AX256" s="1051"/>
      <c r="AY256" s="666"/>
      <c r="AZ256" s="666"/>
      <c r="BA256" s="666"/>
      <c r="BB256" s="1052"/>
      <c r="BC256" s="1051"/>
      <c r="BD256" s="666"/>
      <c r="BE256" s="666"/>
      <c r="BF256" s="1052"/>
      <c r="BG256" s="1051"/>
      <c r="BH256" s="666"/>
      <c r="BI256" s="1052"/>
      <c r="BJ256" s="666"/>
      <c r="BK256" s="1051"/>
      <c r="BL256" s="666"/>
      <c r="BM256" s="1052"/>
      <c r="BN256" s="675">
        <f t="shared" si="593"/>
        <v>0</v>
      </c>
    </row>
    <row r="257" spans="2:67">
      <c r="B257" s="1105"/>
      <c r="C257" s="1099"/>
      <c r="D257" s="478" t="s">
        <v>164</v>
      </c>
      <c r="E257" s="479" t="str">
        <f>BillQuantities!E46</f>
        <v>Extraction mécanique cuisine et salle de bain</v>
      </c>
      <c r="F257" s="733"/>
      <c r="G257" s="479" t="str">
        <f>VLOOKUP(H257, 'Gebäudetechnik Technique du bât'!$A$10:$X$78, 24,FALSE)</f>
        <v>Évacuation d'air cuisine et salle de bain</v>
      </c>
      <c r="H257" s="753" t="s">
        <v>165</v>
      </c>
      <c r="I257" s="459" t="str">
        <f>VLOOKUP(H257, 'Gebäudetechnik Technique du bât'!$A$10:$X$78, 23,FALSE)</f>
        <v>SRE</v>
      </c>
      <c r="J257" s="662">
        <f>$G$1</f>
        <v>964.84</v>
      </c>
      <c r="K257" s="663">
        <v>1</v>
      </c>
      <c r="L257" s="663">
        <v>30</v>
      </c>
      <c r="M257" s="664">
        <f>SUM(N257:Q257)</f>
        <v>9.4019999999999992</v>
      </c>
      <c r="N257" s="720">
        <f>IFERROR(($J257*VLOOKUP($H257, 'Gebäudetechnik Technique du bât'!$A$10:$U$78, 21,FALSE)),0)/$G$1</f>
        <v>3.52</v>
      </c>
      <c r="O257" s="720">
        <f>N257-(40%*N257)</f>
        <v>2.1120000000000001</v>
      </c>
      <c r="P257" s="720">
        <f>IFERROR((N257+Q257)*($L$2/L257-1),0)</f>
        <v>3.645</v>
      </c>
      <c r="Q257" s="720">
        <f>IFERROR(($J257*VLOOKUP($H257, 'Gebäudetechnik Technique du bât'!$A$10:$V$78, 22,FALSE)),0)/$G$1</f>
        <v>0.125</v>
      </c>
      <c r="R257" s="720">
        <f>Q257-(40%*Q257)</f>
        <v>7.4999999999999997E-2</v>
      </c>
      <c r="X257" s="638" t="s">
        <v>148</v>
      </c>
      <c r="Z257" s="638">
        <f t="shared" si="476"/>
        <v>30</v>
      </c>
      <c r="AA257" s="1093" t="s">
        <v>3446</v>
      </c>
      <c r="AB257" t="str">
        <f>_xlfn.XLOOKUP($H257,'[1]Baumaterialien Matériaux'!$A:$A,'[1]Baumaterialien Matériaux'!AK:AK,0,0)</f>
        <v>equipment</v>
      </c>
      <c r="AC257" cm="1">
        <f t="array" ref="AC257">_xlfn.SWITCH(I257,"kg"," ",0," ",_xlfn.XLOOKUP(H257, '[1]Baumaterialien Matériaux'!$A:$A, '[1]Baumaterialien Matériaux'!$AL:$AL, "-", 0, 1))</f>
        <v>0</v>
      </c>
      <c r="AD257" s="1112" cm="1">
        <f t="array" ref="AD257">IFERROR(_xlfn.SWITCH(I257,"kg",1,"m3",AC257,AC257)*J257/(_xlfn.XLOOKUP(AA257,Métrés!A:A,Métrés!E:E,0)),0)</f>
        <v>0</v>
      </c>
      <c r="AE257" s="1092">
        <f>IFERROR(N257*$G$1/(_xlfn.XLOOKUP($AA257,Métrés!$A:$A,Métrés!$E:$E,0)),0)</f>
        <v>3.52</v>
      </c>
      <c r="AF257" s="1092">
        <f>IFERROR(O257*$G$1/(_xlfn.XLOOKUP($AA257,Métrés!$A:$A,Métrés!$E:$E,0)),0)</f>
        <v>2.1120000000000001</v>
      </c>
      <c r="AG257" s="1092">
        <f>IFERROR(Q257*$G$1/(_xlfn.XLOOKUP($AA257,Métrés!$A:$A,Métrés!$E:$E,0)),0)</f>
        <v>0.125</v>
      </c>
      <c r="AH257" s="1092">
        <f>IFERROR(R257*$G$1/(_xlfn.XLOOKUP($AA257,Métrés!$A:$A,Métrés!$E:$E,0)),0)</f>
        <v>7.4999999999999997E-2</v>
      </c>
      <c r="AI257" s="1092">
        <f>IFERROR(S257*$G$1/(_xlfn.XLOOKUP($AA257,Métrés!$A:$A,Métrés!$E:$E,0)),0)</f>
        <v>0</v>
      </c>
      <c r="AJ257" s="1022"/>
      <c r="AM257" s="638" t="s">
        <v>148</v>
      </c>
      <c r="AN257" s="1017">
        <f>IF(AM257="Structure",N257,0)</f>
        <v>0</v>
      </c>
      <c r="AO257" s="638">
        <f>IF(AM257="Structure",P257,0)</f>
        <v>0</v>
      </c>
      <c r="AP257" s="638">
        <f>IF(AM257="Structure",Q257,0)</f>
        <v>0</v>
      </c>
      <c r="AQ257" s="1018">
        <f>IF(AM257="Structure",S257,0)</f>
        <v>0</v>
      </c>
      <c r="AR257" s="1018">
        <f>IF(AM257="Structure",T257,0)</f>
        <v>0</v>
      </c>
      <c r="AS257" s="1017">
        <f>IF(AM257="Insulation",N257,0)</f>
        <v>0</v>
      </c>
      <c r="AT257" s="638">
        <f>IF(AM257="Insulation",P257,0)</f>
        <v>0</v>
      </c>
      <c r="AU257" s="638">
        <f>IF(AM257="Insulation",Q257,0)</f>
        <v>0</v>
      </c>
      <c r="AV257" s="1018">
        <f>IF(AM257="Insulation",S257,0)</f>
        <v>0</v>
      </c>
      <c r="AW257" s="1018">
        <f>IF(AM257="Insulation",T257,0)</f>
        <v>0</v>
      </c>
      <c r="AX257" s="1017">
        <f>IF(AM257="Revêtement",N257,0)</f>
        <v>0</v>
      </c>
      <c r="AY257" s="638">
        <f>IF(AM257="Revêtement",P257,0)</f>
        <v>0</v>
      </c>
      <c r="AZ257" s="638">
        <f>IF(AM257="Revêtement",Q257,0)</f>
        <v>0</v>
      </c>
      <c r="BA257" s="638">
        <f>IF(AM257="Revêtement",S257,0)</f>
        <v>0</v>
      </c>
      <c r="BB257" s="1018">
        <f>IF(AM257="Revêtement",T257,0)</f>
        <v>0</v>
      </c>
      <c r="BC257" s="1017">
        <f>IF(AM257="Installation",N257,0)</f>
        <v>3.52</v>
      </c>
      <c r="BD257" s="638">
        <f>IF(AM257="Installation",P257,0)</f>
        <v>3.645</v>
      </c>
      <c r="BE257" s="638">
        <f>IF(AM257="Installation",Q257,0)</f>
        <v>0.125</v>
      </c>
      <c r="BF257" s="1018"/>
      <c r="BG257" s="1017">
        <f>IF($AM257="Structure", IF($I257="kg",$J257,0), 0)</f>
        <v>0</v>
      </c>
      <c r="BH257" s="638">
        <f>IF($AM257="Insulation", IF($I257="kg",$J257,0), 0)</f>
        <v>0</v>
      </c>
      <c r="BI257" s="1018">
        <f>IF($AM257="Revêtement", IF($I257="kg",$J257,0), 0)</f>
        <v>0</v>
      </c>
      <c r="BJ257" s="638" t="str">
        <f>_xlfn.XLOOKUP(H257, 'Baumaterialien Matériaux'!A:A, 'Baumaterialien Matériaux'!E:E, "-", 0, 1)</f>
        <v>-</v>
      </c>
      <c r="BK257" s="1032">
        <f t="shared" si="470"/>
        <v>0</v>
      </c>
      <c r="BL257" s="1030">
        <f t="shared" si="471"/>
        <v>0</v>
      </c>
      <c r="BM257" s="1033">
        <f t="shared" si="472"/>
        <v>0</v>
      </c>
      <c r="BN257" s="675">
        <f t="shared" si="593"/>
        <v>2.1869999999999998</v>
      </c>
      <c r="BO257" s="720">
        <f>IFERROR((N257+Q257)*($L$2/L257-1),0)</f>
        <v>3.645</v>
      </c>
    </row>
    <row r="258" spans="2:67">
      <c r="B258" s="1105"/>
      <c r="C258" s="1099"/>
      <c r="D258" s="478" t="s">
        <v>166</v>
      </c>
      <c r="E258" s="479" t="str">
        <f>BillQuantities!E47</f>
        <v>Installations de ventilation habitation</v>
      </c>
      <c r="F258" s="733"/>
      <c r="G258" s="479" t="str">
        <f>VLOOKUP(H258, 'Gebäudetechnik Technique du bât'!$A$10:$X$78, 24,FALSE)</f>
        <v xml:space="preserve">Ventilation habitation, canaux en tôle, évacuation d'air (cuisine) </v>
      </c>
      <c r="H258" s="753" t="s">
        <v>2249</v>
      </c>
      <c r="I258" s="459" t="str">
        <f>VLOOKUP(H258, 'Gebäudetechnik Technique du bât'!$A$10:$X$78, 23,FALSE)</f>
        <v>SRE</v>
      </c>
      <c r="J258" s="662">
        <f>$G$1</f>
        <v>964.84</v>
      </c>
      <c r="K258" s="663">
        <v>1</v>
      </c>
      <c r="L258" s="663">
        <v>30</v>
      </c>
      <c r="M258" s="664">
        <f>SUM(N258:Q258)</f>
        <v>36.476000000000006</v>
      </c>
      <c r="N258" s="720">
        <f>IFERROR(($J258*VLOOKUP($H258, 'Gebäudetechnik Technique du bât'!$A$10:$U$78, 21,FALSE)),0)/$G$1</f>
        <v>13.8</v>
      </c>
      <c r="O258" s="720">
        <f>N258-(40%*N258)</f>
        <v>8.2800000000000011</v>
      </c>
      <c r="P258" s="720">
        <f>IFERROR((N258+Q258)*($L$2/L258-1),0)</f>
        <v>14.098000000000001</v>
      </c>
      <c r="Q258" s="720">
        <f>IFERROR(($J258*VLOOKUP($H258, 'Gebäudetechnik Technique du bât'!$A$10:$V$78, 22,FALSE)),0)/$G$1</f>
        <v>0.29799999999999999</v>
      </c>
      <c r="R258" s="720">
        <f>Q258-(40%*Q258)</f>
        <v>0.17879999999999999</v>
      </c>
      <c r="X258" s="638" t="s">
        <v>148</v>
      </c>
      <c r="Z258" s="638">
        <f t="shared" si="476"/>
        <v>30</v>
      </c>
      <c r="AA258" s="1093" t="s">
        <v>3446</v>
      </c>
      <c r="AB258" t="str">
        <f>_xlfn.XLOOKUP($H258,'[1]Baumaterialien Matériaux'!$A:$A,'[1]Baumaterialien Matériaux'!AK:AK,0,0)</f>
        <v>equipment</v>
      </c>
      <c r="AC258" cm="1">
        <f t="array" ref="AC258">_xlfn.SWITCH(I258,"kg"," ",0," ",_xlfn.XLOOKUP(H258, '[1]Baumaterialien Matériaux'!$A:$A, '[1]Baumaterialien Matériaux'!$AL:$AL, "-", 0, 1))</f>
        <v>0</v>
      </c>
      <c r="AD258" s="1112" cm="1">
        <f t="array" ref="AD258">IFERROR(_xlfn.SWITCH(I258,"kg",1,"m3",AC258,AC258)*J258/(_xlfn.XLOOKUP(AA258,Métrés!A:A,Métrés!E:E,0)),0)</f>
        <v>0</v>
      </c>
      <c r="AE258" s="1092">
        <f>IFERROR(N258*$G$1/(_xlfn.XLOOKUP($AA258,Métrés!$A:$A,Métrés!$E:$E,0)),0)</f>
        <v>13.8</v>
      </c>
      <c r="AF258" s="1092">
        <f>IFERROR(O258*$G$1/(_xlfn.XLOOKUP($AA258,Métrés!$A:$A,Métrés!$E:$E,0)),0)</f>
        <v>8.2800000000000011</v>
      </c>
      <c r="AG258" s="1092">
        <f>IFERROR(Q258*$G$1/(_xlfn.XLOOKUP($AA258,Métrés!$A:$A,Métrés!$E:$E,0)),0)</f>
        <v>0.29799999999999999</v>
      </c>
      <c r="AH258" s="1092">
        <f>IFERROR(R258*$G$1/(_xlfn.XLOOKUP($AA258,Métrés!$A:$A,Métrés!$E:$E,0)),0)</f>
        <v>0.17879999999999999</v>
      </c>
      <c r="AI258" s="1092">
        <f>IFERROR(S258*$G$1/(_xlfn.XLOOKUP($AA258,Métrés!$A:$A,Métrés!$E:$E,0)),0)</f>
        <v>0</v>
      </c>
      <c r="AJ258" s="1022"/>
      <c r="AM258" s="638" t="s">
        <v>148</v>
      </c>
      <c r="AN258" s="1017">
        <f>IF(AM258="Structure",N258,0)</f>
        <v>0</v>
      </c>
      <c r="AO258" s="638">
        <f>IF(AM258="Structure",P258,0)</f>
        <v>0</v>
      </c>
      <c r="AP258" s="638">
        <f>IF(AM258="Structure",Q258,0)</f>
        <v>0</v>
      </c>
      <c r="AQ258" s="1018">
        <f>IF(AM258="Structure",S258,0)</f>
        <v>0</v>
      </c>
      <c r="AR258" s="1018">
        <f>IF(AM258="Structure",T258,0)</f>
        <v>0</v>
      </c>
      <c r="AS258" s="1017">
        <f>IF(AM258="Insulation",N258,0)</f>
        <v>0</v>
      </c>
      <c r="AT258" s="638">
        <f>IF(AM258="Insulation",P258,0)</f>
        <v>0</v>
      </c>
      <c r="AU258" s="638">
        <f>IF(AM258="Insulation",Q258,0)</f>
        <v>0</v>
      </c>
      <c r="AV258" s="1018">
        <f>IF(AM258="Insulation",S258,0)</f>
        <v>0</v>
      </c>
      <c r="AW258" s="1018">
        <f>IF(AM258="Insulation",T258,0)</f>
        <v>0</v>
      </c>
      <c r="AX258" s="1017">
        <f>IF(AM258="Revêtement",N258,0)</f>
        <v>0</v>
      </c>
      <c r="AY258" s="638">
        <f>IF(AM258="Revêtement",P258,0)</f>
        <v>0</v>
      </c>
      <c r="AZ258" s="638">
        <f>IF(AM258="Revêtement",Q258,0)</f>
        <v>0</v>
      </c>
      <c r="BA258" s="638">
        <f>IF(AM258="Revêtement",S258,0)</f>
        <v>0</v>
      </c>
      <c r="BB258" s="1018">
        <f>IF(AM258="Revêtement",T258,0)</f>
        <v>0</v>
      </c>
      <c r="BC258" s="1017">
        <f>IF(AM258="Installation",N258,0)</f>
        <v>13.8</v>
      </c>
      <c r="BD258" s="638">
        <f>IF(AM258="Installation",P258,0)</f>
        <v>14.098000000000001</v>
      </c>
      <c r="BE258" s="638">
        <f>IF(AM258="Installation",Q258,0)</f>
        <v>0.29799999999999999</v>
      </c>
      <c r="BF258" s="1018"/>
      <c r="BG258" s="1017">
        <f>IF($AM258="Structure", IF($I258="kg",$J258,0), 0)</f>
        <v>0</v>
      </c>
      <c r="BH258" s="638">
        <f>IF($AM258="Insulation", IF($I258="kg",$J258,0), 0)</f>
        <v>0</v>
      </c>
      <c r="BI258" s="1018">
        <f>IF($AM258="Revêtement", IF($I258="kg",$J258,0), 0)</f>
        <v>0</v>
      </c>
      <c r="BJ258" s="638" t="str">
        <f>_xlfn.XLOOKUP(H258, 'Baumaterialien Matériaux'!A:A, 'Baumaterialien Matériaux'!E:E, "-", 0, 1)</f>
        <v>-</v>
      </c>
      <c r="BK258" s="1032">
        <f t="shared" si="470"/>
        <v>0</v>
      </c>
      <c r="BL258" s="1030">
        <f t="shared" si="471"/>
        <v>0</v>
      </c>
      <c r="BM258" s="1033">
        <f t="shared" si="472"/>
        <v>0</v>
      </c>
      <c r="BN258" s="675">
        <f t="shared" si="593"/>
        <v>8.4588000000000001</v>
      </c>
      <c r="BO258" s="720">
        <f>IFERROR((N258+Q258)*($L$2/L258-1),0)</f>
        <v>14.098000000000001</v>
      </c>
    </row>
    <row r="259" spans="2:67">
      <c r="B259" s="1105"/>
      <c r="C259" s="1106" t="s">
        <v>167</v>
      </c>
      <c r="D259" s="473" t="s">
        <v>168</v>
      </c>
      <c r="E259" s="473"/>
      <c r="F259" s="473"/>
      <c r="G259" s="473"/>
      <c r="H259" s="473"/>
      <c r="I259" s="463"/>
      <c r="J259" s="654"/>
      <c r="K259" s="652"/>
      <c r="L259" s="652"/>
      <c r="M259" s="653">
        <f>M260</f>
        <v>31.68</v>
      </c>
      <c r="N259" s="653">
        <f>N260</f>
        <v>11</v>
      </c>
      <c r="O259" s="653">
        <f>O260</f>
        <v>6.6</v>
      </c>
      <c r="P259" s="653">
        <f t="shared" ref="P259:R259" si="598">P260</f>
        <v>12.54</v>
      </c>
      <c r="Q259" s="653">
        <f t="shared" si="598"/>
        <v>1.54</v>
      </c>
      <c r="R259" s="653">
        <f t="shared" si="598"/>
        <v>0.92399999999999993</v>
      </c>
      <c r="S259" s="653"/>
      <c r="T259" s="666"/>
      <c r="X259" s="638">
        <f t="shared" si="592"/>
        <v>0</v>
      </c>
      <c r="Z259" s="638">
        <f t="shared" si="476"/>
        <v>0</v>
      </c>
      <c r="AA259" s="1093"/>
      <c r="AB259">
        <f>_xlfn.XLOOKUP($H259,'[1]Baumaterialien Matériaux'!$A:$A,'[1]Baumaterialien Matériaux'!AK:AK,0,0)</f>
        <v>0</v>
      </c>
      <c r="AC259" t="str" cm="1">
        <f t="array" ref="AC259">_xlfn.SWITCH(I259,"kg"," ",0," ",_xlfn.XLOOKUP(H259, '[1]Baumaterialien Matériaux'!$A:$A, '[1]Baumaterialien Matériaux'!$AL:$AL, "-", 0, 1))</f>
        <v xml:space="preserve"> </v>
      </c>
      <c r="AD259" s="1112" cm="1">
        <f t="array" ref="AD259">IFERROR(_xlfn.SWITCH(I259,"kg",1,"m3",AC259,AC259)*J259/(_xlfn.XLOOKUP(AA259,Métrés!A:A,Métrés!E:E,0)),0)</f>
        <v>0</v>
      </c>
      <c r="AE259" s="1092">
        <f>IFERROR(N259*$G$1/(_xlfn.XLOOKUP($AA259,Métrés!$A:$A,Métrés!$E:$E,0)),0)</f>
        <v>0</v>
      </c>
      <c r="AF259" s="1092">
        <f>IFERROR(O259*$G$1/(_xlfn.XLOOKUP($AA259,Métrés!$A:$A,Métrés!$E:$E,0)),0)</f>
        <v>0</v>
      </c>
      <c r="AG259" s="1092">
        <f>IFERROR(Q259*$G$1/(_xlfn.XLOOKUP($AA259,Métrés!$A:$A,Métrés!$E:$E,0)),0)</f>
        <v>0</v>
      </c>
      <c r="AH259" s="1092">
        <f>IFERROR(R259*$G$1/(_xlfn.XLOOKUP($AA259,Métrés!$A:$A,Métrés!$E:$E,0)),0)</f>
        <v>0</v>
      </c>
      <c r="AI259" s="1092">
        <f>IFERROR(S259*$G$1/(_xlfn.XLOOKUP($AA259,Métrés!$A:$A,Métrés!$E:$E,0)),0)</f>
        <v>0</v>
      </c>
      <c r="AJ259" s="666"/>
      <c r="AK259" s="666"/>
      <c r="AL259" s="666"/>
      <c r="AM259" s="666"/>
      <c r="AN259" s="1051"/>
      <c r="AO259" s="666"/>
      <c r="AP259" s="666"/>
      <c r="AQ259" s="666"/>
      <c r="AR259" s="1052"/>
      <c r="AS259" s="1051"/>
      <c r="AT259" s="666"/>
      <c r="AU259" s="666"/>
      <c r="AV259" s="666"/>
      <c r="AW259" s="1052"/>
      <c r="AX259" s="1051"/>
      <c r="AY259" s="666"/>
      <c r="AZ259" s="666"/>
      <c r="BA259" s="666"/>
      <c r="BB259" s="1052"/>
      <c r="BC259" s="1051"/>
      <c r="BD259" s="666"/>
      <c r="BE259" s="666"/>
      <c r="BF259" s="1052"/>
      <c r="BG259" s="1051"/>
      <c r="BH259" s="666"/>
      <c r="BI259" s="1052"/>
      <c r="BJ259" s="666"/>
      <c r="BK259" s="1051"/>
      <c r="BL259" s="666"/>
      <c r="BM259" s="1052"/>
      <c r="BN259" s="675">
        <f t="shared" si="593"/>
        <v>0</v>
      </c>
    </row>
    <row r="260" spans="2:67">
      <c r="B260" s="1105"/>
      <c r="C260" s="1106"/>
      <c r="D260" s="478" t="s">
        <v>169</v>
      </c>
      <c r="E260" s="479" t="str">
        <f>BillQuantities!E49</f>
        <v>Installation sanitaire habitation</v>
      </c>
      <c r="F260" s="479"/>
      <c r="G260" s="479" t="str">
        <f>VLOOKUP(H260, 'Gebäudetechnik Technique du bât'!$A$10:$X$78, 24,FALSE)</f>
        <v>Habitation, appareils et conduites compris</v>
      </c>
      <c r="H260" s="753" t="s">
        <v>831</v>
      </c>
      <c r="I260" s="459" t="str">
        <f>VLOOKUP(H260, 'Gebäudetechnik Technique du bât'!$A$10:$X$78, 23,FALSE)</f>
        <v>SRE</v>
      </c>
      <c r="J260" s="662">
        <f>$G$1</f>
        <v>964.84</v>
      </c>
      <c r="K260" s="663">
        <v>1</v>
      </c>
      <c r="L260" s="663">
        <v>30</v>
      </c>
      <c r="M260" s="664">
        <f>SUM(N260:Q260)</f>
        <v>31.68</v>
      </c>
      <c r="N260" s="720">
        <f>IFERROR(($J260*VLOOKUP($H260, 'Gebäudetechnik Technique du bât'!$A$10:$U$78, 21,FALSE)),0)/$G$1</f>
        <v>11</v>
      </c>
      <c r="O260" s="720">
        <f>N260-(40%*N260)</f>
        <v>6.6</v>
      </c>
      <c r="P260" s="720">
        <f>IFERROR((N260+Q260)*($L$2/L260-1),0)</f>
        <v>12.54</v>
      </c>
      <c r="Q260" s="720">
        <f>IFERROR(($J260*VLOOKUP($H260, 'Gebäudetechnik Technique du bât'!$A$10:$V$78, 22,FALSE)),0)/$G$1</f>
        <v>1.54</v>
      </c>
      <c r="R260" s="720">
        <f>Q260-(40%*Q260)</f>
        <v>0.92399999999999993</v>
      </c>
      <c r="X260" s="638" t="s">
        <v>148</v>
      </c>
      <c r="Z260" s="638">
        <f t="shared" si="476"/>
        <v>30</v>
      </c>
      <c r="AA260" s="1094" t="s">
        <v>3446</v>
      </c>
      <c r="AB260" t="str">
        <f>_xlfn.XLOOKUP($H260,'[1]Baumaterialien Matériaux'!$A:$A,'[1]Baumaterialien Matériaux'!AK:AK,0,0)</f>
        <v>equipment</v>
      </c>
      <c r="AC260" cm="1">
        <f t="array" ref="AC260">_xlfn.SWITCH(I260,"kg"," ",0," ",_xlfn.XLOOKUP(H260, '[1]Baumaterialien Matériaux'!$A:$A, '[1]Baumaterialien Matériaux'!$AL:$AL, "-", 0, 1))</f>
        <v>0</v>
      </c>
      <c r="AD260" s="1112" cm="1">
        <f t="array" ref="AD260">IFERROR(_xlfn.SWITCH(I260,"kg",1,"m3",AC260,AC260)*J260/(_xlfn.XLOOKUP(AA260,Métrés!A:A,Métrés!E:E,0)),0)</f>
        <v>0</v>
      </c>
      <c r="AE260" s="1092">
        <f>IFERROR(N260*$G$1/(_xlfn.XLOOKUP($AA260,Métrés!$A:$A,Métrés!$E:$E,0)),0)</f>
        <v>11</v>
      </c>
      <c r="AF260" s="1092">
        <f>IFERROR(O260*$G$1/(_xlfn.XLOOKUP($AA260,Métrés!$A:$A,Métrés!$E:$E,0)),0)</f>
        <v>6.6</v>
      </c>
      <c r="AG260" s="1092">
        <f>IFERROR(Q260*$G$1/(_xlfn.XLOOKUP($AA260,Métrés!$A:$A,Métrés!$E:$E,0)),0)</f>
        <v>1.54</v>
      </c>
      <c r="AH260" s="1092">
        <f>IFERROR(R260*$G$1/(_xlfn.XLOOKUP($AA260,Métrés!$A:$A,Métrés!$E:$E,0)),0)</f>
        <v>0.92399999999999993</v>
      </c>
      <c r="AI260" s="1092">
        <f>IFERROR(S260*$G$1/(_xlfn.XLOOKUP($AA260,Métrés!$A:$A,Métrés!$E:$E,0)),0)</f>
        <v>0</v>
      </c>
      <c r="AJ260" s="1022"/>
      <c r="AM260" s="638" t="s">
        <v>148</v>
      </c>
      <c r="AN260" s="1017">
        <f>IF(AM260="Structure",N260,0)</f>
        <v>0</v>
      </c>
      <c r="AO260" s="638">
        <f>IF(AM260="Structure",P260,0)</f>
        <v>0</v>
      </c>
      <c r="AP260" s="638">
        <f>IF(AM260="Structure",Q260,0)</f>
        <v>0</v>
      </c>
      <c r="AQ260" s="1018">
        <f>IF(AM260="Structure",S260,0)</f>
        <v>0</v>
      </c>
      <c r="AR260" s="1018">
        <f>IF(AM260="Structure",T260,0)</f>
        <v>0</v>
      </c>
      <c r="AS260" s="1017">
        <f>IF(AM260="Insulation",N260,0)</f>
        <v>0</v>
      </c>
      <c r="AT260" s="638">
        <f>IF(AM260="Insulation",P260,0)</f>
        <v>0</v>
      </c>
      <c r="AU260" s="638">
        <f>IF(AM260="Insulation",Q260,0)</f>
        <v>0</v>
      </c>
      <c r="AV260" s="1018">
        <f>IF(AM260="Insulation",S260,0)</f>
        <v>0</v>
      </c>
      <c r="AW260" s="1018">
        <f>IF(AM260="Insulation",T260,0)</f>
        <v>0</v>
      </c>
      <c r="AX260" s="1017">
        <f>IF(AM260="Revêtement",N260,0)</f>
        <v>0</v>
      </c>
      <c r="AY260" s="638">
        <f>IF(AM260="Revêtement",P260,0)</f>
        <v>0</v>
      </c>
      <c r="AZ260" s="638">
        <f>IF(AM260="Revêtement",Q260,0)</f>
        <v>0</v>
      </c>
      <c r="BA260" s="638">
        <f>IF(AM260="Revêtement",S260,0)</f>
        <v>0</v>
      </c>
      <c r="BB260" s="1018">
        <f>IF(AM260="Revêtement",T260,0)</f>
        <v>0</v>
      </c>
      <c r="BC260" s="1017">
        <f>IF(AM260="Installation",N260,0)</f>
        <v>11</v>
      </c>
      <c r="BD260" s="638">
        <f>IF(AM260="Installation",P260,0)</f>
        <v>12.54</v>
      </c>
      <c r="BE260" s="638">
        <f>IF(AM260="Installation",Q260,0)</f>
        <v>1.54</v>
      </c>
      <c r="BF260" s="1018"/>
      <c r="BG260" s="1017">
        <f>IF($AM260="Structure", IF($I260="kg",$J260,0), 0)</f>
        <v>0</v>
      </c>
      <c r="BH260" s="638">
        <f>IF($AM260="Insulation", IF($I260="kg",$J260,0), 0)</f>
        <v>0</v>
      </c>
      <c r="BI260" s="1018">
        <f>IF($AM260="Revêtement", IF($I260="kg",$J260,0), 0)</f>
        <v>0</v>
      </c>
      <c r="BJ260" s="638" t="str">
        <f>_xlfn.XLOOKUP(H260, 'Baumaterialien Matériaux'!A:A, 'Baumaterialien Matériaux'!E:E, "-", 0, 1)</f>
        <v>-</v>
      </c>
      <c r="BK260" s="1032">
        <f t="shared" si="470"/>
        <v>0</v>
      </c>
      <c r="BL260" s="1030">
        <f t="shared" si="471"/>
        <v>0</v>
      </c>
      <c r="BM260" s="1033">
        <f t="shared" si="472"/>
        <v>0</v>
      </c>
      <c r="BN260" s="675">
        <f t="shared" si="593"/>
        <v>7.5239999999999991</v>
      </c>
      <c r="BO260" s="720">
        <f>IFERROR((N260+Q260)*($L$2/L260-1),0)</f>
        <v>12.54</v>
      </c>
    </row>
    <row r="261" spans="2:67">
      <c r="E261" s="454"/>
      <c r="J261" s="645"/>
      <c r="AA261" s="638"/>
      <c r="AJ261" s="1022"/>
      <c r="AN261" s="1017">
        <f>IF(AM261="Structure",N261,0)</f>
        <v>0</v>
      </c>
      <c r="AO261" s="638">
        <f>IF(AM261="Structure",P261,0)</f>
        <v>0</v>
      </c>
      <c r="AP261" s="638">
        <f>IF(AM261="Structure",Q261,0)</f>
        <v>0</v>
      </c>
      <c r="AQ261" s="1018">
        <f>IF(AM261="Structure",S261,0)</f>
        <v>0</v>
      </c>
      <c r="AR261" s="1018">
        <f>IF(AM261="Structure",T261,0)</f>
        <v>0</v>
      </c>
      <c r="AS261" s="1017">
        <f>IF(AM261="Insulation",N261,0)</f>
        <v>0</v>
      </c>
      <c r="AT261" s="638">
        <f>IF(AM261="Insulation",P261,0)</f>
        <v>0</v>
      </c>
      <c r="AU261" s="638">
        <f>IF(AM261="Insulation",Q261,0)</f>
        <v>0</v>
      </c>
      <c r="AV261" s="1018">
        <f>IF(AM261="Insulation",S261,0)</f>
        <v>0</v>
      </c>
      <c r="AW261" s="1018">
        <f>IF(AM261="Insulation",T261,0)</f>
        <v>0</v>
      </c>
      <c r="AX261" s="1017">
        <f>IF(AM261="Revêtement",N261,0)</f>
        <v>0</v>
      </c>
      <c r="AY261" s="638">
        <f>IF(AM261="Revêtement",P261,0)</f>
        <v>0</v>
      </c>
      <c r="AZ261" s="638">
        <f>IF(AM261="Revêtement",Q261,0)</f>
        <v>0</v>
      </c>
      <c r="BA261" s="638">
        <f>IF(AM261="Revêtement",S261,0)</f>
        <v>0</v>
      </c>
      <c r="BB261" s="1018">
        <f>IF(AM261="Revêtement",T261,0)</f>
        <v>0</v>
      </c>
      <c r="BC261" s="1017">
        <f>IF(AM261="Installation",N261,0)</f>
        <v>0</v>
      </c>
      <c r="BD261" s="638">
        <f>IF(AM261="Installation",P261,0)</f>
        <v>0</v>
      </c>
      <c r="BE261" s="638">
        <f>IF(AM261="Installation",Q261,0)</f>
        <v>0</v>
      </c>
      <c r="BF261" s="1018"/>
      <c r="BG261" s="1017"/>
      <c r="BI261" s="1018"/>
      <c r="BJ261" s="638">
        <f>_xlfn.XLOOKUP(H261, 'Baumaterialien Matériaux'!A:A, 'Baumaterialien Matériaux'!E:E, "-", 0, 1)</f>
        <v>0</v>
      </c>
      <c r="BK261" s="1032">
        <f t="shared" si="470"/>
        <v>0</v>
      </c>
      <c r="BL261" s="1030">
        <f t="shared" si="471"/>
        <v>0</v>
      </c>
      <c r="BM261" s="1033">
        <f t="shared" si="472"/>
        <v>0</v>
      </c>
    </row>
    <row r="262" spans="2:67" ht="16.5" thickBot="1">
      <c r="E262" s="454"/>
      <c r="J262" s="645"/>
      <c r="M262" s="666">
        <f t="shared" ref="M262:R262" ca="1" si="599">M4+M11+M22+M38+M50+M66+M87+M96+M107+M120+M158+M186+M213+M232+M247+M250+M256+M259</f>
        <v>795.53365701595226</v>
      </c>
      <c r="N262" s="666">
        <f t="shared" si="599"/>
        <v>404.10271683491567</v>
      </c>
      <c r="O262" s="666">
        <f t="shared" si="599"/>
        <v>171.39495998946504</v>
      </c>
      <c r="P262" s="666">
        <f t="shared" ca="1" si="599"/>
        <v>188.63862873695948</v>
      </c>
      <c r="Q262" s="666">
        <f t="shared" si="599"/>
        <v>58.024811027494707</v>
      </c>
      <c r="R262" s="666">
        <f t="shared" si="599"/>
        <v>32.930400211062938</v>
      </c>
      <c r="S262" s="666">
        <f>-(S4+S11+S22+S38+S50+S66+S87+S96+S107+S120+S158+S186+S213+S232+S247+S250+S256+S259)</f>
        <v>-490.83959465693795</v>
      </c>
      <c r="T262" s="666">
        <f>(T4+T11+T22+T38+T50+T66+T87+T96+T107+T120+T158+T186+T213+T232+T247+T250+T256+T259)</f>
        <v>-102.75579873061092</v>
      </c>
      <c r="V262" s="666">
        <f ca="1">SUM(V4:V259)</f>
        <v>-248.25069663504956</v>
      </c>
      <c r="W262" s="666">
        <f ca="1">-SUM(W4:W259)</f>
        <v>-263.09880977377941</v>
      </c>
      <c r="AA262" s="638"/>
      <c r="AJ262" s="1025"/>
      <c r="AK262" s="666">
        <f ca="1">SUM(AK4:AK259)</f>
        <v>-42.934953538800208</v>
      </c>
      <c r="AL262" s="666">
        <f ca="1">-SUM(AL4:AL259)</f>
        <v>-257.07391749457594</v>
      </c>
      <c r="AN262" s="1019">
        <f ca="1">SUM(AN4:AN260)</f>
        <v>234.51122013287181</v>
      </c>
      <c r="AO262" s="1019">
        <f t="shared" ref="AO262:BE262" ca="1" si="600">SUM(AO4:AO260)</f>
        <v>0</v>
      </c>
      <c r="AP262" s="1019">
        <f t="shared" ca="1" si="600"/>
        <v>30.182075478835856</v>
      </c>
      <c r="AQ262" s="1019">
        <f ca="1">-SUM(AQ4:AQ260)</f>
        <v>-231.76526564335367</v>
      </c>
      <c r="AR262" s="1019">
        <f t="shared" ca="1" si="600"/>
        <v>-59.82084519181074</v>
      </c>
      <c r="AS262" s="1019">
        <f ca="1">SUM(AS4:AS260)</f>
        <v>30.506087077442896</v>
      </c>
      <c r="AT262" s="1019">
        <f t="shared" ca="1" si="600"/>
        <v>29.286063015214964</v>
      </c>
      <c r="AU262" s="1019">
        <f t="shared" ca="1" si="600"/>
        <v>0.53916043634177679</v>
      </c>
      <c r="AV262" s="1019">
        <f ca="1">-SUM(AV4:AV260)</f>
        <v>-189.03110375053549</v>
      </c>
      <c r="AW262" s="1019">
        <f t="shared" ca="1" si="600"/>
        <v>-40.604603714951004</v>
      </c>
      <c r="AX262" s="1019">
        <f ca="1">SUM(AX4:AX260)</f>
        <v>60.160180985655643</v>
      </c>
      <c r="AY262" s="1019">
        <f t="shared" ca="1" si="600"/>
        <v>74.595726535972801</v>
      </c>
      <c r="AZ262" s="1019">
        <f t="shared" ca="1" si="600"/>
        <v>17.21530024809088</v>
      </c>
      <c r="BA262" s="1019">
        <f ca="1">-SUM(BA4:BA260)</f>
        <v>-70.043225263048811</v>
      </c>
      <c r="BB262" s="1019">
        <f t="shared" ca="1" si="600"/>
        <v>-2.3303498238492049</v>
      </c>
      <c r="BC262" s="1019">
        <f>SUM(BC4:BC260)</f>
        <v>78.925228638945327</v>
      </c>
      <c r="BD262" s="1019">
        <f t="shared" si="600"/>
        <v>84.756839185771753</v>
      </c>
      <c r="BE262" s="1019">
        <f t="shared" si="600"/>
        <v>10.088274864226193</v>
      </c>
      <c r="BF262" s="1080"/>
      <c r="BG262" s="1019">
        <f ca="1">SUM(BG4:BG260)</f>
        <v>1417195.8597999995</v>
      </c>
      <c r="BH262" s="1019">
        <f t="shared" ref="BH262:BI262" ca="1" si="601">SUM(BH4:BH260)</f>
        <v>137030.80509999997</v>
      </c>
      <c r="BI262" s="1019">
        <f t="shared" ca="1" si="601"/>
        <v>247301.66650000002</v>
      </c>
      <c r="BJ262" s="666"/>
      <c r="BK262" s="1019">
        <f ca="1">SUM(BK4:BK260)</f>
        <v>877.35207178233179</v>
      </c>
      <c r="BL262" s="1019">
        <f t="shared" ref="BL262:BM262" ca="1" si="602">SUM(BL4:BL260)</f>
        <v>684.31519999999978</v>
      </c>
      <c r="BM262" s="1019">
        <f t="shared" ca="1" si="602"/>
        <v>214.59924742958384</v>
      </c>
      <c r="BN262" s="666">
        <f ca="1">SUM(BN6:BN260)</f>
        <v>100.44912333805341</v>
      </c>
      <c r="BO262" s="666">
        <f ca="1">SUM(BO6:BO260)</f>
        <v>158.59740925440076</v>
      </c>
    </row>
    <row r="263" spans="2:67">
      <c r="E263" s="454"/>
      <c r="J263" s="645"/>
      <c r="AA263" s="638"/>
      <c r="AR263" s="720"/>
    </row>
    <row r="264" spans="2:67">
      <c r="E264" s="454"/>
      <c r="J264" s="645"/>
      <c r="T264" s="638" t="s">
        <v>3426</v>
      </c>
      <c r="AA264" s="638"/>
      <c r="AN264" s="1030">
        <f ca="1">SUM(AN262:AP262)</f>
        <v>264.69329561170764</v>
      </c>
      <c r="AS264" s="1030">
        <f ca="1">SUM(AS262:AU262)</f>
        <v>60.331310528999637</v>
      </c>
      <c r="AX264" s="1030">
        <f ca="1">SUM(AX262:AZ262)</f>
        <v>151.97120776971931</v>
      </c>
      <c r="BC264" s="1030">
        <f>SUM(BC262:BE262)</f>
        <v>173.77034268894329</v>
      </c>
    </row>
    <row r="265" spans="2:67">
      <c r="E265" s="454"/>
      <c r="J265" s="645"/>
      <c r="M265" s="638">
        <f ca="1">M262/60</f>
        <v>13.258894283599204</v>
      </c>
      <c r="N265" s="720">
        <f ca="1">SUM(N262:Q262)</f>
        <v>822.16111658883494</v>
      </c>
      <c r="O265" s="720">
        <f ca="1">SUM(O262:R262)</f>
        <v>450.98879996498215</v>
      </c>
      <c r="S265" s="720">
        <f ca="1">S262-(AQ262+AV262+BA262)</f>
        <v>0</v>
      </c>
      <c r="T265" s="720">
        <f ca="1">T262-(AR262+AW262+BB262)</f>
        <v>0</v>
      </c>
      <c r="AA265" s="638"/>
      <c r="AN265" s="1030">
        <f ca="1">AN264+AS264+AX264+BC264</f>
        <v>650.76615659936988</v>
      </c>
    </row>
    <row r="266" spans="2:67">
      <c r="E266" s="454"/>
      <c r="J266" s="645"/>
      <c r="N266" s="720">
        <f ca="1">$M$262-N265</f>
        <v>-26.627459572882685</v>
      </c>
      <c r="O266" s="720">
        <f ca="1">$M$262-O265</f>
        <v>344.54485705097011</v>
      </c>
      <c r="AA266" s="638"/>
      <c r="AN266" s="720">
        <f ca="1">$M$262-AN265</f>
        <v>144.76750041658238</v>
      </c>
    </row>
    <row r="267" spans="2:67">
      <c r="AA267" s="638"/>
    </row>
    <row r="268" spans="2:67">
      <c r="N268" s="720">
        <f ca="1">AN262+AS262+AX262+BC262</f>
        <v>404.10271683491567</v>
      </c>
      <c r="O268" s="720">
        <f ca="1">AO262+AT262+AY262+BD262</f>
        <v>188.6386287369595</v>
      </c>
      <c r="P268" s="720">
        <f t="shared" ref="P268:R268" ca="1" si="603">AO262+AT262+AY262+BD262</f>
        <v>188.6386287369595</v>
      </c>
      <c r="Q268" s="720">
        <f t="shared" ca="1" si="603"/>
        <v>58.024811027494707</v>
      </c>
      <c r="R268" s="720">
        <f t="shared" ca="1" si="603"/>
        <v>-490.83959465693795</v>
      </c>
      <c r="AA268" s="638"/>
    </row>
    <row r="269" spans="2:67">
      <c r="AA269" s="638"/>
    </row>
    <row r="270" spans="2:67">
      <c r="AA270" s="638"/>
    </row>
    <row r="271" spans="2:67">
      <c r="AA271" s="638"/>
    </row>
    <row r="272" spans="2:67">
      <c r="AA272" s="638"/>
    </row>
    <row r="273" spans="27:27">
      <c r="AA273" s="638"/>
    </row>
    <row r="274" spans="27:27">
      <c r="AA274" s="638"/>
    </row>
    <row r="275" spans="27:27">
      <c r="AA275" s="638"/>
    </row>
    <row r="276" spans="27:27">
      <c r="AA276" s="638"/>
    </row>
    <row r="277" spans="27:27">
      <c r="AA277" s="638"/>
    </row>
    <row r="278" spans="27:27">
      <c r="AA278" s="638"/>
    </row>
    <row r="279" spans="27:27">
      <c r="AA279" s="638"/>
    </row>
    <row r="280" spans="27:27">
      <c r="AA280" s="638"/>
    </row>
    <row r="281" spans="27:27">
      <c r="AA281" s="638"/>
    </row>
    <row r="282" spans="27:27">
      <c r="AA282" s="638"/>
    </row>
    <row r="283" spans="27:27">
      <c r="AA283" s="638"/>
    </row>
    <row r="284" spans="27:27">
      <c r="AA284" s="638"/>
    </row>
    <row r="285" spans="27:27">
      <c r="AA285" s="638"/>
    </row>
    <row r="286" spans="27:27">
      <c r="AA286" s="638"/>
    </row>
    <row r="287" spans="27:27">
      <c r="AA287" s="638"/>
    </row>
    <row r="288" spans="27:27">
      <c r="AA288" s="638"/>
    </row>
    <row r="289" spans="27:27">
      <c r="AA289" s="638"/>
    </row>
    <row r="290" spans="27:27">
      <c r="AA290" s="638"/>
    </row>
    <row r="291" spans="27:27">
      <c r="AA291" s="638"/>
    </row>
    <row r="292" spans="27:27">
      <c r="AA292" s="638"/>
    </row>
    <row r="293" spans="27:27">
      <c r="AA293" s="638"/>
    </row>
    <row r="294" spans="27:27">
      <c r="AA294" s="638"/>
    </row>
    <row r="295" spans="27:27">
      <c r="AA295" s="638"/>
    </row>
    <row r="296" spans="27:27">
      <c r="AA296" s="638"/>
    </row>
    <row r="297" spans="27:27">
      <c r="AA297" s="638"/>
    </row>
    <row r="298" spans="27:27">
      <c r="AA298" s="638"/>
    </row>
    <row r="299" spans="27:27">
      <c r="AA299" s="638"/>
    </row>
    <row r="300" spans="27:27">
      <c r="AA300" s="638"/>
    </row>
    <row r="301" spans="27:27">
      <c r="AA301" s="638"/>
    </row>
    <row r="302" spans="27:27">
      <c r="AA302" s="638"/>
    </row>
    <row r="303" spans="27:27">
      <c r="AA303" s="638"/>
    </row>
    <row r="304" spans="27:27">
      <c r="AA304" s="638"/>
    </row>
    <row r="305" spans="27:27">
      <c r="AA305" s="638"/>
    </row>
    <row r="306" spans="27:27">
      <c r="AA306" s="638"/>
    </row>
    <row r="307" spans="27:27">
      <c r="AA307" s="638"/>
    </row>
    <row r="308" spans="27:27">
      <c r="AA308" s="638"/>
    </row>
    <row r="309" spans="27:27">
      <c r="AA309" s="638"/>
    </row>
    <row r="310" spans="27:27">
      <c r="AA310" s="638"/>
    </row>
    <row r="311" spans="27:27">
      <c r="AA311" s="638"/>
    </row>
    <row r="312" spans="27:27">
      <c r="AA312" s="638"/>
    </row>
    <row r="313" spans="27:27">
      <c r="AA313" s="638"/>
    </row>
    <row r="314" spans="27:27">
      <c r="AA314" s="638"/>
    </row>
    <row r="315" spans="27:27">
      <c r="AA315" s="638"/>
    </row>
    <row r="316" spans="27:27">
      <c r="AA316" s="638"/>
    </row>
    <row r="317" spans="27:27">
      <c r="AA317" s="638"/>
    </row>
    <row r="318" spans="27:27">
      <c r="AA318" s="638"/>
    </row>
    <row r="319" spans="27:27">
      <c r="AA319" s="638"/>
    </row>
    <row r="320" spans="27:27">
      <c r="AA320" s="638"/>
    </row>
    <row r="321" spans="27:27">
      <c r="AA321" s="638"/>
    </row>
    <row r="322" spans="27:27">
      <c r="AA322" s="638"/>
    </row>
    <row r="323" spans="27:27">
      <c r="AA323" s="638"/>
    </row>
    <row r="324" spans="27:27">
      <c r="AA324" s="638"/>
    </row>
    <row r="325" spans="27:27">
      <c r="AA325" s="638"/>
    </row>
    <row r="326" spans="27:27">
      <c r="AA326" s="638"/>
    </row>
    <row r="327" spans="27:27">
      <c r="AA327" s="638"/>
    </row>
    <row r="328" spans="27:27">
      <c r="AA328" s="638"/>
    </row>
    <row r="329" spans="27:27">
      <c r="AA329" s="638"/>
    </row>
    <row r="330" spans="27:27">
      <c r="AA330" s="638"/>
    </row>
    <row r="331" spans="27:27">
      <c r="AA331" s="638"/>
    </row>
    <row r="332" spans="27:27">
      <c r="AA332" s="638"/>
    </row>
    <row r="333" spans="27:27">
      <c r="AA333" s="638"/>
    </row>
    <row r="334" spans="27:27">
      <c r="AA334" s="638"/>
    </row>
    <row r="335" spans="27:27">
      <c r="AA335" s="638"/>
    </row>
    <row r="336" spans="27:27">
      <c r="AA336" s="638"/>
    </row>
    <row r="337" spans="27:27">
      <c r="AA337" s="638"/>
    </row>
    <row r="338" spans="27:27">
      <c r="AA338" s="638"/>
    </row>
    <row r="339" spans="27:27">
      <c r="AA339" s="638"/>
    </row>
    <row r="340" spans="27:27">
      <c r="AA340" s="638"/>
    </row>
    <row r="341" spans="27:27">
      <c r="AA341" s="638"/>
    </row>
    <row r="342" spans="27:27">
      <c r="AA342" s="638"/>
    </row>
    <row r="343" spans="27:27">
      <c r="AA343" s="638"/>
    </row>
    <row r="344" spans="27:27">
      <c r="AA344" s="638"/>
    </row>
    <row r="345" spans="27:27">
      <c r="AA345" s="638"/>
    </row>
    <row r="346" spans="27:27">
      <c r="AA346" s="638"/>
    </row>
    <row r="347" spans="27:27">
      <c r="AA347" s="638"/>
    </row>
    <row r="348" spans="27:27">
      <c r="AA348" s="638"/>
    </row>
    <row r="349" spans="27:27">
      <c r="AA349" s="638"/>
    </row>
    <row r="350" spans="27:27">
      <c r="AA350" s="638"/>
    </row>
    <row r="351" spans="27:27">
      <c r="AA351" s="638"/>
    </row>
    <row r="352" spans="27:27">
      <c r="AA352" s="638"/>
    </row>
    <row r="353" spans="27:27">
      <c r="AA353" s="638"/>
    </row>
    <row r="354" spans="27:27">
      <c r="AA354" s="638"/>
    </row>
    <row r="355" spans="27:27">
      <c r="AA355" s="638"/>
    </row>
    <row r="356" spans="27:27">
      <c r="AA356" s="638"/>
    </row>
    <row r="357" spans="27:27">
      <c r="AA357" s="638"/>
    </row>
    <row r="358" spans="27:27">
      <c r="AA358" s="638"/>
    </row>
    <row r="359" spans="27:27">
      <c r="AA359" s="638"/>
    </row>
    <row r="360" spans="27:27">
      <c r="AA360" s="638"/>
    </row>
    <row r="361" spans="27:27">
      <c r="AA361" s="638"/>
    </row>
    <row r="362" spans="27:27">
      <c r="AA362" s="638"/>
    </row>
    <row r="363" spans="27:27">
      <c r="AA363" s="638"/>
    </row>
    <row r="364" spans="27:27">
      <c r="AA364" s="638"/>
    </row>
    <row r="365" spans="27:27">
      <c r="AA365" s="638"/>
    </row>
    <row r="366" spans="27:27">
      <c r="AA366" s="638"/>
    </row>
    <row r="367" spans="27:27">
      <c r="AA367" s="638"/>
    </row>
    <row r="368" spans="27:27">
      <c r="AA368" s="638"/>
    </row>
    <row r="369" spans="27:27">
      <c r="AA369" s="638"/>
    </row>
    <row r="370" spans="27:27">
      <c r="AA370" s="638"/>
    </row>
    <row r="371" spans="27:27">
      <c r="AA371" s="638"/>
    </row>
    <row r="372" spans="27:27">
      <c r="AA372" s="638"/>
    </row>
    <row r="373" spans="27:27">
      <c r="AA373" s="638"/>
    </row>
    <row r="374" spans="27:27">
      <c r="AA374" s="638"/>
    </row>
    <row r="375" spans="27:27">
      <c r="AA375" s="638"/>
    </row>
    <row r="376" spans="27:27">
      <c r="AA376" s="638"/>
    </row>
    <row r="377" spans="27:27">
      <c r="AA377" s="638"/>
    </row>
    <row r="378" spans="27:27">
      <c r="AA378" s="638"/>
    </row>
    <row r="379" spans="27:27">
      <c r="AA379" s="638"/>
    </row>
    <row r="380" spans="27:27">
      <c r="AA380" s="638"/>
    </row>
    <row r="381" spans="27:27">
      <c r="AA381" s="638"/>
    </row>
    <row r="382" spans="27:27">
      <c r="AA382" s="638"/>
    </row>
    <row r="383" spans="27:27">
      <c r="AA383" s="638"/>
    </row>
    <row r="384" spans="27:27">
      <c r="AA384" s="638"/>
    </row>
    <row r="385" spans="27:27">
      <c r="AA385" s="638"/>
    </row>
    <row r="386" spans="27:27">
      <c r="AA386" s="638"/>
    </row>
    <row r="387" spans="27:27">
      <c r="AA387" s="638"/>
    </row>
    <row r="388" spans="27:27">
      <c r="AA388" s="638"/>
    </row>
    <row r="389" spans="27:27">
      <c r="AA389" s="638"/>
    </row>
    <row r="390" spans="27:27">
      <c r="AA390" s="638"/>
    </row>
    <row r="391" spans="27:27">
      <c r="AA391" s="638"/>
    </row>
    <row r="392" spans="27:27">
      <c r="AA392" s="638"/>
    </row>
    <row r="393" spans="27:27">
      <c r="AA393" s="638"/>
    </row>
    <row r="394" spans="27:27">
      <c r="AA394" s="638"/>
    </row>
    <row r="395" spans="27:27">
      <c r="AA395" s="638"/>
    </row>
    <row r="396" spans="27:27">
      <c r="AA396" s="638"/>
    </row>
    <row r="397" spans="27:27">
      <c r="AA397" s="638"/>
    </row>
    <row r="398" spans="27:27">
      <c r="AA398" s="638"/>
    </row>
    <row r="399" spans="27:27">
      <c r="AA399" s="638"/>
    </row>
    <row r="400" spans="27:27">
      <c r="AA400" s="638"/>
    </row>
    <row r="401" spans="27:27">
      <c r="AA401" s="638"/>
    </row>
    <row r="402" spans="27:27">
      <c r="AA402" s="638"/>
    </row>
    <row r="403" spans="27:27">
      <c r="AA403" s="638"/>
    </row>
    <row r="404" spans="27:27">
      <c r="AA404" s="638"/>
    </row>
    <row r="405" spans="27:27">
      <c r="AA405" s="638"/>
    </row>
    <row r="406" spans="27:27">
      <c r="AA406" s="638"/>
    </row>
    <row r="407" spans="27:27">
      <c r="AA407" s="638"/>
    </row>
    <row r="408" spans="27:27">
      <c r="AA408" s="638"/>
    </row>
    <row r="409" spans="27:27">
      <c r="AA409" s="638"/>
    </row>
    <row r="410" spans="27:27">
      <c r="AA410" s="638"/>
    </row>
    <row r="411" spans="27:27">
      <c r="AA411" s="638"/>
    </row>
    <row r="412" spans="27:27">
      <c r="AA412" s="638"/>
    </row>
    <row r="413" spans="27:27">
      <c r="AA413" s="638"/>
    </row>
    <row r="414" spans="27:27">
      <c r="AA414" s="638"/>
    </row>
    <row r="415" spans="27:27">
      <c r="AA415" s="638"/>
    </row>
    <row r="416" spans="27:27">
      <c r="AA416" s="638"/>
    </row>
    <row r="417" spans="27:27">
      <c r="AA417" s="638"/>
    </row>
    <row r="418" spans="27:27">
      <c r="AA418" s="638"/>
    </row>
    <row r="419" spans="27:27">
      <c r="AA419" s="638"/>
    </row>
    <row r="420" spans="27:27">
      <c r="AA420" s="638"/>
    </row>
    <row r="421" spans="27:27">
      <c r="AA421" s="638"/>
    </row>
    <row r="422" spans="27:27">
      <c r="AA422" s="638"/>
    </row>
    <row r="423" spans="27:27">
      <c r="AA423" s="638"/>
    </row>
    <row r="424" spans="27:27">
      <c r="AA424" s="638"/>
    </row>
    <row r="425" spans="27:27">
      <c r="AA425" s="638"/>
    </row>
    <row r="426" spans="27:27">
      <c r="AA426" s="638"/>
    </row>
    <row r="427" spans="27:27">
      <c r="AA427" s="638"/>
    </row>
    <row r="428" spans="27:27">
      <c r="AA428" s="638"/>
    </row>
    <row r="429" spans="27:27">
      <c r="AA429" s="638"/>
    </row>
    <row r="430" spans="27:27">
      <c r="AA430" s="638"/>
    </row>
    <row r="431" spans="27:27">
      <c r="AA431" s="638"/>
    </row>
    <row r="432" spans="27:27">
      <c r="AA432" s="638"/>
    </row>
    <row r="433" spans="27:27">
      <c r="AA433" s="638"/>
    </row>
    <row r="434" spans="27:27">
      <c r="AA434" s="638"/>
    </row>
    <row r="435" spans="27:27">
      <c r="AA435" s="638"/>
    </row>
    <row r="436" spans="27:27">
      <c r="AA436" s="638"/>
    </row>
    <row r="437" spans="27:27">
      <c r="AA437" s="638"/>
    </row>
    <row r="438" spans="27:27">
      <c r="AA438" s="638"/>
    </row>
    <row r="439" spans="27:27">
      <c r="AA439" s="638"/>
    </row>
    <row r="440" spans="27:27">
      <c r="AA440" s="638"/>
    </row>
    <row r="441" spans="27:27">
      <c r="AA441" s="638"/>
    </row>
    <row r="442" spans="27:27">
      <c r="AA442" s="638"/>
    </row>
    <row r="443" spans="27:27">
      <c r="AA443" s="638"/>
    </row>
    <row r="444" spans="27:27">
      <c r="AA444" s="638"/>
    </row>
    <row r="445" spans="27:27">
      <c r="AA445" s="638"/>
    </row>
    <row r="446" spans="27:27">
      <c r="AA446" s="638"/>
    </row>
    <row r="447" spans="27:27">
      <c r="AA447" s="638"/>
    </row>
    <row r="448" spans="27:27">
      <c r="AA448" s="638"/>
    </row>
    <row r="449" spans="27:27">
      <c r="AA449" s="638"/>
    </row>
    <row r="450" spans="27:27">
      <c r="AA450" s="638"/>
    </row>
    <row r="451" spans="27:27">
      <c r="AA451" s="638"/>
    </row>
    <row r="452" spans="27:27">
      <c r="AA452" s="638"/>
    </row>
    <row r="453" spans="27:27">
      <c r="AA453" s="638"/>
    </row>
    <row r="454" spans="27:27">
      <c r="AA454" s="638"/>
    </row>
    <row r="455" spans="27:27">
      <c r="AA455" s="638"/>
    </row>
    <row r="456" spans="27:27">
      <c r="AA456" s="638"/>
    </row>
    <row r="457" spans="27:27">
      <c r="AA457" s="638"/>
    </row>
    <row r="458" spans="27:27">
      <c r="AA458" s="638"/>
    </row>
    <row r="459" spans="27:27">
      <c r="AA459" s="638"/>
    </row>
    <row r="460" spans="27:27">
      <c r="AA460" s="638"/>
    </row>
    <row r="461" spans="27:27">
      <c r="AA461" s="638"/>
    </row>
    <row r="462" spans="27:27">
      <c r="AA462" s="638"/>
    </row>
    <row r="463" spans="27:27">
      <c r="AA463" s="638"/>
    </row>
    <row r="464" spans="27:27">
      <c r="AA464" s="638"/>
    </row>
    <row r="465" spans="27:27">
      <c r="AA465" s="638"/>
    </row>
    <row r="466" spans="27:27">
      <c r="AA466" s="638"/>
    </row>
    <row r="467" spans="27:27">
      <c r="AA467" s="638"/>
    </row>
    <row r="468" spans="27:27">
      <c r="AA468" s="638"/>
    </row>
    <row r="469" spans="27:27">
      <c r="AA469" s="638"/>
    </row>
    <row r="470" spans="27:27">
      <c r="AA470" s="638"/>
    </row>
    <row r="471" spans="27:27">
      <c r="AA471" s="638"/>
    </row>
    <row r="472" spans="27:27">
      <c r="AA472" s="638"/>
    </row>
    <row r="473" spans="27:27">
      <c r="AA473" s="638"/>
    </row>
    <row r="474" spans="27:27">
      <c r="AA474" s="638"/>
    </row>
    <row r="475" spans="27:27">
      <c r="AA475" s="638"/>
    </row>
    <row r="476" spans="27:27">
      <c r="AA476" s="638"/>
    </row>
    <row r="477" spans="27:27">
      <c r="AA477" s="638"/>
    </row>
    <row r="478" spans="27:27">
      <c r="AA478" s="638"/>
    </row>
    <row r="479" spans="27:27">
      <c r="AA479" s="638"/>
    </row>
    <row r="480" spans="27:27">
      <c r="AA480" s="638"/>
    </row>
    <row r="481" spans="27:27">
      <c r="AA481" s="638"/>
    </row>
    <row r="482" spans="27:27">
      <c r="AA482" s="638"/>
    </row>
    <row r="483" spans="27:27">
      <c r="AA483" s="638"/>
    </row>
    <row r="484" spans="27:27">
      <c r="AA484" s="638"/>
    </row>
    <row r="485" spans="27:27">
      <c r="AA485" s="638"/>
    </row>
    <row r="486" spans="27:27">
      <c r="AA486" s="638"/>
    </row>
    <row r="487" spans="27:27">
      <c r="AA487" s="638"/>
    </row>
    <row r="488" spans="27:27">
      <c r="AA488" s="638"/>
    </row>
    <row r="489" spans="27:27">
      <c r="AA489" s="638"/>
    </row>
    <row r="490" spans="27:27">
      <c r="AA490" s="638"/>
    </row>
    <row r="491" spans="27:27">
      <c r="AA491" s="638"/>
    </row>
    <row r="492" spans="27:27">
      <c r="AA492" s="638"/>
    </row>
    <row r="493" spans="27:27">
      <c r="AA493" s="638"/>
    </row>
    <row r="494" spans="27:27">
      <c r="AA494" s="638"/>
    </row>
    <row r="495" spans="27:27">
      <c r="AA495" s="638"/>
    </row>
    <row r="496" spans="27:27">
      <c r="AA496" s="638"/>
    </row>
    <row r="497" spans="27:27">
      <c r="AA497" s="638"/>
    </row>
    <row r="498" spans="27:27">
      <c r="AA498" s="638"/>
    </row>
    <row r="499" spans="27:27">
      <c r="AA499" s="638"/>
    </row>
    <row r="500" spans="27:27">
      <c r="AA500" s="638"/>
    </row>
    <row r="501" spans="27:27">
      <c r="AA501" s="638"/>
    </row>
    <row r="502" spans="27:27">
      <c r="AA502" s="638"/>
    </row>
    <row r="503" spans="27:27">
      <c r="AA503" s="638"/>
    </row>
    <row r="504" spans="27:27">
      <c r="AA504" s="638"/>
    </row>
    <row r="505" spans="27:27">
      <c r="AA505" s="638"/>
    </row>
    <row r="506" spans="27:27">
      <c r="AA506" s="638"/>
    </row>
    <row r="507" spans="27:27">
      <c r="AA507" s="638"/>
    </row>
    <row r="508" spans="27:27">
      <c r="AA508" s="638"/>
    </row>
    <row r="509" spans="27:27">
      <c r="AA509" s="638"/>
    </row>
    <row r="510" spans="27:27">
      <c r="AA510" s="638"/>
    </row>
    <row r="511" spans="27:27">
      <c r="AA511" s="638"/>
    </row>
    <row r="512" spans="27:27">
      <c r="AA512" s="638"/>
    </row>
    <row r="513" spans="27:27">
      <c r="AA513" s="638"/>
    </row>
    <row r="514" spans="27:27">
      <c r="AA514" s="638"/>
    </row>
    <row r="515" spans="27:27">
      <c r="AA515" s="638"/>
    </row>
    <row r="516" spans="27:27">
      <c r="AA516" s="638"/>
    </row>
    <row r="517" spans="27:27">
      <c r="AA517" s="638"/>
    </row>
    <row r="518" spans="27:27">
      <c r="AA518" s="638"/>
    </row>
    <row r="519" spans="27:27">
      <c r="AA519" s="638"/>
    </row>
    <row r="520" spans="27:27">
      <c r="AA520" s="638"/>
    </row>
    <row r="521" spans="27:27">
      <c r="AA521" s="638"/>
    </row>
    <row r="522" spans="27:27">
      <c r="AA522" s="638"/>
    </row>
    <row r="523" spans="27:27">
      <c r="AA523" s="638"/>
    </row>
    <row r="524" spans="27:27">
      <c r="AA524" s="638"/>
    </row>
    <row r="525" spans="27:27">
      <c r="AA525" s="638"/>
    </row>
    <row r="526" spans="27:27">
      <c r="AA526" s="638"/>
    </row>
    <row r="527" spans="27:27">
      <c r="AA527" s="638"/>
    </row>
    <row r="528" spans="27:27">
      <c r="AA528" s="638"/>
    </row>
    <row r="529" spans="27:27">
      <c r="AA529" s="638"/>
    </row>
    <row r="530" spans="27:27">
      <c r="AA530" s="638"/>
    </row>
    <row r="531" spans="27:27">
      <c r="AA531" s="638"/>
    </row>
    <row r="532" spans="27:27">
      <c r="AA532" s="638"/>
    </row>
    <row r="533" spans="27:27">
      <c r="AA533" s="638"/>
    </row>
    <row r="534" spans="27:27">
      <c r="AA534" s="638"/>
    </row>
    <row r="535" spans="27:27">
      <c r="AA535" s="638"/>
    </row>
    <row r="536" spans="27:27">
      <c r="AA536" s="638"/>
    </row>
    <row r="537" spans="27:27">
      <c r="AA537" s="638"/>
    </row>
    <row r="538" spans="27:27">
      <c r="AA538" s="638"/>
    </row>
    <row r="539" spans="27:27">
      <c r="AA539" s="638"/>
    </row>
    <row r="540" spans="27:27">
      <c r="AA540" s="638"/>
    </row>
    <row r="541" spans="27:27">
      <c r="AA541" s="638"/>
    </row>
    <row r="542" spans="27:27">
      <c r="AA542" s="638"/>
    </row>
    <row r="543" spans="27:27">
      <c r="AA543" s="638"/>
    </row>
    <row r="544" spans="27:27">
      <c r="AA544" s="638"/>
    </row>
    <row r="545" spans="27:27">
      <c r="AA545" s="638"/>
    </row>
    <row r="546" spans="27:27">
      <c r="AA546" s="638"/>
    </row>
    <row r="547" spans="27:27">
      <c r="AA547" s="638"/>
    </row>
    <row r="548" spans="27:27">
      <c r="AA548" s="638"/>
    </row>
    <row r="549" spans="27:27">
      <c r="AA549" s="638"/>
    </row>
    <row r="550" spans="27:27">
      <c r="AA550" s="638"/>
    </row>
    <row r="551" spans="27:27">
      <c r="AA551" s="638"/>
    </row>
    <row r="552" spans="27:27">
      <c r="AA552" s="638"/>
    </row>
    <row r="553" spans="27:27">
      <c r="AA553" s="638"/>
    </row>
    <row r="554" spans="27:27">
      <c r="AA554" s="638"/>
    </row>
    <row r="555" spans="27:27">
      <c r="AA555" s="638"/>
    </row>
    <row r="556" spans="27:27">
      <c r="AA556" s="638"/>
    </row>
    <row r="557" spans="27:27">
      <c r="AA557" s="638"/>
    </row>
    <row r="558" spans="27:27">
      <c r="AA558" s="638"/>
    </row>
    <row r="559" spans="27:27">
      <c r="AA559" s="638"/>
    </row>
    <row r="560" spans="27:27">
      <c r="AA560" s="638"/>
    </row>
    <row r="561" spans="27:27">
      <c r="AA561" s="638"/>
    </row>
    <row r="562" spans="27:27">
      <c r="AA562" s="638"/>
    </row>
    <row r="563" spans="27:27">
      <c r="AA563" s="638"/>
    </row>
    <row r="564" spans="27:27">
      <c r="AA564" s="638"/>
    </row>
    <row r="565" spans="27:27">
      <c r="AA565" s="638"/>
    </row>
    <row r="566" spans="27:27">
      <c r="AA566" s="638"/>
    </row>
    <row r="567" spans="27:27">
      <c r="AA567" s="638"/>
    </row>
    <row r="568" spans="27:27">
      <c r="AA568" s="638"/>
    </row>
    <row r="569" spans="27:27">
      <c r="AA569" s="638"/>
    </row>
    <row r="570" spans="27:27">
      <c r="AA570" s="638"/>
    </row>
    <row r="571" spans="27:27">
      <c r="AA571" s="638"/>
    </row>
    <row r="572" spans="27:27">
      <c r="AA572" s="638"/>
    </row>
    <row r="573" spans="27:27">
      <c r="AA573" s="638"/>
    </row>
    <row r="574" spans="27:27">
      <c r="AA574" s="638"/>
    </row>
    <row r="575" spans="27:27">
      <c r="AA575" s="638"/>
    </row>
    <row r="576" spans="27:27">
      <c r="AA576" s="638"/>
    </row>
    <row r="577" spans="27:27">
      <c r="AA577" s="638"/>
    </row>
    <row r="578" spans="27:27">
      <c r="AA578" s="638"/>
    </row>
    <row r="579" spans="27:27">
      <c r="AA579" s="638"/>
    </row>
    <row r="580" spans="27:27">
      <c r="AA580" s="638"/>
    </row>
    <row r="581" spans="27:27">
      <c r="AA581" s="638"/>
    </row>
    <row r="582" spans="27:27">
      <c r="AA582" s="638"/>
    </row>
    <row r="583" spans="27:27">
      <c r="AA583" s="638"/>
    </row>
    <row r="584" spans="27:27">
      <c r="AA584" s="638"/>
    </row>
    <row r="585" spans="27:27">
      <c r="AA585" s="638"/>
    </row>
    <row r="586" spans="27:27">
      <c r="AA586" s="638"/>
    </row>
    <row r="587" spans="27:27">
      <c r="AA587" s="638"/>
    </row>
    <row r="588" spans="27:27">
      <c r="AA588" s="638"/>
    </row>
    <row r="589" spans="27:27">
      <c r="AA589" s="638"/>
    </row>
    <row r="590" spans="27:27">
      <c r="AA590" s="638"/>
    </row>
    <row r="591" spans="27:27">
      <c r="AA591" s="638"/>
    </row>
    <row r="592" spans="27:27">
      <c r="AA592" s="638"/>
    </row>
    <row r="593" spans="27:27">
      <c r="AA593" s="638"/>
    </row>
    <row r="594" spans="27:27">
      <c r="AA594" s="638"/>
    </row>
    <row r="595" spans="27:27">
      <c r="AA595" s="638"/>
    </row>
    <row r="596" spans="27:27">
      <c r="AA596" s="638"/>
    </row>
    <row r="597" spans="27:27">
      <c r="AA597" s="638"/>
    </row>
    <row r="598" spans="27:27">
      <c r="AA598" s="638"/>
    </row>
    <row r="599" spans="27:27">
      <c r="AA599" s="638"/>
    </row>
    <row r="600" spans="27:27">
      <c r="AA600" s="638"/>
    </row>
    <row r="601" spans="27:27">
      <c r="AA601" s="638"/>
    </row>
    <row r="602" spans="27:27">
      <c r="AA602" s="638"/>
    </row>
    <row r="603" spans="27:27">
      <c r="AA603" s="638"/>
    </row>
    <row r="604" spans="27:27">
      <c r="AA604" s="638"/>
    </row>
    <row r="605" spans="27:27">
      <c r="AA605" s="638"/>
    </row>
    <row r="606" spans="27:27">
      <c r="AA606" s="638"/>
    </row>
    <row r="607" spans="27:27">
      <c r="AA607" s="638"/>
    </row>
    <row r="608" spans="27:27">
      <c r="AA608" s="638"/>
    </row>
    <row r="609" spans="27:27">
      <c r="AA609" s="638"/>
    </row>
    <row r="610" spans="27:27">
      <c r="AA610" s="638"/>
    </row>
    <row r="611" spans="27:27">
      <c r="AA611" s="638"/>
    </row>
    <row r="612" spans="27:27">
      <c r="AA612" s="638"/>
    </row>
    <row r="613" spans="27:27">
      <c r="AA613" s="638"/>
    </row>
    <row r="614" spans="27:27">
      <c r="AA614" s="638"/>
    </row>
    <row r="615" spans="27:27">
      <c r="AA615" s="638"/>
    </row>
    <row r="616" spans="27:27">
      <c r="AA616" s="638"/>
    </row>
    <row r="617" spans="27:27">
      <c r="AA617" s="638"/>
    </row>
    <row r="618" spans="27:27">
      <c r="AA618" s="638"/>
    </row>
    <row r="619" spans="27:27">
      <c r="AA619" s="638"/>
    </row>
    <row r="620" spans="27:27">
      <c r="AA620" s="638"/>
    </row>
    <row r="621" spans="27:27">
      <c r="AA621" s="638"/>
    </row>
    <row r="622" spans="27:27">
      <c r="AA622" s="638"/>
    </row>
    <row r="623" spans="27:27">
      <c r="AA623" s="638"/>
    </row>
    <row r="624" spans="27:27">
      <c r="AA624" s="638"/>
    </row>
    <row r="625" spans="27:27">
      <c r="AA625" s="638"/>
    </row>
    <row r="626" spans="27:27">
      <c r="AA626" s="638"/>
    </row>
    <row r="627" spans="27:27">
      <c r="AA627" s="638"/>
    </row>
    <row r="628" spans="27:27">
      <c r="AA628" s="638"/>
    </row>
    <row r="629" spans="27:27">
      <c r="AA629" s="638"/>
    </row>
    <row r="630" spans="27:27">
      <c r="AA630" s="638"/>
    </row>
    <row r="631" spans="27:27">
      <c r="AA631" s="638"/>
    </row>
    <row r="632" spans="27:27">
      <c r="AA632" s="638"/>
    </row>
    <row r="633" spans="27:27">
      <c r="AA633" s="638"/>
    </row>
    <row r="634" spans="27:27">
      <c r="AA634" s="638"/>
    </row>
    <row r="635" spans="27:27">
      <c r="AA635" s="638"/>
    </row>
    <row r="636" spans="27:27">
      <c r="AA636" s="638"/>
    </row>
    <row r="637" spans="27:27">
      <c r="AA637" s="638"/>
    </row>
    <row r="638" spans="27:27">
      <c r="AA638" s="638"/>
    </row>
    <row r="639" spans="27:27">
      <c r="AA639" s="638"/>
    </row>
    <row r="640" spans="27:27">
      <c r="AA640" s="638"/>
    </row>
    <row r="641" spans="27:27">
      <c r="AA641" s="638"/>
    </row>
    <row r="642" spans="27:27">
      <c r="AA642" s="638"/>
    </row>
    <row r="643" spans="27:27">
      <c r="AA643" s="638"/>
    </row>
    <row r="644" spans="27:27">
      <c r="AA644" s="638"/>
    </row>
    <row r="645" spans="27:27">
      <c r="AA645" s="638"/>
    </row>
    <row r="646" spans="27:27">
      <c r="AA646" s="638"/>
    </row>
    <row r="647" spans="27:27">
      <c r="AA647" s="638"/>
    </row>
    <row r="648" spans="27:27">
      <c r="AA648" s="638"/>
    </row>
    <row r="649" spans="27:27">
      <c r="AA649" s="638"/>
    </row>
    <row r="650" spans="27:27">
      <c r="AA650" s="638"/>
    </row>
    <row r="651" spans="27:27">
      <c r="AA651" s="638"/>
    </row>
    <row r="652" spans="27:27">
      <c r="AA652" s="638"/>
    </row>
    <row r="653" spans="27:27">
      <c r="AA653" s="638"/>
    </row>
    <row r="654" spans="27:27">
      <c r="AA654" s="638"/>
    </row>
    <row r="655" spans="27:27">
      <c r="AA655" s="638"/>
    </row>
    <row r="656" spans="27:27">
      <c r="AA656" s="638"/>
    </row>
    <row r="657" spans="27:27">
      <c r="AA657" s="638"/>
    </row>
    <row r="658" spans="27:27">
      <c r="AA658" s="638"/>
    </row>
    <row r="659" spans="27:27">
      <c r="AA659" s="638"/>
    </row>
    <row r="660" spans="27:27">
      <c r="AA660" s="638"/>
    </row>
    <row r="661" spans="27:27">
      <c r="AA661" s="638"/>
    </row>
    <row r="662" spans="27:27">
      <c r="AA662" s="638"/>
    </row>
    <row r="663" spans="27:27">
      <c r="AA663" s="638"/>
    </row>
    <row r="664" spans="27:27">
      <c r="AA664" s="638"/>
    </row>
    <row r="665" spans="27:27">
      <c r="AA665" s="638"/>
    </row>
    <row r="666" spans="27:27">
      <c r="AA666" s="638"/>
    </row>
    <row r="667" spans="27:27">
      <c r="AA667" s="638"/>
    </row>
    <row r="668" spans="27:27">
      <c r="AA668" s="638"/>
    </row>
    <row r="669" spans="27:27">
      <c r="AA669" s="638"/>
    </row>
    <row r="670" spans="27:27">
      <c r="AA670" s="638"/>
    </row>
    <row r="671" spans="27:27">
      <c r="AA671" s="638"/>
    </row>
    <row r="672" spans="27:27">
      <c r="AA672" s="638"/>
    </row>
    <row r="673" spans="27:27">
      <c r="AA673" s="638"/>
    </row>
    <row r="674" spans="27:27">
      <c r="AA674" s="638"/>
    </row>
    <row r="675" spans="27:27">
      <c r="AA675" s="638"/>
    </row>
    <row r="676" spans="27:27">
      <c r="AA676" s="638"/>
    </row>
    <row r="677" spans="27:27">
      <c r="AA677" s="638"/>
    </row>
    <row r="678" spans="27:27">
      <c r="AA678" s="638"/>
    </row>
    <row r="679" spans="27:27">
      <c r="AA679" s="638"/>
    </row>
    <row r="680" spans="27:27">
      <c r="AA680" s="638"/>
    </row>
    <row r="681" spans="27:27">
      <c r="AA681" s="638"/>
    </row>
    <row r="682" spans="27:27">
      <c r="AA682" s="638"/>
    </row>
    <row r="683" spans="27:27">
      <c r="AA683" s="638"/>
    </row>
    <row r="684" spans="27:27">
      <c r="AA684" s="638"/>
    </row>
    <row r="685" spans="27:27">
      <c r="AA685" s="638"/>
    </row>
    <row r="686" spans="27:27">
      <c r="AA686" s="638"/>
    </row>
    <row r="687" spans="27:27">
      <c r="AA687" s="638"/>
    </row>
    <row r="688" spans="27:27">
      <c r="AA688" s="638"/>
    </row>
    <row r="689" spans="27:27">
      <c r="AA689" s="638"/>
    </row>
    <row r="690" spans="27:27">
      <c r="AA690" s="638"/>
    </row>
    <row r="691" spans="27:27">
      <c r="AA691" s="638"/>
    </row>
    <row r="692" spans="27:27">
      <c r="AA692" s="638"/>
    </row>
    <row r="693" spans="27:27">
      <c r="AA693" s="638"/>
    </row>
    <row r="694" spans="27:27">
      <c r="AA694" s="638"/>
    </row>
    <row r="695" spans="27:27">
      <c r="AA695" s="638"/>
    </row>
    <row r="696" spans="27:27">
      <c r="AA696" s="638"/>
    </row>
    <row r="697" spans="27:27">
      <c r="AA697" s="638"/>
    </row>
    <row r="698" spans="27:27">
      <c r="AA698" s="638"/>
    </row>
    <row r="699" spans="27:27">
      <c r="AA699" s="638"/>
    </row>
    <row r="700" spans="27:27">
      <c r="AA700" s="638"/>
    </row>
    <row r="701" spans="27:27">
      <c r="AA701" s="638"/>
    </row>
    <row r="702" spans="27:27">
      <c r="AA702" s="638"/>
    </row>
    <row r="703" spans="27:27">
      <c r="AA703" s="638"/>
    </row>
    <row r="704" spans="27:27">
      <c r="AA704" s="638"/>
    </row>
    <row r="705" spans="27:27">
      <c r="AA705" s="638"/>
    </row>
    <row r="706" spans="27:27">
      <c r="AA706" s="638"/>
    </row>
    <row r="707" spans="27:27">
      <c r="AA707" s="638"/>
    </row>
    <row r="708" spans="27:27">
      <c r="AA708" s="638"/>
    </row>
    <row r="709" spans="27:27">
      <c r="AA709" s="638"/>
    </row>
    <row r="710" spans="27:27">
      <c r="AA710" s="638"/>
    </row>
    <row r="711" spans="27:27">
      <c r="AA711" s="638"/>
    </row>
    <row r="712" spans="27:27">
      <c r="AA712" s="638"/>
    </row>
    <row r="713" spans="27:27">
      <c r="AA713" s="638"/>
    </row>
    <row r="714" spans="27:27">
      <c r="AA714" s="638"/>
    </row>
    <row r="715" spans="27:27">
      <c r="AA715" s="638"/>
    </row>
    <row r="716" spans="27:27">
      <c r="AA716" s="638"/>
    </row>
    <row r="717" spans="27:27">
      <c r="AA717" s="638"/>
    </row>
    <row r="718" spans="27:27">
      <c r="AA718" s="638"/>
    </row>
    <row r="719" spans="27:27">
      <c r="AA719" s="638"/>
    </row>
    <row r="720" spans="27:27">
      <c r="AA720" s="638"/>
    </row>
    <row r="721" spans="27:27">
      <c r="AA721" s="638"/>
    </row>
    <row r="722" spans="27:27">
      <c r="AA722" s="638"/>
    </row>
    <row r="723" spans="27:27">
      <c r="AA723" s="638"/>
    </row>
    <row r="724" spans="27:27">
      <c r="AA724" s="638"/>
    </row>
    <row r="725" spans="27:27">
      <c r="AA725" s="638"/>
    </row>
    <row r="726" spans="27:27">
      <c r="AA726" s="638"/>
    </row>
    <row r="727" spans="27:27">
      <c r="AA727" s="638"/>
    </row>
    <row r="728" spans="27:27">
      <c r="AA728" s="638"/>
    </row>
    <row r="729" spans="27:27">
      <c r="AA729" s="638"/>
    </row>
    <row r="730" spans="27:27">
      <c r="AA730" s="638"/>
    </row>
    <row r="731" spans="27:27">
      <c r="AA731" s="638"/>
    </row>
    <row r="732" spans="27:27">
      <c r="AA732" s="638"/>
    </row>
    <row r="733" spans="27:27">
      <c r="AA733" s="638"/>
    </row>
    <row r="734" spans="27:27">
      <c r="AA734" s="638"/>
    </row>
    <row r="735" spans="27:27">
      <c r="AA735" s="638"/>
    </row>
    <row r="736" spans="27:27">
      <c r="AA736" s="638"/>
    </row>
    <row r="737" spans="27:27">
      <c r="AA737" s="638"/>
    </row>
    <row r="738" spans="27:27">
      <c r="AA738" s="638"/>
    </row>
    <row r="739" spans="27:27">
      <c r="AA739" s="638"/>
    </row>
    <row r="740" spans="27:27">
      <c r="AA740" s="638"/>
    </row>
    <row r="741" spans="27:27">
      <c r="AA741" s="638"/>
    </row>
    <row r="742" spans="27:27">
      <c r="AA742" s="638"/>
    </row>
    <row r="743" spans="27:27">
      <c r="AA743" s="638"/>
    </row>
    <row r="744" spans="27:27">
      <c r="AA744" s="638"/>
    </row>
    <row r="745" spans="27:27">
      <c r="AA745" s="638"/>
    </row>
    <row r="746" spans="27:27">
      <c r="AA746" s="638"/>
    </row>
    <row r="747" spans="27:27">
      <c r="AA747" s="638"/>
    </row>
    <row r="748" spans="27:27">
      <c r="AA748" s="638"/>
    </row>
    <row r="749" spans="27:27">
      <c r="AA749" s="638"/>
    </row>
    <row r="750" spans="27:27">
      <c r="AA750" s="638"/>
    </row>
    <row r="751" spans="27:27">
      <c r="AA751" s="638"/>
    </row>
    <row r="752" spans="27:27">
      <c r="AA752" s="638"/>
    </row>
    <row r="753" spans="27:27">
      <c r="AA753" s="638"/>
    </row>
    <row r="754" spans="27:27">
      <c r="AA754" s="638"/>
    </row>
    <row r="755" spans="27:27">
      <c r="AA755" s="638"/>
    </row>
    <row r="756" spans="27:27">
      <c r="AA756" s="638"/>
    </row>
    <row r="757" spans="27:27">
      <c r="AA757" s="638"/>
    </row>
    <row r="758" spans="27:27">
      <c r="AA758" s="638"/>
    </row>
    <row r="759" spans="27:27">
      <c r="AA759" s="638"/>
    </row>
    <row r="760" spans="27:27">
      <c r="AA760" s="638"/>
    </row>
    <row r="761" spans="27:27">
      <c r="AA761" s="638"/>
    </row>
    <row r="762" spans="27:27">
      <c r="AA762" s="638"/>
    </row>
    <row r="763" spans="27:27">
      <c r="AA763" s="638"/>
    </row>
    <row r="764" spans="27:27">
      <c r="AA764" s="638"/>
    </row>
    <row r="765" spans="27:27">
      <c r="AA765" s="638"/>
    </row>
    <row r="766" spans="27:27">
      <c r="AA766" s="638"/>
    </row>
    <row r="767" spans="27:27">
      <c r="AA767" s="638"/>
    </row>
    <row r="768" spans="27:27">
      <c r="AA768" s="638"/>
    </row>
    <row r="769" spans="27:27">
      <c r="AA769" s="638"/>
    </row>
    <row r="770" spans="27:27">
      <c r="AA770" s="638"/>
    </row>
    <row r="771" spans="27:27">
      <c r="AA771" s="638"/>
    </row>
    <row r="772" spans="27:27">
      <c r="AA772" s="638"/>
    </row>
    <row r="773" spans="27:27">
      <c r="AA773" s="638"/>
    </row>
    <row r="774" spans="27:27">
      <c r="AA774" s="638"/>
    </row>
    <row r="775" spans="27:27">
      <c r="AA775" s="638"/>
    </row>
    <row r="776" spans="27:27">
      <c r="AA776" s="638"/>
    </row>
    <row r="777" spans="27:27">
      <c r="AA777" s="638"/>
    </row>
    <row r="778" spans="27:27">
      <c r="AA778" s="638"/>
    </row>
    <row r="779" spans="27:27">
      <c r="AA779" s="638"/>
    </row>
    <row r="780" spans="27:27">
      <c r="AA780" s="638"/>
    </row>
    <row r="781" spans="27:27">
      <c r="AA781" s="638"/>
    </row>
    <row r="782" spans="27:27">
      <c r="AA782" s="638"/>
    </row>
    <row r="783" spans="27:27">
      <c r="AA783" s="638"/>
    </row>
    <row r="784" spans="27:27">
      <c r="AA784" s="638"/>
    </row>
    <row r="785" spans="27:27">
      <c r="AA785" s="638"/>
    </row>
    <row r="786" spans="27:27">
      <c r="AA786" s="638"/>
    </row>
    <row r="787" spans="27:27">
      <c r="AA787" s="638"/>
    </row>
    <row r="788" spans="27:27">
      <c r="AA788" s="638"/>
    </row>
    <row r="789" spans="27:27">
      <c r="AA789" s="638"/>
    </row>
    <row r="790" spans="27:27">
      <c r="AA790" s="638"/>
    </row>
    <row r="791" spans="27:27">
      <c r="AA791" s="638"/>
    </row>
    <row r="792" spans="27:27">
      <c r="AA792" s="638"/>
    </row>
    <row r="793" spans="27:27">
      <c r="AA793" s="638"/>
    </row>
    <row r="794" spans="27:27">
      <c r="AA794" s="638"/>
    </row>
    <row r="795" spans="27:27">
      <c r="AA795" s="638"/>
    </row>
    <row r="796" spans="27:27">
      <c r="AA796" s="638"/>
    </row>
    <row r="797" spans="27:27">
      <c r="AA797" s="638"/>
    </row>
    <row r="798" spans="27:27">
      <c r="AA798" s="638"/>
    </row>
    <row r="799" spans="27:27">
      <c r="AA799" s="638"/>
    </row>
    <row r="800" spans="27:27">
      <c r="AA800" s="638"/>
    </row>
    <row r="801" spans="27:27">
      <c r="AA801" s="638"/>
    </row>
    <row r="802" spans="27:27">
      <c r="AA802" s="638"/>
    </row>
    <row r="803" spans="27:27">
      <c r="AA803" s="638"/>
    </row>
    <row r="804" spans="27:27">
      <c r="AA804" s="638"/>
    </row>
    <row r="805" spans="27:27">
      <c r="AA805" s="638"/>
    </row>
    <row r="806" spans="27:27">
      <c r="AA806" s="638"/>
    </row>
    <row r="807" spans="27:27">
      <c r="AA807" s="638"/>
    </row>
    <row r="808" spans="27:27">
      <c r="AA808" s="638"/>
    </row>
    <row r="809" spans="27:27">
      <c r="AA809" s="638"/>
    </row>
    <row r="810" spans="27:27">
      <c r="AA810" s="638"/>
    </row>
    <row r="811" spans="27:27">
      <c r="AA811" s="638"/>
    </row>
    <row r="812" spans="27:27">
      <c r="AA812" s="638"/>
    </row>
    <row r="813" spans="27:27">
      <c r="AA813" s="638"/>
    </row>
    <row r="814" spans="27:27">
      <c r="AA814" s="638"/>
    </row>
    <row r="815" spans="27:27">
      <c r="AA815" s="638"/>
    </row>
    <row r="816" spans="27:27">
      <c r="AA816" s="638"/>
    </row>
    <row r="817" spans="27:27">
      <c r="AA817" s="638"/>
    </row>
    <row r="818" spans="27:27">
      <c r="AA818" s="638"/>
    </row>
    <row r="819" spans="27:27">
      <c r="AA819" s="638"/>
    </row>
    <row r="820" spans="27:27">
      <c r="AA820" s="638"/>
    </row>
    <row r="821" spans="27:27">
      <c r="AA821" s="638"/>
    </row>
    <row r="822" spans="27:27">
      <c r="AA822" s="638"/>
    </row>
    <row r="823" spans="27:27">
      <c r="AA823" s="638"/>
    </row>
    <row r="824" spans="27:27">
      <c r="AA824" s="638"/>
    </row>
    <row r="825" spans="27:27">
      <c r="AA825" s="638"/>
    </row>
    <row r="826" spans="27:27">
      <c r="AA826" s="638"/>
    </row>
    <row r="827" spans="27:27">
      <c r="AA827" s="638"/>
    </row>
    <row r="828" spans="27:27">
      <c r="AA828" s="638"/>
    </row>
    <row r="829" spans="27:27">
      <c r="AA829" s="638"/>
    </row>
    <row r="830" spans="27:27">
      <c r="AA830" s="638"/>
    </row>
    <row r="831" spans="27:27">
      <c r="AA831" s="638"/>
    </row>
    <row r="832" spans="27:27">
      <c r="AA832" s="638"/>
    </row>
    <row r="833" spans="27:27">
      <c r="AA833" s="638"/>
    </row>
    <row r="834" spans="27:27">
      <c r="AA834" s="638"/>
    </row>
    <row r="835" spans="27:27">
      <c r="AA835" s="638"/>
    </row>
    <row r="836" spans="27:27">
      <c r="AA836" s="638"/>
    </row>
    <row r="837" spans="27:27">
      <c r="AA837" s="638"/>
    </row>
    <row r="838" spans="27:27">
      <c r="AA838" s="638"/>
    </row>
    <row r="839" spans="27:27">
      <c r="AA839" s="638"/>
    </row>
    <row r="840" spans="27:27">
      <c r="AA840" s="638"/>
    </row>
    <row r="841" spans="27:27">
      <c r="AA841" s="638"/>
    </row>
    <row r="842" spans="27:27">
      <c r="AA842" s="638"/>
    </row>
    <row r="843" spans="27:27">
      <c r="AA843" s="638"/>
    </row>
    <row r="844" spans="27:27">
      <c r="AA844" s="638"/>
    </row>
    <row r="845" spans="27:27">
      <c r="AA845" s="638"/>
    </row>
    <row r="846" spans="27:27">
      <c r="AA846" s="638"/>
    </row>
    <row r="847" spans="27:27">
      <c r="AA847" s="638"/>
    </row>
    <row r="848" spans="27:27">
      <c r="AA848" s="638"/>
    </row>
    <row r="849" spans="27:27">
      <c r="AA849" s="638"/>
    </row>
    <row r="850" spans="27:27">
      <c r="AA850" s="638"/>
    </row>
    <row r="851" spans="27:27">
      <c r="AA851" s="638"/>
    </row>
    <row r="852" spans="27:27">
      <c r="AA852" s="638"/>
    </row>
    <row r="853" spans="27:27">
      <c r="AA853" s="638"/>
    </row>
    <row r="854" spans="27:27">
      <c r="AA854" s="638"/>
    </row>
    <row r="855" spans="27:27">
      <c r="AA855" s="638"/>
    </row>
    <row r="856" spans="27:27">
      <c r="AA856" s="638"/>
    </row>
    <row r="857" spans="27:27">
      <c r="AA857" s="638"/>
    </row>
    <row r="858" spans="27:27">
      <c r="AA858" s="638"/>
    </row>
    <row r="859" spans="27:27">
      <c r="AA859" s="638"/>
    </row>
    <row r="860" spans="27:27">
      <c r="AA860" s="638"/>
    </row>
    <row r="861" spans="27:27">
      <c r="AA861" s="638"/>
    </row>
    <row r="862" spans="27:27">
      <c r="AA862" s="638"/>
    </row>
    <row r="863" spans="27:27">
      <c r="AA863" s="638"/>
    </row>
    <row r="864" spans="27:27">
      <c r="AA864" s="638"/>
    </row>
    <row r="865" spans="27:27">
      <c r="AA865" s="638"/>
    </row>
    <row r="866" spans="27:27">
      <c r="AA866" s="638"/>
    </row>
    <row r="867" spans="27:27">
      <c r="AA867" s="638"/>
    </row>
    <row r="868" spans="27:27">
      <c r="AA868" s="638"/>
    </row>
    <row r="869" spans="27:27">
      <c r="AA869" s="638"/>
    </row>
    <row r="870" spans="27:27">
      <c r="AA870" s="638"/>
    </row>
    <row r="871" spans="27:27">
      <c r="AA871" s="638"/>
    </row>
    <row r="872" spans="27:27">
      <c r="AA872" s="638"/>
    </row>
    <row r="873" spans="27:27">
      <c r="AA873" s="638"/>
    </row>
    <row r="874" spans="27:27">
      <c r="AA874" s="638"/>
    </row>
    <row r="875" spans="27:27">
      <c r="AA875" s="638"/>
    </row>
    <row r="876" spans="27:27">
      <c r="AA876" s="638"/>
    </row>
    <row r="877" spans="27:27">
      <c r="AA877" s="638"/>
    </row>
    <row r="878" spans="27:27">
      <c r="AA878" s="638"/>
    </row>
    <row r="879" spans="27:27">
      <c r="AA879" s="638"/>
    </row>
    <row r="880" spans="27:27">
      <c r="AA880" s="638"/>
    </row>
    <row r="881" spans="27:27">
      <c r="AA881" s="638"/>
    </row>
    <row r="882" spans="27:27">
      <c r="AA882" s="638"/>
    </row>
    <row r="883" spans="27:27">
      <c r="AA883" s="638"/>
    </row>
    <row r="884" spans="27:27">
      <c r="AA884" s="638"/>
    </row>
    <row r="885" spans="27:27">
      <c r="AA885" s="638"/>
    </row>
    <row r="886" spans="27:27">
      <c r="AA886" s="638"/>
    </row>
    <row r="887" spans="27:27">
      <c r="AA887" s="638"/>
    </row>
    <row r="888" spans="27:27">
      <c r="AA888" s="638"/>
    </row>
    <row r="889" spans="27:27">
      <c r="AA889" s="638"/>
    </row>
    <row r="890" spans="27:27">
      <c r="AA890" s="638"/>
    </row>
    <row r="891" spans="27:27">
      <c r="AA891" s="638"/>
    </row>
    <row r="892" spans="27:27">
      <c r="AA892" s="638"/>
    </row>
    <row r="893" spans="27:27">
      <c r="AA893" s="638"/>
    </row>
    <row r="894" spans="27:27">
      <c r="AA894" s="638"/>
    </row>
    <row r="895" spans="27:27">
      <c r="AA895" s="638"/>
    </row>
    <row r="896" spans="27:27">
      <c r="AA896" s="638"/>
    </row>
    <row r="897" spans="27:27">
      <c r="AA897" s="638"/>
    </row>
    <row r="898" spans="27:27">
      <c r="AA898" s="638"/>
    </row>
    <row r="899" spans="27:27">
      <c r="AA899" s="638"/>
    </row>
    <row r="900" spans="27:27">
      <c r="AA900" s="638"/>
    </row>
    <row r="901" spans="27:27">
      <c r="AA901" s="638"/>
    </row>
    <row r="902" spans="27:27">
      <c r="AA902" s="638"/>
    </row>
    <row r="903" spans="27:27">
      <c r="AA903" s="638"/>
    </row>
    <row r="904" spans="27:27">
      <c r="AA904" s="638"/>
    </row>
    <row r="905" spans="27:27">
      <c r="AA905" s="638"/>
    </row>
    <row r="906" spans="27:27">
      <c r="AA906" s="638"/>
    </row>
    <row r="907" spans="27:27">
      <c r="AA907" s="638"/>
    </row>
    <row r="908" spans="27:27">
      <c r="AA908" s="638"/>
    </row>
    <row r="909" spans="27:27">
      <c r="AA909" s="638"/>
    </row>
    <row r="910" spans="27:27">
      <c r="AA910" s="638"/>
    </row>
    <row r="911" spans="27:27">
      <c r="AA911" s="638"/>
    </row>
    <row r="912" spans="27:27">
      <c r="AA912" s="638"/>
    </row>
    <row r="913" spans="27:27">
      <c r="AA913" s="638"/>
    </row>
    <row r="914" spans="27:27">
      <c r="AA914" s="638"/>
    </row>
    <row r="915" spans="27:27">
      <c r="AA915" s="638"/>
    </row>
    <row r="916" spans="27:27">
      <c r="AA916" s="638"/>
    </row>
    <row r="917" spans="27:27">
      <c r="AA917" s="638"/>
    </row>
    <row r="918" spans="27:27">
      <c r="AA918" s="638"/>
    </row>
    <row r="919" spans="27:27">
      <c r="AA919" s="638"/>
    </row>
    <row r="920" spans="27:27">
      <c r="AA920" s="638"/>
    </row>
    <row r="921" spans="27:27">
      <c r="AA921" s="638"/>
    </row>
    <row r="922" spans="27:27">
      <c r="AA922" s="638"/>
    </row>
    <row r="923" spans="27:27">
      <c r="AA923" s="638"/>
    </row>
    <row r="924" spans="27:27">
      <c r="AA924" s="638"/>
    </row>
    <row r="925" spans="27:27">
      <c r="AA925" s="638"/>
    </row>
    <row r="926" spans="27:27">
      <c r="AA926" s="638"/>
    </row>
    <row r="927" spans="27:27">
      <c r="AA927" s="638"/>
    </row>
    <row r="928" spans="27:27">
      <c r="AA928" s="638"/>
    </row>
    <row r="929" spans="27:27">
      <c r="AA929" s="638"/>
    </row>
    <row r="930" spans="27:27">
      <c r="AA930" s="638"/>
    </row>
    <row r="931" spans="27:27">
      <c r="AA931" s="638"/>
    </row>
    <row r="932" spans="27:27">
      <c r="AA932" s="638"/>
    </row>
    <row r="933" spans="27:27">
      <c r="AA933" s="638"/>
    </row>
    <row r="934" spans="27:27">
      <c r="AA934" s="638"/>
    </row>
    <row r="935" spans="27:27">
      <c r="AA935" s="638"/>
    </row>
    <row r="936" spans="27:27">
      <c r="AA936" s="638"/>
    </row>
    <row r="937" spans="27:27">
      <c r="AA937" s="638"/>
    </row>
    <row r="938" spans="27:27">
      <c r="AA938" s="638"/>
    </row>
    <row r="939" spans="27:27">
      <c r="AA939" s="638"/>
    </row>
    <row r="940" spans="27:27">
      <c r="AA940" s="638"/>
    </row>
    <row r="941" spans="27:27">
      <c r="AA941" s="638"/>
    </row>
    <row r="942" spans="27:27">
      <c r="AA942" s="638"/>
    </row>
    <row r="943" spans="27:27">
      <c r="AA943" s="638"/>
    </row>
    <row r="944" spans="27:27">
      <c r="AA944" s="638"/>
    </row>
    <row r="945" spans="27:27">
      <c r="AA945" s="638"/>
    </row>
    <row r="946" spans="27:27">
      <c r="AA946" s="638"/>
    </row>
    <row r="947" spans="27:27">
      <c r="AA947" s="638"/>
    </row>
    <row r="948" spans="27:27">
      <c r="AA948" s="638"/>
    </row>
    <row r="949" spans="27:27">
      <c r="AA949" s="638"/>
    </row>
    <row r="950" spans="27:27">
      <c r="AA950" s="638"/>
    </row>
    <row r="951" spans="27:27">
      <c r="AA951" s="638"/>
    </row>
    <row r="952" spans="27:27">
      <c r="AA952" s="638"/>
    </row>
    <row r="953" spans="27:27">
      <c r="AA953" s="638"/>
    </row>
    <row r="954" spans="27:27">
      <c r="AA954" s="638"/>
    </row>
    <row r="955" spans="27:27">
      <c r="AA955" s="638"/>
    </row>
    <row r="956" spans="27:27">
      <c r="AA956" s="638"/>
    </row>
    <row r="957" spans="27:27">
      <c r="AA957" s="638"/>
    </row>
    <row r="958" spans="27:27">
      <c r="AA958" s="638"/>
    </row>
    <row r="959" spans="27:27">
      <c r="AA959" s="638"/>
    </row>
    <row r="960" spans="27:27">
      <c r="AA960" s="638"/>
    </row>
    <row r="961" spans="27:27">
      <c r="AA961" s="638"/>
    </row>
    <row r="962" spans="27:27">
      <c r="AA962" s="638"/>
    </row>
    <row r="963" spans="27:27">
      <c r="AA963" s="638"/>
    </row>
    <row r="964" spans="27:27">
      <c r="AA964" s="638"/>
    </row>
    <row r="965" spans="27:27">
      <c r="AA965" s="638"/>
    </row>
    <row r="966" spans="27:27">
      <c r="AA966" s="638"/>
    </row>
    <row r="967" spans="27:27">
      <c r="AA967" s="638"/>
    </row>
    <row r="968" spans="27:27">
      <c r="AA968" s="638"/>
    </row>
    <row r="969" spans="27:27">
      <c r="AA969" s="638"/>
    </row>
    <row r="970" spans="27:27">
      <c r="AA970" s="638"/>
    </row>
    <row r="971" spans="27:27">
      <c r="AA971" s="638"/>
    </row>
    <row r="972" spans="27:27">
      <c r="AA972" s="638"/>
    </row>
    <row r="973" spans="27:27">
      <c r="AA973" s="638"/>
    </row>
    <row r="974" spans="27:27">
      <c r="AA974" s="638"/>
    </row>
    <row r="975" spans="27:27">
      <c r="AA975" s="638"/>
    </row>
    <row r="976" spans="27:27">
      <c r="AA976" s="638"/>
    </row>
    <row r="977" spans="27:27">
      <c r="AA977" s="638"/>
    </row>
    <row r="978" spans="27:27">
      <c r="AA978" s="638"/>
    </row>
    <row r="979" spans="27:27">
      <c r="AA979" s="638"/>
    </row>
    <row r="980" spans="27:27">
      <c r="AA980" s="638"/>
    </row>
    <row r="981" spans="27:27">
      <c r="AA981" s="638"/>
    </row>
    <row r="982" spans="27:27">
      <c r="AA982" s="638"/>
    </row>
    <row r="983" spans="27:27">
      <c r="AA983" s="638"/>
    </row>
    <row r="984" spans="27:27">
      <c r="AA984" s="638"/>
    </row>
    <row r="985" spans="27:27">
      <c r="AA985" s="638"/>
    </row>
    <row r="986" spans="27:27">
      <c r="AA986" s="638"/>
    </row>
    <row r="987" spans="27:27">
      <c r="AA987" s="638"/>
    </row>
    <row r="988" spans="27:27">
      <c r="AA988" s="638"/>
    </row>
    <row r="989" spans="27:27">
      <c r="AA989" s="638"/>
    </row>
    <row r="990" spans="27:27">
      <c r="AA990" s="638"/>
    </row>
    <row r="991" spans="27:27">
      <c r="AA991" s="638"/>
    </row>
    <row r="992" spans="27:27">
      <c r="AA992" s="638"/>
    </row>
    <row r="993" spans="27:27">
      <c r="AA993" s="638"/>
    </row>
    <row r="994" spans="27:27">
      <c r="AA994" s="638"/>
    </row>
    <row r="995" spans="27:27">
      <c r="AA995" s="638"/>
    </row>
    <row r="996" spans="27:27">
      <c r="AA996" s="638"/>
    </row>
    <row r="997" spans="27:27">
      <c r="AA997" s="638"/>
    </row>
    <row r="998" spans="27:27">
      <c r="AA998" s="638"/>
    </row>
    <row r="999" spans="27:27">
      <c r="AA999" s="638"/>
    </row>
    <row r="1000" spans="27:27">
      <c r="AA1000" s="638"/>
    </row>
    <row r="1001" spans="27:27">
      <c r="AA1001" s="638"/>
    </row>
    <row r="1002" spans="27:27">
      <c r="AA1002" s="638"/>
    </row>
    <row r="1003" spans="27:27">
      <c r="AA1003" s="638"/>
    </row>
    <row r="1004" spans="27:27">
      <c r="AA1004" s="638"/>
    </row>
    <row r="1005" spans="27:27">
      <c r="AA1005" s="638"/>
    </row>
    <row r="1006" spans="27:27">
      <c r="AA1006" s="638"/>
    </row>
    <row r="1007" spans="27:27">
      <c r="AA1007" s="638"/>
    </row>
    <row r="1008" spans="27:27">
      <c r="AA1008" s="638"/>
    </row>
    <row r="1009" spans="27:27">
      <c r="AA1009" s="638"/>
    </row>
    <row r="1010" spans="27:27">
      <c r="AA1010" s="638"/>
    </row>
    <row r="1011" spans="27:27">
      <c r="AA1011" s="638"/>
    </row>
    <row r="1012" spans="27:27">
      <c r="AA1012" s="638"/>
    </row>
    <row r="1013" spans="27:27">
      <c r="AA1013" s="638"/>
    </row>
    <row r="1014" spans="27:27">
      <c r="AA1014" s="638"/>
    </row>
    <row r="1015" spans="27:27">
      <c r="AA1015" s="638"/>
    </row>
    <row r="1016" spans="27:27">
      <c r="AA1016" s="638"/>
    </row>
    <row r="1017" spans="27:27">
      <c r="AA1017" s="638"/>
    </row>
    <row r="1018" spans="27:27">
      <c r="AA1018" s="638"/>
    </row>
    <row r="1019" spans="27:27">
      <c r="AA1019" s="638"/>
    </row>
    <row r="1020" spans="27:27">
      <c r="AA1020" s="638"/>
    </row>
    <row r="1021" spans="27:27">
      <c r="AA1021" s="638"/>
    </row>
    <row r="1022" spans="27:27">
      <c r="AA1022" s="638"/>
    </row>
    <row r="1023" spans="27:27">
      <c r="AA1023" s="638"/>
    </row>
    <row r="1024" spans="27:27">
      <c r="AA1024" s="638"/>
    </row>
    <row r="1025" spans="27:27">
      <c r="AA1025" s="638"/>
    </row>
    <row r="1026" spans="27:27">
      <c r="AA1026" s="638"/>
    </row>
    <row r="1027" spans="27:27">
      <c r="AA1027" s="638"/>
    </row>
    <row r="1028" spans="27:27">
      <c r="AA1028" s="638"/>
    </row>
    <row r="1029" spans="27:27">
      <c r="AA1029" s="638"/>
    </row>
    <row r="1030" spans="27:27">
      <c r="AA1030" s="638"/>
    </row>
    <row r="1031" spans="27:27">
      <c r="AA1031" s="638"/>
    </row>
    <row r="1032" spans="27:27">
      <c r="AA1032" s="638"/>
    </row>
    <row r="1033" spans="27:27">
      <c r="AA1033" s="638"/>
    </row>
    <row r="1034" spans="27:27">
      <c r="AA1034" s="638"/>
    </row>
    <row r="1035" spans="27:27">
      <c r="AA1035" s="638"/>
    </row>
    <row r="1036" spans="27:27">
      <c r="AA1036" s="638"/>
    </row>
    <row r="1037" spans="27:27">
      <c r="AA1037" s="638"/>
    </row>
    <row r="1038" spans="27:27">
      <c r="AA1038" s="638"/>
    </row>
    <row r="1039" spans="27:27">
      <c r="AA1039" s="638"/>
    </row>
    <row r="1040" spans="27:27">
      <c r="AA1040" s="638"/>
    </row>
    <row r="1041" spans="27:27">
      <c r="AA1041" s="638"/>
    </row>
    <row r="1042" spans="27:27">
      <c r="AA1042" s="638"/>
    </row>
    <row r="1043" spans="27:27">
      <c r="AA1043" s="638"/>
    </row>
    <row r="1044" spans="27:27">
      <c r="AA1044" s="638"/>
    </row>
    <row r="1045" spans="27:27">
      <c r="AA1045" s="638"/>
    </row>
    <row r="1046" spans="27:27">
      <c r="AA1046" s="638"/>
    </row>
    <row r="1047" spans="27:27">
      <c r="AA1047" s="638"/>
    </row>
    <row r="1048" spans="27:27">
      <c r="AA1048" s="638"/>
    </row>
    <row r="1049" spans="27:27">
      <c r="AA1049" s="638"/>
    </row>
    <row r="1050" spans="27:27">
      <c r="AA1050" s="638"/>
    </row>
    <row r="1051" spans="27:27">
      <c r="AA1051" s="638"/>
    </row>
    <row r="1052" spans="27:27">
      <c r="AA1052" s="638"/>
    </row>
    <row r="1053" spans="27:27">
      <c r="AA1053" s="638"/>
    </row>
  </sheetData>
  <conditionalFormatting sqref="AC1:AC1048576">
    <cfRule type="cellIs" dxfId="386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A23E-AC09-4BB2-91CD-57AF4F4BB677}">
  <dimension ref="A2:D60"/>
  <sheetViews>
    <sheetView topLeftCell="A25" zoomScale="70" zoomScaleNormal="70" workbookViewId="0">
      <selection activeCell="A57" sqref="A57:A60"/>
    </sheetView>
  </sheetViews>
  <sheetFormatPr baseColWidth="10" defaultColWidth="11" defaultRowHeight="15.75"/>
  <cols>
    <col min="2" max="2" width="62.875" bestFit="1" customWidth="1"/>
  </cols>
  <sheetData>
    <row r="2" spans="1:4">
      <c r="A2" t="s">
        <v>200</v>
      </c>
      <c r="B2" s="410" t="s">
        <v>201</v>
      </c>
      <c r="C2" t="s">
        <v>202</v>
      </c>
      <c r="D2" t="s">
        <v>98</v>
      </c>
    </row>
    <row r="3" spans="1:4">
      <c r="B3" s="624" cm="1">
        <f t="array" ref="B3">INDEX(Engagé!G5:G248,MATCH(0,COUNTIF($B$2:B2,Engagé!G5:G248),0))</f>
        <v>0</v>
      </c>
    </row>
    <row r="4" spans="1:4">
      <c r="A4" s="615" cm="1">
        <f t="array" aca="1" ref="A4" ca="1">IFERROR(SUM((Engagé!$G$4:$G$263='List of materials_En'!B4)*Engagé!$M$4:$M$263),0)</f>
        <v>1.759917084697981</v>
      </c>
      <c r="B4" s="624" t="str" cm="1">
        <f t="array" ref="B4">INDEX(Engagé!G6:G249,MATCH(0,COUNTIF($B$2:B3,Engagé!G6:G249),0))</f>
        <v>Excavations mécaniques, en moyenne</v>
      </c>
      <c r="C4" s="422" cm="1">
        <f t="array" ref="C4">IFERROR(SUM((Engagé!$G$4:$G$263='List of materials_En'!B4)*Engagé!$J$4:$J$263),0)</f>
        <v>2423</v>
      </c>
    </row>
    <row r="5" spans="1:4">
      <c r="A5" s="615" cm="1">
        <f t="array" aca="1" ref="A5" ca="1">IFERROR(SUM((Engagé!$G$4:$G$263='List of materials_En'!B5)*Engagé!$M$4:$M$263),0)</f>
        <v>0</v>
      </c>
      <c r="B5" s="624" t="str" cm="1">
        <f t="array" ref="B5">INDEX(Engagé!G7:G250,MATCH(0,COUNTIF($B$2:B4,Engagé!G7:G250),0))</f>
        <v>Fondations profondes, pieu en béton préfabriqué</v>
      </c>
      <c r="C5" s="422" cm="1">
        <f t="array" ref="C5">IFERROR(SUM((Engagé!$G$4:$G$263='List of materials_En'!B5)*Engagé!$J$4:$J$263),0)</f>
        <v>0</v>
      </c>
    </row>
    <row r="6" spans="1:4">
      <c r="A6" s="615" cm="1">
        <f t="array" aca="1" ref="A6" ca="1">IFERROR(SUM((Engagé!$G$4:$G$263='List of materials_En'!B6)*Engagé!$M$4:$M$263),0)</f>
        <v>106.86918300029021</v>
      </c>
      <c r="B6" s="624" t="str" cm="1">
        <f t="array" ref="B6">INDEX(Engagé!G8:G251,MATCH(0,COUNTIF($B$2:B5,Engagé!G8:G251),0))</f>
        <v>Béton pour bâtiment (sans armature)</v>
      </c>
      <c r="C6" s="422" cm="1">
        <f t="array" ref="C6">IFERROR(SUM((Engagé!$G$4:$G$263='List of materials_En'!B6)*Engagé!$J$4:$J$263),0)</f>
        <v>936456.49999999988</v>
      </c>
      <c r="D6">
        <f>C6/2300</f>
        <v>407.15499999999997</v>
      </c>
    </row>
    <row r="7" spans="1:4">
      <c r="A7" s="615" cm="1">
        <f t="array" aca="1" ref="A7" ca="1">IFERROR(SUM((Engagé!$G$4:$G$263='List of materials_En'!B7)*Engagé!$M$4:$M$263),0)</f>
        <v>98.533952002404547</v>
      </c>
      <c r="B7" s="624" t="str" cm="1">
        <f t="array" ref="B7">INDEX(Engagé!G9:G252,MATCH(0,COUNTIF($B$2:B6,Engagé!G9:G252),0))</f>
        <v>Acier d'armature</v>
      </c>
      <c r="C7" s="422" cm="1">
        <f t="array" ref="C7">IFERROR(SUM((Engagé!$G$4:$G$263='List of materials_En'!B7)*Engagé!$J$4:$J$263),0)</f>
        <v>58600.799999999996</v>
      </c>
    </row>
    <row r="8" spans="1:4">
      <c r="A8" s="615" cm="1">
        <f t="array" aca="1" ref="A8" ca="1">IFERROR(SUM((Engagé!$G$4:$G$263='List of materials_En'!B8)*Engagé!$M$4:$M$263),0)</f>
        <v>6.3610146811906638</v>
      </c>
      <c r="B8" s="624" t="str" cm="1">
        <f t="array" ref="B8">INDEX(Engagé!G10:G253,MATCH(0,COUNTIF($B$2:B7,Engagé!G10:G253),0))</f>
        <v>Béton maigre (sans armature)</v>
      </c>
      <c r="C8" s="422" cm="1">
        <f t="array" ref="C8">IFERROR(SUM((Engagé!$G$4:$G$263='List of materials_En'!B8)*Engagé!$J$4:$J$263),0)</f>
        <v>97418.434999999998</v>
      </c>
    </row>
    <row r="9" spans="1:4">
      <c r="A9" s="615" cm="1">
        <f t="array" aca="1" ref="A9" ca="1">IFERROR(SUM((Engagé!$G$4:$G$263='List of materials_En'!B9)*Engagé!$M$4:$M$263),0)</f>
        <v>2.5260661829940712</v>
      </c>
      <c r="B9" s="624" t="str" cm="1">
        <f t="array" ref="B9">INDEX(Engagé!G11:G254,MATCH(0,COUNTIF($B$2:B8,Engagé!G11:G254),0))</f>
        <v>Gravier rond</v>
      </c>
      <c r="C9" s="422" cm="1">
        <f t="array" ref="C9">IFERROR(SUM((Engagé!$G$4:$G$263='List of materials_En'!B9)*Engagé!$J$4:$J$263),0)</f>
        <v>153479.19999999998</v>
      </c>
    </row>
    <row r="10" spans="1:4">
      <c r="A10" s="615" cm="1">
        <f t="array" aca="1" ref="A10" ca="1">IFERROR(SUM((Engagé!$G$4:$G$263='List of materials_En'!B10)*Engagé!$M$4:$M$263),0)</f>
        <v>4.9847470668711908</v>
      </c>
      <c r="B10" s="624" t="str" cm="1">
        <f t="array" ref="B10">INDEX(Engagé!G12:G255,MATCH(0,COUNTIF($B$2:B9,Engagé!G12:G255),0))</f>
        <v>Polystyrène extrudé (XPS)</v>
      </c>
      <c r="C10" s="422" cm="1">
        <f t="array" ref="C10">IFERROR(SUM((Engagé!$G$4:$G$263='List of materials_En'!B10)*Engagé!$J$4:$J$263),0)</f>
        <v>334.22399999999999</v>
      </c>
    </row>
    <row r="11" spans="1:4">
      <c r="A11" s="615" cm="1">
        <f t="array" aca="1" ref="A11" ca="1">IFERROR(SUM((Engagé!$G$4:$G$263='List of materials_En'!B11)*Engagé!$M$4:$M$263),0)</f>
        <v>3.981879385183035</v>
      </c>
      <c r="B11" s="624" t="str" cm="1">
        <f t="array" ref="B11">INDEX(Engagé!G13:G256,MATCH(0,COUNTIF($B$2:B10,Engagé!G13:G256),0))</f>
        <v>Feuille de polyéthylène (PE)</v>
      </c>
      <c r="C11" s="422" cm="1">
        <f t="array" ref="C11">IFERROR(SUM((Engagé!$G$4:$G$263='List of materials_En'!B11)*Engagé!$J$4:$J$263),0)</f>
        <v>435.25390000000004</v>
      </c>
    </row>
    <row r="12" spans="1:4">
      <c r="A12" s="615" cm="1">
        <f t="array" aca="1" ref="A12" ca="1">IFERROR(SUM((Engagé!$G$4:$G$263='List of materials_En'!B12)*Engagé!$M$4:$M$263),0)</f>
        <v>2.0538942560424527</v>
      </c>
      <c r="B12" s="624" t="str" cm="1">
        <f t="array" ref="B12">INDEX(Engagé!G14:G257,MATCH(0,COUNTIF($B$2:B11,Engagé!G14:G257),0))</f>
        <v>Sable</v>
      </c>
      <c r="C12" s="422" cm="1">
        <f t="array" ref="C12">IFERROR(SUM((Engagé!$G$4:$G$263='List of materials_En'!B12)*Engagé!$J$4:$J$263),0)</f>
        <v>81939.8</v>
      </c>
      <c r="D12">
        <f>C12/500</f>
        <v>163.87960000000001</v>
      </c>
    </row>
    <row r="13" spans="1:4">
      <c r="A13" s="615" cm="1">
        <f t="array" aca="1" ref="A13" ca="1">IFERROR(SUM((Engagé!$G$4:$G$263='List of materials_En'!B13)*Engagé!$M$4:$M$263),0)</f>
        <v>25.198652190207707</v>
      </c>
      <c r="B13" s="624" t="str" cm="1">
        <f t="array" ref="B13">INDEX(Engagé!G15:G258,MATCH(0,COUNTIF($B$2:B12,Engagé!G15:G258),0))</f>
        <v>Lé d'étanchéité bitumineux</v>
      </c>
      <c r="C13" s="422" cm="1">
        <f t="array" ref="C13">IFERROR(SUM((Engagé!$G$4:$G$263='List of materials_En'!B13)*Engagé!$J$4:$J$263),0)</f>
        <v>4118.4000000000005</v>
      </c>
    </row>
    <row r="14" spans="1:4">
      <c r="A14" s="615" cm="1">
        <f t="array" aca="1" ref="A14" ca="1">IFERROR(SUM((Engagé!$G$4:$G$263='List of materials_En'!B14)*Engagé!$M$4:$M$263),0)</f>
        <v>32.035576624766797</v>
      </c>
      <c r="B14" s="624" t="str" cm="1">
        <f t="array" ref="B14">INDEX(Engagé!G16:G259,MATCH(0,COUNTIF($B$2:B13,Engagé!G16:G259),0))</f>
        <v>Contreplaqué de planches</v>
      </c>
      <c r="C14" s="422" cm="1">
        <f t="array" ref="C14">IFERROR(SUM((Engagé!$G$4:$G$263='List of materials_En'!B14)*Engagé!$J$4:$J$263),0)</f>
        <v>49210.2736</v>
      </c>
      <c r="D14">
        <f>C14/500</f>
        <v>98.420547200000001</v>
      </c>
    </row>
    <row r="15" spans="1:4">
      <c r="A15" s="615" cm="1">
        <f t="array" aca="1" ref="A15" ca="1">IFERROR(SUM((Engagé!$G$4:$G$263='List of materials_En'!B15)*Engagé!$M$4:$M$263),0)</f>
        <v>27.146869296463663</v>
      </c>
      <c r="B15" s="624" t="str" cm="1">
        <f t="array" ref="B15">INDEX(Engagé!G17:G260,MATCH(0,COUNTIF($B$2:B14,Engagé!G17:G260),0))</f>
        <v>Bois lamellé-collé</v>
      </c>
      <c r="C15" s="422" cm="1">
        <f t="array" ref="C15">IFERROR(SUM((Engagé!$G$4:$G$263='List of materials_En'!B15)*Engagé!$J$4:$J$263),0)</f>
        <v>54536.969999999994</v>
      </c>
    </row>
    <row r="16" spans="1:4">
      <c r="A16" s="615" cm="1">
        <f t="array" aca="1" ref="A16" ca="1">IFERROR(SUM((Engagé!$G$4:$G$263='List of materials_En'!B16)*Engagé!$M$4:$M$263),0)</f>
        <v>0</v>
      </c>
      <c r="B16" s="624" t="str" cm="1">
        <f t="array" ref="B16">INDEX(Engagé!G19:G261,MATCH(0,COUNTIF($B$2:B15,Engagé!G19:G261),0))</f>
        <v>-</v>
      </c>
      <c r="C16" s="422" cm="1">
        <f t="array" ref="C16">IFERROR(SUM((Engagé!$G$4:$G$263='List of materials_En'!B16)*Engagé!$J$4:$J$263),0)</f>
        <v>0</v>
      </c>
    </row>
    <row r="17" spans="1:4">
      <c r="A17" s="615" cm="1">
        <f t="array" aca="1" ref="A17" ca="1">IFERROR(SUM((Engagé!$G$4:$G$263='List of materials_En'!B17)*Engagé!$M$4:$M$263),0)</f>
        <v>32.826352837983492</v>
      </c>
      <c r="B17" s="624" t="str" cm="1">
        <f t="array" ref="B17">INDEX(Engagé!G20:G262,MATCH(0,COUNTIF($B$2:B16,Engagé!G20:G262),0))</f>
        <v>Botte de paille pour la construction</v>
      </c>
      <c r="C17" s="422" cm="1">
        <f t="array" ref="C17">IFERROR(SUM((Engagé!$G$4:$G$263='List of materials_En'!B17)*Engagé!$J$4:$J$263),0)</f>
        <v>121441.39549999998</v>
      </c>
    </row>
    <row r="18" spans="1:4">
      <c r="A18" s="615" cm="1">
        <f t="array" aca="1" ref="A18" ca="1">IFERROR(SUM((Engagé!$G$4:$G$263='List of materials_En'!B18)*Engagé!$M$4:$M$263),0)</f>
        <v>3.1605303221259486</v>
      </c>
      <c r="B18" s="624" t="str" cm="1">
        <f t="array" ref="B18">INDEX(Engagé!G21:G263,MATCH(0,COUNTIF($B$2:B17,Engagé!G21:G263),0))</f>
        <v>Enduit minéral</v>
      </c>
      <c r="C18" s="422" cm="1">
        <f t="array" ref="C18">IFERROR(SUM((Engagé!$G$4:$G$263='List of materials_En'!B18)*Engagé!$J$4:$J$263),0)</f>
        <v>6933.62</v>
      </c>
    </row>
    <row r="19" spans="1:4">
      <c r="A19" s="615" cm="1">
        <f t="array" aca="1" ref="A19" ca="1">IFERROR(SUM((Engagé!$G$4:$G$263='List of materials_En'!B19)*Engagé!$M$4:$M$263),0)</f>
        <v>0</v>
      </c>
      <c r="B19" s="624" t="str" cm="1">
        <f t="array" ref="B19">INDEX(Engagé!G22:G264,MATCH(0,COUNTIF($B$2:B18,Engagé!G22:G264),0))</f>
        <v>Données écobilans dans la construction</v>
      </c>
      <c r="C19" s="422" cm="1">
        <f t="array" ref="C19">IFERROR(SUM((Engagé!$G$4:$G$263='List of materials_En'!B19)*Engagé!$J$4:$J$263),0)</f>
        <v>1397.3760000000002</v>
      </c>
    </row>
    <row r="20" spans="1:4">
      <c r="A20" s="615" cm="1">
        <f t="array" aca="1" ref="A20" ca="1">IFERROR(SUM((Engagé!$G$4:$G$263='List of materials_En'!B20)*Engagé!$M$4:$M$263),0)</f>
        <v>17.29849342896231</v>
      </c>
      <c r="B20" s="624" t="str" cm="1">
        <f t="array" ref="B20">INDEX(Engagé!G23:G265,MATCH(0,COUNTIF($B$2:B19,Engagé!G23:G265),0))</f>
        <v>Cadre de fenêtre en bois</v>
      </c>
      <c r="C20" s="422" cm="1">
        <f t="array" ref="C20">IFERROR(SUM((Engagé!$G$4:$G$263='List of materials_En'!B20)*Engagé!$J$4:$J$263),0)</f>
        <v>134.07999999999998</v>
      </c>
    </row>
    <row r="21" spans="1:4">
      <c r="A21" s="615" cm="1">
        <f t="array" aca="1" ref="A21" ca="1">IFERROR(SUM((Engagé!$G$4:$G$263='List of materials_En'!B21)*Engagé!$M$4:$M$263),0)</f>
        <v>16.488821657476887</v>
      </c>
      <c r="B21" s="624" t="str" cm="1">
        <f t="array" ref="B21">INDEX(Engagé!G24:G266,MATCH(0,COUNTIF($B$2:B20,Engagé!G24:G266),0))</f>
        <v>Triple vitrage, U&lt;0.6 W/m2K, épaisseur 40 mm 3</v>
      </c>
      <c r="C21" s="422" cm="1">
        <f t="array" ref="C21">IFERROR(SUM((Engagé!$G$4:$G$263='List of materials_En'!B21)*Engagé!$J$4:$J$263),0)</f>
        <v>104.58239999999999</v>
      </c>
    </row>
    <row r="22" spans="1:4">
      <c r="A22" s="615" cm="1">
        <f t="array" aca="1" ref="A22" ca="1">IFERROR(SUM((Engagé!$G$4:$G$263='List of materials_En'!B22)*Engagé!$M$4:$M$263),0)</f>
        <v>7.2777789637660133</v>
      </c>
      <c r="B22" s="624" t="str" cm="1">
        <f t="array" ref="B22">INDEX(Engagé!G25:G267,MATCH(0,COUNTIF($B$2:B21,Engagé!G25:G267),0))</f>
        <v>Bois massif épicéa / sapin / mélèze, séché en cellule, raboté</v>
      </c>
      <c r="C22" s="422" cm="1">
        <f t="array" ref="C22">IFERROR(SUM((Engagé!$G$4:$G$263='List of materials_En'!B22)*Engagé!$J$4:$J$263),0)</f>
        <v>18274.686000000002</v>
      </c>
    </row>
    <row r="23" spans="1:4">
      <c r="A23" s="615" cm="1">
        <f t="array" aca="1" ref="A23" ca="1">IFERROR(SUM((Engagé!$G$4:$G$263='List of materials_En'!B23)*Engagé!$M$4:$M$263),0)</f>
        <v>9.0171506156461163</v>
      </c>
      <c r="B23" s="624" t="str" cm="1">
        <f t="array" ref="B23">INDEX(Engagé!G26:G268,MATCH(0,COUNTIF($B$2:B22,Engagé!G26:G268),0))</f>
        <v>Porte intérieure, porte fonctionnelle, bois, cadre en bois</v>
      </c>
      <c r="C23" s="422" cm="1">
        <f t="array" ref="C23">IFERROR(SUM((Engagé!$G$4:$G$263='List of materials_En'!B23)*Engagé!$J$4:$J$263),0)</f>
        <v>78.14</v>
      </c>
    </row>
    <row r="24" spans="1:4">
      <c r="A24" s="615" cm="1">
        <f t="array" aca="1" ref="A24" ca="1">IFERROR(SUM((Engagé!$G$4:$G$263='List of materials_En'!B24)*Engagé!$M$4:$M$263),0)</f>
        <v>5.3157086494479211</v>
      </c>
      <c r="B24" s="624" t="str" cm="1">
        <f t="array" ref="B24">INDEX(Engagé!G27:G269,MATCH(0,COUNTIF($B$2:B23,Engagé!G27:G269),0))</f>
        <v>Portes extérieures aluminium, avec panneau</v>
      </c>
      <c r="C24" s="422" cm="1">
        <f t="array" ref="C24">IFERROR(SUM((Engagé!$G$4:$G$263='List of materials_En'!B24)*Engagé!$J$4:$J$263),0)</f>
        <v>11.5</v>
      </c>
    </row>
    <row r="25" spans="1:4">
      <c r="A25" s="615" cm="1">
        <f t="array" aca="1" ref="A25" ca="1">IFERROR(SUM((Engagé!$G$4:$G$263='List of materials_En'!B25)*Engagé!$M$4:$M$263),0)</f>
        <v>18.892084609883504</v>
      </c>
      <c r="B25" s="624" t="str" cm="1">
        <f t="array" ref="B25">INDEX(Engagé!G28:G270,MATCH(0,COUNTIF($B$2:B24,Engagé!G28:G270),0))</f>
        <v>Bois massif 3 et 5 plis</v>
      </c>
      <c r="C25" s="422" cm="1">
        <f t="array" ref="C25">IFERROR(SUM((Engagé!$G$4:$G$263='List of materials_En'!B25)*Engagé!$J$4:$J$263),0)</f>
        <v>29857.230000000003</v>
      </c>
    </row>
    <row r="26" spans="1:4">
      <c r="A26" s="615" cm="1">
        <f t="array" aca="1" ref="A26" ca="1">IFERROR(SUM((Engagé!$G$4:$G$263='List of materials_En'!B26)*Engagé!$M$4:$M$263),0)</f>
        <v>5.8353244218730564</v>
      </c>
      <c r="B26" s="624" t="str" cm="1">
        <f t="array" ref="B26">INDEX(Engagé!G29:G271,MATCH(0,COUNTIF($B$2:B25,Engagé!G29:G271),0))</f>
        <v>Bois massif de construction</v>
      </c>
      <c r="C26" s="422" cm="1">
        <f t="array" ref="C26">IFERROR(SUM((Engagé!$G$4:$G$263='List of materials_En'!B26)*Engagé!$J$4:$J$263),0)</f>
        <v>12343.159999999998</v>
      </c>
    </row>
    <row r="27" spans="1:4">
      <c r="A27" s="615" cm="1">
        <f t="array" aca="1" ref="A27" ca="1">IFERROR(SUM((Engagé!$G$4:$G$263='List of materials_En'!B27)*Engagé!$M$4:$M$263),0)</f>
        <v>6.9943365739397203</v>
      </c>
      <c r="B27" s="624" t="str" cm="1">
        <f t="array" ref="B27">INDEX(Engagé!G30:G272,MATCH(0,COUNTIF($B$2:B26,Engagé!G30:G272),0))</f>
        <v>Lé d'étanchéité polyoléfine (FPO)</v>
      </c>
      <c r="C27" s="422" cm="1">
        <f t="array" ref="C27">IFERROR(SUM((Engagé!$G$4:$G$263='List of materials_En'!B27)*Engagé!$J$4:$J$263),0)</f>
        <v>523.13300000000004</v>
      </c>
    </row>
    <row r="28" spans="1:4">
      <c r="A28" s="615" cm="1">
        <f t="array" aca="1" ref="A28" ca="1">IFERROR(SUM((Engagé!$G$4:$G$263='List of materials_En'!B28)*Engagé!$M$4:$M$263),0)</f>
        <v>3.1665951701836574</v>
      </c>
      <c r="B28" s="624" t="str" cm="1">
        <f t="array" ref="B28">INDEX(Engagé!G31:G273,MATCH(0,COUNTIF($B$2:B27,Engagé!G31:G273),0))</f>
        <v>Voile de polyéthylène (PE)</v>
      </c>
      <c r="C28" s="422" cm="1">
        <f t="array" ref="C28">IFERROR(SUM((Engagé!$G$4:$G$263='List of materials_En'!B28)*Engagé!$J$4:$J$263),0)</f>
        <v>217.30140000000003</v>
      </c>
      <c r="D28">
        <f>C28/500</f>
        <v>0.43460280000000007</v>
      </c>
    </row>
    <row r="29" spans="1:4">
      <c r="A29" s="615" cm="1">
        <f t="array" aca="1" ref="A29" ca="1">IFERROR(SUM((Engagé!$G$4:$G$263='List of materials_En'!B29)*Engagé!$M$4:$M$263),0)</f>
        <v>2.3399301612536796</v>
      </c>
      <c r="B29" s="624" t="str" cm="1">
        <f t="array" ref="B29">INDEX(Engagé!G32:G274,MATCH(0,COUNTIF($B$2:B28,Engagé!G32:G274),0))</f>
        <v>Tôle de cuivre, nue</v>
      </c>
      <c r="C29" s="422" cm="1">
        <f t="array" ref="C29">IFERROR(SUM((Engagé!$G$4:$G$263='List of materials_En'!B29)*Engagé!$J$4:$J$263),0)</f>
        <v>458.22539999999998</v>
      </c>
    </row>
    <row r="30" spans="1:4">
      <c r="A30" s="615" cm="1">
        <f t="array" aca="1" ref="A30" ca="1">IFERROR(SUM((Engagé!$G$4:$G$263='List of materials_En'!B30)*Engagé!$M$4:$M$263),0)</f>
        <v>15.793181878985118</v>
      </c>
      <c r="B30" s="624" t="str" cm="1">
        <f t="array" ref="B30">INDEX(Engagé!G33:G275,MATCH(0,COUNTIF($B$2:B29,Engagé!G33:G275),0))</f>
        <v>Tôle d'acier, zinguée</v>
      </c>
      <c r="C30" s="422" cm="1">
        <f t="array" ref="C30">IFERROR(SUM((Engagé!$G$4:$G$263='List of materials_En'!B30)*Engagé!$J$4:$J$263),0)</f>
        <v>1419.5940000000001</v>
      </c>
    </row>
    <row r="31" spans="1:4">
      <c r="A31" s="615" cm="1">
        <f t="array" aca="1" ref="A31" ca="1">IFERROR(SUM((Engagé!$G$4:$G$263='List of materials_En'!B31)*Engagé!$M$4:$M$263),0)</f>
        <v>3.4550597006757604</v>
      </c>
      <c r="B31" s="624" t="str" cm="1">
        <f t="array" ref="B31">INDEX(Engagé!G34:G276,MATCH(0,COUNTIF($B$2:B30,Engagé!G34:G276),0))</f>
        <v>Laine de verre</v>
      </c>
      <c r="C31" s="422" cm="1">
        <f t="array" ref="C31">IFERROR(SUM((Engagé!$G$4:$G$263='List of materials_En'!B31)*Engagé!$J$4:$J$263),0)</f>
        <v>1900.884</v>
      </c>
    </row>
    <row r="32" spans="1:4">
      <c r="A32" s="615" cm="1">
        <f t="array" aca="1" ref="A32" ca="1">IFERROR(SUM((Engagé!$G$4:$G$263='List of materials_En'!B32)*Engagé!$M$4:$M$263),0)</f>
        <v>19.008123626715314</v>
      </c>
      <c r="B32" s="624" t="str" cm="1">
        <f t="array" ref="B32">INDEX(Engagé!G35:G277,MATCH(0,COUNTIF($B$2:B31,Engagé!G35:G277),0))</f>
        <v>Dalle en céramique/grès, 9 mm</v>
      </c>
      <c r="C32" s="422" cm="1">
        <f t="array" ref="C32">IFERROR(SUM((Engagé!$G$4:$G$263='List of materials_En'!B32)*Engagé!$J$4:$J$263),0)</f>
        <v>389.38</v>
      </c>
    </row>
    <row r="33" spans="1:3">
      <c r="A33" s="615" cm="1">
        <f t="array" aca="1" ref="A33" ca="1">IFERROR(SUM((Engagé!$G$4:$G$263='List of materials_En'!B33)*Engagé!$M$4:$M$263),0)</f>
        <v>2.0356156979395545</v>
      </c>
      <c r="B33" s="624" t="str" cm="1">
        <f t="array" ref="B33">INDEX(Engagé!G36:G278,MATCH(0,COUNTIF($B$2:B32,Engagé!G36:G278),0))</f>
        <v>Polystyrène expansé (EPS)</v>
      </c>
      <c r="C33" s="422" cm="1">
        <f t="array" ref="C33">IFERROR(SUM((Engagé!$G$4:$G$263='List of materials_En'!B33)*Engagé!$J$4:$J$263),0)</f>
        <v>114.255</v>
      </c>
    </row>
    <row r="34" spans="1:3">
      <c r="A34" s="615" cm="1">
        <f t="array" aca="1" ref="A34" ca="1">IFERROR(SUM((Engagé!$G$4:$G$263='List of materials_En'!B34)*Engagé!$M$4:$M$263),0)</f>
        <v>3.6521966419302681</v>
      </c>
      <c r="B34" s="624" t="str" cm="1">
        <f t="array" ref="B34">INDEX(Engagé!G37:G279,MATCH(0,COUNTIF($B$2:B33,Engagé!G37:G279),0))</f>
        <v>Gramitherm</v>
      </c>
      <c r="C34" s="422" cm="1">
        <f t="array" ref="C34">IFERROR(SUM((Engagé!$G$4:$G$263='List of materials_En'!B34)*Engagé!$J$4:$J$263),0)</f>
        <v>4517.6736000000001</v>
      </c>
    </row>
    <row r="35" spans="1:3">
      <c r="A35" s="615" cm="1">
        <f t="array" aca="1" ref="A35" ca="1">IFERROR(SUM((Engagé!$G$4:$G$263='List of materials_En'!B35)*Engagé!$M$4:$M$263),0)</f>
        <v>34.920538892284725</v>
      </c>
      <c r="B35" s="624" t="str" cm="1">
        <f t="array" ref="B35">INDEX(Engagé!G38:G280,MATCH(0,COUNTIF($B$2:B34,Engagé!G38:G280),0))</f>
        <v>Béton chaux-chanvre</v>
      </c>
      <c r="C35" s="422" cm="1">
        <f t="array" ref="C35">IFERROR(SUM((Engagé!$G$4:$G$263='List of materials_En'!B35)*Engagé!$J$4:$J$263),0)</f>
        <v>35990.879999999997</v>
      </c>
    </row>
    <row r="36" spans="1:3">
      <c r="A36" s="615" cm="1">
        <f t="array" aca="1" ref="A36" ca="1">IFERROR(SUM((Engagé!$G$4:$G$263='List of materials_En'!B36)*Engagé!$M$4:$M$263),0)</f>
        <v>38.598786455746179</v>
      </c>
      <c r="B36" s="624" t="str" cm="1">
        <f t="array" ref="B36">INDEX(Engagé!G39:G281,MATCH(0,COUNTIF($B$2:B35,Engagé!G39:G281),0))</f>
        <v>GUTEX Pyroresist</v>
      </c>
      <c r="C36" s="422" cm="1">
        <f t="array" ref="C36">IFERROR(SUM((Engagé!$G$4:$G$263='List of materials_En'!B36)*Engagé!$J$4:$J$263),0)</f>
        <v>9056.5969999999998</v>
      </c>
    </row>
    <row r="37" spans="1:3">
      <c r="A37" s="615" cm="1">
        <f t="array" aca="1" ref="A37" ca="1">IFERROR(SUM((Engagé!$G$4:$G$263='List of materials_En'!B37)*Engagé!$M$4:$M$263),0)</f>
        <v>4.7001066290783964</v>
      </c>
      <c r="B37" s="624" t="str" cm="1">
        <f t="array" ref="B37">INDEX(Engagé!G40:G282,MATCH(0,COUNTIF($B$2:B36,Engagé!G40:G282),0))</f>
        <v>Gravier concassé</v>
      </c>
      <c r="C37" s="422" cm="1">
        <f t="array" ref="C37">IFERROR(SUM((Engagé!$G$4:$G$263='List of materials_En'!B37)*Engagé!$J$4:$J$263),0)</f>
        <v>119969.59999999999</v>
      </c>
    </row>
    <row r="38" spans="1:3">
      <c r="A38" s="615" cm="1">
        <f t="array" aca="1" ref="A38" ca="1">IFERROR(SUM((Engagé!$G$4:$G$263='List of materials_En'!B38)*Engagé!$M$4:$M$263),0)</f>
        <v>11.541872227519589</v>
      </c>
      <c r="B38" s="624" t="str" cm="1">
        <f t="array" ref="B38">INDEX(Engagé!G41:G283,MATCH(0,COUNTIF($B$2:B37,Engagé!G41:G283),0))</f>
        <v>Parquet, 2 plis, vitrifié d'usine, 11 mm</v>
      </c>
      <c r="C38" s="422" cm="1">
        <f t="array" ref="C38">IFERROR(SUM((Engagé!$G$4:$G$263='List of materials_En'!B38)*Engagé!$J$4:$J$263),0)</f>
        <v>585</v>
      </c>
    </row>
    <row r="39" spans="1:3">
      <c r="A39" s="615" cm="1">
        <f t="array" aca="1" ref="A39" ca="1">IFERROR(SUM((Engagé!$G$4:$G$263='List of materials_En'!B39)*Engagé!$M$4:$M$263),0)</f>
        <v>9.1486671365200445E-2</v>
      </c>
      <c r="B39" s="624" t="str" cm="1">
        <f t="array" ref="B39">INDEX(Engagé!G42:G284,MATCH(0,COUNTIF($B$2:B38,Engagé!G42:G284),0))</f>
        <v>Moquette en fibres naturelles</v>
      </c>
      <c r="C39" s="422" cm="1">
        <f t="array" ref="C39">IFERROR(SUM((Engagé!$G$4:$G$263='List of materials_En'!B39)*Engagé!$J$4:$J$263),0)</f>
        <v>7</v>
      </c>
    </row>
    <row r="40" spans="1:3">
      <c r="A40" s="615" cm="1">
        <f t="array" aca="1" ref="A40" ca="1">IFERROR(SUM((Engagé!$G$4:$G$263='List of materials_En'!B40)*Engagé!$M$4:$M$263),0)</f>
        <v>0.54634953774719119</v>
      </c>
      <c r="B40" s="624" t="str" cm="1">
        <f t="array" ref="B40">INDEX(Engagé!G43:G285,MATCH(0,COUNTIF($B$2:B39,Engagé!G43:G285),0))</f>
        <v>Chape de ciment, 85 mm</v>
      </c>
      <c r="C40" s="422" cm="1">
        <f t="array" ref="C40">IFERROR(SUM((Engagé!$G$4:$G$263='List of materials_En'!B40)*Engagé!$J$4:$J$263),0)</f>
        <v>1980.24</v>
      </c>
    </row>
    <row r="41" spans="1:3">
      <c r="A41" s="615" cm="1">
        <f t="array" aca="1" ref="A41" ca="1">IFERROR(SUM((Engagé!$G$4:$G$263='List of materials_En'!B41)*Engagé!$M$4:$M$263),0)</f>
        <v>31.618000000000002</v>
      </c>
      <c r="B41" s="624" t="str" cm="1">
        <f t="array" ref="B41">INDEX(Engagé!G44:G286,MATCH(0,COUNTIF($B$2:B40,Engagé!G44:G286),0))</f>
        <v>Installations électriques, habitation</v>
      </c>
      <c r="C41" s="422" cm="1">
        <f t="array" ref="C41">IFERROR(SUM((Engagé!$G$4:$G$263='List of materials_En'!B41)*Engagé!$J$4:$J$263),0)</f>
        <v>964.84</v>
      </c>
    </row>
    <row r="42" spans="1:3">
      <c r="A42" s="615" cm="1">
        <f t="array" aca="1" ref="A42" ca="1">IFERROR(SUM((Engagé!$G$4:$G$263='List of materials_En'!B42)*Engagé!$M$4:$M$263),0)</f>
        <v>55.303221259483443</v>
      </c>
      <c r="B42" s="624" t="str" cm="1">
        <f t="array" ref="B42">INDEX(Engagé!G45:G287,MATCH(0,COUNTIF($B$2:B41,Engagé!G45:G287),0))</f>
        <v>Installations photovoltaïques 1</v>
      </c>
      <c r="C42" s="422" cm="1">
        <f t="array" ref="C42">IFERROR(SUM((Engagé!$G$4:$G$263='List of materials_En'!B42)*Engagé!$J$4:$J$263),0)</f>
        <v>19.180000000000003</v>
      </c>
    </row>
    <row r="43" spans="1:3">
      <c r="A43" s="615" cm="1">
        <f t="array" aca="1" ref="A43" ca="1">IFERROR(SUM((Engagé!$G$4:$G$263='List of materials_En'!B43)*Engagé!$M$4:$M$263),0)</f>
        <v>8.6719041499108656</v>
      </c>
      <c r="B43" s="624" t="str" cm="1">
        <f t="array" ref="B43">INDEX(Engagé!G46:G288,MATCH(0,COUNTIF($B$2:B42,Engagé!G46:G288),0))</f>
        <v>Pompe à chaleur saumure-eau 7 kW</v>
      </c>
      <c r="C43" s="422" cm="1">
        <f t="array" ref="C43">IFERROR(SUM((Engagé!$G$4:$G$263='List of materials_En'!B43)*Engagé!$J$4:$J$263),0)</f>
        <v>1</v>
      </c>
    </row>
    <row r="44" spans="1:3">
      <c r="A44" s="615" cm="1">
        <f t="array" aca="1" ref="A44" ca="1">IFERROR(SUM((Engagé!$G$4:$G$263='List of materials_En'!B44)*Engagé!$M$4:$M$263),0)</f>
        <v>8.5920000000000005</v>
      </c>
      <c r="B44" s="624" t="str" cm="1">
        <f t="array" ref="B44">INDEX(Engagé!G48:G289,MATCH(0,COUNTIF($B$2:B43,Engagé!G48:G289),0))</f>
        <v>Distribution de chaleur, bâtiment d'habitation</v>
      </c>
      <c r="C44" s="422" cm="1">
        <f t="array" ref="C44">IFERROR(SUM((Engagé!$G$4:$G$263='List of materials_En'!B44)*Engagé!$J$4:$J$263),0)</f>
        <v>964.84</v>
      </c>
    </row>
    <row r="45" spans="1:3">
      <c r="A45" s="615" cm="1">
        <f t="array" aca="1" ref="A45" ca="1">IFERROR(SUM((Engagé!$G$4:$G$263='List of materials_En'!B45)*Engagé!$M$4:$M$263),0)</f>
        <v>11.931999999999999</v>
      </c>
      <c r="B45" s="624" t="str" cm="1">
        <f t="array" ref="B45">INDEX(Engagé!G49:G290,MATCH(0,COUNTIF($B$2:B44,Engagé!G49:G290),0))</f>
        <v>Diffusion de chaleur par le biais du chauffage au sol</v>
      </c>
      <c r="C45" s="422" cm="1">
        <f t="array" ref="C45">IFERROR(SUM((Engagé!$G$4:$G$263='List of materials_En'!B45)*Engagé!$J$4:$J$263),0)</f>
        <v>964.84</v>
      </c>
    </row>
    <row r="46" spans="1:3">
      <c r="A46" s="615" cm="1">
        <f t="array" aca="1" ref="A46" ca="1">IFERROR(SUM((Engagé!$G$4:$G$263='List of materials_En'!B46)*Engagé!$M$4:$M$263),0)</f>
        <v>27.450354462916131</v>
      </c>
      <c r="B46" s="624" t="str" cm="1">
        <f t="array" ref="B46">INDEX(Engagé!G50:G291,MATCH(0,COUNTIF($B$2:B45,Engagé!G50:G291),0))</f>
        <v>Sondes géothermiques, pour la pompe à chaleur saumure-eau</v>
      </c>
      <c r="C46" s="422" cm="1">
        <f t="array" ref="C46">IFERROR(SUM((Engagé!$G$4:$G$263='List of materials_En'!B46)*Engagé!$J$4:$J$263),0)</f>
        <v>560</v>
      </c>
    </row>
    <row r="47" spans="1:3">
      <c r="A47" s="615" cm="1">
        <f t="array" aca="1" ref="A47" ca="1">IFERROR(SUM((Engagé!$G$4:$G$263='List of materials_En'!B47)*Engagé!$M$4:$M$263),0)</f>
        <v>0</v>
      </c>
      <c r="B47" s="624" t="str" cm="1">
        <f t="array" ref="B47">INDEX(Engagé!G51:G292,MATCH(0,COUNTIF($B$2:B46,Engagé!G51:G292),0))</f>
        <v>Collecteurs solaires plan, eau chaude immeuble locatif</v>
      </c>
      <c r="C47" s="422" cm="1">
        <f t="array" ref="C47">IFERROR(SUM((Engagé!$G$4:$G$263='List of materials_En'!B47)*Engagé!$J$4:$J$263),0)</f>
        <v>0</v>
      </c>
    </row>
    <row r="48" spans="1:3">
      <c r="A48" s="615" cm="1">
        <f t="array" aca="1" ref="A48" ca="1">IFERROR(SUM((Engagé!$G$4:$G$263='List of materials_En'!B48)*Engagé!$M$4:$M$263),0)</f>
        <v>9.4019999999999992</v>
      </c>
      <c r="B48" s="624" t="str" cm="1">
        <f t="array" ref="B48">INDEX(Engagé!G52:G293,MATCH(0,COUNTIF($B$2:B47,Engagé!G52:G293),0))</f>
        <v>Évacuation d'air cuisine et salle de bain</v>
      </c>
      <c r="C48" s="422" cm="1">
        <f t="array" ref="C48">IFERROR(SUM((Engagé!$G$4:$G$263='List of materials_En'!B48)*Engagé!$J$4:$J$263),0)</f>
        <v>964.84</v>
      </c>
    </row>
    <row r="49" spans="1:3">
      <c r="A49" s="615" cm="1">
        <f t="array" aca="1" ref="A49" ca="1">IFERROR(SUM((Engagé!$G$4:$G$263='List of materials_En'!B49)*Engagé!$M$4:$M$263),0)</f>
        <v>36.476000000000006</v>
      </c>
      <c r="B49" s="624" t="str" cm="1">
        <f t="array" ref="B49">INDEX(Engagé!G53:G294,MATCH(0,COUNTIF($B$2:B48,Engagé!G53:G294),0))</f>
        <v xml:space="preserve">Ventilation habitation, canaux en tôle, évacuation d'air (cuisine) </v>
      </c>
      <c r="C49" s="422" cm="1">
        <f t="array" ref="C49">IFERROR(SUM((Engagé!$G$4:$G$263='List of materials_En'!B49)*Engagé!$J$4:$J$263),0)</f>
        <v>964.84</v>
      </c>
    </row>
    <row r="50" spans="1:3">
      <c r="A50" s="615" cm="1">
        <f t="array" aca="1" ref="A50" ca="1">IFERROR(SUM((Engagé!$G$4:$G$263='List of materials_En'!B50)*Engagé!$M$4:$M$263),0)</f>
        <v>31.68</v>
      </c>
      <c r="B50" s="624" t="str" cm="1">
        <f t="array" ref="B50">INDEX(Engagé!G54:G295,MATCH(0,COUNTIF($B$2:B49,Engagé!G54:G295),0))</f>
        <v>Habitation, appareils et conduites compris</v>
      </c>
      <c r="C50" s="422" cm="1">
        <f t="array" ref="C50">IFERROR(SUM((Engagé!$G$4:$G$263='List of materials_En'!B50)*Engagé!$J$4:$J$263),0)</f>
        <v>964.84</v>
      </c>
    </row>
    <row r="51" spans="1:3">
      <c r="A51" s="615" cm="1">
        <f t="array" ref="A51">IFERROR(SUM((Engagé!$G$4:$G$263='List of materials_En'!B51)*Engagé!$M$4:$M$263),0)</f>
        <v>0</v>
      </c>
      <c r="B51" s="624" t="e" cm="1">
        <f t="array" ref="B51">INDEX(Engagé!G55:G296,MATCH(0,COUNTIF($B$2:B50,Engagé!G55:G296),0))</f>
        <v>#N/A</v>
      </c>
      <c r="C51" s="422" cm="1">
        <f t="array" ref="C51">IFERROR(SUM((Engagé!$G$4:$G$263='List of materials_En'!B51)*Engagé!$J$4:$J$263),0)</f>
        <v>0</v>
      </c>
    </row>
    <row r="52" spans="1:3">
      <c r="A52" s="615" cm="1">
        <f t="array" ref="A52">IFERROR(SUM((Engagé!$G$4:$G$263='List of materials_En'!B52)*Engagé!$M$4:$M$263),0)</f>
        <v>0</v>
      </c>
      <c r="B52" s="624" t="e" cm="1">
        <f t="array" ref="B52">INDEX(Engagé!G56:G297,MATCH(0,COUNTIF($B$2:B51,Engagé!G56:G297),0))</f>
        <v>#N/A</v>
      </c>
      <c r="C52" s="422" cm="1">
        <f t="array" ref="C52">IFERROR(SUM((Engagé!$G$4:$G$263='List of materials_En'!B52)*Engagé!$J$4:$J$263),0)</f>
        <v>0</v>
      </c>
    </row>
    <row r="53" spans="1:3">
      <c r="A53" s="615" cm="1">
        <f t="array" ref="A53">IFERROR(SUM((Engagé!$G$4:$G$263='List of materials_En'!B53)*Engagé!$M$4:$M$263),0)</f>
        <v>0</v>
      </c>
      <c r="B53" s="624" t="e" cm="1">
        <f t="array" ref="B53">INDEX(Engagé!G57:G298,MATCH(0,COUNTIF($B$2:B52,Engagé!G57:G298),0))</f>
        <v>#N/A</v>
      </c>
      <c r="C53" s="422" cm="1">
        <f t="array" ref="C53">IFERROR(SUM((Engagé!$G$4:$G$263='List of materials_En'!B53)*Engagé!$J$4:$J$263),0)</f>
        <v>0</v>
      </c>
    </row>
    <row r="54" spans="1:3">
      <c r="A54" s="615" cm="1">
        <f t="array" ref="A54">IFERROR(SUM((Engagé!$G$4:$G$263='List of materials_En'!B54)*Engagé!$M$4:$M$263),0)</f>
        <v>0</v>
      </c>
      <c r="B54" s="624" t="e" cm="1">
        <f t="array" ref="B54">INDEX(Engagé!G58:G299,MATCH(0,COUNTIF($B$2:B53,Engagé!G58:G299),0))</f>
        <v>#N/A</v>
      </c>
      <c r="C54" s="422" cm="1">
        <f t="array" ref="C54">IFERROR(SUM((Engagé!$G$4:$G$263='List of materials_En'!B54)*Engagé!$J$4:$J$263),0)</f>
        <v>0</v>
      </c>
    </row>
    <row r="55" spans="1:3">
      <c r="A55" s="615"/>
      <c r="B55" s="624"/>
      <c r="C55" s="422"/>
    </row>
    <row r="56" spans="1:3">
      <c r="A56" s="615"/>
      <c r="B56" s="624"/>
      <c r="C56" s="422"/>
    </row>
    <row r="57" spans="1:3">
      <c r="A57" s="615" cm="1">
        <f t="array" aca="1" ref="A57" ca="1">IFERROR(SUM((Engagé!$AM$4:$AM$261='List of materials_En'!B57)*Engagé!$M$4:$M$261),0)</f>
        <v>302.64824582272718</v>
      </c>
      <c r="B57" t="str" cm="1">
        <f t="array" ref="B57">INDEX(Engagé!AM6:AM261,MATCH(0,COUNTIF($B$55:B56,Engagé!AM6:AM261),0))</f>
        <v>Structure</v>
      </c>
    </row>
    <row r="58" spans="1:3">
      <c r="A58" s="615"/>
      <c r="B58" cm="1">
        <f t="array" ref="B58">INDEX(Engagé!AM7:AM262,MATCH(0,COUNTIF($B$55:B57,Engagé!AM7:AM262),0))</f>
        <v>0</v>
      </c>
    </row>
    <row r="59" spans="1:3">
      <c r="A59" s="615" cm="1">
        <f t="array" aca="1" ref="A59" ca="1">IFERROR(SUM((Engagé!$AM$4:$AM$261='List of materials_En'!B59)*Engagé!$M$4:$M$261),0)</f>
        <v>80.568011334275255</v>
      </c>
      <c r="B59" t="str" cm="1">
        <f t="array" ref="B59">INDEX(Engagé!AM8:AM263,MATCH(0,COUNTIF($B$55:B58,Engagé!AM8:AM263),0))</f>
        <v>Insulation</v>
      </c>
    </row>
    <row r="60" spans="1:3">
      <c r="A60" s="615" cm="1">
        <f t="array" aca="1" ref="A60" ca="1">IFERROR(SUM((Engagé!$AM$4:$AM$261='List of materials_En'!B60)*Engagé!$M$4:$M$261),0)</f>
        <v>191.19191998663953</v>
      </c>
      <c r="B60" t="str" cm="1">
        <f t="array" aca="1" ref="B60" ca="1">INDEX(Engagé!AM9:AM264,MATCH(0,COUNTIF($B$55:B59,Engagé!AM9:AM264),0))</f>
        <v>Revêtement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9B02-0AA8-443F-B939-A3B7A4211F16}">
  <dimension ref="A1:AQ113"/>
  <sheetViews>
    <sheetView topLeftCell="J1" zoomScale="55" zoomScaleNormal="55" workbookViewId="0">
      <selection activeCell="A57" sqref="A57:A60"/>
    </sheetView>
  </sheetViews>
  <sheetFormatPr baseColWidth="10" defaultColWidth="11" defaultRowHeight="15.75"/>
  <cols>
    <col min="2" max="2" width="35.75" bestFit="1" customWidth="1"/>
  </cols>
  <sheetData>
    <row r="1" spans="2:43">
      <c r="B1" t="s">
        <v>3064</v>
      </c>
      <c r="AM1" s="617" t="s">
        <v>2949</v>
      </c>
      <c r="AN1" s="509"/>
      <c r="AO1" s="509"/>
      <c r="AP1" s="509"/>
      <c r="AQ1" s="510"/>
    </row>
    <row r="2" spans="2:43">
      <c r="C2" t="s">
        <v>843</v>
      </c>
      <c r="D2" t="s">
        <v>3420</v>
      </c>
      <c r="E2" t="s">
        <v>3421</v>
      </c>
      <c r="F2" t="s">
        <v>3422</v>
      </c>
      <c r="O2">
        <f ca="1">O20/O23</f>
        <v>-0.61699412756221761</v>
      </c>
      <c r="AM2" s="619" t="s">
        <v>2952</v>
      </c>
      <c r="AO2">
        <v>60</v>
      </c>
      <c r="AQ2" s="419"/>
    </row>
    <row r="3" spans="2:43">
      <c r="G3" t="s">
        <v>3428</v>
      </c>
      <c r="H3" t="s">
        <v>3429</v>
      </c>
      <c r="M3" t="s">
        <v>3428</v>
      </c>
      <c r="N3" t="s">
        <v>3429</v>
      </c>
      <c r="S3" t="s">
        <v>3428</v>
      </c>
      <c r="T3" t="s">
        <v>3429</v>
      </c>
      <c r="AA3" t="s">
        <v>3412</v>
      </c>
      <c r="AD3" t="s">
        <v>3429</v>
      </c>
      <c r="AG3" t="s">
        <v>3430</v>
      </c>
      <c r="AJ3" t="s">
        <v>3431</v>
      </c>
      <c r="AM3" s="619" t="s">
        <v>2950</v>
      </c>
      <c r="AN3">
        <v>5</v>
      </c>
      <c r="AO3">
        <f>AN3*$AO$2</f>
        <v>300</v>
      </c>
      <c r="AQ3" s="419"/>
    </row>
    <row r="4" spans="2:43">
      <c r="C4" t="s">
        <v>293</v>
      </c>
      <c r="I4" t="s">
        <v>3327</v>
      </c>
      <c r="O4" t="s">
        <v>3330</v>
      </c>
      <c r="X4" t="s">
        <v>293</v>
      </c>
      <c r="Y4" t="s">
        <v>548</v>
      </c>
      <c r="Z4" t="s">
        <v>549</v>
      </c>
      <c r="AA4" t="s">
        <v>293</v>
      </c>
      <c r="AB4" t="s">
        <v>548</v>
      </c>
      <c r="AC4" t="s">
        <v>549</v>
      </c>
      <c r="AD4" t="s">
        <v>293</v>
      </c>
      <c r="AE4" t="s">
        <v>548</v>
      </c>
      <c r="AF4" t="s">
        <v>549</v>
      </c>
      <c r="AG4" t="s">
        <v>293</v>
      </c>
      <c r="AH4" t="s">
        <v>548</v>
      </c>
      <c r="AI4" t="s">
        <v>549</v>
      </c>
      <c r="AJ4" t="s">
        <v>293</v>
      </c>
      <c r="AK4" t="s">
        <v>548</v>
      </c>
      <c r="AL4" t="s">
        <v>549</v>
      </c>
      <c r="AM4" s="619" t="s">
        <v>2951</v>
      </c>
      <c r="AN4">
        <v>5</v>
      </c>
      <c r="AO4">
        <f>AN4*$AO$2</f>
        <v>300</v>
      </c>
      <c r="AQ4" s="419"/>
    </row>
    <row r="5" spans="2:43">
      <c r="B5" t="str">
        <f>Standard!D4</f>
        <v>Fouilles B06 / B07.02</v>
      </c>
      <c r="C5" s="615">
        <f>Standard!M4</f>
        <v>1.8899853078669697</v>
      </c>
      <c r="D5" s="615">
        <f>Standard!N4</f>
        <v>1.181240817416856</v>
      </c>
      <c r="E5" s="615">
        <f>Standard!P4</f>
        <v>0</v>
      </c>
      <c r="F5" s="615">
        <f>Standard!Q4</f>
        <v>0</v>
      </c>
      <c r="G5" s="615">
        <f>Standard!S4</f>
        <v>0</v>
      </c>
      <c r="H5" s="615">
        <f>Standard!T4</f>
        <v>0</v>
      </c>
      <c r="I5" s="615">
        <f>Réaliste!M4</f>
        <v>1.8708693065379787</v>
      </c>
      <c r="J5" s="615">
        <f>Réaliste!N4</f>
        <v>1.1692933165862367</v>
      </c>
      <c r="K5" s="615">
        <f>Réaliste!P4</f>
        <v>0</v>
      </c>
      <c r="L5" s="615">
        <f>Réaliste!Q4</f>
        <v>0</v>
      </c>
      <c r="M5" s="615">
        <f>Réaliste!S4</f>
        <v>0</v>
      </c>
      <c r="N5" s="615">
        <f>Réaliste!T4</f>
        <v>0</v>
      </c>
      <c r="O5" s="615">
        <f>Engagé!M4</f>
        <v>1.759917084697981</v>
      </c>
      <c r="P5" s="615">
        <f>Engagé!N4</f>
        <v>1.0999481779362381</v>
      </c>
      <c r="Q5" s="615">
        <f>Engagé!P4</f>
        <v>0</v>
      </c>
      <c r="R5" s="615">
        <f>Engagé!Q4</f>
        <v>0</v>
      </c>
      <c r="S5" s="615">
        <f>Engagé!S4</f>
        <v>0</v>
      </c>
      <c r="T5" s="615">
        <f>Engagé!T4</f>
        <v>0</v>
      </c>
      <c r="U5" s="670">
        <f t="shared" ref="U5:U8" ca="1" si="0">C5/$C$23</f>
        <v>1.7074882955223022E-3</v>
      </c>
      <c r="V5" s="670">
        <f t="shared" ref="V5:V8" ca="1" si="1">I5/$I$23</f>
        <v>1.7644365395241969E-3</v>
      </c>
      <c r="W5" s="670">
        <f t="shared" ref="W5:W8" ca="1" si="2">O5/$O$23</f>
        <v>2.2122471741791942E-3</v>
      </c>
      <c r="X5" s="615">
        <f>C5/60</f>
        <v>3.1499755131116164E-2</v>
      </c>
      <c r="Y5" s="615">
        <f>I5/60</f>
        <v>3.118115510896631E-2</v>
      </c>
      <c r="Z5" s="615">
        <f t="shared" ref="Z5" si="3">O5/60</f>
        <v>2.9331951411633018E-2</v>
      </c>
      <c r="AA5" s="615">
        <f>-G5/60</f>
        <v>0</v>
      </c>
      <c r="AB5" s="622">
        <f t="shared" ref="AB5:AB19" si="4">-M5/60</f>
        <v>0</v>
      </c>
      <c r="AC5" s="622">
        <f t="shared" ref="AC5:AC19" si="5">-S5/60</f>
        <v>0</v>
      </c>
      <c r="AD5" s="615">
        <f t="shared" ref="AD5:AD19" si="6">H5/60</f>
        <v>0</v>
      </c>
      <c r="AE5" s="622">
        <f t="shared" ref="AE5:AE19" si="7">N5/60</f>
        <v>0</v>
      </c>
      <c r="AF5" s="622">
        <f t="shared" ref="AF5:AF19" si="8">T5/60</f>
        <v>0</v>
      </c>
      <c r="AG5" s="615">
        <f>X5+AD5</f>
        <v>3.1499755131116164E-2</v>
      </c>
      <c r="AH5" s="615">
        <f t="shared" ref="AH5:AI19" si="9">Y5+AE5</f>
        <v>3.118115510896631E-2</v>
      </c>
      <c r="AI5" s="615">
        <f t="shared" si="9"/>
        <v>2.9331951411633018E-2</v>
      </c>
      <c r="AJ5" s="615">
        <f>X5+AA5</f>
        <v>3.1499755131116164E-2</v>
      </c>
      <c r="AK5" s="615">
        <f t="shared" ref="AK5:AL5" si="10">Y5+AB5</f>
        <v>3.118115510896631E-2</v>
      </c>
      <c r="AL5" s="615">
        <f t="shared" si="10"/>
        <v>2.9331951411633018E-2</v>
      </c>
      <c r="AM5" s="619" t="s">
        <v>2953</v>
      </c>
      <c r="AQ5" s="419"/>
    </row>
    <row r="6" spans="2:43">
      <c r="B6" t="str">
        <f>Standard!D11</f>
        <v>Fondations, radiers [C01]</v>
      </c>
      <c r="C6" s="615">
        <f>Standard!M11</f>
        <v>81.989980811183841</v>
      </c>
      <c r="D6" s="615">
        <f>Standard!N11</f>
        <v>71.662547805084372</v>
      </c>
      <c r="E6" s="615">
        <f>Standard!P11</f>
        <v>0</v>
      </c>
      <c r="F6" s="615">
        <f>Standard!Q11</f>
        <v>10.327433006099461</v>
      </c>
      <c r="G6" s="615">
        <f>Standard!S11</f>
        <v>0</v>
      </c>
      <c r="H6" s="615">
        <f>Standard!T11</f>
        <v>0</v>
      </c>
      <c r="I6" s="615">
        <f>Réaliste!M11</f>
        <v>94.532741452920817</v>
      </c>
      <c r="J6" s="615">
        <f>Réaliste!N11</f>
        <v>70.857095452942858</v>
      </c>
      <c r="K6" s="615">
        <f>Réaliste!P11</f>
        <v>0</v>
      </c>
      <c r="L6" s="615">
        <f>Réaliste!Q11</f>
        <v>8.6574642581697194</v>
      </c>
      <c r="M6" s="615">
        <f>Réaliste!S11</f>
        <v>0</v>
      </c>
      <c r="N6" s="615">
        <f>Réaliste!T11</f>
        <v>0</v>
      </c>
      <c r="O6" s="615">
        <f>Engagé!M11</f>
        <v>77.120372156005146</v>
      </c>
      <c r="P6" s="615">
        <f>Engagé!N11</f>
        <v>68.741129925168948</v>
      </c>
      <c r="Q6" s="615">
        <f>Engagé!P11</f>
        <v>0</v>
      </c>
      <c r="R6" s="615">
        <f>Engagé!Q11</f>
        <v>8.3792422308361996</v>
      </c>
      <c r="S6" s="615">
        <f>Engagé!S11</f>
        <v>0</v>
      </c>
      <c r="T6" s="615">
        <f>Engagé!T11</f>
        <v>0</v>
      </c>
      <c r="U6" s="670">
        <f t="shared" ca="1" si="0"/>
        <v>7.4073026918497362E-2</v>
      </c>
      <c r="V6" s="670">
        <f t="shared" ca="1" si="1"/>
        <v>8.9154823705768688E-2</v>
      </c>
      <c r="W6" s="670">
        <f t="shared" ca="1" si="2"/>
        <v>9.6941683706109616E-2</v>
      </c>
      <c r="X6" s="615">
        <f t="shared" ref="X6:X19" si="11">C6/60</f>
        <v>1.3664996801863973</v>
      </c>
      <c r="Y6" s="615">
        <f t="shared" ref="Y6:Y19" si="12">I6/60</f>
        <v>1.5755456908820136</v>
      </c>
      <c r="Z6" s="615">
        <f t="shared" ref="Z6:Z19" si="13">O6/60</f>
        <v>1.2853395359334192</v>
      </c>
      <c r="AA6" s="615">
        <f t="shared" ref="AA6:AA19" si="14">-G6/60</f>
        <v>0</v>
      </c>
      <c r="AB6" s="622">
        <f t="shared" si="4"/>
        <v>0</v>
      </c>
      <c r="AC6" s="622">
        <f t="shared" si="5"/>
        <v>0</v>
      </c>
      <c r="AD6" s="615">
        <f t="shared" si="6"/>
        <v>0</v>
      </c>
      <c r="AE6" s="622">
        <f t="shared" si="7"/>
        <v>0</v>
      </c>
      <c r="AF6" s="622">
        <f t="shared" si="8"/>
        <v>0</v>
      </c>
      <c r="AG6" s="615">
        <f t="shared" ref="AG6:AG19" si="15">X6+AD6</f>
        <v>1.3664996801863973</v>
      </c>
      <c r="AH6" s="615">
        <f t="shared" si="9"/>
        <v>1.5755456908820136</v>
      </c>
      <c r="AI6" s="615">
        <f t="shared" si="9"/>
        <v>1.2853395359334192</v>
      </c>
      <c r="AJ6" s="615">
        <f t="shared" ref="AJ6:AJ19" si="16">X6+AA6</f>
        <v>1.3664996801863973</v>
      </c>
      <c r="AK6" s="615">
        <f t="shared" ref="AK6:AK19" si="17">Y6+AB6</f>
        <v>1.5755456908820136</v>
      </c>
      <c r="AL6" s="615">
        <f t="shared" ref="AL6:AL19" si="18">Z6+AC6</f>
        <v>1.2853395359334192</v>
      </c>
      <c r="AM6" s="619">
        <v>2025</v>
      </c>
      <c r="AO6">
        <v>287</v>
      </c>
      <c r="AQ6" s="419"/>
    </row>
    <row r="7" spans="2:43">
      <c r="B7" t="str">
        <f>Standard!D22</f>
        <v>Parois extérieures souterraines</v>
      </c>
      <c r="C7" s="615">
        <f>Standard!M22</f>
        <v>36.727719122478966</v>
      </c>
      <c r="D7" s="615">
        <f>Standard!N22</f>
        <v>33.972421096567388</v>
      </c>
      <c r="E7" s="615">
        <f>Standard!P22</f>
        <v>0</v>
      </c>
      <c r="F7" s="615">
        <f>Standard!Q22</f>
        <v>2.7552980259115807</v>
      </c>
      <c r="G7" s="615">
        <f>Standard!S22</f>
        <v>0</v>
      </c>
      <c r="H7" s="615">
        <f>Standard!T22</f>
        <v>0</v>
      </c>
      <c r="I7" s="615">
        <f>Réaliste!M22</f>
        <v>52.312486010552867</v>
      </c>
      <c r="J7" s="615">
        <f>Réaliste!N22</f>
        <v>38.840013613075953</v>
      </c>
      <c r="K7" s="615">
        <f>Réaliste!P22</f>
        <v>1.4304866634384434</v>
      </c>
      <c r="L7" s="615">
        <f>Réaliste!Q22</f>
        <v>3.2187214296401576</v>
      </c>
      <c r="M7" s="615">
        <f>Réaliste!S22</f>
        <v>4.2764911196315643</v>
      </c>
      <c r="N7" s="615">
        <f>Réaliste!T22</f>
        <v>3.6435970626473635E-2</v>
      </c>
      <c r="O7" s="615">
        <f>Engagé!M22</f>
        <v>32.431502110194437</v>
      </c>
      <c r="P7" s="615">
        <f>Engagé!N22</f>
        <v>29.817624538783637</v>
      </c>
      <c r="Q7" s="615">
        <f>Engagé!P22</f>
        <v>0</v>
      </c>
      <c r="R7" s="615">
        <f>Engagé!Q22</f>
        <v>2.6138775714108036</v>
      </c>
      <c r="S7" s="615">
        <f>Engagé!S22</f>
        <v>0</v>
      </c>
      <c r="T7" s="615">
        <f>Engagé!T22</f>
        <v>0</v>
      </c>
      <c r="U7" s="670">
        <f t="shared" ca="1" si="0"/>
        <v>3.3181289961264397E-2</v>
      </c>
      <c r="V7" s="670">
        <f t="shared" ca="1" si="1"/>
        <v>4.9336456302857261E-2</v>
      </c>
      <c r="W7" s="670">
        <f t="shared" ca="1" si="2"/>
        <v>4.076697676355396E-2</v>
      </c>
      <c r="X7" s="615">
        <f t="shared" si="11"/>
        <v>0.61212865204131606</v>
      </c>
      <c r="Y7" s="615">
        <f t="shared" si="12"/>
        <v>0.87187476684254783</v>
      </c>
      <c r="Z7" s="615">
        <f t="shared" si="13"/>
        <v>0.54052503516990724</v>
      </c>
      <c r="AA7" s="615">
        <f t="shared" si="14"/>
        <v>0</v>
      </c>
      <c r="AB7" s="622">
        <f t="shared" si="4"/>
        <v>-7.1274851993859398E-2</v>
      </c>
      <c r="AC7" s="622">
        <f t="shared" si="5"/>
        <v>0</v>
      </c>
      <c r="AD7" s="615">
        <f t="shared" si="6"/>
        <v>0</v>
      </c>
      <c r="AE7" s="622">
        <f t="shared" si="7"/>
        <v>6.0726617710789397E-4</v>
      </c>
      <c r="AF7" s="622">
        <f t="shared" si="8"/>
        <v>0</v>
      </c>
      <c r="AG7" s="615">
        <f t="shared" si="15"/>
        <v>0.61212865204131606</v>
      </c>
      <c r="AH7" s="615">
        <f t="shared" si="9"/>
        <v>0.87248203301965577</v>
      </c>
      <c r="AI7" s="615">
        <f t="shared" si="9"/>
        <v>0.54052503516990724</v>
      </c>
      <c r="AJ7" s="615">
        <f t="shared" si="16"/>
        <v>0.61212865204131606</v>
      </c>
      <c r="AK7" s="615">
        <f t="shared" si="17"/>
        <v>0.80059991484868842</v>
      </c>
      <c r="AL7" s="615">
        <f t="shared" si="18"/>
        <v>0.54052503516990724</v>
      </c>
      <c r="AM7" s="619">
        <v>2030</v>
      </c>
      <c r="AO7">
        <v>204.4</v>
      </c>
      <c r="AQ7" s="419"/>
    </row>
    <row r="8" spans="2:43" ht="16.5" thickBot="1">
      <c r="B8" t="str">
        <f>Standard!D33</f>
        <v>Toitures souterraines</v>
      </c>
      <c r="C8" s="615">
        <f>Standard!M33</f>
        <v>51.107233417924398</v>
      </c>
      <c r="D8" s="615">
        <f>Standard!N33</f>
        <v>43.543289281421131</v>
      </c>
      <c r="E8" s="615">
        <f>Standard!P33</f>
        <v>0</v>
      </c>
      <c r="F8" s="615">
        <f>Standard!Q33</f>
        <v>7.563944136503272</v>
      </c>
      <c r="G8" s="615">
        <f>Standard!S33</f>
        <v>0</v>
      </c>
      <c r="H8" s="615">
        <f>Standard!T33</f>
        <v>0</v>
      </c>
      <c r="I8" s="615">
        <f>Réaliste!M38</f>
        <v>59.891901903880481</v>
      </c>
      <c r="J8" s="615">
        <f>Réaliste!N38</f>
        <v>42.635146757453562</v>
      </c>
      <c r="K8" s="615">
        <f>Réaliste!P38</f>
        <v>0</v>
      </c>
      <c r="L8" s="615">
        <f>Réaliste!Q38</f>
        <v>7.4628567065511993</v>
      </c>
      <c r="M8" s="615">
        <f>Réaliste!S38</f>
        <v>0</v>
      </c>
      <c r="N8" s="615">
        <f>Réaliste!T38</f>
        <v>0</v>
      </c>
      <c r="O8" s="615">
        <f>Engagé!M38</f>
        <v>47.914451842378014</v>
      </c>
      <c r="P8" s="615">
        <f>Engagé!N38</f>
        <v>37.899545445877031</v>
      </c>
      <c r="Q8" s="615">
        <f>Engagé!P38</f>
        <v>0</v>
      </c>
      <c r="R8" s="615">
        <f>Engagé!Q38</f>
        <v>6.6604521537249681</v>
      </c>
      <c r="S8" s="615">
        <f>Engagé!S38</f>
        <v>0</v>
      </c>
      <c r="T8" s="615">
        <f>Engagé!T38</f>
        <v>0</v>
      </c>
      <c r="U8" s="670">
        <f t="shared" ca="1" si="0"/>
        <v>4.6172318120355722E-2</v>
      </c>
      <c r="V8" s="670">
        <f t="shared" ca="1" si="1"/>
        <v>5.648468322801057E-2</v>
      </c>
      <c r="W8" s="670">
        <f t="shared" ca="1" si="2"/>
        <v>6.0229320808506299E-2</v>
      </c>
      <c r="X8" s="615">
        <f t="shared" si="11"/>
        <v>0.85178722363207326</v>
      </c>
      <c r="Y8" s="615">
        <f t="shared" si="12"/>
        <v>0.99819836506467463</v>
      </c>
      <c r="Z8" s="615">
        <f t="shared" si="13"/>
        <v>0.79857419737296687</v>
      </c>
      <c r="AA8" s="615">
        <f t="shared" si="14"/>
        <v>0</v>
      </c>
      <c r="AB8" s="622">
        <f t="shared" si="4"/>
        <v>0</v>
      </c>
      <c r="AC8" s="622">
        <f t="shared" si="5"/>
        <v>0</v>
      </c>
      <c r="AD8" s="615">
        <f t="shared" si="6"/>
        <v>0</v>
      </c>
      <c r="AE8" s="622">
        <f t="shared" si="7"/>
        <v>0</v>
      </c>
      <c r="AF8" s="622">
        <f t="shared" si="8"/>
        <v>0</v>
      </c>
      <c r="AG8" s="615">
        <f t="shared" si="15"/>
        <v>0.85178722363207326</v>
      </c>
      <c r="AH8" s="615">
        <f t="shared" si="9"/>
        <v>0.99819836506467463</v>
      </c>
      <c r="AI8" s="615">
        <f t="shared" si="9"/>
        <v>0.79857419737296687</v>
      </c>
      <c r="AJ8" s="615">
        <f t="shared" si="16"/>
        <v>0.85178722363207326</v>
      </c>
      <c r="AK8" s="615">
        <f t="shared" si="17"/>
        <v>0.99819836506467463</v>
      </c>
      <c r="AL8" s="615">
        <f t="shared" si="18"/>
        <v>0.79857419737296687</v>
      </c>
      <c r="AM8" s="619">
        <v>2040</v>
      </c>
      <c r="AO8">
        <v>105.5</v>
      </c>
      <c r="AQ8" s="419"/>
    </row>
    <row r="9" spans="2:43">
      <c r="B9" s="617" t="str">
        <f>Standard!D45</f>
        <v>Parois extérieures hors terrain</v>
      </c>
      <c r="C9" s="806">
        <f>Standard!M45</f>
        <v>78.20317618984015</v>
      </c>
      <c r="D9" s="806">
        <f>Standard!N45</f>
        <v>59.118043542139702</v>
      </c>
      <c r="E9" s="806">
        <f>Standard!P45</f>
        <v>1.5889770802724721</v>
      </c>
      <c r="F9" s="806">
        <f>Standard!Q45</f>
        <v>4.2708454075953872</v>
      </c>
      <c r="G9" s="806">
        <f>Standard!S45</f>
        <v>0.34737491652197139</v>
      </c>
      <c r="H9" s="806">
        <f>Standard!T45</f>
        <v>3.4737491652197137E-3</v>
      </c>
      <c r="I9" s="806">
        <f>Réaliste!M50</f>
        <v>18.107599066770234</v>
      </c>
      <c r="J9" s="806">
        <f>Réaliste!N50</f>
        <v>11.078428654337719</v>
      </c>
      <c r="K9" s="806">
        <f>Réaliste!P50</f>
        <v>2.5323906384279762</v>
      </c>
      <c r="L9" s="806">
        <f>Réaliste!Q50</f>
        <v>1.2471030952160596</v>
      </c>
      <c r="M9" s="806">
        <f>Réaliste!S50</f>
        <v>22.450702548423347</v>
      </c>
      <c r="N9" s="806">
        <f>Réaliste!T50</f>
        <v>-2.8454656655318309</v>
      </c>
      <c r="O9" s="806">
        <f>Engagé!M50</f>
        <v>33.659300698561417</v>
      </c>
      <c r="P9" s="806">
        <f>Engagé!N50</f>
        <v>21.300061682766053</v>
      </c>
      <c r="Q9" s="806">
        <f>Engagé!P50</f>
        <v>0</v>
      </c>
      <c r="R9" s="806">
        <f>Engagé!Q50</f>
        <v>3.2423577339247953</v>
      </c>
      <c r="S9" s="806">
        <f>Engagé!S50</f>
        <v>69.283713423987393</v>
      </c>
      <c r="T9" s="806">
        <f>Engagé!T50</f>
        <v>-18.013765490236722</v>
      </c>
      <c r="U9" s="1013">
        <f ca="1">C9/$C$23</f>
        <v>7.0651876213536829E-2</v>
      </c>
      <c r="V9" s="1013">
        <f ca="1">I9/$I$23</f>
        <v>1.7077467316830488E-2</v>
      </c>
      <c r="W9" s="1013">
        <f ca="1">O9/$O$23</f>
        <v>4.2310341494308977E-2</v>
      </c>
      <c r="X9" s="806">
        <f t="shared" si="11"/>
        <v>1.3033862698306691</v>
      </c>
      <c r="Y9" s="806">
        <f t="shared" si="12"/>
        <v>0.30179331777950391</v>
      </c>
      <c r="Z9" s="806">
        <f t="shared" si="13"/>
        <v>0.56098834497602357</v>
      </c>
      <c r="AA9" s="806">
        <f t="shared" si="14"/>
        <v>-5.7895819420328565E-3</v>
      </c>
      <c r="AB9" s="1014">
        <f t="shared" si="4"/>
        <v>-0.37417837580705576</v>
      </c>
      <c r="AC9" s="689">
        <f t="shared" si="5"/>
        <v>-1.1547285570664565</v>
      </c>
      <c r="AD9" s="806">
        <f t="shared" si="6"/>
        <v>5.7895819420328561E-5</v>
      </c>
      <c r="AE9" s="1014">
        <f t="shared" si="7"/>
        <v>-4.7424427758863845E-2</v>
      </c>
      <c r="AF9" s="689">
        <f t="shared" si="8"/>
        <v>-0.30022942483727871</v>
      </c>
      <c r="AG9" s="615">
        <f t="shared" si="15"/>
        <v>1.3034441656500895</v>
      </c>
      <c r="AH9" s="615">
        <f t="shared" si="9"/>
        <v>0.25436889002064006</v>
      </c>
      <c r="AI9" s="615">
        <f t="shared" si="9"/>
        <v>0.26075892013874485</v>
      </c>
      <c r="AJ9" s="615">
        <f t="shared" si="16"/>
        <v>1.2975966878886362</v>
      </c>
      <c r="AK9" s="615">
        <f t="shared" si="17"/>
        <v>-7.2385058027551852E-2</v>
      </c>
      <c r="AL9" s="615">
        <f t="shared" si="18"/>
        <v>-0.59374021209043293</v>
      </c>
      <c r="AM9" s="619">
        <v>2050</v>
      </c>
      <c r="AO9">
        <v>49.4</v>
      </c>
      <c r="AQ9" s="419"/>
    </row>
    <row r="10" spans="2:43">
      <c r="B10" s="619" t="str">
        <f>Standard!D62</f>
        <v>Revetements de facades</v>
      </c>
      <c r="C10" s="615">
        <f ca="1">Standard!M62</f>
        <v>60.722547446407098</v>
      </c>
      <c r="D10" s="615">
        <f>Standard!N62</f>
        <v>17.20573785394684</v>
      </c>
      <c r="E10" s="615">
        <f ca="1">Standard!P62</f>
        <v>26.687711382229196</v>
      </c>
      <c r="F10" s="615">
        <f>Standard!Q62</f>
        <v>9.4819735282823547</v>
      </c>
      <c r="G10" s="615">
        <f>Standard!S62</f>
        <v>0</v>
      </c>
      <c r="H10" s="615">
        <f>Standard!T62</f>
        <v>0</v>
      </c>
      <c r="I10" s="615">
        <f ca="1">Réaliste!M66</f>
        <v>46.619468067972065</v>
      </c>
      <c r="J10" s="615">
        <f>Réaliste!N66</f>
        <v>16.088142762169191</v>
      </c>
      <c r="K10" s="615">
        <f ca="1">Réaliste!P66</f>
        <v>18.456061248905929</v>
      </c>
      <c r="L10" s="615">
        <f>Réaliste!Q66</f>
        <v>2.3679184867367398</v>
      </c>
      <c r="M10" s="615">
        <f>Réaliste!S66</f>
        <v>44.229557354399418</v>
      </c>
      <c r="N10" s="615">
        <f>Réaliste!T66</f>
        <v>-1.5036040337806571</v>
      </c>
      <c r="O10" s="615">
        <f ca="1">Engagé!M66</f>
        <v>25.268712162638359</v>
      </c>
      <c r="P10" s="615">
        <f>Engagé!N66</f>
        <v>9.0833702800464309</v>
      </c>
      <c r="Q10" s="615">
        <f ca="1">Engagé!P66</f>
        <v>9.1760734204634957</v>
      </c>
      <c r="R10" s="615">
        <f>Engagé!Q66</f>
        <v>9.270314041706397E-2</v>
      </c>
      <c r="S10" s="615">
        <f>Engagé!S66</f>
        <v>114.20867801224381</v>
      </c>
      <c r="T10" s="615">
        <f>Engagé!T66</f>
        <v>-26.267995942816075</v>
      </c>
      <c r="U10" s="1015">
        <f t="shared" ref="U10:U17" ca="1" si="19">C10/$C$23</f>
        <v>5.4859177268448751E-2</v>
      </c>
      <c r="V10" s="1015">
        <f t="shared" ref="V10:V17" ca="1" si="20">I10/$I$23</f>
        <v>4.3967311145067203E-2</v>
      </c>
      <c r="W10" s="1015">
        <f t="shared" ref="W10:W17" ca="1" si="21">O10/$O$23</f>
        <v>3.1763222008005701E-2</v>
      </c>
      <c r="X10" s="615">
        <f t="shared" ca="1" si="11"/>
        <v>1.0120424574401183</v>
      </c>
      <c r="Y10" s="615">
        <f t="shared" ca="1" si="12"/>
        <v>0.77699113446620105</v>
      </c>
      <c r="Z10" s="615">
        <f t="shared" ca="1" si="13"/>
        <v>0.42114520271063932</v>
      </c>
      <c r="AA10" s="615">
        <f t="shared" si="14"/>
        <v>0</v>
      </c>
      <c r="AB10" s="622">
        <f t="shared" si="4"/>
        <v>-0.7371592892399903</v>
      </c>
      <c r="AC10" s="676">
        <f t="shared" si="5"/>
        <v>-1.9034779668707302</v>
      </c>
      <c r="AD10" s="615">
        <f t="shared" si="6"/>
        <v>0</v>
      </c>
      <c r="AE10" s="622">
        <f t="shared" si="7"/>
        <v>-2.5060067229677619E-2</v>
      </c>
      <c r="AF10" s="676">
        <f t="shared" si="8"/>
        <v>-0.43779993238026793</v>
      </c>
      <c r="AG10" s="615">
        <f t="shared" ca="1" si="15"/>
        <v>1.0120424574401183</v>
      </c>
      <c r="AH10" s="615">
        <f t="shared" ca="1" si="9"/>
        <v>0.75193106723652348</v>
      </c>
      <c r="AI10" s="615">
        <f t="shared" ca="1" si="9"/>
        <v>-1.665472966962861E-2</v>
      </c>
      <c r="AJ10" s="615">
        <f t="shared" ca="1" si="16"/>
        <v>1.0120424574401183</v>
      </c>
      <c r="AK10" s="615">
        <f t="shared" ca="1" si="17"/>
        <v>3.9831845226210749E-2</v>
      </c>
      <c r="AL10" s="615">
        <f t="shared" ca="1" si="18"/>
        <v>-1.482332764160091</v>
      </c>
      <c r="AM10" s="619"/>
      <c r="AQ10" s="419"/>
    </row>
    <row r="11" spans="2:43">
      <c r="B11" s="619" t="str">
        <f>Standard!D81</f>
        <v>Fenetres et portes</v>
      </c>
      <c r="C11" s="615">
        <f ca="1">Standard!M81</f>
        <v>84.670493991065982</v>
      </c>
      <c r="D11" s="615">
        <f>Standard!N81</f>
        <v>28.488468100262676</v>
      </c>
      <c r="E11" s="615">
        <f ca="1">Standard!P81</f>
        <v>31.593757606517961</v>
      </c>
      <c r="F11" s="615">
        <f>Standard!Q81</f>
        <v>3.1052895062552865</v>
      </c>
      <c r="G11" s="615">
        <f>Standard!S81</f>
        <v>5.5169857382425826</v>
      </c>
      <c r="H11" s="615">
        <f>Standard!T81</f>
        <v>5.516985738242583E-2</v>
      </c>
      <c r="I11" s="615">
        <f ca="1">Réaliste!M87</f>
        <v>86.006374717760011</v>
      </c>
      <c r="J11" s="615">
        <f>Réaliste!N87</f>
        <v>29.012823957162688</v>
      </c>
      <c r="K11" s="615">
        <f ca="1">Réaliste!P87</f>
        <v>31.631706203036508</v>
      </c>
      <c r="L11" s="615">
        <f>Réaliste!Q87</f>
        <v>2.6188822458738237</v>
      </c>
      <c r="M11" s="615">
        <f>Réaliste!S87</f>
        <v>8.8465958587661504</v>
      </c>
      <c r="N11" s="615">
        <f>Réaliste!T87</f>
        <v>8.8465958587661486E-2</v>
      </c>
      <c r="O11" s="615">
        <f ca="1">Engagé!M87</f>
        <v>48.698411018130798</v>
      </c>
      <c r="P11" s="615">
        <f>Engagé!N87</f>
        <v>16.398206713030142</v>
      </c>
      <c r="Q11" s="615">
        <f ca="1">Engagé!P87</f>
        <v>18.569131027113301</v>
      </c>
      <c r="R11" s="615">
        <f>Engagé!Q87</f>
        <v>2.1709243140831638</v>
      </c>
      <c r="S11" s="615">
        <f>Engagé!S87</f>
        <v>11.401927079792157</v>
      </c>
      <c r="T11" s="615">
        <f>Engagé!T87</f>
        <v>6.2646186486878641E-2</v>
      </c>
      <c r="U11" s="1015">
        <f t="shared" ca="1" si="19"/>
        <v>7.6494709701739494E-2</v>
      </c>
      <c r="V11" s="1015">
        <f t="shared" ca="1" si="20"/>
        <v>8.111351747217585E-2</v>
      </c>
      <c r="W11" s="1015">
        <f t="shared" ca="1" si="21"/>
        <v>6.1214771479057961E-2</v>
      </c>
      <c r="X11" s="615">
        <f t="shared" ca="1" si="11"/>
        <v>1.4111748998510998</v>
      </c>
      <c r="Y11" s="615">
        <f t="shared" ca="1" si="12"/>
        <v>1.4334395786293335</v>
      </c>
      <c r="Z11" s="615">
        <f t="shared" ca="1" si="13"/>
        <v>0.81164018363551327</v>
      </c>
      <c r="AA11" s="615">
        <f t="shared" si="14"/>
        <v>-9.1949762304043045E-2</v>
      </c>
      <c r="AB11" s="622">
        <f t="shared" si="4"/>
        <v>-0.14744326431276916</v>
      </c>
      <c r="AC11" s="676">
        <f t="shared" si="5"/>
        <v>-0.19003211799653597</v>
      </c>
      <c r="AD11" s="615">
        <f t="shared" si="6"/>
        <v>9.1949762304043047E-4</v>
      </c>
      <c r="AE11" s="622">
        <f t="shared" si="7"/>
        <v>1.4744326431276914E-3</v>
      </c>
      <c r="AF11" s="676">
        <f t="shared" si="8"/>
        <v>1.044103108114644E-3</v>
      </c>
      <c r="AG11" s="615">
        <f t="shared" ca="1" si="15"/>
        <v>1.4120943974741402</v>
      </c>
      <c r="AH11" s="615">
        <f t="shared" ca="1" si="9"/>
        <v>1.4349140112724612</v>
      </c>
      <c r="AI11" s="615">
        <f t="shared" ca="1" si="9"/>
        <v>0.81268428674362791</v>
      </c>
      <c r="AJ11" s="615">
        <f t="shared" ca="1" si="16"/>
        <v>1.3192251375470567</v>
      </c>
      <c r="AK11" s="615">
        <f t="shared" ca="1" si="17"/>
        <v>1.2859963143165642</v>
      </c>
      <c r="AL11" s="615">
        <f t="shared" ca="1" si="18"/>
        <v>0.6216080656389773</v>
      </c>
      <c r="AM11" s="619" t="s">
        <v>48</v>
      </c>
      <c r="AQ11" s="419"/>
    </row>
    <row r="12" spans="2:43">
      <c r="B12" s="619" t="str">
        <f>Standard!D90</f>
        <v>Toitures (structure porteuse)</v>
      </c>
      <c r="C12" s="615">
        <f ca="1">Standard!M90</f>
        <v>43.407855304750456</v>
      </c>
      <c r="D12" s="615">
        <f>Standard!N90</f>
        <v>32.815740956546904</v>
      </c>
      <c r="E12" s="615">
        <f ca="1">Standard!P90</f>
        <v>0.88989498185744176</v>
      </c>
      <c r="F12" s="615">
        <f>Standard!Q90</f>
        <v>2.386830798383865</v>
      </c>
      <c r="G12" s="615">
        <f>Standard!S90</f>
        <v>1.0557974934330616</v>
      </c>
      <c r="H12" s="615">
        <f>Standard!T90</f>
        <v>1.7424318819286762E-3</v>
      </c>
      <c r="I12" s="615">
        <f ca="1">Réaliste!M96</f>
        <v>3.1207556157863419</v>
      </c>
      <c r="J12" s="615">
        <f>Réaliste!N96</f>
        <v>2.3914432361561007</v>
      </c>
      <c r="K12" s="615">
        <f ca="1">Réaliste!P96</f>
        <v>0</v>
      </c>
      <c r="L12" s="615">
        <f>Réaliste!Q96</f>
        <v>0.1823783323417289</v>
      </c>
      <c r="M12" s="615">
        <f>Réaliste!S96</f>
        <v>0.5299581249127755</v>
      </c>
      <c r="N12" s="615">
        <f>Réaliste!T96</f>
        <v>-0.13778911247732165</v>
      </c>
      <c r="O12" s="615">
        <f ca="1">Engagé!M96</f>
        <v>18.481979899672485</v>
      </c>
      <c r="P12" s="615">
        <f>Engagé!N96</f>
        <v>10.827314093528461</v>
      </c>
      <c r="Q12" s="615">
        <f ca="1">Engagé!P96</f>
        <v>0.93080694830230926</v>
      </c>
      <c r="R12" s="615">
        <f>Engagé!Q96</f>
        <v>1.8675218606193773</v>
      </c>
      <c r="S12" s="615">
        <f>Engagé!S96</f>
        <v>52.588222295924709</v>
      </c>
      <c r="T12" s="615">
        <f>Engagé!T96</f>
        <v>-12.23956588035322</v>
      </c>
      <c r="U12" s="1015">
        <f t="shared" ca="1" si="19"/>
        <v>3.9216392084146325E-2</v>
      </c>
      <c r="V12" s="1015">
        <f t="shared" ca="1" si="20"/>
        <v>2.9432174765901945E-3</v>
      </c>
      <c r="W12" s="1015">
        <f t="shared" ca="1" si="21"/>
        <v>2.323217847123956E-2</v>
      </c>
      <c r="X12" s="615">
        <f t="shared" ca="1" si="11"/>
        <v>0.72346425507917422</v>
      </c>
      <c r="Y12" s="615">
        <f t="shared" ca="1" si="12"/>
        <v>5.2012593596439033E-2</v>
      </c>
      <c r="Z12" s="615">
        <f t="shared" ca="1" si="13"/>
        <v>0.30803299832787473</v>
      </c>
      <c r="AA12" s="615">
        <f t="shared" si="14"/>
        <v>-1.7596624890551027E-2</v>
      </c>
      <c r="AB12" s="622">
        <f t="shared" si="4"/>
        <v>-8.8326354152129249E-3</v>
      </c>
      <c r="AC12" s="676">
        <f t="shared" si="5"/>
        <v>-0.87647037159874519</v>
      </c>
      <c r="AD12" s="615">
        <f t="shared" si="6"/>
        <v>2.9040531365477934E-5</v>
      </c>
      <c r="AE12" s="622">
        <f t="shared" si="7"/>
        <v>-2.2964852079553609E-3</v>
      </c>
      <c r="AF12" s="676">
        <f t="shared" si="8"/>
        <v>-0.20399276467255367</v>
      </c>
      <c r="AG12" s="615">
        <f t="shared" ca="1" si="15"/>
        <v>0.72349329561053966</v>
      </c>
      <c r="AH12" s="615">
        <f t="shared" ca="1" si="9"/>
        <v>4.9716108388483671E-2</v>
      </c>
      <c r="AI12" s="615">
        <f t="shared" ca="1" si="9"/>
        <v>0.10404023365532106</v>
      </c>
      <c r="AJ12" s="615">
        <f t="shared" ca="1" si="16"/>
        <v>0.7058676301886232</v>
      </c>
      <c r="AK12" s="615">
        <f t="shared" ca="1" si="17"/>
        <v>4.3179958181226108E-2</v>
      </c>
      <c r="AL12" s="615">
        <f t="shared" ca="1" si="18"/>
        <v>-0.56843737327087052</v>
      </c>
      <c r="AM12" s="619"/>
      <c r="AQ12" s="419"/>
    </row>
    <row r="13" spans="2:43">
      <c r="B13" s="619" t="str">
        <f>Standard!D100</f>
        <v>Couvertures</v>
      </c>
      <c r="C13" s="615">
        <f>Standard!M100</f>
        <v>68.787134513423268</v>
      </c>
      <c r="D13" s="615">
        <f>Standard!N100</f>
        <v>17.002277475401808</v>
      </c>
      <c r="E13" s="615">
        <f>Standard!P100</f>
        <v>30.194439791883713</v>
      </c>
      <c r="F13" s="615">
        <f>Standard!Q100</f>
        <v>13.1921623164819</v>
      </c>
      <c r="G13" s="615">
        <f>Standard!S100</f>
        <v>0</v>
      </c>
      <c r="H13" s="615">
        <f>Standard!T100</f>
        <v>0</v>
      </c>
      <c r="I13" s="615">
        <f>Réaliste!M106</f>
        <v>75.01179535509354</v>
      </c>
      <c r="J13" s="615">
        <f>Réaliste!N106</f>
        <v>19.730697874661203</v>
      </c>
      <c r="K13" s="615">
        <f>Réaliste!P106</f>
        <v>32.843445991819266</v>
      </c>
      <c r="L13" s="615">
        <f>Réaliste!Q106</f>
        <v>13.112748117158061</v>
      </c>
      <c r="M13" s="615">
        <f>Réaliste!S106</f>
        <v>4.766153764791432</v>
      </c>
      <c r="N13" s="615">
        <f>Réaliste!T106</f>
        <v>4.7661537647914323E-2</v>
      </c>
      <c r="O13" s="615">
        <f>Engagé!M107</f>
        <v>60.025366493619664</v>
      </c>
      <c r="P13" s="615">
        <f>Engagé!N107</f>
        <v>16.602182771236681</v>
      </c>
      <c r="Q13" s="615">
        <f>Engagé!P107</f>
        <v>25.281101632137968</v>
      </c>
      <c r="R13" s="615">
        <f>Engagé!Q107</f>
        <v>8.6789188609012911</v>
      </c>
      <c r="S13" s="615">
        <f>Engagé!S107</f>
        <v>54.214141868081754</v>
      </c>
      <c r="T13" s="615">
        <f>Engagé!T107</f>
        <v>-12.469252629658804</v>
      </c>
      <c r="U13" s="1015">
        <f t="shared" ca="1" si="19"/>
        <v>6.214504767592384E-2</v>
      </c>
      <c r="V13" s="1015">
        <f t="shared" ca="1" si="20"/>
        <v>7.0744413924218541E-2</v>
      </c>
      <c r="W13" s="1015">
        <f t="shared" ca="1" si="21"/>
        <v>7.5452956596173293E-2</v>
      </c>
      <c r="X13" s="615">
        <f t="shared" si="11"/>
        <v>1.1464522418903877</v>
      </c>
      <c r="Y13" s="615">
        <f t="shared" si="12"/>
        <v>1.250196589251559</v>
      </c>
      <c r="Z13" s="615">
        <f t="shared" si="13"/>
        <v>1.0004227748936612</v>
      </c>
      <c r="AA13" s="615">
        <f t="shared" si="14"/>
        <v>0</v>
      </c>
      <c r="AB13" s="622">
        <f t="shared" si="4"/>
        <v>-7.9435896079857196E-2</v>
      </c>
      <c r="AC13" s="676">
        <f t="shared" si="5"/>
        <v>-0.90356903113469589</v>
      </c>
      <c r="AD13" s="615">
        <f t="shared" si="6"/>
        <v>0</v>
      </c>
      <c r="AE13" s="622">
        <f t="shared" si="7"/>
        <v>7.943589607985721E-4</v>
      </c>
      <c r="AF13" s="676">
        <f t="shared" si="8"/>
        <v>-0.20782087716098008</v>
      </c>
      <c r="AG13" s="615">
        <f t="shared" si="15"/>
        <v>1.1464522418903877</v>
      </c>
      <c r="AH13" s="615">
        <f t="shared" si="9"/>
        <v>1.2509909482123576</v>
      </c>
      <c r="AI13" s="615">
        <f t="shared" si="9"/>
        <v>0.79260189773268108</v>
      </c>
      <c r="AJ13" s="615">
        <f t="shared" si="16"/>
        <v>1.1464522418903877</v>
      </c>
      <c r="AK13" s="615">
        <f t="shared" si="17"/>
        <v>1.1707606931717018</v>
      </c>
      <c r="AL13" s="615">
        <f t="shared" si="18"/>
        <v>9.6853743758965272E-2</v>
      </c>
      <c r="AM13" s="619"/>
      <c r="AQ13" s="419"/>
    </row>
    <row r="14" spans="2:43">
      <c r="B14" s="619" t="str">
        <f>Standard!D112</f>
        <v>Parois intérieures, revetements de parois</v>
      </c>
      <c r="C14" s="615">
        <f>Standard!M112</f>
        <v>120.82001139158005</v>
      </c>
      <c r="D14" s="615">
        <f>Standard!N112</f>
        <v>78.014506273763416</v>
      </c>
      <c r="E14" s="615">
        <f>Standard!P112</f>
        <v>14.568922235904012</v>
      </c>
      <c r="F14" s="615">
        <f>Standard!Q112</f>
        <v>6.9229795946591866</v>
      </c>
      <c r="G14" s="615">
        <f>Standard!S112</f>
        <v>2.0055702495436529</v>
      </c>
      <c r="H14" s="615">
        <f>Standard!T112</f>
        <v>2.005570249543653E-2</v>
      </c>
      <c r="I14" s="615">
        <f>Réaliste!M119</f>
        <v>130.00838481092089</v>
      </c>
      <c r="J14" s="615">
        <f>Réaliste!N119</f>
        <v>62.696468468081363</v>
      </c>
      <c r="K14" s="615">
        <f>Réaliste!P119</f>
        <v>30.630669222079725</v>
      </c>
      <c r="L14" s="615">
        <f>Réaliste!Q119</f>
        <v>5.4542228720654009</v>
      </c>
      <c r="M14" s="615">
        <f>Réaliste!S119</f>
        <v>19.39267222031247</v>
      </c>
      <c r="N14" s="615">
        <f>Réaliste!T119</f>
        <v>-2.7765052206804612</v>
      </c>
      <c r="O14" s="615">
        <f>Engagé!M120</f>
        <v>69.00814573877534</v>
      </c>
      <c r="P14" s="615">
        <f>Engagé!N120</f>
        <v>41.913779151983753</v>
      </c>
      <c r="Q14" s="615">
        <f>Engagé!P120</f>
        <v>9.7690933624227849</v>
      </c>
      <c r="R14" s="615">
        <f>Engagé!Q120</f>
        <v>5.1660196882384639</v>
      </c>
      <c r="S14" s="615">
        <f>Engagé!S120</f>
        <v>42.432415553874229</v>
      </c>
      <c r="T14" s="615">
        <f>Engagé!T120</f>
        <v>-3.0144555198685792</v>
      </c>
      <c r="U14" s="1015">
        <f t="shared" ca="1" si="19"/>
        <v>0.10915362910880094</v>
      </c>
      <c r="V14" s="1015">
        <f t="shared" ca="1" si="20"/>
        <v>0.12261227644457844</v>
      </c>
      <c r="W14" s="1015">
        <f t="shared" ca="1" si="21"/>
        <v>8.6744470369267551E-2</v>
      </c>
      <c r="X14" s="615">
        <f t="shared" si="11"/>
        <v>2.013666856526334</v>
      </c>
      <c r="Y14" s="615">
        <f t="shared" si="12"/>
        <v>2.166806413515348</v>
      </c>
      <c r="Z14" s="615">
        <f t="shared" si="13"/>
        <v>1.1501357623129222</v>
      </c>
      <c r="AA14" s="615">
        <f t="shared" si="14"/>
        <v>-3.3426170825727547E-2</v>
      </c>
      <c r="AB14" s="622">
        <f t="shared" si="4"/>
        <v>-0.3232112036718745</v>
      </c>
      <c r="AC14" s="676">
        <f t="shared" si="5"/>
        <v>-0.70720692589790379</v>
      </c>
      <c r="AD14" s="615">
        <f t="shared" si="6"/>
        <v>3.342617082572755E-4</v>
      </c>
      <c r="AE14" s="622">
        <f t="shared" si="7"/>
        <v>-4.6275087011341018E-2</v>
      </c>
      <c r="AF14" s="676">
        <f t="shared" si="8"/>
        <v>-5.0240925331142987E-2</v>
      </c>
      <c r="AG14" s="615">
        <f t="shared" si="15"/>
        <v>2.0140011182345914</v>
      </c>
      <c r="AH14" s="615">
        <f t="shared" si="9"/>
        <v>2.1205313265040071</v>
      </c>
      <c r="AI14" s="615">
        <f t="shared" si="9"/>
        <v>1.0998948369817794</v>
      </c>
      <c r="AJ14" s="615">
        <f t="shared" si="16"/>
        <v>1.9802406857006065</v>
      </c>
      <c r="AK14" s="615">
        <f t="shared" si="17"/>
        <v>1.8435952098434734</v>
      </c>
      <c r="AL14" s="615">
        <f t="shared" si="18"/>
        <v>0.44292883641501846</v>
      </c>
      <c r="AM14" s="619"/>
      <c r="AQ14" s="419"/>
    </row>
    <row r="15" spans="2:43">
      <c r="B15" s="619" t="str">
        <f>Standard!D147</f>
        <v>Planchers internes</v>
      </c>
      <c r="C15" s="615">
        <f ca="1">Standard!M147</f>
        <v>128.72895996616359</v>
      </c>
      <c r="D15" s="615">
        <f>Standard!N147</f>
        <v>98.72956257067807</v>
      </c>
      <c r="E15" s="615">
        <f ca="1">Standard!P147</f>
        <v>1.3036969703040824</v>
      </c>
      <c r="F15" s="615">
        <f>Standard!Q147</f>
        <v>7.1395729865099504</v>
      </c>
      <c r="G15" s="615">
        <f>Standard!S147</f>
        <v>0.28500828102043535</v>
      </c>
      <c r="H15" s="615">
        <f>Standard!T147</f>
        <v>2.8500828102043536E-3</v>
      </c>
      <c r="I15" s="615">
        <f ca="1">Réaliste!M159</f>
        <v>116.57617147440558</v>
      </c>
      <c r="J15" s="615">
        <f>Réaliste!N159</f>
        <v>88.056229492518909</v>
      </c>
      <c r="K15" s="615">
        <f ca="1">Réaliste!P159</f>
        <v>0</v>
      </c>
      <c r="L15" s="615">
        <f>Réaliste!Q159</f>
        <v>7.0477996668209162</v>
      </c>
      <c r="M15" s="615">
        <f>Réaliste!S159</f>
        <v>38.501853266051143</v>
      </c>
      <c r="N15" s="615">
        <f>Réaliste!T159</f>
        <v>-10.010481849173297</v>
      </c>
      <c r="O15" s="615">
        <f ca="1">Engagé!M158</f>
        <v>43.589685797645203</v>
      </c>
      <c r="P15" s="615">
        <f>Engagé!N158</f>
        <v>27.392413664441776</v>
      </c>
      <c r="Q15" s="615">
        <f ca="1">Engagé!P158</f>
        <v>0</v>
      </c>
      <c r="R15" s="615">
        <f>Engagé!Q158</f>
        <v>4.3552460356121223</v>
      </c>
      <c r="S15" s="615">
        <f>Engagé!S158</f>
        <v>101.40822151168413</v>
      </c>
      <c r="T15" s="615">
        <f>Engagé!T158</f>
        <v>-26.366137593037877</v>
      </c>
      <c r="U15" s="1015">
        <f t="shared" ca="1" si="19"/>
        <v>0.11629888947922691</v>
      </c>
      <c r="V15" s="1015">
        <f t="shared" ca="1" si="20"/>
        <v>0.10994421463245276</v>
      </c>
      <c r="W15" s="1015">
        <f t="shared" ca="1" si="21"/>
        <v>5.4793012732044753E-2</v>
      </c>
      <c r="X15" s="615">
        <f t="shared" ca="1" si="11"/>
        <v>2.1454826661027266</v>
      </c>
      <c r="Y15" s="615">
        <f t="shared" ca="1" si="12"/>
        <v>1.9429361912400931</v>
      </c>
      <c r="Z15" s="615">
        <f t="shared" ca="1" si="13"/>
        <v>0.72649476329408669</v>
      </c>
      <c r="AA15" s="615">
        <f t="shared" si="14"/>
        <v>-4.750138017007256E-3</v>
      </c>
      <c r="AB15" s="622">
        <f t="shared" si="4"/>
        <v>-0.64169755443418575</v>
      </c>
      <c r="AC15" s="676">
        <f t="shared" si="5"/>
        <v>-1.6901370251947356</v>
      </c>
      <c r="AD15" s="615">
        <f t="shared" si="6"/>
        <v>4.7501380170072558E-5</v>
      </c>
      <c r="AE15" s="622">
        <f t="shared" si="7"/>
        <v>-0.16684136415288828</v>
      </c>
      <c r="AF15" s="676">
        <f t="shared" si="8"/>
        <v>-0.43943562655063129</v>
      </c>
      <c r="AG15" s="615">
        <f t="shared" ca="1" si="15"/>
        <v>2.1455301674828968</v>
      </c>
      <c r="AH15" s="615">
        <f t="shared" ca="1" si="9"/>
        <v>1.7760948270872048</v>
      </c>
      <c r="AI15" s="615">
        <f t="shared" ca="1" si="9"/>
        <v>0.2870591367434554</v>
      </c>
      <c r="AJ15" s="615">
        <f t="shared" ca="1" si="16"/>
        <v>2.1407325280857195</v>
      </c>
      <c r="AK15" s="615">
        <f t="shared" ca="1" si="17"/>
        <v>1.3012386368059072</v>
      </c>
      <c r="AL15" s="615">
        <f t="shared" ca="1" si="18"/>
        <v>-0.96364226190064894</v>
      </c>
      <c r="AM15" s="619"/>
      <c r="AQ15" s="419"/>
    </row>
    <row r="16" spans="2:43">
      <c r="B16" s="619" t="str">
        <f>Standard!D175</f>
        <v>Revetements de sols et de plafonds</v>
      </c>
      <c r="C16" s="615">
        <f>Standard!M175</f>
        <v>94.589042166421791</v>
      </c>
      <c r="D16" s="615">
        <f>Standard!N175</f>
        <v>31.321787364765591</v>
      </c>
      <c r="E16" s="615">
        <f>Standard!P175</f>
        <v>40.734495440986592</v>
      </c>
      <c r="F16" s="615">
        <f>Standard!Q175</f>
        <v>9.4127080762210031</v>
      </c>
      <c r="G16" s="615">
        <f>Standard!S175</f>
        <v>2.6087514655031678</v>
      </c>
      <c r="H16" s="615">
        <f>Standard!T175</f>
        <v>2.579897748690322E-2</v>
      </c>
      <c r="I16" s="615">
        <f>Réaliste!M187</f>
        <v>123.75495805126411</v>
      </c>
      <c r="J16" s="615">
        <f>Réaliste!N187</f>
        <v>44.131421960732467</v>
      </c>
      <c r="K16" s="615">
        <f>Réaliste!P187</f>
        <v>51.742787853066261</v>
      </c>
      <c r="L16" s="615">
        <f>Réaliste!Q187</f>
        <v>7.6113658923337963</v>
      </c>
      <c r="M16" s="615">
        <f>Réaliste!S187</f>
        <v>19.198329256737399</v>
      </c>
      <c r="N16" s="615">
        <f>Réaliste!T187</f>
        <v>0.19198329256737401</v>
      </c>
      <c r="O16" s="615">
        <f>Engagé!M186</f>
        <v>97.949655082104272</v>
      </c>
      <c r="P16" s="615">
        <f>Engagé!N186</f>
        <v>34.444764881223833</v>
      </c>
      <c r="Q16" s="615">
        <f>Engagé!P186</f>
        <v>36.788419377115375</v>
      </c>
      <c r="R16" s="615">
        <f>Engagé!Q186</f>
        <v>2.3436544958915468</v>
      </c>
      <c r="S16" s="615">
        <f>Engagé!S186</f>
        <v>33.280776478310742</v>
      </c>
      <c r="T16" s="615">
        <f>Engagé!T186</f>
        <v>-3.2720270954631507</v>
      </c>
      <c r="U16" s="1015">
        <f t="shared" ca="1" si="19"/>
        <v>8.5455522702507114E-2</v>
      </c>
      <c r="V16" s="1015">
        <f t="shared" ca="1" si="20"/>
        <v>0.11671460383141516</v>
      </c>
      <c r="W16" s="1015">
        <f t="shared" ca="1" si="21"/>
        <v>0.12312446395984494</v>
      </c>
      <c r="X16" s="615">
        <f t="shared" si="11"/>
        <v>1.5764840361070298</v>
      </c>
      <c r="Y16" s="615">
        <f t="shared" si="12"/>
        <v>2.0625826341877351</v>
      </c>
      <c r="Z16" s="615">
        <f t="shared" si="13"/>
        <v>1.6324942513684044</v>
      </c>
      <c r="AA16" s="615">
        <f t="shared" si="14"/>
        <v>-4.3479191091719466E-2</v>
      </c>
      <c r="AB16" s="622">
        <f t="shared" si="4"/>
        <v>-0.31997215427895664</v>
      </c>
      <c r="AC16" s="676">
        <f t="shared" si="5"/>
        <v>-0.55467960797184568</v>
      </c>
      <c r="AD16" s="615">
        <f t="shared" si="6"/>
        <v>4.2998295811505369E-4</v>
      </c>
      <c r="AE16" s="622">
        <f t="shared" si="7"/>
        <v>3.1997215427895668E-3</v>
      </c>
      <c r="AF16" s="676">
        <f t="shared" si="8"/>
        <v>-5.4533784924385847E-2</v>
      </c>
      <c r="AG16" s="615">
        <f t="shared" si="15"/>
        <v>1.5769140190651449</v>
      </c>
      <c r="AH16" s="615">
        <f t="shared" si="9"/>
        <v>2.0657823557305246</v>
      </c>
      <c r="AI16" s="615">
        <f t="shared" si="9"/>
        <v>1.5779604664440186</v>
      </c>
      <c r="AJ16" s="615">
        <f t="shared" si="16"/>
        <v>1.5330048450153104</v>
      </c>
      <c r="AK16" s="615">
        <f t="shared" si="17"/>
        <v>1.7426104799087785</v>
      </c>
      <c r="AL16" s="615">
        <f t="shared" si="18"/>
        <v>1.0778146433965587</v>
      </c>
      <c r="AM16" s="619"/>
      <c r="AN16" t="s">
        <v>2954</v>
      </c>
      <c r="AP16" t="s">
        <v>2955</v>
      </c>
      <c r="AQ16" s="419"/>
    </row>
    <row r="17" spans="2:43">
      <c r="B17" s="619" t="str">
        <f>Standard!D203</f>
        <v>Balcons, avant-toits</v>
      </c>
      <c r="C17" s="615">
        <f ca="1">Standard!M203</f>
        <v>18.963445263501178</v>
      </c>
      <c r="D17" s="615">
        <f>Standard!N203</f>
        <v>13.853414973732246</v>
      </c>
      <c r="E17" s="615">
        <f ca="1">Standard!P203</f>
        <v>0.47936199209741326</v>
      </c>
      <c r="F17" s="615">
        <f>Standard!Q203</f>
        <v>1.5768643708650547</v>
      </c>
      <c r="G17" s="615">
        <f>Standard!S203</f>
        <v>1.1760790309870439</v>
      </c>
      <c r="H17" s="615">
        <f>Standard!T203</f>
        <v>-8.232553216909308E-2</v>
      </c>
      <c r="I17" s="615">
        <f>Réaliste!M215</f>
        <v>16.8072880260316</v>
      </c>
      <c r="J17" s="615">
        <f>Réaliste!N215</f>
        <v>7.40883194255305</v>
      </c>
      <c r="K17" s="615">
        <f>Réaliste!P215</f>
        <v>3.1499401252237718</v>
      </c>
      <c r="L17" s="615">
        <f>Réaliste!Q215</f>
        <v>2.3906652981767698</v>
      </c>
      <c r="M17" s="615">
        <f>Réaliste!S215</f>
        <v>18.834825513651086</v>
      </c>
      <c r="N17" s="615">
        <f>Réaliste!T215</f>
        <v>-4.5508327337575194</v>
      </c>
      <c r="O17" s="615">
        <f>Engagé!M213</f>
        <v>10.212209441606898</v>
      </c>
      <c r="P17" s="615">
        <f>Engagé!N213</f>
        <v>3.7146366008871938</v>
      </c>
      <c r="Q17" s="615">
        <f>Engagé!P213</f>
        <v>2.8298295624144938</v>
      </c>
      <c r="R17" s="615">
        <f>Engagé!Q213</f>
        <v>1.9450225239417933</v>
      </c>
      <c r="S17" s="615">
        <f>Engagé!S213</f>
        <v>11.775903515746995</v>
      </c>
      <c r="T17" s="615">
        <f>Engagé!T213</f>
        <v>-1.1777007148363114</v>
      </c>
      <c r="U17" s="1015">
        <f t="shared" ca="1" si="19"/>
        <v>1.7132334677643548E-2</v>
      </c>
      <c r="V17" s="1015">
        <f t="shared" ca="1" si="20"/>
        <v>1.5851130284624006E-2</v>
      </c>
      <c r="W17" s="1015">
        <f t="shared" ca="1" si="21"/>
        <v>1.2836929464320726E-2</v>
      </c>
      <c r="X17" s="615">
        <f t="shared" ca="1" si="11"/>
        <v>0.31605742105835299</v>
      </c>
      <c r="Y17" s="615">
        <f t="shared" si="12"/>
        <v>0.28012146710052666</v>
      </c>
      <c r="Z17" s="615">
        <f t="shared" si="13"/>
        <v>0.17020349069344831</v>
      </c>
      <c r="AA17" s="615">
        <f t="shared" si="14"/>
        <v>-1.96013171831174E-2</v>
      </c>
      <c r="AB17" s="622">
        <f t="shared" si="4"/>
        <v>-0.31391375856085146</v>
      </c>
      <c r="AC17" s="676">
        <f t="shared" si="5"/>
        <v>-0.19626505859578325</v>
      </c>
      <c r="AD17" s="615">
        <f t="shared" si="6"/>
        <v>-1.3720922028182181E-3</v>
      </c>
      <c r="AE17" s="622">
        <f t="shared" si="7"/>
        <v>-7.5847212229291985E-2</v>
      </c>
      <c r="AF17" s="676">
        <f t="shared" si="8"/>
        <v>-1.9628345247271858E-2</v>
      </c>
      <c r="AG17" s="615">
        <f t="shared" ca="1" si="15"/>
        <v>0.3146853288555348</v>
      </c>
      <c r="AH17" s="615">
        <f t="shared" si="9"/>
        <v>0.20427425487123468</v>
      </c>
      <c r="AI17" s="615">
        <f t="shared" si="9"/>
        <v>0.15057514544617645</v>
      </c>
      <c r="AJ17" s="615">
        <f t="shared" ca="1" si="16"/>
        <v>0.29645610387523558</v>
      </c>
      <c r="AK17" s="615">
        <f t="shared" si="17"/>
        <v>-3.3792291460324808E-2</v>
      </c>
      <c r="AL17" s="615">
        <f t="shared" si="18"/>
        <v>-2.6061567902334937E-2</v>
      </c>
      <c r="AM17" s="619"/>
      <c r="AQ17" s="419"/>
    </row>
    <row r="18" spans="2:43" ht="16.5" thickBot="1">
      <c r="B18" s="620" t="str">
        <f>Standard!D219</f>
        <v>Escaliers</v>
      </c>
      <c r="C18" s="677">
        <f>Standard!M219</f>
        <v>8.3904430479497805</v>
      </c>
      <c r="D18" s="677">
        <f>Standard!N219</f>
        <v>6.1616379925203679</v>
      </c>
      <c r="E18" s="677">
        <f>Standard!P219</f>
        <v>0.39501633831975419</v>
      </c>
      <c r="F18" s="677">
        <f>Standard!Q219</f>
        <v>0.4897087318017897</v>
      </c>
      <c r="G18" s="677">
        <f>Standard!S219</f>
        <v>8.3546814478429252E-3</v>
      </c>
      <c r="H18" s="677">
        <f>Standard!T219</f>
        <v>8.3546814478429256E-5</v>
      </c>
      <c r="I18" s="677">
        <f>Réaliste!M233</f>
        <v>8.8110058132000795</v>
      </c>
      <c r="J18" s="677">
        <f>Réaliste!N233</f>
        <v>6.3171499173662991</v>
      </c>
      <c r="K18" s="677">
        <f>Réaliste!P233</f>
        <v>0.5712099226548556</v>
      </c>
      <c r="L18" s="677">
        <f>Réaliste!Q233</f>
        <v>0.44711158193957823</v>
      </c>
      <c r="M18" s="677">
        <f>Réaliste!S233</f>
        <v>0.26107820453493752</v>
      </c>
      <c r="N18" s="677">
        <f>Réaliste!T233</f>
        <v>2.6107820453493752E-3</v>
      </c>
      <c r="O18" s="677">
        <f>Engagé!M232</f>
        <v>8.2884676176118894</v>
      </c>
      <c r="P18" s="677">
        <f>Engagé!N232</f>
        <v>5.942510269060155</v>
      </c>
      <c r="Q18" s="677">
        <f>Engagé!P232</f>
        <v>0.53733422121802576</v>
      </c>
      <c r="R18" s="677">
        <f>Engagé!Q232</f>
        <v>0.42059555366692919</v>
      </c>
      <c r="S18" s="677">
        <f>Engagé!S232</f>
        <v>0.24559491729198624</v>
      </c>
      <c r="T18" s="677">
        <f>Engagé!T232</f>
        <v>2.4559491729198623E-3</v>
      </c>
      <c r="U18" s="1016">
        <f t="shared" ref="U18:U19" ca="1" si="22">C18/$C$23</f>
        <v>7.5802617295420401E-3</v>
      </c>
      <c r="V18" s="1016">
        <f t="shared" ref="V18:V19" ca="1" si="23">I18/$I$23</f>
        <v>8.3097523447743498E-3</v>
      </c>
      <c r="W18" s="1016">
        <f t="shared" ref="W18:W19" ca="1" si="24">O18/$O$23</f>
        <v>1.0418751670044911E-2</v>
      </c>
      <c r="X18" s="677">
        <f t="shared" si="11"/>
        <v>0.13984071746582968</v>
      </c>
      <c r="Y18" s="677">
        <f t="shared" si="12"/>
        <v>0.146850096886668</v>
      </c>
      <c r="Z18" s="677">
        <f t="shared" si="13"/>
        <v>0.13814112696019815</v>
      </c>
      <c r="AA18" s="677">
        <f t="shared" si="14"/>
        <v>-1.3924469079738209E-4</v>
      </c>
      <c r="AB18" s="801">
        <f t="shared" si="4"/>
        <v>-4.3513034089156253E-3</v>
      </c>
      <c r="AC18" s="882">
        <f t="shared" si="5"/>
        <v>-4.0932486215331043E-3</v>
      </c>
      <c r="AD18" s="677">
        <f t="shared" si="6"/>
        <v>1.3924469079738209E-6</v>
      </c>
      <c r="AE18" s="801">
        <f t="shared" si="7"/>
        <v>4.351303408915625E-5</v>
      </c>
      <c r="AF18" s="882">
        <f t="shared" si="8"/>
        <v>4.0932486215331039E-5</v>
      </c>
      <c r="AG18" s="615">
        <f t="shared" si="15"/>
        <v>0.13984210991273766</v>
      </c>
      <c r="AH18" s="615">
        <f t="shared" si="9"/>
        <v>0.14689360992075715</v>
      </c>
      <c r="AI18" s="615">
        <f t="shared" si="9"/>
        <v>0.13818205944641349</v>
      </c>
      <c r="AJ18" s="615">
        <f t="shared" si="16"/>
        <v>0.13970147277503231</v>
      </c>
      <c r="AK18" s="615">
        <f t="shared" si="17"/>
        <v>0.14249879347775238</v>
      </c>
      <c r="AL18" s="615">
        <f t="shared" si="18"/>
        <v>0.13404787833866505</v>
      </c>
      <c r="AM18" s="619"/>
      <c r="AQ18" s="419"/>
    </row>
    <row r="19" spans="2:43">
      <c r="B19" t="str">
        <f>Standard!B234</f>
        <v>Installations</v>
      </c>
      <c r="C19" s="615">
        <f>Standard!M234+Standard!M237+Standard!M243+Standard!M246</f>
        <v>227.88236053604024</v>
      </c>
      <c r="D19" s="615">
        <f>Standard!N234+Standard!N237+Standard!N243+Standard!N246</f>
        <v>81.533014558568183</v>
      </c>
      <c r="E19" s="615">
        <f>Standard!P234+Standard!P237+Standard!P243+Standard!P246</f>
        <v>87.195647477850486</v>
      </c>
      <c r="F19" s="615">
        <f>Standard!Q234+Standard!Q237+Standard!Q243+Standard!Q246</f>
        <v>10.233889764480654</v>
      </c>
      <c r="G19" s="615">
        <f>Standard!S234+Standard!S237+Standard!S243+Standard!S246</f>
        <v>0</v>
      </c>
      <c r="H19" s="615">
        <f>Standard!T234+Standard!T237+Standard!T243+Standard!T246</f>
        <v>0</v>
      </c>
      <c r="I19" s="615">
        <f>Réaliste!M248+Réaliste!M251+Réaliste!M257+Réaliste!M260</f>
        <v>226.88930830083078</v>
      </c>
      <c r="J19" s="615">
        <f>Réaliste!N248+Réaliste!N251+Réaliste!N257+Réaliste!N260</f>
        <v>81.149750776756804</v>
      </c>
      <c r="K19" s="615">
        <f>Réaliste!P248+Réaliste!P251+Réaliste!P257+Réaliste!P260</f>
        <v>86.837218175007166</v>
      </c>
      <c r="L19" s="615">
        <f>Réaliste!Q248+Réaliste!Q251+Réaliste!Q257+Réaliste!Q260</f>
        <v>10.212488883012714</v>
      </c>
      <c r="M19" s="615">
        <f>Réaliste!S248+Réaliste!S251+Réaliste!S257+Réaliste!S260</f>
        <v>0</v>
      </c>
      <c r="N19" s="615">
        <f>Réaliste!T248+Réaliste!T251+Réaliste!T257+Réaliste!T260</f>
        <v>0</v>
      </c>
      <c r="O19" s="615">
        <f>Engagé!M247+Engagé!M250+Engagé!M256+Engagé!M259</f>
        <v>221.12547987231048</v>
      </c>
      <c r="P19" s="615">
        <f>Engagé!N247+Engagé!N250+Engagé!N256+Engagé!N259</f>
        <v>78.925228638945327</v>
      </c>
      <c r="Q19" s="615">
        <f>Engagé!P247+Engagé!P250+Engagé!P256+Engagé!P259</f>
        <v>84.756839185771724</v>
      </c>
      <c r="R19" s="615">
        <f>Engagé!Q247+Engagé!Q250+Engagé!Q256+Engagé!Q259</f>
        <v>10.088274864226193</v>
      </c>
      <c r="S19" s="615">
        <f>Engagé!S247+Engagé!S250+Engagé!S256+Engagé!S259</f>
        <v>0</v>
      </c>
      <c r="T19" s="615">
        <f>Engagé!T247+Engagé!T250+Engagé!T256+Engagé!T259</f>
        <v>0</v>
      </c>
      <c r="U19" s="670">
        <f t="shared" ca="1" si="22"/>
        <v>0.20587803606284441</v>
      </c>
      <c r="V19" s="670">
        <f t="shared" ca="1" si="23"/>
        <v>0.21398169535111231</v>
      </c>
      <c r="W19" s="670">
        <f t="shared" ca="1" si="24"/>
        <v>0.27795867330334256</v>
      </c>
      <c r="X19" s="615">
        <f t="shared" si="11"/>
        <v>3.7980393422673373</v>
      </c>
      <c r="Y19" s="615">
        <f t="shared" si="12"/>
        <v>3.7814884716805128</v>
      </c>
      <c r="Z19" s="615">
        <f t="shared" si="13"/>
        <v>3.685424664538508</v>
      </c>
      <c r="AA19" s="615">
        <f t="shared" si="14"/>
        <v>0</v>
      </c>
      <c r="AB19" s="622">
        <f t="shared" si="4"/>
        <v>0</v>
      </c>
      <c r="AC19" s="622">
        <f t="shared" si="5"/>
        <v>0</v>
      </c>
      <c r="AD19" s="615">
        <f t="shared" si="6"/>
        <v>0</v>
      </c>
      <c r="AE19" s="622">
        <f t="shared" si="7"/>
        <v>0</v>
      </c>
      <c r="AF19" s="622">
        <f t="shared" si="8"/>
        <v>0</v>
      </c>
      <c r="AG19" s="615">
        <f t="shared" si="15"/>
        <v>3.7980393422673373</v>
      </c>
      <c r="AH19" s="615">
        <f t="shared" si="9"/>
        <v>3.7814884716805128</v>
      </c>
      <c r="AI19" s="615">
        <f t="shared" si="9"/>
        <v>3.685424664538508</v>
      </c>
      <c r="AJ19" s="615">
        <f t="shared" si="16"/>
        <v>3.7980393422673373</v>
      </c>
      <c r="AK19" s="615">
        <f t="shared" si="17"/>
        <v>3.7814884716805128</v>
      </c>
      <c r="AL19" s="615">
        <f t="shared" si="18"/>
        <v>3.685424664538508</v>
      </c>
      <c r="AM19" s="619" t="s">
        <v>2956</v>
      </c>
      <c r="AN19" t="s">
        <v>2957</v>
      </c>
      <c r="AO19" t="s">
        <v>2958</v>
      </c>
      <c r="AP19" t="s">
        <v>2959</v>
      </c>
      <c r="AQ19" s="419" t="s">
        <v>2960</v>
      </c>
    </row>
    <row r="20" spans="2:43">
      <c r="B20" t="s">
        <v>550</v>
      </c>
      <c r="C20" s="615">
        <f>Standard!S249</f>
        <v>-13.003921856699758</v>
      </c>
      <c r="D20" s="615"/>
      <c r="E20" s="615"/>
      <c r="F20" s="615"/>
      <c r="G20" s="615"/>
      <c r="H20" s="615"/>
      <c r="I20" s="615">
        <f>Réaliste!S263</f>
        <v>-181.28821723221171</v>
      </c>
      <c r="J20" s="615"/>
      <c r="K20" s="615"/>
      <c r="L20" s="615"/>
      <c r="M20" s="615"/>
      <c r="N20" s="615"/>
      <c r="O20" s="615">
        <f>Engagé!S262</f>
        <v>-490.83959465693795</v>
      </c>
      <c r="P20" s="615"/>
      <c r="Q20" s="615"/>
      <c r="R20" s="615"/>
      <c r="S20" s="615"/>
      <c r="T20" s="615"/>
      <c r="X20" s="615">
        <f t="shared" ref="X20:X21" si="25">C20/60</f>
        <v>-0.21673203094499596</v>
      </c>
      <c r="Y20" s="615">
        <f t="shared" ref="Y20:Y21" si="26">I20/60</f>
        <v>-3.0214702872035284</v>
      </c>
      <c r="Z20" s="615">
        <f t="shared" ref="Z20:Z21" si="27">O20/60</f>
        <v>-8.1806599109489664</v>
      </c>
      <c r="AM20" s="619" t="s">
        <v>20</v>
      </c>
      <c r="AN20">
        <v>9</v>
      </c>
      <c r="AO20">
        <v>5</v>
      </c>
      <c r="AP20">
        <v>7</v>
      </c>
      <c r="AQ20" s="419">
        <v>5</v>
      </c>
    </row>
    <row r="21" spans="2:43">
      <c r="B21" t="s">
        <v>3001</v>
      </c>
      <c r="C21" s="615">
        <f>Standard!T249</f>
        <v>2.6848815867503661E-2</v>
      </c>
      <c r="D21" s="615"/>
      <c r="E21" s="615"/>
      <c r="F21" s="615"/>
      <c r="G21" s="615"/>
      <c r="H21" s="615"/>
      <c r="I21" s="615">
        <f>Réaliste!T263</f>
        <v>-21.457521073926316</v>
      </c>
      <c r="J21" s="615"/>
      <c r="K21" s="615"/>
      <c r="L21" s="615"/>
      <c r="M21" s="615"/>
      <c r="N21" s="615"/>
      <c r="O21" s="615">
        <f>Engagé!T262</f>
        <v>-102.75579873061092</v>
      </c>
      <c r="P21" s="615"/>
      <c r="Q21" s="615"/>
      <c r="R21" s="615"/>
      <c r="S21" s="615"/>
      <c r="T21" s="615"/>
      <c r="X21" s="615">
        <f t="shared" si="25"/>
        <v>4.4748026445839436E-4</v>
      </c>
      <c r="Y21" s="615">
        <f t="shared" si="26"/>
        <v>-0.35762535123210526</v>
      </c>
      <c r="Z21" s="615">
        <f t="shared" si="27"/>
        <v>-1.712596645510182</v>
      </c>
      <c r="AM21" s="619" t="s">
        <v>21</v>
      </c>
      <c r="AN21">
        <v>2</v>
      </c>
      <c r="AO21">
        <v>4</v>
      </c>
      <c r="AP21">
        <v>0</v>
      </c>
      <c r="AQ21" s="419">
        <v>2</v>
      </c>
    </row>
    <row r="22" spans="2:43">
      <c r="X22" s="670">
        <f>(X21-X20)/X20</f>
        <v>-1.0020646706557739</v>
      </c>
      <c r="Y22" s="670">
        <f>(Y21-Y20)/Y20</f>
        <v>-0.88163863376492124</v>
      </c>
      <c r="Z22" s="670">
        <f>(Z21-Z20)/Z20</f>
        <v>-0.79065299570538938</v>
      </c>
      <c r="AM22" s="619"/>
      <c r="AQ22" s="419"/>
    </row>
    <row r="23" spans="2:43">
      <c r="B23" t="s">
        <v>3372</v>
      </c>
      <c r="C23" s="615">
        <f ca="1">SUM(C5:C19)</f>
        <v>1106.8803884765978</v>
      </c>
      <c r="D23" s="615"/>
      <c r="E23" s="615"/>
      <c r="F23" s="615"/>
      <c r="G23" s="615"/>
      <c r="H23" s="615"/>
      <c r="I23" s="615">
        <f t="shared" ref="I23:O23" ca="1" si="28">SUM(I5:I19)</f>
        <v>1060.3211079739274</v>
      </c>
      <c r="J23" s="615"/>
      <c r="K23" s="615"/>
      <c r="L23" s="615"/>
      <c r="M23" s="615"/>
      <c r="N23" s="615"/>
      <c r="O23" s="615">
        <f t="shared" ca="1" si="28"/>
        <v>795.53365701595237</v>
      </c>
      <c r="P23" s="615"/>
      <c r="Q23" s="615"/>
      <c r="R23" s="615"/>
      <c r="S23" s="615"/>
      <c r="T23" s="615"/>
      <c r="V23" s="670">
        <f ca="1">(C23-I23)/C23</f>
        <v>4.2063515613236263E-2</v>
      </c>
      <c r="W23" s="670">
        <f ca="1">(C23-O23)/C23</f>
        <v>0.28128308596121454</v>
      </c>
      <c r="X23" s="615">
        <f ca="1">SUM(X5:X19)</f>
        <v>18.448006474609961</v>
      </c>
      <c r="Y23" s="615">
        <f t="shared" ref="Y23:Z23" ca="1" si="29">SUM(Y5:Y19)</f>
        <v>17.672018466232124</v>
      </c>
      <c r="Z23" s="615">
        <f t="shared" ca="1" si="29"/>
        <v>13.258894283599204</v>
      </c>
      <c r="AM23" s="619" t="s">
        <v>2961</v>
      </c>
      <c r="AN23">
        <v>10</v>
      </c>
      <c r="AP23">
        <v>8</v>
      </c>
      <c r="AQ23" s="419"/>
    </row>
    <row r="24" spans="2:43">
      <c r="B24" t="s">
        <v>3335</v>
      </c>
      <c r="C24" s="615">
        <f ca="1">C23+C20</f>
        <v>1093.8764666198981</v>
      </c>
      <c r="D24" s="615"/>
      <c r="E24" s="615"/>
      <c r="F24" s="615"/>
      <c r="G24" s="615"/>
      <c r="H24" s="615"/>
      <c r="I24" s="615">
        <f t="shared" ref="I24:O24" ca="1" si="30">I23+I20</f>
        <v>879.03289074171562</v>
      </c>
      <c r="J24" s="615"/>
      <c r="K24" s="615"/>
      <c r="L24" s="615"/>
      <c r="M24" s="615"/>
      <c r="N24" s="615"/>
      <c r="O24" s="615">
        <f t="shared" ca="1" si="30"/>
        <v>304.69406235901442</v>
      </c>
      <c r="P24" s="615"/>
      <c r="Q24" s="615"/>
      <c r="R24" s="615"/>
      <c r="S24" s="615"/>
      <c r="T24" s="615"/>
      <c r="Y24" s="670">
        <f ca="1">(X23-Y23)/X23</f>
        <v>4.206351561323611E-2</v>
      </c>
      <c r="Z24" s="670">
        <f ca="1">(X23-Z23)/X23</f>
        <v>0.2812830859612146</v>
      </c>
      <c r="AM24" s="619" t="s">
        <v>2962</v>
      </c>
      <c r="AN24" s="615">
        <f>AO62</f>
        <v>0</v>
      </c>
      <c r="AP24" s="615">
        <f>AN24</f>
        <v>0</v>
      </c>
      <c r="AQ24" s="419"/>
    </row>
    <row r="25" spans="2:43">
      <c r="B25" t="s">
        <v>3002</v>
      </c>
      <c r="C25" s="615">
        <f ca="1">C23+C21</f>
        <v>1106.9072372924652</v>
      </c>
      <c r="D25" s="615"/>
      <c r="E25" s="615"/>
      <c r="F25" s="615"/>
      <c r="G25" s="615"/>
      <c r="H25" s="615"/>
      <c r="I25" s="615">
        <f t="shared" ref="I25:O25" ca="1" si="31">I23+I21</f>
        <v>1038.8635869000011</v>
      </c>
      <c r="J25" s="615"/>
      <c r="K25" s="615"/>
      <c r="L25" s="615"/>
      <c r="M25" s="615"/>
      <c r="N25" s="615"/>
      <c r="O25" s="615">
        <f t="shared" ca="1" si="31"/>
        <v>692.77785828534149</v>
      </c>
      <c r="P25" s="615"/>
      <c r="Q25" s="615"/>
      <c r="R25" s="615"/>
      <c r="S25" s="615"/>
      <c r="T25" s="615"/>
      <c r="AM25" s="619" t="s">
        <v>2963</v>
      </c>
      <c r="AN25" s="615">
        <f>AO63</f>
        <v>0</v>
      </c>
      <c r="AP25" s="615">
        <f>AN25</f>
        <v>0</v>
      </c>
      <c r="AQ25" s="419"/>
    </row>
    <row r="26" spans="2:43">
      <c r="B26" s="669" t="s">
        <v>2999</v>
      </c>
      <c r="C26">
        <f>9*60</f>
        <v>540</v>
      </c>
      <c r="I26">
        <f>C26</f>
        <v>540</v>
      </c>
      <c r="O26">
        <f>I26</f>
        <v>540</v>
      </c>
      <c r="X26" s="615">
        <f t="shared" ref="X26:X27" si="32">C26/60</f>
        <v>9</v>
      </c>
      <c r="Y26" s="615">
        <f t="shared" ref="Y26:Y27" si="33">I26/60</f>
        <v>9</v>
      </c>
      <c r="Z26" s="615">
        <f t="shared" ref="Z26:Z27" si="34">O26/60</f>
        <v>9</v>
      </c>
      <c r="AM26" s="619" t="s">
        <v>2964</v>
      </c>
      <c r="AN26">
        <v>0.3</v>
      </c>
      <c r="AP26">
        <v>0.3</v>
      </c>
      <c r="AQ26" s="419"/>
    </row>
    <row r="27" spans="2:43">
      <c r="B27" s="669" t="s">
        <v>3000</v>
      </c>
      <c r="C27">
        <f>7*60</f>
        <v>420</v>
      </c>
      <c r="I27">
        <f>C27</f>
        <v>420</v>
      </c>
      <c r="O27">
        <f>I27</f>
        <v>420</v>
      </c>
      <c r="X27" s="615">
        <f t="shared" si="32"/>
        <v>7</v>
      </c>
      <c r="Y27" s="615">
        <f t="shared" si="33"/>
        <v>7</v>
      </c>
      <c r="Z27" s="615">
        <f t="shared" si="34"/>
        <v>7</v>
      </c>
      <c r="AM27" s="619" t="s">
        <v>2965</v>
      </c>
      <c r="AQ27" s="419"/>
    </row>
    <row r="28" spans="2:43">
      <c r="AM28" s="619"/>
      <c r="AN28" t="s">
        <v>2966</v>
      </c>
      <c r="AP28" t="s">
        <v>2967</v>
      </c>
      <c r="AQ28" s="419"/>
    </row>
    <row r="29" spans="2:43">
      <c r="X29" s="615">
        <f ca="1">SUM(X9:X18)</f>
        <v>11.788051821351722</v>
      </c>
      <c r="Y29" s="615">
        <f t="shared" ref="Y29:Z29" ca="1" si="35">SUM(Y9:Y18)</f>
        <v>10.413730016653407</v>
      </c>
      <c r="Z29" s="615">
        <f t="shared" ca="1" si="35"/>
        <v>6.9196988991727713</v>
      </c>
      <c r="AM29" s="619" t="s">
        <v>2968</v>
      </c>
      <c r="AO29">
        <v>1.57</v>
      </c>
      <c r="AQ29" s="419">
        <v>0.78</v>
      </c>
    </row>
    <row r="30" spans="2:43">
      <c r="B30" t="s">
        <v>3001</v>
      </c>
      <c r="C30" s="615">
        <f>Standard!T249</f>
        <v>2.6848815867503661E-2</v>
      </c>
      <c r="D30" s="615"/>
      <c r="E30" s="615"/>
      <c r="F30" s="615"/>
      <c r="G30" s="615"/>
      <c r="H30" s="615"/>
      <c r="I30" s="615">
        <f>Réaliste!T222</f>
        <v>-3.0764069680934751</v>
      </c>
      <c r="J30" s="615"/>
      <c r="K30" s="615"/>
      <c r="L30" s="615"/>
      <c r="M30" s="615"/>
      <c r="N30" s="615"/>
      <c r="O30" s="615">
        <f>Engagé!T216</f>
        <v>0</v>
      </c>
      <c r="P30" s="615"/>
      <c r="Q30" s="615"/>
      <c r="R30" s="615"/>
      <c r="S30" s="615"/>
      <c r="T30" s="615"/>
      <c r="Y30" s="670">
        <f ca="1">(X29-Y29)/X29</f>
        <v>0.11658599958043986</v>
      </c>
      <c r="Z30" s="670">
        <f ca="1">(X29-Z29)/X29</f>
        <v>0.41299045813158825</v>
      </c>
      <c r="AM30" s="619" t="s">
        <v>238</v>
      </c>
      <c r="AO30">
        <v>1.93</v>
      </c>
      <c r="AQ30" s="419">
        <v>1.18</v>
      </c>
    </row>
    <row r="31" spans="2:43">
      <c r="B31" s="669" t="s">
        <v>3002</v>
      </c>
      <c r="C31" s="615">
        <f ca="1">C23+C30</f>
        <v>1106.9072372924652</v>
      </c>
      <c r="D31" s="615"/>
      <c r="E31" s="615"/>
      <c r="F31" s="615"/>
      <c r="G31" s="615"/>
      <c r="H31" s="615"/>
      <c r="I31" s="615">
        <f t="shared" ref="I31:O31" ca="1" si="36">I23+I30</f>
        <v>1057.2447010058338</v>
      </c>
      <c r="J31" s="615"/>
      <c r="K31" s="615"/>
      <c r="L31" s="615"/>
      <c r="M31" s="615"/>
      <c r="N31" s="615"/>
      <c r="O31" s="615">
        <f t="shared" ca="1" si="36"/>
        <v>795.53365701595237</v>
      </c>
      <c r="P31" s="615"/>
      <c r="Q31" s="615"/>
      <c r="R31" s="615"/>
      <c r="S31" s="615"/>
      <c r="T31" s="615"/>
      <c r="AM31" s="619" t="s">
        <v>2969</v>
      </c>
      <c r="AO31">
        <v>2.35</v>
      </c>
      <c r="AQ31" s="419">
        <v>1.43</v>
      </c>
    </row>
    <row r="32" spans="2:43">
      <c r="D32" t="s">
        <v>3407</v>
      </c>
      <c r="E32" t="s">
        <v>3408</v>
      </c>
      <c r="F32" t="s">
        <v>145</v>
      </c>
      <c r="AM32" s="619" t="s">
        <v>378</v>
      </c>
      <c r="AO32">
        <v>4.34</v>
      </c>
      <c r="AQ32" s="419">
        <v>3</v>
      </c>
    </row>
    <row r="33" spans="1:43">
      <c r="B33" t="s">
        <v>3413</v>
      </c>
      <c r="C33" s="615">
        <f>C20</f>
        <v>-13.003921856699758</v>
      </c>
      <c r="I33" s="615">
        <f>I20</f>
        <v>-181.28821723221171</v>
      </c>
      <c r="O33" s="615">
        <f>O20</f>
        <v>-490.83959465693795</v>
      </c>
      <c r="AM33" s="619" t="s">
        <v>2970</v>
      </c>
      <c r="AO33">
        <v>0.78</v>
      </c>
      <c r="AQ33" s="419">
        <v>0.39</v>
      </c>
    </row>
    <row r="34" spans="1:43">
      <c r="A34" t="s">
        <v>3370</v>
      </c>
      <c r="B34" t="s">
        <v>3336</v>
      </c>
      <c r="C34" s="615">
        <f>Standard!N249</f>
        <v>614.60369066281544</v>
      </c>
      <c r="D34" s="615"/>
      <c r="E34" s="615"/>
      <c r="F34" s="615"/>
      <c r="G34" s="615"/>
      <c r="H34" s="615"/>
      <c r="I34" s="615">
        <f>Réaliste!N263</f>
        <v>521.56293818255449</v>
      </c>
      <c r="J34" s="615"/>
      <c r="K34" s="615"/>
      <c r="L34" s="615"/>
      <c r="M34" s="615"/>
      <c r="N34" s="615"/>
      <c r="O34" s="615">
        <f>Engagé!N262</f>
        <v>404.10271683491567</v>
      </c>
      <c r="P34" s="615"/>
      <c r="Q34" s="615"/>
      <c r="R34" s="615"/>
      <c r="S34" s="615"/>
      <c r="T34" s="615"/>
      <c r="X34" s="615">
        <f>C34/60</f>
        <v>10.243394844380257</v>
      </c>
      <c r="Y34" s="615">
        <f>I34/60</f>
        <v>8.6927156363759082</v>
      </c>
      <c r="Z34" s="615">
        <f t="shared" ref="Z34" si="37">O34/60</f>
        <v>6.7350452805819279</v>
      </c>
      <c r="AM34" s="619" t="s">
        <v>2962</v>
      </c>
      <c r="AO34">
        <v>13.3</v>
      </c>
      <c r="AQ34" s="419"/>
    </row>
    <row r="35" spans="1:43">
      <c r="B35" t="s">
        <v>3414</v>
      </c>
      <c r="C35" s="615">
        <f ca="1">Standard!AL249</f>
        <v>-13.003921856699758</v>
      </c>
      <c r="D35" s="615"/>
      <c r="E35" s="615"/>
      <c r="F35" s="615"/>
      <c r="G35" s="615"/>
      <c r="H35" s="615"/>
      <c r="I35" s="615">
        <f ca="1">Réaliste!AL263</f>
        <v>-99.088369240467728</v>
      </c>
      <c r="J35" s="615"/>
      <c r="K35" s="615"/>
      <c r="L35" s="615"/>
      <c r="M35" s="615"/>
      <c r="N35" s="615"/>
      <c r="O35" s="615">
        <f ca="1">Engagé!AL262</f>
        <v>-257.07391749457594</v>
      </c>
      <c r="P35" s="615"/>
      <c r="Q35" s="615"/>
      <c r="R35" s="615"/>
      <c r="S35" s="615"/>
      <c r="T35" s="615"/>
      <c r="X35" s="615"/>
      <c r="Y35" s="615"/>
      <c r="Z35" s="615"/>
      <c r="AM35" s="619"/>
      <c r="AQ35" s="419"/>
    </row>
    <row r="36" spans="1:43">
      <c r="A36" t="s">
        <v>3001</v>
      </c>
      <c r="B36" t="s">
        <v>3337</v>
      </c>
      <c r="C36" s="615">
        <f ca="1">Standard!P249</f>
        <v>235.63192129822312</v>
      </c>
      <c r="D36" s="615"/>
      <c r="E36" s="615"/>
      <c r="F36" s="615"/>
      <c r="G36" s="615"/>
      <c r="H36" s="615"/>
      <c r="I36" s="615">
        <f ca="1">Réaliste!P263</f>
        <v>259.8259160436599</v>
      </c>
      <c r="J36" s="615"/>
      <c r="K36" s="615"/>
      <c r="L36" s="615"/>
      <c r="M36" s="615"/>
      <c r="N36" s="615"/>
      <c r="O36" s="615">
        <f ca="1">Engagé!P262</f>
        <v>188.63862873695948</v>
      </c>
      <c r="P36" s="615"/>
      <c r="Q36" s="615"/>
      <c r="R36" s="615"/>
      <c r="S36" s="615"/>
      <c r="T36" s="615"/>
      <c r="X36" s="615">
        <f t="shared" ref="X36:X38" ca="1" si="38">C36/60</f>
        <v>3.9271986883037187</v>
      </c>
      <c r="Y36" s="615">
        <f t="shared" ref="Y36:Y38" ca="1" si="39">I36/60</f>
        <v>4.3304319340609982</v>
      </c>
      <c r="Z36" s="615">
        <f t="shared" ref="Z36:Z38" ca="1" si="40">O36/60</f>
        <v>3.1439771456159913</v>
      </c>
      <c r="AM36" s="619" t="s">
        <v>2963</v>
      </c>
      <c r="AO36">
        <v>5.2</v>
      </c>
      <c r="AQ36" s="419"/>
    </row>
    <row r="37" spans="1:43">
      <c r="B37" t="s">
        <v>3415</v>
      </c>
      <c r="C37" s="615">
        <f ca="1">-C35</f>
        <v>13.003921856699758</v>
      </c>
      <c r="D37" s="615"/>
      <c r="E37" s="615"/>
      <c r="F37" s="615"/>
      <c r="G37" s="615"/>
      <c r="H37" s="615"/>
      <c r="I37" s="615">
        <f ca="1">-I35</f>
        <v>99.088369240467728</v>
      </c>
      <c r="J37" s="615"/>
      <c r="K37" s="615"/>
      <c r="L37" s="615"/>
      <c r="M37" s="615"/>
      <c r="N37" s="615"/>
      <c r="O37" s="615">
        <f ca="1">-O35</f>
        <v>257.07391749457594</v>
      </c>
      <c r="P37" s="615"/>
      <c r="Q37" s="615"/>
      <c r="R37" s="615"/>
      <c r="S37" s="615"/>
      <c r="T37" s="615"/>
      <c r="X37" s="615"/>
      <c r="Y37" s="615"/>
      <c r="Z37" s="615"/>
      <c r="AM37" s="619"/>
      <c r="AQ37" s="419"/>
    </row>
    <row r="38" spans="1:43">
      <c r="A38" s="1010" t="s">
        <v>3371</v>
      </c>
      <c r="B38" t="s">
        <v>3338</v>
      </c>
      <c r="C38" s="615">
        <f>Standard!Q249</f>
        <v>88.859500250050758</v>
      </c>
      <c r="D38" s="615"/>
      <c r="E38" s="615"/>
      <c r="F38" s="615"/>
      <c r="G38" s="615"/>
      <c r="H38" s="615"/>
      <c r="I38" s="615">
        <f>Réaliste!Q263</f>
        <v>72.031726866036664</v>
      </c>
      <c r="J38" s="615"/>
      <c r="K38" s="615"/>
      <c r="L38" s="615"/>
      <c r="M38" s="615"/>
      <c r="N38" s="615"/>
      <c r="O38" s="615">
        <f>Engagé!Q262</f>
        <v>58.024811027494707</v>
      </c>
      <c r="P38" s="615"/>
      <c r="Q38" s="615"/>
      <c r="R38" s="615"/>
      <c r="S38" s="615"/>
      <c r="T38" s="615"/>
      <c r="X38" s="615">
        <f t="shared" si="38"/>
        <v>1.4809916708341793</v>
      </c>
      <c r="Y38" s="615">
        <f t="shared" si="39"/>
        <v>1.2005287811006111</v>
      </c>
      <c r="Z38" s="615">
        <f t="shared" si="40"/>
        <v>0.96708018379157845</v>
      </c>
      <c r="AM38" s="619"/>
      <c r="AQ38" s="419"/>
    </row>
    <row r="39" spans="1:43">
      <c r="A39" s="1010" t="s">
        <v>3375</v>
      </c>
      <c r="B39" t="s">
        <v>3416</v>
      </c>
      <c r="C39" s="615">
        <f>-C33</f>
        <v>13.003921856699758</v>
      </c>
      <c r="I39" s="615">
        <f>-I33</f>
        <v>181.28821723221171</v>
      </c>
      <c r="O39" s="615">
        <f>-O33</f>
        <v>490.83959465693795</v>
      </c>
      <c r="AM39" s="619" t="s">
        <v>2971</v>
      </c>
      <c r="AQ39" s="419"/>
    </row>
    <row r="40" spans="1:43">
      <c r="B40" t="s">
        <v>3339</v>
      </c>
      <c r="C40" s="615">
        <f>C41</f>
        <v>601.59976880611566</v>
      </c>
      <c r="D40" s="615"/>
      <c r="E40" s="615"/>
      <c r="F40" s="615"/>
      <c r="G40" s="615"/>
      <c r="H40" s="615"/>
      <c r="I40" s="615">
        <f t="shared" ref="I40:O40" si="41">I41</f>
        <v>340.27472095034278</v>
      </c>
      <c r="J40" s="615"/>
      <c r="K40" s="615"/>
      <c r="L40" s="615"/>
      <c r="M40" s="615"/>
      <c r="N40" s="615"/>
      <c r="O40" s="615">
        <f t="shared" si="41"/>
        <v>-86.736877822022279</v>
      </c>
      <c r="P40" s="615"/>
      <c r="Q40" s="615"/>
      <c r="R40" s="615"/>
      <c r="S40" s="615"/>
      <c r="T40" s="615"/>
      <c r="X40" s="615">
        <f t="shared" ref="X40:X51" si="42">C40/60</f>
        <v>10.02666281343526</v>
      </c>
      <c r="Y40" s="615">
        <f t="shared" ref="Y40:Y51" si="43">I40/60</f>
        <v>5.6712453491723798</v>
      </c>
      <c r="Z40" s="615">
        <f t="shared" ref="Z40:Z51" si="44">O40/60</f>
        <v>-1.4456146303670381</v>
      </c>
      <c r="AM40" s="619" t="s">
        <v>77</v>
      </c>
      <c r="AN40">
        <v>170</v>
      </c>
      <c r="AO40" t="s">
        <v>2972</v>
      </c>
      <c r="AQ40" s="419" t="s">
        <v>2973</v>
      </c>
    </row>
    <row r="41" spans="1:43">
      <c r="B41" t="s">
        <v>3340</v>
      </c>
      <c r="C41" s="615">
        <f>C34+C20</f>
        <v>601.59976880611566</v>
      </c>
      <c r="D41" s="615"/>
      <c r="E41" s="615"/>
      <c r="F41" s="615"/>
      <c r="G41" s="615"/>
      <c r="H41" s="615"/>
      <c r="I41" s="615">
        <f t="shared" ref="I41:O41" si="45">I34+I20</f>
        <v>340.27472095034278</v>
      </c>
      <c r="J41" s="615"/>
      <c r="K41" s="615"/>
      <c r="L41" s="615"/>
      <c r="M41" s="615"/>
      <c r="N41" s="615"/>
      <c r="O41" s="615">
        <f t="shared" si="45"/>
        <v>-86.736877822022279</v>
      </c>
      <c r="P41" s="615"/>
      <c r="Q41" s="615"/>
      <c r="R41" s="615"/>
      <c r="S41" s="615"/>
      <c r="T41" s="615"/>
      <c r="X41" s="615">
        <f t="shared" si="42"/>
        <v>10.02666281343526</v>
      </c>
      <c r="Y41" s="615">
        <f t="shared" si="43"/>
        <v>5.6712453491723798</v>
      </c>
      <c r="Z41" s="615">
        <f t="shared" si="44"/>
        <v>-1.4456146303670381</v>
      </c>
      <c r="AM41" s="619" t="s">
        <v>2968</v>
      </c>
      <c r="AN41">
        <v>139</v>
      </c>
      <c r="AO41" s="615">
        <f>(AO29*AN41)/$AN$40</f>
        <v>1.2837058823529413</v>
      </c>
      <c r="AQ41" s="679">
        <f>(AQ29*AN41)/$AN$40</f>
        <v>0.6377647058823529</v>
      </c>
    </row>
    <row r="42" spans="1:43">
      <c r="B42" t="s">
        <v>3341</v>
      </c>
      <c r="C42" s="615">
        <f ca="1">C36+Standard!AK249</f>
        <v>235.71393997147305</v>
      </c>
      <c r="D42" s="615"/>
      <c r="E42" s="615"/>
      <c r="F42" s="615"/>
      <c r="G42" s="615"/>
      <c r="H42" s="615"/>
      <c r="I42" s="615">
        <f ca="1">I36+Réaliste!AK263</f>
        <v>259.74035544758704</v>
      </c>
      <c r="J42" s="615"/>
      <c r="K42" s="615"/>
      <c r="L42" s="615"/>
      <c r="M42" s="615"/>
      <c r="N42" s="615"/>
      <c r="O42" s="615">
        <f ca="1">O36+Engagé!AK262</f>
        <v>145.70367519815926</v>
      </c>
      <c r="P42" s="615"/>
      <c r="Q42" s="615"/>
      <c r="R42" s="615"/>
      <c r="S42" s="615"/>
      <c r="T42" s="615"/>
      <c r="X42" s="615">
        <f t="shared" ca="1" si="42"/>
        <v>3.9285656661912176</v>
      </c>
      <c r="Y42" s="615">
        <f t="shared" ca="1" si="43"/>
        <v>4.3290059241264505</v>
      </c>
      <c r="Z42" s="615">
        <f t="shared" ca="1" si="44"/>
        <v>2.4283945866359877</v>
      </c>
      <c r="AM42" s="619"/>
      <c r="AO42" s="615"/>
      <c r="AQ42" s="679"/>
    </row>
    <row r="43" spans="1:43">
      <c r="B43" t="s">
        <v>3368</v>
      </c>
      <c r="C43" s="615">
        <f ca="1">C36</f>
        <v>235.63192129822312</v>
      </c>
      <c r="D43" s="615"/>
      <c r="E43" s="615"/>
      <c r="F43" s="615"/>
      <c r="G43" s="615"/>
      <c r="H43" s="615"/>
      <c r="I43" s="615">
        <f t="shared" ref="I43:O43" ca="1" si="46">I36</f>
        <v>259.8259160436599</v>
      </c>
      <c r="J43" s="615"/>
      <c r="K43" s="615"/>
      <c r="L43" s="615"/>
      <c r="M43" s="615"/>
      <c r="N43" s="615"/>
      <c r="O43" s="615">
        <f t="shared" ca="1" si="46"/>
        <v>188.63862873695948</v>
      </c>
      <c r="P43" s="615"/>
      <c r="Q43" s="615"/>
      <c r="R43" s="615"/>
      <c r="S43" s="615"/>
      <c r="T43" s="615"/>
      <c r="X43" s="615">
        <f t="shared" ca="1" si="42"/>
        <v>3.9271986883037187</v>
      </c>
      <c r="Y43" s="615">
        <f t="shared" ca="1" si="43"/>
        <v>4.3304319340609982</v>
      </c>
      <c r="Z43" s="615">
        <f t="shared" ca="1" si="44"/>
        <v>3.1439771456159913</v>
      </c>
      <c r="AM43" s="619"/>
      <c r="AO43" s="615"/>
      <c r="AQ43" s="679"/>
    </row>
    <row r="44" spans="1:43">
      <c r="B44" t="s">
        <v>3380</v>
      </c>
      <c r="C44" s="615">
        <f ca="1">C36+Standard!AL249</f>
        <v>222.62799944152337</v>
      </c>
      <c r="D44" s="615"/>
      <c r="E44" s="615"/>
      <c r="F44" s="615"/>
      <c r="G44" s="615"/>
      <c r="H44" s="615"/>
      <c r="I44" s="615">
        <f ca="1">I36+Réaliste!AL263</f>
        <v>160.73754680319217</v>
      </c>
      <c r="J44" s="615"/>
      <c r="K44" s="615"/>
      <c r="L44" s="615"/>
      <c r="M44" s="615"/>
      <c r="N44" s="615"/>
      <c r="O44" s="615">
        <f ca="1">O36+Engagé!AL262</f>
        <v>-68.435288757616462</v>
      </c>
      <c r="P44" s="615"/>
      <c r="Q44" s="615"/>
      <c r="R44" s="615"/>
      <c r="S44" s="615"/>
      <c r="T44" s="615"/>
      <c r="X44" s="615">
        <f t="shared" ca="1" si="42"/>
        <v>3.7104666573587228</v>
      </c>
      <c r="Y44" s="615">
        <f t="shared" ca="1" si="43"/>
        <v>2.678959113386536</v>
      </c>
      <c r="Z44" s="615">
        <f t="shared" ca="1" si="44"/>
        <v>-1.1405881459602745</v>
      </c>
      <c r="AM44" s="619"/>
      <c r="AO44" s="615"/>
      <c r="AQ44" s="679"/>
    </row>
    <row r="45" spans="1:43">
      <c r="B45" t="s">
        <v>3343</v>
      </c>
      <c r="C45" s="615">
        <f>C38+C21</f>
        <v>88.886349065918267</v>
      </c>
      <c r="D45" s="615"/>
      <c r="E45" s="615"/>
      <c r="F45" s="615"/>
      <c r="G45" s="615"/>
      <c r="H45" s="615"/>
      <c r="I45" s="615">
        <f t="shared" ref="I45:O45" si="47">I38+I21</f>
        <v>50.574205792110348</v>
      </c>
      <c r="J45" s="615"/>
      <c r="K45" s="615"/>
      <c r="L45" s="615"/>
      <c r="M45" s="615"/>
      <c r="N45" s="615"/>
      <c r="O45" s="615">
        <f t="shared" si="47"/>
        <v>-44.730987703116213</v>
      </c>
      <c r="P45" s="615"/>
      <c r="Q45" s="615"/>
      <c r="R45" s="615"/>
      <c r="S45" s="615"/>
      <c r="T45" s="615"/>
      <c r="X45" s="615">
        <f t="shared" si="42"/>
        <v>1.4814391510986378</v>
      </c>
      <c r="Y45" s="615">
        <f t="shared" si="43"/>
        <v>0.84290342986850575</v>
      </c>
      <c r="Z45" s="615">
        <f t="shared" si="44"/>
        <v>-0.74551646171860353</v>
      </c>
      <c r="AM45" s="619"/>
      <c r="AO45" s="615"/>
      <c r="AQ45" s="679"/>
    </row>
    <row r="46" spans="1:43">
      <c r="B46" t="s">
        <v>3369</v>
      </c>
      <c r="C46" s="615">
        <f>C38-C20</f>
        <v>101.86342210675052</v>
      </c>
      <c r="D46" s="615"/>
      <c r="E46" s="615"/>
      <c r="F46" s="615"/>
      <c r="G46" s="615"/>
      <c r="H46" s="615"/>
      <c r="I46" s="615">
        <f t="shared" ref="I46:O46" si="48">I38-I20</f>
        <v>253.31994409824836</v>
      </c>
      <c r="J46" s="615"/>
      <c r="K46" s="615"/>
      <c r="L46" s="615"/>
      <c r="M46" s="615"/>
      <c r="N46" s="615"/>
      <c r="O46" s="615">
        <f t="shared" si="48"/>
        <v>548.86440568443265</v>
      </c>
      <c r="P46" s="615"/>
      <c r="Q46" s="615"/>
      <c r="R46" s="615"/>
      <c r="S46" s="615"/>
      <c r="T46" s="615"/>
      <c r="X46" s="615">
        <f t="shared" si="42"/>
        <v>1.6977237017791753</v>
      </c>
      <c r="Y46" s="615">
        <f t="shared" si="43"/>
        <v>4.2219990683041395</v>
      </c>
      <c r="Z46" s="615">
        <f t="shared" si="44"/>
        <v>9.1477400947405449</v>
      </c>
      <c r="AM46" s="619"/>
      <c r="AO46" s="615"/>
      <c r="AQ46" s="679"/>
    </row>
    <row r="47" spans="1:43">
      <c r="B47" t="s">
        <v>3374</v>
      </c>
      <c r="C47" s="615">
        <f>C38</f>
        <v>88.859500250050758</v>
      </c>
      <c r="D47" s="615"/>
      <c r="E47" s="615"/>
      <c r="F47" s="615"/>
      <c r="G47" s="615"/>
      <c r="H47" s="615"/>
      <c r="I47" s="615">
        <f t="shared" ref="I47:O47" si="49">I38</f>
        <v>72.031726866036664</v>
      </c>
      <c r="J47" s="615"/>
      <c r="K47" s="615"/>
      <c r="L47" s="615"/>
      <c r="M47" s="615"/>
      <c r="N47" s="615"/>
      <c r="O47" s="615">
        <f t="shared" si="49"/>
        <v>58.024811027494707</v>
      </c>
      <c r="P47" s="615"/>
      <c r="Q47" s="615"/>
      <c r="R47" s="615"/>
      <c r="S47" s="615"/>
      <c r="T47" s="615"/>
      <c r="X47" s="615">
        <f t="shared" si="42"/>
        <v>1.4809916708341793</v>
      </c>
      <c r="Y47" s="615">
        <f t="shared" si="43"/>
        <v>1.2005287811006111</v>
      </c>
      <c r="Z47" s="615">
        <f t="shared" si="44"/>
        <v>0.96708018379157845</v>
      </c>
      <c r="AM47" s="619"/>
      <c r="AO47" s="615"/>
      <c r="AQ47" s="679"/>
    </row>
    <row r="48" spans="1:43">
      <c r="B48" t="s">
        <v>3376</v>
      </c>
      <c r="C48" s="615">
        <f ca="1">C34+C36+C38</f>
        <v>939.09511221108937</v>
      </c>
      <c r="D48" s="615"/>
      <c r="E48" s="615"/>
      <c r="F48" s="615"/>
      <c r="G48" s="615"/>
      <c r="H48" s="615"/>
      <c r="I48" s="615">
        <f t="shared" ref="I48:O48" ca="1" si="50">I34+I36+I38</f>
        <v>853.42058109225104</v>
      </c>
      <c r="J48" s="615"/>
      <c r="K48" s="615"/>
      <c r="L48" s="615"/>
      <c r="M48" s="615"/>
      <c r="N48" s="615"/>
      <c r="O48" s="615">
        <f t="shared" ca="1" si="50"/>
        <v>650.76615659936988</v>
      </c>
      <c r="P48" s="615"/>
      <c r="Q48" s="615"/>
      <c r="R48" s="615"/>
      <c r="S48" s="615"/>
      <c r="T48" s="615"/>
      <c r="X48" s="615">
        <f t="shared" ca="1" si="42"/>
        <v>15.651585203518156</v>
      </c>
      <c r="Y48" s="615">
        <f t="shared" ca="1" si="43"/>
        <v>14.223676351537517</v>
      </c>
      <c r="Z48" s="615">
        <f t="shared" ca="1" si="44"/>
        <v>10.846102609989497</v>
      </c>
      <c r="AM48" s="619"/>
      <c r="AO48" s="615"/>
      <c r="AQ48" s="679"/>
    </row>
    <row r="49" spans="1:43">
      <c r="B49" t="s">
        <v>3377</v>
      </c>
      <c r="C49" s="615">
        <f ca="1">C40+C42+C45</f>
        <v>926.20005784350701</v>
      </c>
      <c r="D49" s="615"/>
      <c r="E49" s="615"/>
      <c r="F49" s="615"/>
      <c r="G49" s="615"/>
      <c r="H49" s="615"/>
      <c r="I49" s="615">
        <f t="shared" ref="I49:O49" ca="1" si="51">I40+I42+I45</f>
        <v>650.58928219004008</v>
      </c>
      <c r="J49" s="615"/>
      <c r="K49" s="615"/>
      <c r="L49" s="615"/>
      <c r="M49" s="615"/>
      <c r="N49" s="615"/>
      <c r="O49" s="615">
        <f t="shared" ca="1" si="51"/>
        <v>14.235809673020768</v>
      </c>
      <c r="P49" s="615"/>
      <c r="Q49" s="615"/>
      <c r="R49" s="615"/>
      <c r="S49" s="615"/>
      <c r="T49" s="615"/>
      <c r="X49" s="615">
        <f t="shared" ca="1" si="42"/>
        <v>15.436667630725116</v>
      </c>
      <c r="Y49" s="615">
        <f t="shared" ca="1" si="43"/>
        <v>10.843154703167334</v>
      </c>
      <c r="Z49" s="615">
        <f t="shared" ca="1" si="44"/>
        <v>0.23726349455034612</v>
      </c>
      <c r="AM49" s="619"/>
      <c r="AO49" s="615"/>
      <c r="AQ49" s="679"/>
    </row>
    <row r="50" spans="1:43">
      <c r="B50" t="s">
        <v>3378</v>
      </c>
      <c r="C50" s="615">
        <f ca="1">C41+C43+C46</f>
        <v>939.09511221108926</v>
      </c>
      <c r="D50" s="615"/>
      <c r="E50" s="615"/>
      <c r="F50" s="615"/>
      <c r="G50" s="615"/>
      <c r="H50" s="615"/>
      <c r="I50" s="615">
        <f t="shared" ref="I50:O50" ca="1" si="52">I41+I43+I46</f>
        <v>853.42058109225104</v>
      </c>
      <c r="J50" s="615"/>
      <c r="K50" s="615"/>
      <c r="L50" s="615"/>
      <c r="M50" s="615"/>
      <c r="N50" s="615"/>
      <c r="O50" s="615">
        <f t="shared" ca="1" si="52"/>
        <v>650.76615659936988</v>
      </c>
      <c r="P50" s="615"/>
      <c r="Q50" s="615"/>
      <c r="R50" s="615"/>
      <c r="S50" s="615"/>
      <c r="T50" s="615"/>
      <c r="X50" s="615">
        <f t="shared" ca="1" si="42"/>
        <v>15.651585203518154</v>
      </c>
      <c r="Y50" s="615">
        <f t="shared" ca="1" si="43"/>
        <v>14.223676351537517</v>
      </c>
      <c r="Z50" s="615">
        <f t="shared" ca="1" si="44"/>
        <v>10.846102609989497</v>
      </c>
      <c r="AM50" s="619"/>
      <c r="AO50" s="615"/>
      <c r="AQ50" s="679"/>
    </row>
    <row r="51" spans="1:43">
      <c r="B51" t="s">
        <v>3379</v>
      </c>
      <c r="C51" s="615">
        <f ca="1">C41+C44+C47</f>
        <v>913.08726849768982</v>
      </c>
      <c r="D51" s="615"/>
      <c r="E51" s="615"/>
      <c r="F51" s="615"/>
      <c r="G51" s="615"/>
      <c r="H51" s="615"/>
      <c r="I51" s="615">
        <f t="shared" ref="I51:O51" ca="1" si="53">I41+I44+I47</f>
        <v>573.04399461957166</v>
      </c>
      <c r="J51" s="615"/>
      <c r="K51" s="615"/>
      <c r="L51" s="615"/>
      <c r="M51" s="615"/>
      <c r="N51" s="615"/>
      <c r="O51" s="615">
        <f t="shared" ca="1" si="53"/>
        <v>-97.147355552144035</v>
      </c>
      <c r="P51" s="615"/>
      <c r="Q51" s="615"/>
      <c r="R51" s="615"/>
      <c r="S51" s="615"/>
      <c r="T51" s="615"/>
      <c r="X51" s="615">
        <f t="shared" ca="1" si="42"/>
        <v>15.218121141628163</v>
      </c>
      <c r="Y51" s="615">
        <f t="shared" ca="1" si="43"/>
        <v>9.5507332436595274</v>
      </c>
      <c r="Z51" s="615">
        <f t="shared" ca="1" si="44"/>
        <v>-1.619122592535734</v>
      </c>
      <c r="AM51" s="619"/>
      <c r="AO51" s="615"/>
      <c r="AQ51" s="679"/>
    </row>
    <row r="52" spans="1:43">
      <c r="B52" t="s">
        <v>293</v>
      </c>
      <c r="C52" t="s">
        <v>3323</v>
      </c>
      <c r="I52" t="s">
        <v>3324</v>
      </c>
      <c r="O52" t="s">
        <v>3325</v>
      </c>
      <c r="U52" t="s">
        <v>3326</v>
      </c>
      <c r="V52" t="s">
        <v>3333</v>
      </c>
      <c r="W52" t="s">
        <v>3327</v>
      </c>
      <c r="X52" t="s">
        <v>3323</v>
      </c>
      <c r="Y52" t="s">
        <v>3324</v>
      </c>
      <c r="Z52" t="s">
        <v>3328</v>
      </c>
      <c r="AA52" t="s">
        <v>3329</v>
      </c>
      <c r="AB52" t="s">
        <v>3333</v>
      </c>
      <c r="AC52" t="s">
        <v>3330</v>
      </c>
      <c r="AD52" t="s">
        <v>3323</v>
      </c>
      <c r="AE52" t="s">
        <v>3324</v>
      </c>
      <c r="AF52" t="s">
        <v>3331</v>
      </c>
      <c r="AG52" t="s">
        <v>3332</v>
      </c>
      <c r="AH52" t="s">
        <v>3333</v>
      </c>
      <c r="AM52" s="619" t="s">
        <v>238</v>
      </c>
      <c r="AN52">
        <v>187</v>
      </c>
      <c r="AO52" s="615">
        <f>(AO30*AN52)/$AN$40</f>
        <v>2.1229999999999998</v>
      </c>
      <c r="AQ52" s="679">
        <f>(AQ30*AN52)/$AN$40</f>
        <v>1.298</v>
      </c>
    </row>
    <row r="53" spans="1:43">
      <c r="A53">
        <v>2024</v>
      </c>
      <c r="B53" s="615">
        <f>Standard!N249</f>
        <v>614.60369066281544</v>
      </c>
      <c r="C53" s="615">
        <f>Standard!S249</f>
        <v>-13.003921856699758</v>
      </c>
      <c r="D53" s="615"/>
      <c r="E53" s="615"/>
      <c r="F53" s="615"/>
      <c r="G53" s="615"/>
      <c r="H53" s="615"/>
      <c r="O53" s="615">
        <f>B53</f>
        <v>614.60369066281544</v>
      </c>
      <c r="P53" s="615"/>
      <c r="Q53" s="615"/>
      <c r="R53" s="615"/>
      <c r="S53" s="615"/>
      <c r="T53" s="615"/>
      <c r="U53" s="615">
        <f>C53+I53</f>
        <v>-13.003921856699758</v>
      </c>
      <c r="V53" s="615">
        <f>O53+U53</f>
        <v>601.59976880611566</v>
      </c>
      <c r="W53" s="615">
        <f>Réaliste!N263</f>
        <v>521.56293818255449</v>
      </c>
      <c r="X53" s="615">
        <f>Réaliste!S263</f>
        <v>-181.28821723221171</v>
      </c>
      <c r="Z53" s="615">
        <f>W53</f>
        <v>521.56293818255449</v>
      </c>
      <c r="AA53" s="615">
        <f>X53+Y53</f>
        <v>-181.28821723221171</v>
      </c>
      <c r="AB53" s="615">
        <f t="shared" ref="AB53:AB84" si="54">Z53+AA53</f>
        <v>340.27472095034278</v>
      </c>
      <c r="AC53" s="615">
        <f>Engagé!N262</f>
        <v>404.10271683491567</v>
      </c>
      <c r="AD53" s="615">
        <f>Engagé!S262</f>
        <v>-490.83959465693795</v>
      </c>
      <c r="AF53" s="615">
        <f>AC53</f>
        <v>404.10271683491567</v>
      </c>
      <c r="AG53" s="615">
        <f>AD53+AE53</f>
        <v>-490.83959465693795</v>
      </c>
      <c r="AH53" s="615">
        <f>AF53+AG53</f>
        <v>-86.736877822022279</v>
      </c>
      <c r="AM53" s="619" t="s">
        <v>2969</v>
      </c>
      <c r="AN53">
        <v>51</v>
      </c>
      <c r="AO53" s="615">
        <f>(AO31*AN53)/$AN$40</f>
        <v>0.70500000000000007</v>
      </c>
      <c r="AQ53" s="679">
        <f>(AQ31*AN53)/$AN$40</f>
        <v>0.42899999999999994</v>
      </c>
    </row>
    <row r="54" spans="1:43">
      <c r="A54">
        <v>2025</v>
      </c>
      <c r="B54" s="615"/>
      <c r="O54" s="615">
        <f t="shared" ref="O54:O85" si="55">O53+B54</f>
        <v>614.60369066281544</v>
      </c>
      <c r="P54" s="615"/>
      <c r="Q54" s="615"/>
      <c r="R54" s="615"/>
      <c r="S54" s="615"/>
      <c r="T54" s="615"/>
      <c r="U54" s="615">
        <f>U53+C54+I54</f>
        <v>-13.003921856699758</v>
      </c>
      <c r="V54" s="615">
        <f t="shared" ref="V54:V113" si="56">O54+U54</f>
        <v>601.59976880611566</v>
      </c>
      <c r="Z54" s="615">
        <f>Z53+W54</f>
        <v>521.56293818255449</v>
      </c>
      <c r="AA54" s="615">
        <f>AA53+X54+Y54</f>
        <v>-181.28821723221171</v>
      </c>
      <c r="AB54" s="615">
        <f t="shared" si="54"/>
        <v>340.27472095034278</v>
      </c>
      <c r="AF54" s="615">
        <f>AF53+AC54</f>
        <v>404.10271683491567</v>
      </c>
      <c r="AG54" s="615">
        <f>AG53+AD54+AE54</f>
        <v>-490.83959465693795</v>
      </c>
      <c r="AH54" s="615">
        <f t="shared" ref="AH54:AH113" si="57">AF54+AG54</f>
        <v>-86.736877822022279</v>
      </c>
      <c r="AM54" s="619" t="s">
        <v>378</v>
      </c>
      <c r="AN54">
        <v>36</v>
      </c>
      <c r="AO54" s="615">
        <f>(AO32*AN54)/$AN$40</f>
        <v>0.91905882352941182</v>
      </c>
      <c r="AQ54" s="679">
        <f>(AQ32*AN54)/$AN$40</f>
        <v>0.63529411764705879</v>
      </c>
    </row>
    <row r="55" spans="1:43">
      <c r="A55">
        <v>2026</v>
      </c>
      <c r="B55" s="615"/>
      <c r="O55" s="615">
        <f t="shared" si="55"/>
        <v>614.60369066281544</v>
      </c>
      <c r="P55" s="615"/>
      <c r="Q55" s="615"/>
      <c r="R55" s="615"/>
      <c r="S55" s="615"/>
      <c r="T55" s="615"/>
      <c r="U55" s="615">
        <f t="shared" ref="U55:U113" si="58">U54+C55+I55</f>
        <v>-13.003921856699758</v>
      </c>
      <c r="V55" s="615">
        <f t="shared" si="56"/>
        <v>601.59976880611566</v>
      </c>
      <c r="Z55" s="615">
        <f t="shared" ref="Z55:Z113" si="59">Z54+W55</f>
        <v>521.56293818255449</v>
      </c>
      <c r="AA55" s="615">
        <f t="shared" ref="AA55:AA113" si="60">AA54+X55+Y55</f>
        <v>-181.28821723221171</v>
      </c>
      <c r="AB55" s="615">
        <f t="shared" si="54"/>
        <v>340.27472095034278</v>
      </c>
      <c r="AF55" s="615">
        <f t="shared" ref="AF55:AF113" si="61">AF54+AC55</f>
        <v>404.10271683491567</v>
      </c>
      <c r="AG55" s="615">
        <f t="shared" ref="AG55:AG113" si="62">AG54+AD55+AE55</f>
        <v>-490.83959465693795</v>
      </c>
      <c r="AH55" s="615">
        <f t="shared" si="57"/>
        <v>-86.736877822022279</v>
      </c>
      <c r="AM55" s="619" t="s">
        <v>2970</v>
      </c>
      <c r="AN55">
        <v>0</v>
      </c>
      <c r="AO55" s="615">
        <f>(AO33*AN55)/$AN$40</f>
        <v>0</v>
      </c>
      <c r="AQ55" s="679">
        <f>(AQ33*AN55)/$AN$40</f>
        <v>0</v>
      </c>
    </row>
    <row r="56" spans="1:43">
      <c r="A56">
        <v>2027</v>
      </c>
      <c r="B56" s="615"/>
      <c r="O56" s="615">
        <f t="shared" si="55"/>
        <v>614.60369066281544</v>
      </c>
      <c r="P56" s="615"/>
      <c r="Q56" s="615"/>
      <c r="R56" s="615"/>
      <c r="S56" s="615"/>
      <c r="T56" s="615"/>
      <c r="U56" s="615">
        <f t="shared" si="58"/>
        <v>-13.003921856699758</v>
      </c>
      <c r="V56" s="615">
        <f t="shared" si="56"/>
        <v>601.59976880611566</v>
      </c>
      <c r="Z56" s="615">
        <f t="shared" si="59"/>
        <v>521.56293818255449</v>
      </c>
      <c r="AA56" s="615">
        <f t="shared" si="60"/>
        <v>-181.28821723221171</v>
      </c>
      <c r="AB56" s="615">
        <f t="shared" si="54"/>
        <v>340.27472095034278</v>
      </c>
      <c r="AF56" s="615">
        <f t="shared" si="61"/>
        <v>404.10271683491567</v>
      </c>
      <c r="AG56" s="615">
        <f t="shared" si="62"/>
        <v>-490.83959465693795</v>
      </c>
      <c r="AH56" s="615">
        <f t="shared" si="57"/>
        <v>-86.736877822022279</v>
      </c>
      <c r="AM56" s="619" t="s">
        <v>241</v>
      </c>
      <c r="AO56">
        <v>0.41</v>
      </c>
      <c r="AQ56" s="679">
        <f>AO56</f>
        <v>0.41</v>
      </c>
    </row>
    <row r="57" spans="1:43">
      <c r="A57">
        <v>2028</v>
      </c>
      <c r="B57" s="615"/>
      <c r="O57" s="615">
        <f t="shared" si="55"/>
        <v>614.60369066281544</v>
      </c>
      <c r="P57" s="615"/>
      <c r="Q57" s="615"/>
      <c r="R57" s="615"/>
      <c r="S57" s="615"/>
      <c r="T57" s="615"/>
      <c r="U57" s="615">
        <f t="shared" si="58"/>
        <v>-13.003921856699758</v>
      </c>
      <c r="V57" s="615">
        <f t="shared" si="56"/>
        <v>601.59976880611566</v>
      </c>
      <c r="Z57" s="615">
        <f t="shared" si="59"/>
        <v>521.56293818255449</v>
      </c>
      <c r="AA57" s="615">
        <f t="shared" si="60"/>
        <v>-181.28821723221171</v>
      </c>
      <c r="AB57" s="615">
        <f t="shared" si="54"/>
        <v>340.27472095034278</v>
      </c>
      <c r="AF57" s="615">
        <f t="shared" si="61"/>
        <v>404.10271683491567</v>
      </c>
      <c r="AG57" s="615">
        <f t="shared" si="62"/>
        <v>-490.83959465693795</v>
      </c>
      <c r="AH57" s="615">
        <f t="shared" si="57"/>
        <v>-86.736877822022279</v>
      </c>
      <c r="AM57" s="619" t="s">
        <v>2974</v>
      </c>
      <c r="AO57">
        <v>0.38</v>
      </c>
      <c r="AQ57" s="679">
        <f t="shared" ref="AQ57:AQ64" si="63">AO57</f>
        <v>0.38</v>
      </c>
    </row>
    <row r="58" spans="1:43">
      <c r="A58">
        <v>2029</v>
      </c>
      <c r="B58" s="615"/>
      <c r="O58" s="615">
        <f t="shared" si="55"/>
        <v>614.60369066281544</v>
      </c>
      <c r="P58" s="615"/>
      <c r="Q58" s="615"/>
      <c r="R58" s="615"/>
      <c r="S58" s="615"/>
      <c r="T58" s="615"/>
      <c r="U58" s="615">
        <f t="shared" si="58"/>
        <v>-13.003921856699758</v>
      </c>
      <c r="V58" s="615">
        <f t="shared" si="56"/>
        <v>601.59976880611566</v>
      </c>
      <c r="Z58" s="615">
        <f t="shared" si="59"/>
        <v>521.56293818255449</v>
      </c>
      <c r="AA58" s="615">
        <f t="shared" si="60"/>
        <v>-181.28821723221171</v>
      </c>
      <c r="AB58" s="615">
        <f t="shared" si="54"/>
        <v>340.27472095034278</v>
      </c>
      <c r="AF58" s="615">
        <f t="shared" si="61"/>
        <v>404.10271683491567</v>
      </c>
      <c r="AG58" s="615">
        <f t="shared" si="62"/>
        <v>-490.83959465693795</v>
      </c>
      <c r="AH58" s="615">
        <f t="shared" si="57"/>
        <v>-86.736877822022279</v>
      </c>
      <c r="AM58" s="619" t="s">
        <v>2975</v>
      </c>
      <c r="AO58">
        <v>0.42</v>
      </c>
      <c r="AQ58" s="679">
        <f t="shared" si="63"/>
        <v>0.42</v>
      </c>
    </row>
    <row r="59" spans="1:43">
      <c r="A59">
        <v>2030</v>
      </c>
      <c r="B59" s="615"/>
      <c r="O59" s="615">
        <f t="shared" si="55"/>
        <v>614.60369066281544</v>
      </c>
      <c r="P59" s="615"/>
      <c r="Q59" s="615"/>
      <c r="R59" s="615"/>
      <c r="S59" s="615"/>
      <c r="T59" s="615"/>
      <c r="U59" s="615">
        <f t="shared" si="58"/>
        <v>-13.003921856699758</v>
      </c>
      <c r="V59" s="615">
        <f t="shared" si="56"/>
        <v>601.59976880611566</v>
      </c>
      <c r="Z59" s="615">
        <f t="shared" si="59"/>
        <v>521.56293818255449</v>
      </c>
      <c r="AA59" s="615">
        <f t="shared" si="60"/>
        <v>-181.28821723221171</v>
      </c>
      <c r="AB59" s="615">
        <f t="shared" si="54"/>
        <v>340.27472095034278</v>
      </c>
      <c r="AF59" s="615">
        <f t="shared" si="61"/>
        <v>404.10271683491567</v>
      </c>
      <c r="AG59" s="615">
        <f t="shared" si="62"/>
        <v>-490.83959465693795</v>
      </c>
      <c r="AH59" s="615">
        <f t="shared" si="57"/>
        <v>-86.736877822022279</v>
      </c>
      <c r="AM59" s="619" t="s">
        <v>154</v>
      </c>
      <c r="AO59">
        <v>0.04</v>
      </c>
      <c r="AQ59" s="679">
        <f t="shared" si="63"/>
        <v>0.04</v>
      </c>
    </row>
    <row r="60" spans="1:43">
      <c r="A60">
        <v>2031</v>
      </c>
      <c r="B60" s="615"/>
      <c r="O60" s="615">
        <f t="shared" si="55"/>
        <v>614.60369066281544</v>
      </c>
      <c r="P60" s="615"/>
      <c r="Q60" s="615"/>
      <c r="R60" s="615"/>
      <c r="S60" s="615"/>
      <c r="T60" s="615"/>
      <c r="U60" s="615">
        <f t="shared" si="58"/>
        <v>-13.003921856699758</v>
      </c>
      <c r="V60" s="615">
        <f t="shared" si="56"/>
        <v>601.59976880611566</v>
      </c>
      <c r="Z60" s="615">
        <f t="shared" si="59"/>
        <v>521.56293818255449</v>
      </c>
      <c r="AA60" s="615">
        <f t="shared" si="60"/>
        <v>-181.28821723221171</v>
      </c>
      <c r="AB60" s="615">
        <f t="shared" si="54"/>
        <v>340.27472095034278</v>
      </c>
      <c r="AF60" s="615">
        <f t="shared" si="61"/>
        <v>404.10271683491567</v>
      </c>
      <c r="AG60" s="615">
        <f t="shared" si="62"/>
        <v>-490.83959465693795</v>
      </c>
      <c r="AH60" s="615">
        <f t="shared" si="57"/>
        <v>-86.736877822022279</v>
      </c>
      <c r="AM60" s="619" t="s">
        <v>2976</v>
      </c>
      <c r="AO60">
        <v>0.25</v>
      </c>
      <c r="AQ60" s="679">
        <f t="shared" si="63"/>
        <v>0.25</v>
      </c>
    </row>
    <row r="61" spans="1:43">
      <c r="A61">
        <v>2032</v>
      </c>
      <c r="B61" s="615"/>
      <c r="O61" s="615">
        <f t="shared" si="55"/>
        <v>614.60369066281544</v>
      </c>
      <c r="P61" s="615"/>
      <c r="Q61" s="615"/>
      <c r="R61" s="615"/>
      <c r="S61" s="615"/>
      <c r="T61" s="615"/>
      <c r="U61" s="615">
        <f t="shared" si="58"/>
        <v>-13.003921856699758</v>
      </c>
      <c r="V61" s="615">
        <f t="shared" si="56"/>
        <v>601.59976880611566</v>
      </c>
      <c r="Z61" s="615">
        <f t="shared" si="59"/>
        <v>521.56293818255449</v>
      </c>
      <c r="AA61" s="615">
        <f t="shared" si="60"/>
        <v>-181.28821723221171</v>
      </c>
      <c r="AB61" s="615">
        <f t="shared" si="54"/>
        <v>340.27472095034278</v>
      </c>
      <c r="AF61" s="615">
        <f t="shared" si="61"/>
        <v>404.10271683491567</v>
      </c>
      <c r="AG61" s="615">
        <f t="shared" si="62"/>
        <v>-490.83959465693795</v>
      </c>
      <c r="AH61" s="615">
        <f t="shared" si="57"/>
        <v>-86.736877822022279</v>
      </c>
      <c r="AM61" s="619" t="s">
        <v>2977</v>
      </c>
      <c r="AO61">
        <v>0.18</v>
      </c>
      <c r="AQ61" s="679">
        <f t="shared" si="63"/>
        <v>0.18</v>
      </c>
    </row>
    <row r="62" spans="1:43">
      <c r="A62">
        <v>2033</v>
      </c>
      <c r="B62" s="615"/>
      <c r="O62" s="615">
        <f t="shared" si="55"/>
        <v>614.60369066281544</v>
      </c>
      <c r="P62" s="615"/>
      <c r="Q62" s="615"/>
      <c r="R62" s="615"/>
      <c r="S62" s="615"/>
      <c r="T62" s="615"/>
      <c r="U62" s="615">
        <f t="shared" si="58"/>
        <v>-13.003921856699758</v>
      </c>
      <c r="V62" s="615">
        <f t="shared" si="56"/>
        <v>601.59976880611566</v>
      </c>
      <c r="Z62" s="615">
        <f t="shared" si="59"/>
        <v>521.56293818255449</v>
      </c>
      <c r="AA62" s="615">
        <f t="shared" si="60"/>
        <v>-181.28821723221171</v>
      </c>
      <c r="AB62" s="615">
        <f t="shared" si="54"/>
        <v>340.27472095034278</v>
      </c>
      <c r="AF62" s="615">
        <f t="shared" si="61"/>
        <v>404.10271683491567</v>
      </c>
      <c r="AG62" s="615">
        <f t="shared" si="62"/>
        <v>-490.83959465693795</v>
      </c>
      <c r="AH62" s="615">
        <f t="shared" si="57"/>
        <v>-86.736877822022279</v>
      </c>
      <c r="AM62" s="619" t="s">
        <v>2962</v>
      </c>
      <c r="AN62">
        <v>0</v>
      </c>
      <c r="AO62" s="615">
        <f>(AO34*AN62)/$AN$40</f>
        <v>0</v>
      </c>
      <c r="AQ62" s="679">
        <f t="shared" si="63"/>
        <v>0</v>
      </c>
    </row>
    <row r="63" spans="1:43">
      <c r="A63">
        <v>2034</v>
      </c>
      <c r="B63" s="615"/>
      <c r="O63" s="615">
        <f t="shared" si="55"/>
        <v>614.60369066281544</v>
      </c>
      <c r="P63" s="615"/>
      <c r="Q63" s="615"/>
      <c r="R63" s="615"/>
      <c r="S63" s="615"/>
      <c r="T63" s="615"/>
      <c r="U63" s="615">
        <f t="shared" si="58"/>
        <v>-13.003921856699758</v>
      </c>
      <c r="V63" s="615">
        <f t="shared" si="56"/>
        <v>601.59976880611566</v>
      </c>
      <c r="Z63" s="615">
        <f t="shared" si="59"/>
        <v>521.56293818255449</v>
      </c>
      <c r="AA63" s="615">
        <f t="shared" si="60"/>
        <v>-181.28821723221171</v>
      </c>
      <c r="AB63" s="615">
        <f t="shared" si="54"/>
        <v>340.27472095034278</v>
      </c>
      <c r="AF63" s="615">
        <f t="shared" si="61"/>
        <v>404.10271683491567</v>
      </c>
      <c r="AG63" s="615">
        <f t="shared" si="62"/>
        <v>-490.83959465693795</v>
      </c>
      <c r="AH63" s="615">
        <f t="shared" si="57"/>
        <v>-86.736877822022279</v>
      </c>
      <c r="AM63" s="619" t="s">
        <v>2963</v>
      </c>
      <c r="AN63">
        <v>0</v>
      </c>
      <c r="AO63" s="615">
        <f>(AO36*AN63)/$AN$40</f>
        <v>0</v>
      </c>
      <c r="AQ63" s="679">
        <f t="shared" si="63"/>
        <v>0</v>
      </c>
    </row>
    <row r="64" spans="1:43">
      <c r="A64">
        <v>2035</v>
      </c>
      <c r="B64" s="615"/>
      <c r="O64" s="615">
        <f t="shared" si="55"/>
        <v>614.60369066281544</v>
      </c>
      <c r="P64" s="615"/>
      <c r="Q64" s="615"/>
      <c r="R64" s="615"/>
      <c r="S64" s="615"/>
      <c r="T64" s="615"/>
      <c r="U64" s="615">
        <f t="shared" si="58"/>
        <v>-13.003921856699758</v>
      </c>
      <c r="V64" s="615">
        <f t="shared" si="56"/>
        <v>601.59976880611566</v>
      </c>
      <c r="Z64" s="615">
        <f t="shared" si="59"/>
        <v>521.56293818255449</v>
      </c>
      <c r="AA64" s="615">
        <f t="shared" si="60"/>
        <v>-181.28821723221171</v>
      </c>
      <c r="AB64" s="615">
        <f t="shared" si="54"/>
        <v>340.27472095034278</v>
      </c>
      <c r="AF64" s="615">
        <f t="shared" si="61"/>
        <v>404.10271683491567</v>
      </c>
      <c r="AG64" s="615">
        <f t="shared" si="62"/>
        <v>-490.83959465693795</v>
      </c>
      <c r="AH64" s="615">
        <f t="shared" si="57"/>
        <v>-86.736877822022279</v>
      </c>
      <c r="AM64" s="619" t="s">
        <v>2964</v>
      </c>
      <c r="AO64">
        <v>0.3</v>
      </c>
      <c r="AQ64" s="679">
        <f t="shared" si="63"/>
        <v>0.3</v>
      </c>
    </row>
    <row r="65" spans="1:43">
      <c r="A65">
        <v>2036</v>
      </c>
      <c r="B65" s="615"/>
      <c r="O65" s="615">
        <f t="shared" si="55"/>
        <v>614.60369066281544</v>
      </c>
      <c r="P65" s="615"/>
      <c r="Q65" s="615"/>
      <c r="R65" s="615"/>
      <c r="S65" s="615"/>
      <c r="T65" s="615"/>
      <c r="U65" s="615">
        <f t="shared" si="58"/>
        <v>-13.003921856699758</v>
      </c>
      <c r="V65" s="615">
        <f t="shared" si="56"/>
        <v>601.59976880611566</v>
      </c>
      <c r="Z65" s="615">
        <f t="shared" si="59"/>
        <v>521.56293818255449</v>
      </c>
      <c r="AA65" s="615">
        <f t="shared" si="60"/>
        <v>-181.28821723221171</v>
      </c>
      <c r="AB65" s="615">
        <f t="shared" si="54"/>
        <v>340.27472095034278</v>
      </c>
      <c r="AF65" s="615">
        <f t="shared" si="61"/>
        <v>404.10271683491567</v>
      </c>
      <c r="AG65" s="615">
        <f t="shared" si="62"/>
        <v>-490.83959465693795</v>
      </c>
      <c r="AH65" s="615">
        <f t="shared" si="57"/>
        <v>-86.736877822022279</v>
      </c>
      <c r="AM65" s="619"/>
      <c r="AQ65" s="419"/>
    </row>
    <row r="66" spans="1:43">
      <c r="A66">
        <v>2037</v>
      </c>
      <c r="B66" s="615"/>
      <c r="O66" s="615">
        <f t="shared" si="55"/>
        <v>614.60369066281544</v>
      </c>
      <c r="P66" s="615"/>
      <c r="Q66" s="615"/>
      <c r="R66" s="615"/>
      <c r="S66" s="615"/>
      <c r="T66" s="615"/>
      <c r="U66" s="615">
        <f t="shared" si="58"/>
        <v>-13.003921856699758</v>
      </c>
      <c r="V66" s="615">
        <f t="shared" si="56"/>
        <v>601.59976880611566</v>
      </c>
      <c r="Z66" s="615">
        <f t="shared" si="59"/>
        <v>521.56293818255449</v>
      </c>
      <c r="AA66" s="615">
        <f t="shared" si="60"/>
        <v>-181.28821723221171</v>
      </c>
      <c r="AB66" s="615">
        <f t="shared" si="54"/>
        <v>340.27472095034278</v>
      </c>
      <c r="AF66" s="615">
        <f t="shared" si="61"/>
        <v>404.10271683491567</v>
      </c>
      <c r="AG66" s="615">
        <f t="shared" si="62"/>
        <v>-490.83959465693795</v>
      </c>
      <c r="AH66" s="615">
        <f t="shared" si="57"/>
        <v>-86.736877822022279</v>
      </c>
      <c r="AM66" s="619" t="s">
        <v>2978</v>
      </c>
      <c r="AO66" s="615">
        <f>SUM(AO41:AO64)</f>
        <v>7.0107647058823526</v>
      </c>
      <c r="AQ66" s="679">
        <f>SUM(AQ41:AQ64)</f>
        <v>4.9800588235294114</v>
      </c>
    </row>
    <row r="67" spans="1:43">
      <c r="A67">
        <v>2038</v>
      </c>
      <c r="B67" s="615"/>
      <c r="O67" s="615">
        <f t="shared" si="55"/>
        <v>614.60369066281544</v>
      </c>
      <c r="P67" s="615"/>
      <c r="Q67" s="615"/>
      <c r="R67" s="615"/>
      <c r="S67" s="615"/>
      <c r="T67" s="615"/>
      <c r="U67" s="615">
        <f t="shared" si="58"/>
        <v>-13.003921856699758</v>
      </c>
      <c r="V67" s="615">
        <f t="shared" si="56"/>
        <v>601.59976880611566</v>
      </c>
      <c r="Z67" s="615">
        <f t="shared" si="59"/>
        <v>521.56293818255449</v>
      </c>
      <c r="AA67" s="615">
        <f t="shared" si="60"/>
        <v>-181.28821723221171</v>
      </c>
      <c r="AB67" s="615">
        <f t="shared" si="54"/>
        <v>340.27472095034278</v>
      </c>
      <c r="AF67" s="615">
        <f t="shared" si="61"/>
        <v>404.10271683491567</v>
      </c>
      <c r="AG67" s="615">
        <f t="shared" si="62"/>
        <v>-490.83959465693795</v>
      </c>
      <c r="AH67" s="615">
        <f t="shared" si="57"/>
        <v>-86.736877822022279</v>
      </c>
      <c r="AM67" s="619"/>
      <c r="AQ67" s="419"/>
    </row>
    <row r="68" spans="1:43" ht="16.5" thickBot="1">
      <c r="A68">
        <v>2039</v>
      </c>
      <c r="B68" s="615"/>
      <c r="O68" s="615">
        <f t="shared" si="55"/>
        <v>614.60369066281544</v>
      </c>
      <c r="P68" s="615"/>
      <c r="Q68" s="615"/>
      <c r="R68" s="615"/>
      <c r="S68" s="615"/>
      <c r="T68" s="615"/>
      <c r="U68" s="615">
        <f t="shared" si="58"/>
        <v>-13.003921856699758</v>
      </c>
      <c r="V68" s="615">
        <f t="shared" si="56"/>
        <v>601.59976880611566</v>
      </c>
      <c r="Z68" s="615">
        <f t="shared" si="59"/>
        <v>521.56293818255449</v>
      </c>
      <c r="AA68" s="615">
        <f t="shared" si="60"/>
        <v>-181.28821723221171</v>
      </c>
      <c r="AB68" s="615">
        <f t="shared" si="54"/>
        <v>340.27472095034278</v>
      </c>
      <c r="AF68" s="615">
        <f t="shared" si="61"/>
        <v>404.10271683491567</v>
      </c>
      <c r="AG68" s="615">
        <f t="shared" si="62"/>
        <v>-490.83959465693795</v>
      </c>
      <c r="AH68" s="615">
        <f t="shared" si="57"/>
        <v>-86.736877822022279</v>
      </c>
      <c r="AM68" s="620"/>
      <c r="AN68" s="506"/>
      <c r="AO68" s="801">
        <f>AO66*$AO$2</f>
        <v>420.64588235294116</v>
      </c>
      <c r="AP68" s="801"/>
      <c r="AQ68" s="882">
        <f>AQ66*$AO$2</f>
        <v>298.80352941176466</v>
      </c>
    </row>
    <row r="69" spans="1:43">
      <c r="A69">
        <v>2040</v>
      </c>
      <c r="B69" s="615"/>
      <c r="O69" s="615">
        <f t="shared" si="55"/>
        <v>614.60369066281544</v>
      </c>
      <c r="P69" s="615"/>
      <c r="Q69" s="615"/>
      <c r="R69" s="615"/>
      <c r="S69" s="615"/>
      <c r="T69" s="615"/>
      <c r="U69" s="615">
        <f t="shared" si="58"/>
        <v>-13.003921856699758</v>
      </c>
      <c r="V69" s="615">
        <f t="shared" si="56"/>
        <v>601.59976880611566</v>
      </c>
      <c r="Z69" s="615">
        <f t="shared" si="59"/>
        <v>521.56293818255449</v>
      </c>
      <c r="AA69" s="615">
        <f t="shared" si="60"/>
        <v>-181.28821723221171</v>
      </c>
      <c r="AB69" s="615">
        <f t="shared" si="54"/>
        <v>340.27472095034278</v>
      </c>
      <c r="AF69" s="615">
        <f t="shared" si="61"/>
        <v>404.10271683491567</v>
      </c>
      <c r="AG69" s="615">
        <f t="shared" si="62"/>
        <v>-490.83959465693795</v>
      </c>
      <c r="AH69" s="615">
        <f t="shared" si="57"/>
        <v>-86.736877822022279</v>
      </c>
    </row>
    <row r="70" spans="1:43">
      <c r="A70">
        <v>2041</v>
      </c>
      <c r="B70" s="615"/>
      <c r="O70" s="615">
        <f t="shared" si="55"/>
        <v>614.60369066281544</v>
      </c>
      <c r="P70" s="615"/>
      <c r="Q70" s="615"/>
      <c r="R70" s="615"/>
      <c r="S70" s="615"/>
      <c r="T70" s="615"/>
      <c r="U70" s="615">
        <f t="shared" si="58"/>
        <v>-13.003921856699758</v>
      </c>
      <c r="V70" s="615">
        <f t="shared" si="56"/>
        <v>601.59976880611566</v>
      </c>
      <c r="Z70" s="615">
        <f t="shared" si="59"/>
        <v>521.56293818255449</v>
      </c>
      <c r="AA70" s="615">
        <f t="shared" si="60"/>
        <v>-181.28821723221171</v>
      </c>
      <c r="AB70" s="615">
        <f t="shared" si="54"/>
        <v>340.27472095034278</v>
      </c>
      <c r="AF70" s="615">
        <f t="shared" si="61"/>
        <v>404.10271683491567</v>
      </c>
      <c r="AG70" s="615">
        <f t="shared" si="62"/>
        <v>-490.83959465693795</v>
      </c>
      <c r="AH70" s="615">
        <f t="shared" si="57"/>
        <v>-86.736877822022279</v>
      </c>
    </row>
    <row r="71" spans="1:43">
      <c r="A71">
        <v>2042</v>
      </c>
      <c r="B71" s="615"/>
      <c r="O71" s="615">
        <f t="shared" si="55"/>
        <v>614.60369066281544</v>
      </c>
      <c r="P71" s="615"/>
      <c r="Q71" s="615"/>
      <c r="R71" s="615"/>
      <c r="S71" s="615"/>
      <c r="T71" s="615"/>
      <c r="U71" s="615">
        <f t="shared" si="58"/>
        <v>-13.003921856699758</v>
      </c>
      <c r="V71" s="615">
        <f t="shared" si="56"/>
        <v>601.59976880611566</v>
      </c>
      <c r="Z71" s="615">
        <f t="shared" si="59"/>
        <v>521.56293818255449</v>
      </c>
      <c r="AA71" s="615">
        <f t="shared" si="60"/>
        <v>-181.28821723221171</v>
      </c>
      <c r="AB71" s="615">
        <f t="shared" si="54"/>
        <v>340.27472095034278</v>
      </c>
      <c r="AF71" s="615">
        <f t="shared" si="61"/>
        <v>404.10271683491567</v>
      </c>
      <c r="AG71" s="615">
        <f t="shared" si="62"/>
        <v>-490.83959465693795</v>
      </c>
      <c r="AH71" s="615">
        <f t="shared" si="57"/>
        <v>-86.736877822022279</v>
      </c>
    </row>
    <row r="72" spans="1:43">
      <c r="A72">
        <v>2043</v>
      </c>
      <c r="B72" s="615"/>
      <c r="O72" s="615">
        <f t="shared" si="55"/>
        <v>614.60369066281544</v>
      </c>
      <c r="P72" s="615"/>
      <c r="Q72" s="615"/>
      <c r="R72" s="615"/>
      <c r="S72" s="615"/>
      <c r="T72" s="615"/>
      <c r="U72" s="615">
        <f t="shared" si="58"/>
        <v>-13.003921856699758</v>
      </c>
      <c r="V72" s="615">
        <f t="shared" si="56"/>
        <v>601.59976880611566</v>
      </c>
      <c r="Z72" s="615">
        <f t="shared" si="59"/>
        <v>521.56293818255449</v>
      </c>
      <c r="AA72" s="615">
        <f t="shared" si="60"/>
        <v>-181.28821723221171</v>
      </c>
      <c r="AB72" s="615">
        <f t="shared" si="54"/>
        <v>340.27472095034278</v>
      </c>
      <c r="AF72" s="615">
        <f t="shared" si="61"/>
        <v>404.10271683491567</v>
      </c>
      <c r="AG72" s="615">
        <f t="shared" si="62"/>
        <v>-490.83959465693795</v>
      </c>
      <c r="AH72" s="615">
        <f t="shared" si="57"/>
        <v>-86.736877822022279</v>
      </c>
    </row>
    <row r="73" spans="1:43">
      <c r="A73">
        <v>2044</v>
      </c>
      <c r="B73" s="615"/>
      <c r="O73" s="615">
        <f t="shared" si="55"/>
        <v>614.60369066281544</v>
      </c>
      <c r="P73" s="615"/>
      <c r="Q73" s="615"/>
      <c r="R73" s="615"/>
      <c r="S73" s="615"/>
      <c r="T73" s="615"/>
      <c r="U73" s="615">
        <f t="shared" si="58"/>
        <v>-13.003921856699758</v>
      </c>
      <c r="V73" s="615">
        <f t="shared" si="56"/>
        <v>601.59976880611566</v>
      </c>
      <c r="Z73" s="615">
        <f t="shared" si="59"/>
        <v>521.56293818255449</v>
      </c>
      <c r="AA73" s="615">
        <f t="shared" si="60"/>
        <v>-181.28821723221171</v>
      </c>
      <c r="AB73" s="615">
        <f t="shared" si="54"/>
        <v>340.27472095034278</v>
      </c>
      <c r="AF73" s="615">
        <f t="shared" si="61"/>
        <v>404.10271683491567</v>
      </c>
      <c r="AG73" s="615">
        <f t="shared" si="62"/>
        <v>-490.83959465693795</v>
      </c>
      <c r="AH73" s="615">
        <f t="shared" si="57"/>
        <v>-86.736877822022279</v>
      </c>
    </row>
    <row r="74" spans="1:43">
      <c r="A74">
        <v>2045</v>
      </c>
      <c r="B74" s="615"/>
      <c r="O74" s="615">
        <f t="shared" si="55"/>
        <v>614.60369066281544</v>
      </c>
      <c r="P74" s="615"/>
      <c r="Q74" s="615"/>
      <c r="R74" s="615"/>
      <c r="S74" s="615"/>
      <c r="T74" s="615"/>
      <c r="U74" s="615">
        <f t="shared" si="58"/>
        <v>-13.003921856699758</v>
      </c>
      <c r="V74" s="615">
        <f t="shared" si="56"/>
        <v>601.59976880611566</v>
      </c>
      <c r="Z74" s="615">
        <f t="shared" si="59"/>
        <v>521.56293818255449</v>
      </c>
      <c r="AA74" s="615">
        <f t="shared" si="60"/>
        <v>-181.28821723221171</v>
      </c>
      <c r="AB74" s="615">
        <f t="shared" si="54"/>
        <v>340.27472095034278</v>
      </c>
      <c r="AF74" s="615">
        <f t="shared" si="61"/>
        <v>404.10271683491567</v>
      </c>
      <c r="AG74" s="615">
        <f t="shared" si="62"/>
        <v>-490.83959465693795</v>
      </c>
      <c r="AH74" s="615">
        <f t="shared" si="57"/>
        <v>-86.736877822022279</v>
      </c>
    </row>
    <row r="75" spans="1:43">
      <c r="A75">
        <v>2046</v>
      </c>
      <c r="B75" s="615"/>
      <c r="O75" s="615">
        <f t="shared" si="55"/>
        <v>614.60369066281544</v>
      </c>
      <c r="P75" s="615"/>
      <c r="Q75" s="615"/>
      <c r="R75" s="615"/>
      <c r="S75" s="615"/>
      <c r="T75" s="615"/>
      <c r="U75" s="615">
        <f t="shared" si="58"/>
        <v>-13.003921856699758</v>
      </c>
      <c r="V75" s="615">
        <f t="shared" si="56"/>
        <v>601.59976880611566</v>
      </c>
      <c r="Z75" s="615">
        <f t="shared" si="59"/>
        <v>521.56293818255449</v>
      </c>
      <c r="AA75" s="615">
        <f t="shared" si="60"/>
        <v>-181.28821723221171</v>
      </c>
      <c r="AB75" s="615">
        <f t="shared" si="54"/>
        <v>340.27472095034278</v>
      </c>
      <c r="AF75" s="615">
        <f t="shared" si="61"/>
        <v>404.10271683491567</v>
      </c>
      <c r="AG75" s="615">
        <f t="shared" si="62"/>
        <v>-490.83959465693795</v>
      </c>
      <c r="AH75" s="615">
        <f t="shared" si="57"/>
        <v>-86.736877822022279</v>
      </c>
    </row>
    <row r="76" spans="1:43">
      <c r="A76">
        <v>2047</v>
      </c>
      <c r="B76" s="615"/>
      <c r="O76" s="615">
        <f t="shared" si="55"/>
        <v>614.60369066281544</v>
      </c>
      <c r="P76" s="615"/>
      <c r="Q76" s="615"/>
      <c r="R76" s="615"/>
      <c r="S76" s="615"/>
      <c r="T76" s="615"/>
      <c r="U76" s="615">
        <f t="shared" si="58"/>
        <v>-13.003921856699758</v>
      </c>
      <c r="V76" s="615">
        <f t="shared" si="56"/>
        <v>601.59976880611566</v>
      </c>
      <c r="Z76" s="615">
        <f t="shared" si="59"/>
        <v>521.56293818255449</v>
      </c>
      <c r="AA76" s="615">
        <f t="shared" si="60"/>
        <v>-181.28821723221171</v>
      </c>
      <c r="AB76" s="615">
        <f t="shared" si="54"/>
        <v>340.27472095034278</v>
      </c>
      <c r="AF76" s="615">
        <f t="shared" si="61"/>
        <v>404.10271683491567</v>
      </c>
      <c r="AG76" s="615">
        <f t="shared" si="62"/>
        <v>-490.83959465693795</v>
      </c>
      <c r="AH76" s="615">
        <f t="shared" si="57"/>
        <v>-86.736877822022279</v>
      </c>
    </row>
    <row r="77" spans="1:43">
      <c r="A77">
        <v>2048</v>
      </c>
      <c r="B77" s="615"/>
      <c r="O77" s="615">
        <f t="shared" si="55"/>
        <v>614.60369066281544</v>
      </c>
      <c r="P77" s="615"/>
      <c r="Q77" s="615"/>
      <c r="R77" s="615"/>
      <c r="S77" s="615"/>
      <c r="T77" s="615"/>
      <c r="U77" s="615">
        <f t="shared" si="58"/>
        <v>-13.003921856699758</v>
      </c>
      <c r="V77" s="615">
        <f t="shared" si="56"/>
        <v>601.59976880611566</v>
      </c>
      <c r="Z77" s="615">
        <f t="shared" si="59"/>
        <v>521.56293818255449</v>
      </c>
      <c r="AA77" s="615">
        <f t="shared" si="60"/>
        <v>-181.28821723221171</v>
      </c>
      <c r="AB77" s="615">
        <f t="shared" si="54"/>
        <v>340.27472095034278</v>
      </c>
      <c r="AF77" s="615">
        <f t="shared" si="61"/>
        <v>404.10271683491567</v>
      </c>
      <c r="AG77" s="615">
        <f t="shared" si="62"/>
        <v>-490.83959465693795</v>
      </c>
      <c r="AH77" s="615">
        <f t="shared" si="57"/>
        <v>-86.736877822022279</v>
      </c>
    </row>
    <row r="78" spans="1:43">
      <c r="A78">
        <v>2049</v>
      </c>
      <c r="B78" s="615"/>
      <c r="O78" s="615">
        <f t="shared" si="55"/>
        <v>614.60369066281544</v>
      </c>
      <c r="P78" s="615"/>
      <c r="Q78" s="615"/>
      <c r="R78" s="615"/>
      <c r="S78" s="615"/>
      <c r="T78" s="615"/>
      <c r="U78" s="615">
        <f t="shared" si="58"/>
        <v>-13.003921856699758</v>
      </c>
      <c r="V78" s="615">
        <f t="shared" si="56"/>
        <v>601.59976880611566</v>
      </c>
      <c r="Z78" s="615">
        <f t="shared" si="59"/>
        <v>521.56293818255449</v>
      </c>
      <c r="AA78" s="615">
        <f t="shared" si="60"/>
        <v>-181.28821723221171</v>
      </c>
      <c r="AB78" s="615">
        <f t="shared" si="54"/>
        <v>340.27472095034278</v>
      </c>
      <c r="AF78" s="615">
        <f t="shared" si="61"/>
        <v>404.10271683491567</v>
      </c>
      <c r="AG78" s="615">
        <f t="shared" si="62"/>
        <v>-490.83959465693795</v>
      </c>
      <c r="AH78" s="615">
        <f t="shared" si="57"/>
        <v>-86.736877822022279</v>
      </c>
    </row>
    <row r="79" spans="1:43">
      <c r="A79">
        <v>2050</v>
      </c>
      <c r="B79" s="615"/>
      <c r="O79" s="615">
        <f t="shared" si="55"/>
        <v>614.60369066281544</v>
      </c>
      <c r="P79" s="615"/>
      <c r="Q79" s="615"/>
      <c r="R79" s="615"/>
      <c r="S79" s="615"/>
      <c r="T79" s="615"/>
      <c r="U79" s="615">
        <f t="shared" si="58"/>
        <v>-13.003921856699758</v>
      </c>
      <c r="V79" s="615">
        <f t="shared" si="56"/>
        <v>601.59976880611566</v>
      </c>
      <c r="Z79" s="615">
        <f t="shared" si="59"/>
        <v>521.56293818255449</v>
      </c>
      <c r="AA79" s="615">
        <f t="shared" si="60"/>
        <v>-181.28821723221171</v>
      </c>
      <c r="AB79" s="615">
        <f t="shared" si="54"/>
        <v>340.27472095034278</v>
      </c>
      <c r="AF79" s="615">
        <f t="shared" si="61"/>
        <v>404.10271683491567</v>
      </c>
      <c r="AG79" s="615">
        <f t="shared" si="62"/>
        <v>-490.83959465693795</v>
      </c>
      <c r="AH79" s="615">
        <f t="shared" si="57"/>
        <v>-86.736877822022279</v>
      </c>
    </row>
    <row r="80" spans="1:43">
      <c r="A80">
        <v>2051</v>
      </c>
      <c r="B80" s="615"/>
      <c r="O80" s="615">
        <f t="shared" si="55"/>
        <v>614.60369066281544</v>
      </c>
      <c r="P80" s="615"/>
      <c r="Q80" s="615"/>
      <c r="R80" s="615"/>
      <c r="S80" s="615"/>
      <c r="T80" s="615"/>
      <c r="U80" s="615">
        <f t="shared" si="58"/>
        <v>-13.003921856699758</v>
      </c>
      <c r="V80" s="615">
        <f t="shared" si="56"/>
        <v>601.59976880611566</v>
      </c>
      <c r="Z80" s="615">
        <f t="shared" si="59"/>
        <v>521.56293818255449</v>
      </c>
      <c r="AA80" s="615">
        <f t="shared" si="60"/>
        <v>-181.28821723221171</v>
      </c>
      <c r="AB80" s="615">
        <f t="shared" si="54"/>
        <v>340.27472095034278</v>
      </c>
      <c r="AF80" s="615">
        <f t="shared" si="61"/>
        <v>404.10271683491567</v>
      </c>
      <c r="AG80" s="615">
        <f t="shared" si="62"/>
        <v>-490.83959465693795</v>
      </c>
      <c r="AH80" s="615">
        <f t="shared" si="57"/>
        <v>-86.736877822022279</v>
      </c>
    </row>
    <row r="81" spans="1:34">
      <c r="A81">
        <v>2052</v>
      </c>
      <c r="B81" s="615"/>
      <c r="O81" s="615">
        <f t="shared" si="55"/>
        <v>614.60369066281544</v>
      </c>
      <c r="P81" s="615"/>
      <c r="Q81" s="615"/>
      <c r="R81" s="615"/>
      <c r="S81" s="615"/>
      <c r="T81" s="615"/>
      <c r="U81" s="615">
        <f t="shared" si="58"/>
        <v>-13.003921856699758</v>
      </c>
      <c r="V81" s="615">
        <f t="shared" si="56"/>
        <v>601.59976880611566</v>
      </c>
      <c r="Z81" s="615">
        <f t="shared" si="59"/>
        <v>521.56293818255449</v>
      </c>
      <c r="AA81" s="615">
        <f t="shared" si="60"/>
        <v>-181.28821723221171</v>
      </c>
      <c r="AB81" s="615">
        <f t="shared" si="54"/>
        <v>340.27472095034278</v>
      </c>
      <c r="AF81" s="615">
        <f t="shared" si="61"/>
        <v>404.10271683491567</v>
      </c>
      <c r="AG81" s="615">
        <f t="shared" si="62"/>
        <v>-490.83959465693795</v>
      </c>
      <c r="AH81" s="615">
        <f t="shared" si="57"/>
        <v>-86.736877822022279</v>
      </c>
    </row>
    <row r="82" spans="1:34">
      <c r="A82">
        <v>2053</v>
      </c>
      <c r="B82" s="615"/>
      <c r="O82" s="615">
        <f t="shared" si="55"/>
        <v>614.60369066281544</v>
      </c>
      <c r="P82" s="615"/>
      <c r="Q82" s="615"/>
      <c r="R82" s="615"/>
      <c r="S82" s="615"/>
      <c r="T82" s="615"/>
      <c r="U82" s="615">
        <f t="shared" si="58"/>
        <v>-13.003921856699758</v>
      </c>
      <c r="V82" s="615">
        <f t="shared" si="56"/>
        <v>601.59976880611566</v>
      </c>
      <c r="Z82" s="615">
        <f t="shared" si="59"/>
        <v>521.56293818255449</v>
      </c>
      <c r="AA82" s="615">
        <f t="shared" si="60"/>
        <v>-181.28821723221171</v>
      </c>
      <c r="AB82" s="615">
        <f t="shared" si="54"/>
        <v>340.27472095034278</v>
      </c>
      <c r="AF82" s="615">
        <f t="shared" si="61"/>
        <v>404.10271683491567</v>
      </c>
      <c r="AG82" s="615">
        <f t="shared" si="62"/>
        <v>-490.83959465693795</v>
      </c>
      <c r="AH82" s="615">
        <f t="shared" si="57"/>
        <v>-86.736877822022279</v>
      </c>
    </row>
    <row r="83" spans="1:34">
      <c r="A83">
        <v>2054</v>
      </c>
      <c r="B83" s="615">
        <f ca="1">Standard!P249</f>
        <v>235.63192129822312</v>
      </c>
      <c r="O83" s="615">
        <f t="shared" ca="1" si="55"/>
        <v>850.23561196103856</v>
      </c>
      <c r="P83" s="615"/>
      <c r="Q83" s="615"/>
      <c r="R83" s="615"/>
      <c r="S83" s="615"/>
      <c r="T83" s="615"/>
      <c r="U83" s="615">
        <f t="shared" si="58"/>
        <v>-13.003921856699758</v>
      </c>
      <c r="V83" s="615">
        <f t="shared" ca="1" si="56"/>
        <v>837.23169010433878</v>
      </c>
      <c r="W83" s="615">
        <f ca="1">Réaliste!P263</f>
        <v>259.8259160436599</v>
      </c>
      <c r="Y83" s="615"/>
      <c r="Z83" s="615">
        <f t="shared" ca="1" si="59"/>
        <v>781.38885422621433</v>
      </c>
      <c r="AA83" s="615">
        <f t="shared" si="60"/>
        <v>-181.28821723221171</v>
      </c>
      <c r="AB83" s="615">
        <f t="shared" ca="1" si="54"/>
        <v>600.10063699400257</v>
      </c>
      <c r="AC83" s="615">
        <f ca="1">Engagé!P262</f>
        <v>188.63862873695948</v>
      </c>
      <c r="AF83" s="615">
        <f t="shared" ca="1" si="61"/>
        <v>592.74134557187517</v>
      </c>
      <c r="AG83" s="615">
        <f t="shared" si="62"/>
        <v>-490.83959465693795</v>
      </c>
      <c r="AH83" s="615">
        <f t="shared" ca="1" si="57"/>
        <v>101.90175091493722</v>
      </c>
    </row>
    <row r="84" spans="1:34">
      <c r="A84">
        <v>2055</v>
      </c>
      <c r="B84" s="615"/>
      <c r="O84" s="615">
        <f t="shared" ca="1" si="55"/>
        <v>850.23561196103856</v>
      </c>
      <c r="P84" s="615"/>
      <c r="Q84" s="615"/>
      <c r="R84" s="615"/>
      <c r="S84" s="615"/>
      <c r="T84" s="615"/>
      <c r="U84" s="615">
        <f t="shared" si="58"/>
        <v>-13.003921856699758</v>
      </c>
      <c r="V84" s="615">
        <f t="shared" ca="1" si="56"/>
        <v>837.23169010433878</v>
      </c>
      <c r="Z84" s="615">
        <f t="shared" ca="1" si="59"/>
        <v>781.38885422621433</v>
      </c>
      <c r="AA84" s="615">
        <f t="shared" si="60"/>
        <v>-181.28821723221171</v>
      </c>
      <c r="AB84" s="615">
        <f t="shared" ca="1" si="54"/>
        <v>600.10063699400257</v>
      </c>
      <c r="AF84" s="615">
        <f t="shared" ca="1" si="61"/>
        <v>592.74134557187517</v>
      </c>
      <c r="AG84" s="615">
        <f t="shared" si="62"/>
        <v>-490.83959465693795</v>
      </c>
      <c r="AH84" s="615">
        <f t="shared" ca="1" si="57"/>
        <v>101.90175091493722</v>
      </c>
    </row>
    <row r="85" spans="1:34">
      <c r="A85">
        <v>2056</v>
      </c>
      <c r="B85" s="615"/>
      <c r="O85" s="615">
        <f t="shared" ca="1" si="55"/>
        <v>850.23561196103856</v>
      </c>
      <c r="P85" s="615"/>
      <c r="Q85" s="615"/>
      <c r="R85" s="615"/>
      <c r="S85" s="615"/>
      <c r="T85" s="615"/>
      <c r="U85" s="615">
        <f t="shared" si="58"/>
        <v>-13.003921856699758</v>
      </c>
      <c r="V85" s="615">
        <f t="shared" ca="1" si="56"/>
        <v>837.23169010433878</v>
      </c>
      <c r="Z85" s="615">
        <f t="shared" ca="1" si="59"/>
        <v>781.38885422621433</v>
      </c>
      <c r="AA85" s="615">
        <f t="shared" si="60"/>
        <v>-181.28821723221171</v>
      </c>
      <c r="AB85" s="615">
        <f t="shared" ref="AB85:AB113" ca="1" si="64">Z85+AA85</f>
        <v>600.10063699400257</v>
      </c>
      <c r="AF85" s="615">
        <f t="shared" ca="1" si="61"/>
        <v>592.74134557187517</v>
      </c>
      <c r="AG85" s="615">
        <f t="shared" si="62"/>
        <v>-490.83959465693795</v>
      </c>
      <c r="AH85" s="615">
        <f t="shared" ca="1" si="57"/>
        <v>101.90175091493722</v>
      </c>
    </row>
    <row r="86" spans="1:34">
      <c r="A86">
        <v>2057</v>
      </c>
      <c r="B86" s="615"/>
      <c r="O86" s="615">
        <f t="shared" ref="O86:O113" ca="1" si="65">O85+B86</f>
        <v>850.23561196103856</v>
      </c>
      <c r="P86" s="615"/>
      <c r="Q86" s="615"/>
      <c r="R86" s="615"/>
      <c r="S86" s="615"/>
      <c r="T86" s="615"/>
      <c r="U86" s="615">
        <f t="shared" si="58"/>
        <v>-13.003921856699758</v>
      </c>
      <c r="V86" s="615">
        <f t="shared" ca="1" si="56"/>
        <v>837.23169010433878</v>
      </c>
      <c r="Z86" s="615">
        <f t="shared" ca="1" si="59"/>
        <v>781.38885422621433</v>
      </c>
      <c r="AA86" s="615">
        <f t="shared" si="60"/>
        <v>-181.28821723221171</v>
      </c>
      <c r="AB86" s="615">
        <f t="shared" ca="1" si="64"/>
        <v>600.10063699400257</v>
      </c>
      <c r="AF86" s="615">
        <f t="shared" ca="1" si="61"/>
        <v>592.74134557187517</v>
      </c>
      <c r="AG86" s="615">
        <f t="shared" si="62"/>
        <v>-490.83959465693795</v>
      </c>
      <c r="AH86" s="615">
        <f t="shared" ca="1" si="57"/>
        <v>101.90175091493722</v>
      </c>
    </row>
    <row r="87" spans="1:34">
      <c r="A87">
        <v>2058</v>
      </c>
      <c r="B87" s="615"/>
      <c r="O87" s="615">
        <f t="shared" ca="1" si="65"/>
        <v>850.23561196103856</v>
      </c>
      <c r="P87" s="615"/>
      <c r="Q87" s="615"/>
      <c r="R87" s="615"/>
      <c r="S87" s="615"/>
      <c r="T87" s="615"/>
      <c r="U87" s="615">
        <f t="shared" si="58"/>
        <v>-13.003921856699758</v>
      </c>
      <c r="V87" s="615">
        <f t="shared" ca="1" si="56"/>
        <v>837.23169010433878</v>
      </c>
      <c r="Z87" s="615">
        <f t="shared" ca="1" si="59"/>
        <v>781.38885422621433</v>
      </c>
      <c r="AA87" s="615">
        <f t="shared" si="60"/>
        <v>-181.28821723221171</v>
      </c>
      <c r="AB87" s="615">
        <f t="shared" ca="1" si="64"/>
        <v>600.10063699400257</v>
      </c>
      <c r="AF87" s="615">
        <f t="shared" ca="1" si="61"/>
        <v>592.74134557187517</v>
      </c>
      <c r="AG87" s="615">
        <f t="shared" si="62"/>
        <v>-490.83959465693795</v>
      </c>
      <c r="AH87" s="615">
        <f t="shared" ca="1" si="57"/>
        <v>101.90175091493722</v>
      </c>
    </row>
    <row r="88" spans="1:34">
      <c r="A88">
        <v>2059</v>
      </c>
      <c r="B88" s="615"/>
      <c r="O88" s="615">
        <f t="shared" ca="1" si="65"/>
        <v>850.23561196103856</v>
      </c>
      <c r="P88" s="615"/>
      <c r="Q88" s="615"/>
      <c r="R88" s="615"/>
      <c r="S88" s="615"/>
      <c r="T88" s="615"/>
      <c r="U88" s="615">
        <f t="shared" si="58"/>
        <v>-13.003921856699758</v>
      </c>
      <c r="V88" s="615">
        <f t="shared" ca="1" si="56"/>
        <v>837.23169010433878</v>
      </c>
      <c r="Z88" s="615">
        <f t="shared" ca="1" si="59"/>
        <v>781.38885422621433</v>
      </c>
      <c r="AA88" s="615">
        <f t="shared" si="60"/>
        <v>-181.28821723221171</v>
      </c>
      <c r="AB88" s="615">
        <f t="shared" ca="1" si="64"/>
        <v>600.10063699400257</v>
      </c>
      <c r="AF88" s="615">
        <f t="shared" ca="1" si="61"/>
        <v>592.74134557187517</v>
      </c>
      <c r="AG88" s="615">
        <f t="shared" si="62"/>
        <v>-490.83959465693795</v>
      </c>
      <c r="AH88" s="615">
        <f t="shared" ca="1" si="57"/>
        <v>101.90175091493722</v>
      </c>
    </row>
    <row r="89" spans="1:34">
      <c r="A89">
        <v>2060</v>
      </c>
      <c r="B89" s="615"/>
      <c r="O89" s="615">
        <f t="shared" ca="1" si="65"/>
        <v>850.23561196103856</v>
      </c>
      <c r="P89" s="615"/>
      <c r="Q89" s="615"/>
      <c r="R89" s="615"/>
      <c r="S89" s="615"/>
      <c r="T89" s="615"/>
      <c r="U89" s="615">
        <f t="shared" si="58"/>
        <v>-13.003921856699758</v>
      </c>
      <c r="V89" s="615">
        <f t="shared" ca="1" si="56"/>
        <v>837.23169010433878</v>
      </c>
      <c r="Z89" s="615">
        <f t="shared" ca="1" si="59"/>
        <v>781.38885422621433</v>
      </c>
      <c r="AA89" s="615">
        <f t="shared" si="60"/>
        <v>-181.28821723221171</v>
      </c>
      <c r="AB89" s="615">
        <f t="shared" ca="1" si="64"/>
        <v>600.10063699400257</v>
      </c>
      <c r="AF89" s="615">
        <f t="shared" ca="1" si="61"/>
        <v>592.74134557187517</v>
      </c>
      <c r="AG89" s="615">
        <f t="shared" si="62"/>
        <v>-490.83959465693795</v>
      </c>
      <c r="AH89" s="615">
        <f t="shared" ca="1" si="57"/>
        <v>101.90175091493722</v>
      </c>
    </row>
    <row r="90" spans="1:34">
      <c r="A90">
        <v>2061</v>
      </c>
      <c r="B90" s="615"/>
      <c r="O90" s="615">
        <f t="shared" ca="1" si="65"/>
        <v>850.23561196103856</v>
      </c>
      <c r="P90" s="615"/>
      <c r="Q90" s="615"/>
      <c r="R90" s="615"/>
      <c r="S90" s="615"/>
      <c r="T90" s="615"/>
      <c r="U90" s="615">
        <f t="shared" si="58"/>
        <v>-13.003921856699758</v>
      </c>
      <c r="V90" s="615">
        <f t="shared" ca="1" si="56"/>
        <v>837.23169010433878</v>
      </c>
      <c r="Z90" s="615">
        <f t="shared" ca="1" si="59"/>
        <v>781.38885422621433</v>
      </c>
      <c r="AA90" s="615">
        <f t="shared" si="60"/>
        <v>-181.28821723221171</v>
      </c>
      <c r="AB90" s="615">
        <f t="shared" ca="1" si="64"/>
        <v>600.10063699400257</v>
      </c>
      <c r="AF90" s="615">
        <f t="shared" ca="1" si="61"/>
        <v>592.74134557187517</v>
      </c>
      <c r="AG90" s="615">
        <f t="shared" si="62"/>
        <v>-490.83959465693795</v>
      </c>
      <c r="AH90" s="615">
        <f t="shared" ca="1" si="57"/>
        <v>101.90175091493722</v>
      </c>
    </row>
    <row r="91" spans="1:34">
      <c r="A91">
        <v>2062</v>
      </c>
      <c r="B91" s="615"/>
      <c r="O91" s="615">
        <f t="shared" ca="1" si="65"/>
        <v>850.23561196103856</v>
      </c>
      <c r="P91" s="615"/>
      <c r="Q91" s="615"/>
      <c r="R91" s="615"/>
      <c r="S91" s="615"/>
      <c r="T91" s="615"/>
      <c r="U91" s="615">
        <f t="shared" si="58"/>
        <v>-13.003921856699758</v>
      </c>
      <c r="V91" s="615">
        <f t="shared" ca="1" si="56"/>
        <v>837.23169010433878</v>
      </c>
      <c r="Z91" s="615">
        <f t="shared" ca="1" si="59"/>
        <v>781.38885422621433</v>
      </c>
      <c r="AA91" s="615">
        <f t="shared" si="60"/>
        <v>-181.28821723221171</v>
      </c>
      <c r="AB91" s="615">
        <f t="shared" ca="1" si="64"/>
        <v>600.10063699400257</v>
      </c>
      <c r="AF91" s="615">
        <f t="shared" ca="1" si="61"/>
        <v>592.74134557187517</v>
      </c>
      <c r="AG91" s="615">
        <f t="shared" si="62"/>
        <v>-490.83959465693795</v>
      </c>
      <c r="AH91" s="615">
        <f t="shared" ca="1" si="57"/>
        <v>101.90175091493722</v>
      </c>
    </row>
    <row r="92" spans="1:34">
      <c r="A92">
        <v>2063</v>
      </c>
      <c r="B92" s="615"/>
      <c r="O92" s="615">
        <f t="shared" ca="1" si="65"/>
        <v>850.23561196103856</v>
      </c>
      <c r="P92" s="615"/>
      <c r="Q92" s="615"/>
      <c r="R92" s="615"/>
      <c r="S92" s="615"/>
      <c r="T92" s="615"/>
      <c r="U92" s="615">
        <f t="shared" si="58"/>
        <v>-13.003921856699758</v>
      </c>
      <c r="V92" s="615">
        <f t="shared" ca="1" si="56"/>
        <v>837.23169010433878</v>
      </c>
      <c r="Z92" s="615">
        <f t="shared" ca="1" si="59"/>
        <v>781.38885422621433</v>
      </c>
      <c r="AA92" s="615">
        <f t="shared" si="60"/>
        <v>-181.28821723221171</v>
      </c>
      <c r="AB92" s="615">
        <f t="shared" ca="1" si="64"/>
        <v>600.10063699400257</v>
      </c>
      <c r="AF92" s="615">
        <f t="shared" ca="1" si="61"/>
        <v>592.74134557187517</v>
      </c>
      <c r="AG92" s="615">
        <f t="shared" si="62"/>
        <v>-490.83959465693795</v>
      </c>
      <c r="AH92" s="615">
        <f t="shared" ca="1" si="57"/>
        <v>101.90175091493722</v>
      </c>
    </row>
    <row r="93" spans="1:34">
      <c r="A93">
        <v>2064</v>
      </c>
      <c r="B93" s="615"/>
      <c r="O93" s="615">
        <f t="shared" ca="1" si="65"/>
        <v>850.23561196103856</v>
      </c>
      <c r="P93" s="615"/>
      <c r="Q93" s="615"/>
      <c r="R93" s="615"/>
      <c r="S93" s="615"/>
      <c r="T93" s="615"/>
      <c r="U93" s="615">
        <f t="shared" si="58"/>
        <v>-13.003921856699758</v>
      </c>
      <c r="V93" s="615">
        <f t="shared" ca="1" si="56"/>
        <v>837.23169010433878</v>
      </c>
      <c r="Z93" s="615">
        <f t="shared" ca="1" si="59"/>
        <v>781.38885422621433</v>
      </c>
      <c r="AA93" s="615">
        <f t="shared" si="60"/>
        <v>-181.28821723221171</v>
      </c>
      <c r="AB93" s="615">
        <f t="shared" ca="1" si="64"/>
        <v>600.10063699400257</v>
      </c>
      <c r="AF93" s="615">
        <f t="shared" ca="1" si="61"/>
        <v>592.74134557187517</v>
      </c>
      <c r="AG93" s="615">
        <f t="shared" si="62"/>
        <v>-490.83959465693795</v>
      </c>
      <c r="AH93" s="615">
        <f t="shared" ca="1" si="57"/>
        <v>101.90175091493722</v>
      </c>
    </row>
    <row r="94" spans="1:34">
      <c r="A94">
        <v>2065</v>
      </c>
      <c r="B94" s="615"/>
      <c r="O94" s="615">
        <f t="shared" ca="1" si="65"/>
        <v>850.23561196103856</v>
      </c>
      <c r="P94" s="615"/>
      <c r="Q94" s="615"/>
      <c r="R94" s="615"/>
      <c r="S94" s="615"/>
      <c r="T94" s="615"/>
      <c r="U94" s="615">
        <f t="shared" si="58"/>
        <v>-13.003921856699758</v>
      </c>
      <c r="V94" s="615">
        <f t="shared" ca="1" si="56"/>
        <v>837.23169010433878</v>
      </c>
      <c r="Z94" s="615">
        <f t="shared" ca="1" si="59"/>
        <v>781.38885422621433</v>
      </c>
      <c r="AA94" s="615">
        <f t="shared" si="60"/>
        <v>-181.28821723221171</v>
      </c>
      <c r="AB94" s="615">
        <f t="shared" ca="1" si="64"/>
        <v>600.10063699400257</v>
      </c>
      <c r="AF94" s="615">
        <f t="shared" ca="1" si="61"/>
        <v>592.74134557187517</v>
      </c>
      <c r="AG94" s="615">
        <f t="shared" si="62"/>
        <v>-490.83959465693795</v>
      </c>
      <c r="AH94" s="615">
        <f t="shared" ca="1" si="57"/>
        <v>101.90175091493722</v>
      </c>
    </row>
    <row r="95" spans="1:34">
      <c r="A95">
        <v>2066</v>
      </c>
      <c r="B95" s="615"/>
      <c r="O95" s="615">
        <f t="shared" ca="1" si="65"/>
        <v>850.23561196103856</v>
      </c>
      <c r="P95" s="615"/>
      <c r="Q95" s="615"/>
      <c r="R95" s="615"/>
      <c r="S95" s="615"/>
      <c r="T95" s="615"/>
      <c r="U95" s="615">
        <f t="shared" si="58"/>
        <v>-13.003921856699758</v>
      </c>
      <c r="V95" s="615">
        <f t="shared" ca="1" si="56"/>
        <v>837.23169010433878</v>
      </c>
      <c r="Z95" s="615">
        <f t="shared" ca="1" si="59"/>
        <v>781.38885422621433</v>
      </c>
      <c r="AA95" s="615">
        <f t="shared" si="60"/>
        <v>-181.28821723221171</v>
      </c>
      <c r="AB95" s="615">
        <f t="shared" ca="1" si="64"/>
        <v>600.10063699400257</v>
      </c>
      <c r="AF95" s="615">
        <f t="shared" ca="1" si="61"/>
        <v>592.74134557187517</v>
      </c>
      <c r="AG95" s="615">
        <f t="shared" si="62"/>
        <v>-490.83959465693795</v>
      </c>
      <c r="AH95" s="615">
        <f t="shared" ca="1" si="57"/>
        <v>101.90175091493722</v>
      </c>
    </row>
    <row r="96" spans="1:34">
      <c r="A96">
        <v>2067</v>
      </c>
      <c r="B96" s="615"/>
      <c r="O96" s="615">
        <f t="shared" ca="1" si="65"/>
        <v>850.23561196103856</v>
      </c>
      <c r="P96" s="615"/>
      <c r="Q96" s="615"/>
      <c r="R96" s="615"/>
      <c r="S96" s="615"/>
      <c r="T96" s="615"/>
      <c r="U96" s="615">
        <f t="shared" si="58"/>
        <v>-13.003921856699758</v>
      </c>
      <c r="V96" s="615">
        <f t="shared" ca="1" si="56"/>
        <v>837.23169010433878</v>
      </c>
      <c r="Z96" s="615">
        <f t="shared" ca="1" si="59"/>
        <v>781.38885422621433</v>
      </c>
      <c r="AA96" s="615">
        <f t="shared" si="60"/>
        <v>-181.28821723221171</v>
      </c>
      <c r="AB96" s="615">
        <f t="shared" ca="1" si="64"/>
        <v>600.10063699400257</v>
      </c>
      <c r="AF96" s="615">
        <f t="shared" ca="1" si="61"/>
        <v>592.74134557187517</v>
      </c>
      <c r="AG96" s="615">
        <f t="shared" si="62"/>
        <v>-490.83959465693795</v>
      </c>
      <c r="AH96" s="615">
        <f t="shared" ca="1" si="57"/>
        <v>101.90175091493722</v>
      </c>
    </row>
    <row r="97" spans="1:34">
      <c r="A97">
        <v>2068</v>
      </c>
      <c r="B97" s="615"/>
      <c r="O97" s="615">
        <f t="shared" ca="1" si="65"/>
        <v>850.23561196103856</v>
      </c>
      <c r="P97" s="615"/>
      <c r="Q97" s="615"/>
      <c r="R97" s="615"/>
      <c r="S97" s="615"/>
      <c r="T97" s="615"/>
      <c r="U97" s="615">
        <f t="shared" si="58"/>
        <v>-13.003921856699758</v>
      </c>
      <c r="V97" s="615">
        <f t="shared" ca="1" si="56"/>
        <v>837.23169010433878</v>
      </c>
      <c r="Z97" s="615">
        <f t="shared" ca="1" si="59"/>
        <v>781.38885422621433</v>
      </c>
      <c r="AA97" s="615">
        <f t="shared" si="60"/>
        <v>-181.28821723221171</v>
      </c>
      <c r="AB97" s="615">
        <f t="shared" ca="1" si="64"/>
        <v>600.10063699400257</v>
      </c>
      <c r="AF97" s="615">
        <f t="shared" ca="1" si="61"/>
        <v>592.74134557187517</v>
      </c>
      <c r="AG97" s="615">
        <f t="shared" si="62"/>
        <v>-490.83959465693795</v>
      </c>
      <c r="AH97" s="615">
        <f t="shared" ca="1" si="57"/>
        <v>101.90175091493722</v>
      </c>
    </row>
    <row r="98" spans="1:34">
      <c r="A98">
        <v>2069</v>
      </c>
      <c r="B98" s="615"/>
      <c r="O98" s="615">
        <f t="shared" ca="1" si="65"/>
        <v>850.23561196103856</v>
      </c>
      <c r="P98" s="615"/>
      <c r="Q98" s="615"/>
      <c r="R98" s="615"/>
      <c r="S98" s="615"/>
      <c r="T98" s="615"/>
      <c r="U98" s="615">
        <f t="shared" si="58"/>
        <v>-13.003921856699758</v>
      </c>
      <c r="V98" s="615">
        <f t="shared" ca="1" si="56"/>
        <v>837.23169010433878</v>
      </c>
      <c r="Z98" s="615">
        <f t="shared" ca="1" si="59"/>
        <v>781.38885422621433</v>
      </c>
      <c r="AA98" s="615">
        <f t="shared" si="60"/>
        <v>-181.28821723221171</v>
      </c>
      <c r="AB98" s="615">
        <f t="shared" ca="1" si="64"/>
        <v>600.10063699400257</v>
      </c>
      <c r="AF98" s="615">
        <f t="shared" ca="1" si="61"/>
        <v>592.74134557187517</v>
      </c>
      <c r="AG98" s="615">
        <f t="shared" si="62"/>
        <v>-490.83959465693795</v>
      </c>
      <c r="AH98" s="615">
        <f t="shared" ca="1" si="57"/>
        <v>101.90175091493722</v>
      </c>
    </row>
    <row r="99" spans="1:34">
      <c r="A99">
        <v>2070</v>
      </c>
      <c r="B99" s="615"/>
      <c r="O99" s="615">
        <f t="shared" ca="1" si="65"/>
        <v>850.23561196103856</v>
      </c>
      <c r="P99" s="615"/>
      <c r="Q99" s="615"/>
      <c r="R99" s="615"/>
      <c r="S99" s="615"/>
      <c r="T99" s="615"/>
      <c r="U99" s="615">
        <f t="shared" si="58"/>
        <v>-13.003921856699758</v>
      </c>
      <c r="V99" s="615">
        <f t="shared" ca="1" si="56"/>
        <v>837.23169010433878</v>
      </c>
      <c r="Z99" s="615">
        <f t="shared" ca="1" si="59"/>
        <v>781.38885422621433</v>
      </c>
      <c r="AA99" s="615">
        <f t="shared" si="60"/>
        <v>-181.28821723221171</v>
      </c>
      <c r="AB99" s="615">
        <f t="shared" ca="1" si="64"/>
        <v>600.10063699400257</v>
      </c>
      <c r="AF99" s="615">
        <f t="shared" ca="1" si="61"/>
        <v>592.74134557187517</v>
      </c>
      <c r="AG99" s="615">
        <f t="shared" si="62"/>
        <v>-490.83959465693795</v>
      </c>
      <c r="AH99" s="615">
        <f t="shared" ca="1" si="57"/>
        <v>101.90175091493722</v>
      </c>
    </row>
    <row r="100" spans="1:34">
      <c r="A100">
        <v>2071</v>
      </c>
      <c r="B100" s="615"/>
      <c r="O100" s="615">
        <f t="shared" ca="1" si="65"/>
        <v>850.23561196103856</v>
      </c>
      <c r="P100" s="615"/>
      <c r="Q100" s="615"/>
      <c r="R100" s="615"/>
      <c r="S100" s="615"/>
      <c r="T100" s="615"/>
      <c r="U100" s="615">
        <f t="shared" si="58"/>
        <v>-13.003921856699758</v>
      </c>
      <c r="V100" s="615">
        <f t="shared" ca="1" si="56"/>
        <v>837.23169010433878</v>
      </c>
      <c r="Z100" s="615">
        <f t="shared" ca="1" si="59"/>
        <v>781.38885422621433</v>
      </c>
      <c r="AA100" s="615">
        <f t="shared" si="60"/>
        <v>-181.28821723221171</v>
      </c>
      <c r="AB100" s="615">
        <f t="shared" ca="1" si="64"/>
        <v>600.10063699400257</v>
      </c>
      <c r="AF100" s="615">
        <f t="shared" ca="1" si="61"/>
        <v>592.74134557187517</v>
      </c>
      <c r="AG100" s="615">
        <f t="shared" si="62"/>
        <v>-490.83959465693795</v>
      </c>
      <c r="AH100" s="615">
        <f t="shared" ca="1" si="57"/>
        <v>101.90175091493722</v>
      </c>
    </row>
    <row r="101" spans="1:34">
      <c r="A101">
        <v>2072</v>
      </c>
      <c r="B101" s="615"/>
      <c r="O101" s="615">
        <f t="shared" ca="1" si="65"/>
        <v>850.23561196103856</v>
      </c>
      <c r="P101" s="615"/>
      <c r="Q101" s="615"/>
      <c r="R101" s="615"/>
      <c r="S101" s="615"/>
      <c r="T101" s="615"/>
      <c r="U101" s="615">
        <f t="shared" si="58"/>
        <v>-13.003921856699758</v>
      </c>
      <c r="V101" s="615">
        <f t="shared" ca="1" si="56"/>
        <v>837.23169010433878</v>
      </c>
      <c r="Z101" s="615">
        <f t="shared" ca="1" si="59"/>
        <v>781.38885422621433</v>
      </c>
      <c r="AA101" s="615">
        <f t="shared" si="60"/>
        <v>-181.28821723221171</v>
      </c>
      <c r="AB101" s="615">
        <f t="shared" ca="1" si="64"/>
        <v>600.10063699400257</v>
      </c>
      <c r="AF101" s="615">
        <f t="shared" ca="1" si="61"/>
        <v>592.74134557187517</v>
      </c>
      <c r="AG101" s="615">
        <f t="shared" si="62"/>
        <v>-490.83959465693795</v>
      </c>
      <c r="AH101" s="615">
        <f t="shared" ca="1" si="57"/>
        <v>101.90175091493722</v>
      </c>
    </row>
    <row r="102" spans="1:34">
      <c r="A102">
        <v>2073</v>
      </c>
      <c r="B102" s="615"/>
      <c r="O102" s="615">
        <f t="shared" ca="1" si="65"/>
        <v>850.23561196103856</v>
      </c>
      <c r="P102" s="615"/>
      <c r="Q102" s="615"/>
      <c r="R102" s="615"/>
      <c r="S102" s="615"/>
      <c r="T102" s="615"/>
      <c r="U102" s="615">
        <f t="shared" si="58"/>
        <v>-13.003921856699758</v>
      </c>
      <c r="V102" s="615">
        <f t="shared" ca="1" si="56"/>
        <v>837.23169010433878</v>
      </c>
      <c r="Z102" s="615">
        <f t="shared" ca="1" si="59"/>
        <v>781.38885422621433</v>
      </c>
      <c r="AA102" s="615">
        <f t="shared" si="60"/>
        <v>-181.28821723221171</v>
      </c>
      <c r="AB102" s="615">
        <f t="shared" ca="1" si="64"/>
        <v>600.10063699400257</v>
      </c>
      <c r="AF102" s="615">
        <f t="shared" ca="1" si="61"/>
        <v>592.74134557187517</v>
      </c>
      <c r="AG102" s="615">
        <f t="shared" si="62"/>
        <v>-490.83959465693795</v>
      </c>
      <c r="AH102" s="615">
        <f t="shared" ca="1" si="57"/>
        <v>101.90175091493722</v>
      </c>
    </row>
    <row r="103" spans="1:34">
      <c r="A103">
        <v>2074</v>
      </c>
      <c r="B103" s="615"/>
      <c r="O103" s="615">
        <f t="shared" ca="1" si="65"/>
        <v>850.23561196103856</v>
      </c>
      <c r="P103" s="615"/>
      <c r="Q103" s="615"/>
      <c r="R103" s="615"/>
      <c r="S103" s="615"/>
      <c r="T103" s="615"/>
      <c r="U103" s="615">
        <f t="shared" si="58"/>
        <v>-13.003921856699758</v>
      </c>
      <c r="V103" s="615">
        <f t="shared" ca="1" si="56"/>
        <v>837.23169010433878</v>
      </c>
      <c r="Z103" s="615">
        <f t="shared" ca="1" si="59"/>
        <v>781.38885422621433</v>
      </c>
      <c r="AA103" s="615">
        <f t="shared" si="60"/>
        <v>-181.28821723221171</v>
      </c>
      <c r="AB103" s="615">
        <f t="shared" ca="1" si="64"/>
        <v>600.10063699400257</v>
      </c>
      <c r="AF103" s="615">
        <f t="shared" ca="1" si="61"/>
        <v>592.74134557187517</v>
      </c>
      <c r="AG103" s="615">
        <f t="shared" si="62"/>
        <v>-490.83959465693795</v>
      </c>
      <c r="AH103" s="615">
        <f t="shared" ca="1" si="57"/>
        <v>101.90175091493722</v>
      </c>
    </row>
    <row r="104" spans="1:34">
      <c r="A104">
        <v>2075</v>
      </c>
      <c r="B104" s="615"/>
      <c r="O104" s="615">
        <f t="shared" ca="1" si="65"/>
        <v>850.23561196103856</v>
      </c>
      <c r="P104" s="615"/>
      <c r="Q104" s="615"/>
      <c r="R104" s="615"/>
      <c r="S104" s="615"/>
      <c r="T104" s="615"/>
      <c r="U104" s="615">
        <f t="shared" si="58"/>
        <v>-13.003921856699758</v>
      </c>
      <c r="V104" s="615">
        <f t="shared" ca="1" si="56"/>
        <v>837.23169010433878</v>
      </c>
      <c r="Z104" s="615">
        <f t="shared" ca="1" si="59"/>
        <v>781.38885422621433</v>
      </c>
      <c r="AA104" s="615">
        <f t="shared" si="60"/>
        <v>-181.28821723221171</v>
      </c>
      <c r="AB104" s="615">
        <f t="shared" ca="1" si="64"/>
        <v>600.10063699400257</v>
      </c>
      <c r="AF104" s="615">
        <f t="shared" ca="1" si="61"/>
        <v>592.74134557187517</v>
      </c>
      <c r="AG104" s="615">
        <f t="shared" si="62"/>
        <v>-490.83959465693795</v>
      </c>
      <c r="AH104" s="615">
        <f t="shared" ca="1" si="57"/>
        <v>101.90175091493722</v>
      </c>
    </row>
    <row r="105" spans="1:34">
      <c r="A105">
        <v>2076</v>
      </c>
      <c r="B105" s="615"/>
      <c r="O105" s="615">
        <f t="shared" ca="1" si="65"/>
        <v>850.23561196103856</v>
      </c>
      <c r="P105" s="615"/>
      <c r="Q105" s="615"/>
      <c r="R105" s="615"/>
      <c r="S105" s="615"/>
      <c r="T105" s="615"/>
      <c r="U105" s="615">
        <f t="shared" si="58"/>
        <v>-13.003921856699758</v>
      </c>
      <c r="V105" s="615">
        <f t="shared" ca="1" si="56"/>
        <v>837.23169010433878</v>
      </c>
      <c r="Z105" s="615">
        <f t="shared" ca="1" si="59"/>
        <v>781.38885422621433</v>
      </c>
      <c r="AA105" s="615">
        <f t="shared" si="60"/>
        <v>-181.28821723221171</v>
      </c>
      <c r="AB105" s="615">
        <f t="shared" ca="1" si="64"/>
        <v>600.10063699400257</v>
      </c>
      <c r="AF105" s="615">
        <f t="shared" ca="1" si="61"/>
        <v>592.74134557187517</v>
      </c>
      <c r="AG105" s="615">
        <f t="shared" si="62"/>
        <v>-490.83959465693795</v>
      </c>
      <c r="AH105" s="615">
        <f t="shared" ca="1" si="57"/>
        <v>101.90175091493722</v>
      </c>
    </row>
    <row r="106" spans="1:34">
      <c r="A106">
        <v>2077</v>
      </c>
      <c r="B106" s="615"/>
      <c r="O106" s="615">
        <f t="shared" ca="1" si="65"/>
        <v>850.23561196103856</v>
      </c>
      <c r="P106" s="615"/>
      <c r="Q106" s="615"/>
      <c r="R106" s="615"/>
      <c r="S106" s="615"/>
      <c r="T106" s="615"/>
      <c r="U106" s="615">
        <f t="shared" si="58"/>
        <v>-13.003921856699758</v>
      </c>
      <c r="V106" s="615">
        <f t="shared" ca="1" si="56"/>
        <v>837.23169010433878</v>
      </c>
      <c r="Z106" s="615">
        <f t="shared" ca="1" si="59"/>
        <v>781.38885422621433</v>
      </c>
      <c r="AA106" s="615">
        <f t="shared" si="60"/>
        <v>-181.28821723221171</v>
      </c>
      <c r="AB106" s="615">
        <f t="shared" ca="1" si="64"/>
        <v>600.10063699400257</v>
      </c>
      <c r="AF106" s="615">
        <f t="shared" ca="1" si="61"/>
        <v>592.74134557187517</v>
      </c>
      <c r="AG106" s="615">
        <f t="shared" si="62"/>
        <v>-490.83959465693795</v>
      </c>
      <c r="AH106" s="615">
        <f t="shared" ca="1" si="57"/>
        <v>101.90175091493722</v>
      </c>
    </row>
    <row r="107" spans="1:34">
      <c r="A107">
        <v>2078</v>
      </c>
      <c r="B107" s="615"/>
      <c r="O107" s="615">
        <f t="shared" ca="1" si="65"/>
        <v>850.23561196103856</v>
      </c>
      <c r="P107" s="615"/>
      <c r="Q107" s="615"/>
      <c r="R107" s="615"/>
      <c r="S107" s="615"/>
      <c r="T107" s="615"/>
      <c r="U107" s="615">
        <f t="shared" si="58"/>
        <v>-13.003921856699758</v>
      </c>
      <c r="V107" s="615">
        <f t="shared" ca="1" si="56"/>
        <v>837.23169010433878</v>
      </c>
      <c r="Z107" s="615">
        <f t="shared" ca="1" si="59"/>
        <v>781.38885422621433</v>
      </c>
      <c r="AA107" s="615">
        <f t="shared" si="60"/>
        <v>-181.28821723221171</v>
      </c>
      <c r="AB107" s="615">
        <f t="shared" ca="1" si="64"/>
        <v>600.10063699400257</v>
      </c>
      <c r="AF107" s="615">
        <f t="shared" ca="1" si="61"/>
        <v>592.74134557187517</v>
      </c>
      <c r="AG107" s="615">
        <f t="shared" si="62"/>
        <v>-490.83959465693795</v>
      </c>
      <c r="AH107" s="615">
        <f t="shared" ca="1" si="57"/>
        <v>101.90175091493722</v>
      </c>
    </row>
    <row r="108" spans="1:34">
      <c r="A108">
        <v>2079</v>
      </c>
      <c r="B108" s="615"/>
      <c r="O108" s="615">
        <f t="shared" ca="1" si="65"/>
        <v>850.23561196103856</v>
      </c>
      <c r="P108" s="615"/>
      <c r="Q108" s="615"/>
      <c r="R108" s="615"/>
      <c r="S108" s="615"/>
      <c r="T108" s="615"/>
      <c r="U108" s="615">
        <f t="shared" si="58"/>
        <v>-13.003921856699758</v>
      </c>
      <c r="V108" s="615">
        <f t="shared" ca="1" si="56"/>
        <v>837.23169010433878</v>
      </c>
      <c r="Z108" s="615">
        <f t="shared" ca="1" si="59"/>
        <v>781.38885422621433</v>
      </c>
      <c r="AA108" s="615">
        <f t="shared" si="60"/>
        <v>-181.28821723221171</v>
      </c>
      <c r="AB108" s="615">
        <f t="shared" ca="1" si="64"/>
        <v>600.10063699400257</v>
      </c>
      <c r="AF108" s="615">
        <f t="shared" ca="1" si="61"/>
        <v>592.74134557187517</v>
      </c>
      <c r="AG108" s="615">
        <f t="shared" si="62"/>
        <v>-490.83959465693795</v>
      </c>
      <c r="AH108" s="615">
        <f t="shared" ca="1" si="57"/>
        <v>101.90175091493722</v>
      </c>
    </row>
    <row r="109" spans="1:34">
      <c r="A109">
        <v>2080</v>
      </c>
      <c r="B109" s="615"/>
      <c r="O109" s="615">
        <f t="shared" ca="1" si="65"/>
        <v>850.23561196103856</v>
      </c>
      <c r="P109" s="615"/>
      <c r="Q109" s="615"/>
      <c r="R109" s="615"/>
      <c r="S109" s="615"/>
      <c r="T109" s="615"/>
      <c r="U109" s="615">
        <f t="shared" si="58"/>
        <v>-13.003921856699758</v>
      </c>
      <c r="V109" s="615">
        <f t="shared" ca="1" si="56"/>
        <v>837.23169010433878</v>
      </c>
      <c r="Z109" s="615">
        <f t="shared" ca="1" si="59"/>
        <v>781.38885422621433</v>
      </c>
      <c r="AA109" s="615">
        <f t="shared" si="60"/>
        <v>-181.28821723221171</v>
      </c>
      <c r="AB109" s="615">
        <f t="shared" ca="1" si="64"/>
        <v>600.10063699400257</v>
      </c>
      <c r="AF109" s="615">
        <f t="shared" ca="1" si="61"/>
        <v>592.74134557187517</v>
      </c>
      <c r="AG109" s="615">
        <f t="shared" si="62"/>
        <v>-490.83959465693795</v>
      </c>
      <c r="AH109" s="615">
        <f t="shared" ca="1" si="57"/>
        <v>101.90175091493722</v>
      </c>
    </row>
    <row r="110" spans="1:34">
      <c r="A110">
        <v>2081</v>
      </c>
      <c r="B110" s="615"/>
      <c r="O110" s="615">
        <f t="shared" ca="1" si="65"/>
        <v>850.23561196103856</v>
      </c>
      <c r="P110" s="615"/>
      <c r="Q110" s="615"/>
      <c r="R110" s="615"/>
      <c r="S110" s="615"/>
      <c r="T110" s="615"/>
      <c r="U110" s="615">
        <f t="shared" si="58"/>
        <v>-13.003921856699758</v>
      </c>
      <c r="V110" s="615">
        <f t="shared" ca="1" si="56"/>
        <v>837.23169010433878</v>
      </c>
      <c r="Z110" s="615">
        <f t="shared" ca="1" si="59"/>
        <v>781.38885422621433</v>
      </c>
      <c r="AA110" s="615">
        <f t="shared" si="60"/>
        <v>-181.28821723221171</v>
      </c>
      <c r="AB110" s="615">
        <f t="shared" ca="1" si="64"/>
        <v>600.10063699400257</v>
      </c>
      <c r="AF110" s="615">
        <f t="shared" ca="1" si="61"/>
        <v>592.74134557187517</v>
      </c>
      <c r="AG110" s="615">
        <f t="shared" si="62"/>
        <v>-490.83959465693795</v>
      </c>
      <c r="AH110" s="615">
        <f t="shared" ca="1" si="57"/>
        <v>101.90175091493722</v>
      </c>
    </row>
    <row r="111" spans="1:34">
      <c r="A111">
        <v>2082</v>
      </c>
      <c r="B111" s="615"/>
      <c r="O111" s="615">
        <f t="shared" ca="1" si="65"/>
        <v>850.23561196103856</v>
      </c>
      <c r="P111" s="615"/>
      <c r="Q111" s="615"/>
      <c r="R111" s="615"/>
      <c r="S111" s="615"/>
      <c r="T111" s="615"/>
      <c r="U111" s="615">
        <f t="shared" si="58"/>
        <v>-13.003921856699758</v>
      </c>
      <c r="V111" s="615">
        <f t="shared" ca="1" si="56"/>
        <v>837.23169010433878</v>
      </c>
      <c r="Z111" s="615">
        <f t="shared" ca="1" si="59"/>
        <v>781.38885422621433</v>
      </c>
      <c r="AA111" s="615">
        <f t="shared" si="60"/>
        <v>-181.28821723221171</v>
      </c>
      <c r="AB111" s="615">
        <f t="shared" ca="1" si="64"/>
        <v>600.10063699400257</v>
      </c>
      <c r="AF111" s="615">
        <f t="shared" ca="1" si="61"/>
        <v>592.74134557187517</v>
      </c>
      <c r="AG111" s="615">
        <f t="shared" si="62"/>
        <v>-490.83959465693795</v>
      </c>
      <c r="AH111" s="615">
        <f t="shared" ca="1" si="57"/>
        <v>101.90175091493722</v>
      </c>
    </row>
    <row r="112" spans="1:34">
      <c r="A112">
        <v>2083</v>
      </c>
      <c r="B112" s="615"/>
      <c r="O112" s="615">
        <f t="shared" ca="1" si="65"/>
        <v>850.23561196103856</v>
      </c>
      <c r="P112" s="615"/>
      <c r="Q112" s="615"/>
      <c r="R112" s="615"/>
      <c r="S112" s="615"/>
      <c r="T112" s="615"/>
      <c r="U112" s="615">
        <f t="shared" si="58"/>
        <v>-13.003921856699758</v>
      </c>
      <c r="V112" s="615">
        <f t="shared" ca="1" si="56"/>
        <v>837.23169010433878</v>
      </c>
      <c r="Z112" s="615">
        <f t="shared" ca="1" si="59"/>
        <v>781.38885422621433</v>
      </c>
      <c r="AA112" s="615">
        <f t="shared" si="60"/>
        <v>-181.28821723221171</v>
      </c>
      <c r="AB112" s="615">
        <f t="shared" ca="1" si="64"/>
        <v>600.10063699400257</v>
      </c>
      <c r="AF112" s="615">
        <f t="shared" ca="1" si="61"/>
        <v>592.74134557187517</v>
      </c>
      <c r="AG112" s="615">
        <f t="shared" si="62"/>
        <v>-490.83959465693795</v>
      </c>
      <c r="AH112" s="615">
        <f t="shared" ca="1" si="57"/>
        <v>101.90175091493722</v>
      </c>
    </row>
    <row r="113" spans="1:34">
      <c r="A113">
        <v>2084</v>
      </c>
      <c r="B113" s="615">
        <f>Standard!Q249</f>
        <v>88.859500250050758</v>
      </c>
      <c r="I113" s="615">
        <f>-Standard!S249</f>
        <v>13.003921856699758</v>
      </c>
      <c r="J113" s="615"/>
      <c r="K113" s="615"/>
      <c r="L113" s="615"/>
      <c r="M113" s="615"/>
      <c r="N113" s="615"/>
      <c r="O113" s="615">
        <f t="shared" ca="1" si="65"/>
        <v>939.09511221108937</v>
      </c>
      <c r="P113" s="615"/>
      <c r="Q113" s="615"/>
      <c r="R113" s="615"/>
      <c r="S113" s="615"/>
      <c r="T113" s="615"/>
      <c r="U113" s="615">
        <f t="shared" si="58"/>
        <v>0</v>
      </c>
      <c r="V113" s="615">
        <f t="shared" ca="1" si="56"/>
        <v>939.09511221108937</v>
      </c>
      <c r="W113" s="615">
        <f>Réaliste!Q263</f>
        <v>72.031726866036664</v>
      </c>
      <c r="X113" s="615"/>
      <c r="Y113" s="615">
        <f>-Réaliste!S263</f>
        <v>181.28821723221171</v>
      </c>
      <c r="Z113" s="615">
        <f t="shared" ca="1" si="59"/>
        <v>853.42058109225104</v>
      </c>
      <c r="AA113" s="615">
        <f t="shared" si="60"/>
        <v>0</v>
      </c>
      <c r="AB113" s="615">
        <f t="shared" ca="1" si="64"/>
        <v>853.42058109225104</v>
      </c>
      <c r="AC113" s="615">
        <f>Engagé!Q262</f>
        <v>58.024811027494707</v>
      </c>
      <c r="AE113" s="615">
        <f>-Engagé!S262</f>
        <v>490.83959465693795</v>
      </c>
      <c r="AF113" s="615">
        <f t="shared" ca="1" si="61"/>
        <v>650.76615659936988</v>
      </c>
      <c r="AG113" s="615">
        <f t="shared" si="62"/>
        <v>0</v>
      </c>
      <c r="AH113" s="615">
        <f t="shared" ca="1" si="57"/>
        <v>650.76615659936988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AD52-2B7F-48FE-83B9-D09F4A4B0C3A}">
  <dimension ref="A2:L15"/>
  <sheetViews>
    <sheetView workbookViewId="0">
      <selection activeCell="A57" sqref="A57:A60"/>
    </sheetView>
  </sheetViews>
  <sheetFormatPr baseColWidth="10" defaultRowHeight="15.75"/>
  <sheetData>
    <row r="2" spans="1:12" ht="16.5" thickBot="1"/>
    <row r="3" spans="1:12" ht="47.25">
      <c r="C3" s="1026" t="s">
        <v>2945</v>
      </c>
      <c r="D3" s="1027" t="s">
        <v>2946</v>
      </c>
      <c r="E3" s="1027" t="s">
        <v>2947</v>
      </c>
      <c r="F3" s="1028" t="s">
        <v>2948</v>
      </c>
      <c r="G3" s="1029" t="s">
        <v>3001</v>
      </c>
      <c r="H3" s="877" t="s">
        <v>3418</v>
      </c>
      <c r="I3" s="877" t="s">
        <v>3419</v>
      </c>
      <c r="J3" s="877" t="s">
        <v>3418</v>
      </c>
    </row>
    <row r="4" spans="1:12">
      <c r="A4" t="s">
        <v>293</v>
      </c>
      <c r="B4" t="s">
        <v>3407</v>
      </c>
      <c r="C4" s="615">
        <f ca="1">Standard!AN249</f>
        <v>422.22867648145683</v>
      </c>
      <c r="D4" s="615">
        <f ca="1">Standard!AO249</f>
        <v>0</v>
      </c>
      <c r="E4" s="615">
        <f ca="1">Standard!AP249</f>
        <v>40.551974295890652</v>
      </c>
      <c r="F4" s="615">
        <f ca="1">Standard!AQ249</f>
        <v>0</v>
      </c>
      <c r="G4" s="615">
        <f ca="1">Standard!AR249</f>
        <v>0</v>
      </c>
      <c r="H4" s="615">
        <f t="shared" ref="H4" ca="1" si="0">F4-G4+G4</f>
        <v>0</v>
      </c>
    </row>
    <row r="5" spans="1:12">
      <c r="B5" t="s">
        <v>3388</v>
      </c>
      <c r="C5" s="615">
        <f ca="1">Standard!AS249</f>
        <v>33.891226410222167</v>
      </c>
      <c r="D5" s="615">
        <f ca="1">Standard!AT249</f>
        <v>55.846438945550055</v>
      </c>
      <c r="E5" s="615">
        <f ca="1">Standard!AU249</f>
        <v>21.95521253532791</v>
      </c>
      <c r="F5" s="615">
        <f ca="1">Standard!AV249</f>
        <v>0</v>
      </c>
      <c r="G5" s="615">
        <f ca="1">Standard!AW249</f>
        <v>0</v>
      </c>
      <c r="H5" s="615"/>
      <c r="I5" s="615">
        <f ca="1">H4+G5</f>
        <v>0</v>
      </c>
      <c r="J5" s="615">
        <f ca="1">I5+F5-G5</f>
        <v>0</v>
      </c>
    </row>
    <row r="6" spans="1:12">
      <c r="B6" t="s">
        <v>3417</v>
      </c>
      <c r="C6" s="615">
        <f ca="1">Standard!AX249</f>
        <v>76.95077321256845</v>
      </c>
      <c r="D6" s="615">
        <f ca="1">Standard!AY249</f>
        <v>92.589834874822557</v>
      </c>
      <c r="E6" s="615">
        <f ca="1">Standard!AZ249</f>
        <v>16.118423654351545</v>
      </c>
      <c r="F6" s="615">
        <f ca="1">Standard!BA249</f>
        <v>-13.003921856699758</v>
      </c>
      <c r="G6" s="615">
        <f ca="1">Standard!BB249</f>
        <v>2.6848815867503661E-2</v>
      </c>
      <c r="H6" s="615"/>
      <c r="K6" s="615">
        <f ca="1">J5+G6</f>
        <v>2.6848815867503661E-2</v>
      </c>
      <c r="L6" s="615">
        <f ca="1">K6+F6-G6</f>
        <v>-13.003921856699758</v>
      </c>
    </row>
    <row r="7" spans="1:12">
      <c r="B7" t="s">
        <v>145</v>
      </c>
      <c r="C7" s="615">
        <f>Standard!BC249</f>
        <v>81.533014558568198</v>
      </c>
      <c r="D7" s="615">
        <f>Standard!BD249</f>
        <v>87.195647477850514</v>
      </c>
      <c r="E7" s="615">
        <f>Standard!BE249</f>
        <v>10.233889764480654</v>
      </c>
      <c r="F7" s="615">
        <f>Standard!BF249</f>
        <v>0</v>
      </c>
      <c r="G7" s="615">
        <f ca="1">Standard!BG249</f>
        <v>2508696.7575999997</v>
      </c>
      <c r="H7" s="615"/>
    </row>
    <row r="8" spans="1:12">
      <c r="A8" t="s">
        <v>3327</v>
      </c>
      <c r="B8" t="s">
        <v>3407</v>
      </c>
      <c r="C8" s="615">
        <f ca="1">Réaliste!AN263</f>
        <v>294.55890121152026</v>
      </c>
      <c r="D8" s="615">
        <f ca="1">Réaliste!AO263</f>
        <v>0</v>
      </c>
      <c r="E8" s="615">
        <f ca="1">Réaliste!AP263</f>
        <v>31.10878482294353</v>
      </c>
      <c r="F8" s="615">
        <f ca="1">Réaliste!AQ263</f>
        <v>-82.199847991743979</v>
      </c>
      <c r="G8" s="615">
        <f ca="1">Réaliste!AR263</f>
        <v>-21.371960477853435</v>
      </c>
      <c r="H8" s="615">
        <f ca="1">F8-G8+G8</f>
        <v>-82.199847991743979</v>
      </c>
    </row>
    <row r="9" spans="1:12">
      <c r="B9" t="s">
        <v>3388</v>
      </c>
      <c r="C9" s="615">
        <f ca="1">Réaliste!AS263</f>
        <v>47.2518204953615</v>
      </c>
      <c r="D9" s="615">
        <f ca="1">Réaliste!AT263</f>
        <v>59.459525252330273</v>
      </c>
      <c r="E9" s="615">
        <f ca="1">Réaliste!AU263</f>
        <v>12.677235483484274</v>
      </c>
      <c r="F9" s="615">
        <f ca="1">Réaliste!AV263</f>
        <v>-38.584131420638585</v>
      </c>
      <c r="G9" s="615">
        <f ca="1">Réaliste!AW263</f>
        <v>-1.668573049514114</v>
      </c>
      <c r="H9" s="615"/>
      <c r="I9" s="615">
        <f ca="1">H8+G9</f>
        <v>-83.868421041258088</v>
      </c>
      <c r="J9" s="615">
        <f ca="1">I9+F9-G9</f>
        <v>-120.78397941238256</v>
      </c>
    </row>
    <row r="10" spans="1:12">
      <c r="B10" t="s">
        <v>3417</v>
      </c>
      <c r="C10" s="615">
        <f ca="1">Réaliste!AX263</f>
        <v>98.602465698915836</v>
      </c>
      <c r="D10" s="615">
        <f ca="1">Réaliste!AY263</f>
        <v>113.52917261632243</v>
      </c>
      <c r="E10" s="615">
        <f ca="1">Réaliste!AZ263</f>
        <v>18.033217676596156</v>
      </c>
      <c r="F10" s="615">
        <f ca="1">Réaliste!BA263</f>
        <v>-60.504237819829157</v>
      </c>
      <c r="G10" s="615">
        <f ca="1">Réaliste!BB263</f>
        <v>1.5830124534412342</v>
      </c>
      <c r="H10" s="615"/>
      <c r="K10" s="615">
        <f ca="1">J9+G10</f>
        <v>-119.20096695894134</v>
      </c>
      <c r="L10" s="615">
        <f ca="1">K10+F10-G10</f>
        <v>-181.28821723221174</v>
      </c>
    </row>
    <row r="11" spans="1:12">
      <c r="B11" t="s">
        <v>145</v>
      </c>
      <c r="C11" s="615">
        <f ca="1">Réaliste!BC263</f>
        <v>81.149750776756804</v>
      </c>
      <c r="D11" s="615">
        <f ca="1">Réaliste!BD263</f>
        <v>86.837218175007166</v>
      </c>
      <c r="E11" s="615">
        <f ca="1">Réaliste!BE263</f>
        <v>10.212488883012714</v>
      </c>
      <c r="F11" s="615">
        <f>Réaliste!BF263</f>
        <v>0</v>
      </c>
      <c r="G11" s="615">
        <f ca="1">Réaliste!BG263</f>
        <v>1736159.5629999994</v>
      </c>
      <c r="H11" s="615"/>
    </row>
    <row r="12" spans="1:12">
      <c r="A12" t="s">
        <v>3330</v>
      </c>
      <c r="B12" t="s">
        <v>3407</v>
      </c>
      <c r="C12" s="615">
        <f ca="1">Engagé!AN262</f>
        <v>234.51122013287181</v>
      </c>
      <c r="D12" s="615">
        <f ca="1">Engagé!AO262</f>
        <v>0</v>
      </c>
      <c r="E12" s="615">
        <f ca="1">Engagé!AP262</f>
        <v>30.182075478835856</v>
      </c>
      <c r="F12" s="615">
        <f ca="1">Engagé!AQ262</f>
        <v>-231.76526564335367</v>
      </c>
      <c r="G12" s="615">
        <f ca="1">Engagé!AR262</f>
        <v>-59.82084519181074</v>
      </c>
      <c r="H12" s="615">
        <f t="shared" ref="H12" ca="1" si="1">F12-G12+G12</f>
        <v>-231.76526564335367</v>
      </c>
    </row>
    <row r="13" spans="1:12">
      <c r="B13" t="s">
        <v>3388</v>
      </c>
      <c r="C13" s="615">
        <f ca="1">Engagé!AS262</f>
        <v>30.506087077442896</v>
      </c>
      <c r="D13" s="615">
        <f ca="1">Engagé!AT262</f>
        <v>29.286063015214964</v>
      </c>
      <c r="E13" s="615">
        <f ca="1">Engagé!AU262</f>
        <v>0.53916043634177679</v>
      </c>
      <c r="F13" s="615">
        <f ca="1">Engagé!AV262</f>
        <v>-189.03110375053549</v>
      </c>
      <c r="G13" s="615">
        <f ca="1">Engagé!AW262</f>
        <v>-40.604603714951004</v>
      </c>
      <c r="H13" s="615"/>
      <c r="I13" s="615">
        <f ca="1">H12+G13</f>
        <v>-272.3698693583047</v>
      </c>
      <c r="J13" s="615">
        <f ca="1">I13+F13-G13</f>
        <v>-420.79636939388917</v>
      </c>
    </row>
    <row r="14" spans="1:12">
      <c r="B14" t="s">
        <v>3417</v>
      </c>
      <c r="C14" s="615">
        <f ca="1">Engagé!AX262</f>
        <v>60.160180985655643</v>
      </c>
      <c r="D14" s="615">
        <f ca="1">Engagé!AY262</f>
        <v>74.595726535972801</v>
      </c>
      <c r="E14" s="615">
        <f ca="1">Engagé!AZ262</f>
        <v>17.21530024809088</v>
      </c>
      <c r="F14" s="615">
        <f ca="1">Engagé!BA262</f>
        <v>-70.043225263048811</v>
      </c>
      <c r="G14" s="615">
        <f ca="1">Engagé!BB262</f>
        <v>-2.3303498238492049</v>
      </c>
      <c r="H14" s="615"/>
      <c r="K14" s="615">
        <f ca="1">J13+G14</f>
        <v>-423.12671921773835</v>
      </c>
      <c r="L14" s="615">
        <f ca="1">K14+F14-G14</f>
        <v>-490.839594656938</v>
      </c>
    </row>
    <row r="15" spans="1:12">
      <c r="B15" t="s">
        <v>145</v>
      </c>
      <c r="C15" s="615">
        <f>Engagé!BC262</f>
        <v>78.925228638945327</v>
      </c>
      <c r="D15" s="615">
        <f>Engagé!BD262</f>
        <v>84.756839185771753</v>
      </c>
      <c r="E15" s="615">
        <f>Engagé!BE262</f>
        <v>10.088274864226193</v>
      </c>
      <c r="F15" s="615">
        <f>Engagé!BF262</f>
        <v>0</v>
      </c>
      <c r="G15" s="615">
        <f ca="1">Engagé!BG262</f>
        <v>1417195.8597999995</v>
      </c>
      <c r="H15" s="615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69A9A-1EB5-4766-98A8-42F0337CA737}">
  <dimension ref="A3:O213"/>
  <sheetViews>
    <sheetView zoomScale="70" zoomScaleNormal="70" workbookViewId="0">
      <selection activeCell="A57" sqref="A57:A60"/>
    </sheetView>
  </sheetViews>
  <sheetFormatPr baseColWidth="10" defaultRowHeight="15.75"/>
  <cols>
    <col min="1" max="1" width="28.25" customWidth="1"/>
    <col min="2" max="2" width="33.5" bestFit="1" customWidth="1"/>
    <col min="7" max="8" width="11.25" customWidth="1"/>
  </cols>
  <sheetData>
    <row r="3" spans="2:15">
      <c r="B3" t="s">
        <v>3346</v>
      </c>
    </row>
    <row r="4" spans="2:15">
      <c r="C4" t="s">
        <v>293</v>
      </c>
      <c r="E4" t="s">
        <v>3327</v>
      </c>
      <c r="G4" t="s">
        <v>3330</v>
      </c>
      <c r="J4" t="s">
        <v>293</v>
      </c>
      <c r="L4" t="s">
        <v>3327</v>
      </c>
      <c r="N4" t="s">
        <v>3330</v>
      </c>
    </row>
    <row r="5" spans="2:15">
      <c r="B5" t="str">
        <f>Standard!F188</f>
        <v>Chape ciment 80 mm</v>
      </c>
      <c r="C5" s="615">
        <f>Standard!M177+Standard!M188</f>
        <v>30.483982894795425</v>
      </c>
      <c r="D5" s="615">
        <f>Standard!S177+Standard!S188</f>
        <v>0</v>
      </c>
      <c r="E5" s="615">
        <f>Réaliste!M189+Réaliste!M200</f>
        <v>32.602575315660744</v>
      </c>
      <c r="F5" s="615"/>
      <c r="I5" t="s">
        <v>3407</v>
      </c>
      <c r="J5" s="615">
        <f ca="1">C14+C15+C17+C18+C19+C20</f>
        <v>125.34858902096968</v>
      </c>
      <c r="K5" s="615">
        <f t="shared" ref="K5:O5" si="0">D14+D15+D17+D18+D19+D20</f>
        <v>0</v>
      </c>
      <c r="L5" s="615">
        <f t="shared" ca="1" si="0"/>
        <v>116.57617147440558</v>
      </c>
      <c r="M5" s="615">
        <f t="shared" si="0"/>
        <v>-38.501853266051143</v>
      </c>
      <c r="N5" s="615">
        <f t="shared" ca="1" si="0"/>
        <v>26.665849938849966</v>
      </c>
      <c r="O5" s="615">
        <f t="shared" si="0"/>
        <v>-101.40822151168413</v>
      </c>
    </row>
    <row r="6" spans="2:15">
      <c r="B6" t="str">
        <f>Engagé!F188</f>
        <v>Chape chaux-chanvre 80mm</v>
      </c>
      <c r="C6" s="615"/>
      <c r="D6" s="615"/>
      <c r="E6" s="615"/>
      <c r="F6" s="615"/>
      <c r="G6" s="615">
        <f>Engagé!M199</f>
        <v>21.514639904348901</v>
      </c>
      <c r="H6" s="615">
        <f>-Engagé!S188-Engagé!S199</f>
        <v>-8.8767357738070558</v>
      </c>
      <c r="I6" t="s">
        <v>3388</v>
      </c>
      <c r="J6" s="615">
        <f>C7+C8+C9+C10+C11+C12+C13</f>
        <v>34.912536676906633</v>
      </c>
      <c r="K6" s="615">
        <f t="shared" ref="K6:O6" si="1">D7+D8+D9+D10+D11+D12+D13</f>
        <v>0</v>
      </c>
      <c r="L6" s="615">
        <f t="shared" si="1"/>
        <v>67.392036070699561</v>
      </c>
      <c r="M6" s="615">
        <f t="shared" si="1"/>
        <v>-13.18191269474009</v>
      </c>
      <c r="N6" s="615">
        <f t="shared" si="1"/>
        <v>29.081474729678458</v>
      </c>
      <c r="O6" s="615">
        <f t="shared" si="1"/>
        <v>-12.253445234443017</v>
      </c>
    </row>
    <row r="7" spans="2:15">
      <c r="B7" t="str">
        <f>Standard!F189</f>
        <v>Isolation thermique EPS 150 Sol 20mm</v>
      </c>
      <c r="C7" s="615">
        <f>Standard!M178+Standard!M189</f>
        <v>6.6504008614932539</v>
      </c>
      <c r="D7" s="615">
        <f>Standard!S178+Standard!S189</f>
        <v>0</v>
      </c>
      <c r="I7" t="s">
        <v>3408</v>
      </c>
      <c r="J7" s="615">
        <f>C5+C6+C16+C21+C22+C23+C24</f>
        <v>63.056876434709054</v>
      </c>
      <c r="K7" s="615">
        <f t="shared" ref="K7:O7" si="2">D5+D6+D16+D21+D22+D23+D24</f>
        <v>-2.8937597465236031</v>
      </c>
      <c r="L7" s="615">
        <f t="shared" si="2"/>
        <v>51.728978435909312</v>
      </c>
      <c r="M7" s="615">
        <f t="shared" si="2"/>
        <v>-6.0164165619973113</v>
      </c>
      <c r="N7" s="615">
        <f t="shared" si="2"/>
        <v>38.517801050238376</v>
      </c>
      <c r="O7" s="615">
        <f t="shared" si="2"/>
        <v>-14.883921766648701</v>
      </c>
    </row>
    <row r="8" spans="2:15">
      <c r="B8" t="str">
        <f>Standard!F190</f>
        <v>Isolation phonique Roll EPS-T 20mm</v>
      </c>
      <c r="C8" s="615">
        <f>Standard!M179+Standard!M190</f>
        <v>3.9902405168959527</v>
      </c>
      <c r="D8" s="615">
        <f>Standard!S179+Standard!S190</f>
        <v>0</v>
      </c>
    </row>
    <row r="9" spans="2:15">
      <c r="B9" t="str">
        <f>Standard!F180</f>
        <v>Isolation thermique PIR ALU 180mm</v>
      </c>
      <c r="C9" s="615">
        <f>Standard!M180</f>
        <v>24.091418659008944</v>
      </c>
      <c r="D9" s="615"/>
      <c r="E9" s="615">
        <f>Réaliste!M193</f>
        <v>26.404042572882922</v>
      </c>
    </row>
    <row r="10" spans="2:15">
      <c r="B10" t="str">
        <f>Standard!F185</f>
        <v>laine de verre 60mm</v>
      </c>
      <c r="C10" s="615">
        <f>Standard!M185</f>
        <v>0.18047663950848133</v>
      </c>
      <c r="D10" s="615"/>
      <c r="E10" s="615">
        <f>Réaliste!M197</f>
        <v>0.28040099424869436</v>
      </c>
    </row>
    <row r="11" spans="2:15">
      <c r="B11" t="str">
        <f>Réaliste!F201</f>
        <v>isolation thermique GUTEX thermosafe 40mm</v>
      </c>
      <c r="C11" s="615"/>
      <c r="D11" s="615"/>
      <c r="E11" s="615">
        <f>Réaliste!M191+Réaliste!M201</f>
        <v>21.311202686709244</v>
      </c>
      <c r="F11" s="615">
        <f>-Réaliste!S191-Réaliste!S201</f>
        <v>-6.9009832308675438</v>
      </c>
      <c r="G11" s="615">
        <f>Engagé!M200</f>
        <v>14.96327207364239</v>
      </c>
      <c r="H11" s="615">
        <f>-Engagé!S189-Engagé!S200</f>
        <v>-6.3549979271174495</v>
      </c>
    </row>
    <row r="12" spans="2:15">
      <c r="B12" t="str">
        <f>Réaliste!F202</f>
        <v>Isolation phonique GUTEX Thermofloor 30mm</v>
      </c>
      <c r="C12" s="615"/>
      <c r="D12" s="615"/>
      <c r="E12" s="615">
        <f>Réaliste!M192+Réaliste!M202</f>
        <v>19.396389816858694</v>
      </c>
      <c r="F12" s="615">
        <f>-Réaliste!S192-Réaliste!S202</f>
        <v>-6.2809294638725461</v>
      </c>
      <c r="G12" s="615">
        <f>Engagé!M201</f>
        <v>11.222454055231792</v>
      </c>
      <c r="H12" s="615">
        <f>-Engagé!S190-Engagé!S201</f>
        <v>-5.8984473073255668</v>
      </c>
      <c r="I12" t="s">
        <v>3409</v>
      </c>
    </row>
    <row r="13" spans="2:15">
      <c r="B13" t="str">
        <f>Engagé!F202</f>
        <v>isolation acoustique granulés type Köhnke 120mm</v>
      </c>
      <c r="C13" s="615"/>
      <c r="D13" s="615"/>
      <c r="G13" s="615">
        <f>Engagé!M202</f>
        <v>2.8957486008042781</v>
      </c>
      <c r="H13" s="615">
        <f>-Engagé!S202</f>
        <v>0</v>
      </c>
      <c r="I13" t="s">
        <v>3410</v>
      </c>
    </row>
    <row r="14" spans="2:15">
      <c r="B14" t="s">
        <v>1024</v>
      </c>
      <c r="C14" s="615">
        <f ca="1">Standard!M149+Standard!M158+Standard!M151</f>
        <v>63.898703526111923</v>
      </c>
      <c r="D14" s="615">
        <f>Standard!S149+Standard!S158</f>
        <v>0</v>
      </c>
      <c r="E14" s="615">
        <f ca="1">Réaliste!M161+Réaliste!M163+Réaliste!M170</f>
        <v>53.277061131310468</v>
      </c>
      <c r="F14" s="615"/>
      <c r="G14" s="615">
        <f>Engagé!M162</f>
        <v>4.1165527963185609</v>
      </c>
      <c r="H14" s="615"/>
      <c r="I14" t="s">
        <v>3411</v>
      </c>
    </row>
    <row r="15" spans="2:15">
      <c r="B15" t="str">
        <f>Standard!F159</f>
        <v>armature</v>
      </c>
      <c r="C15" s="615">
        <f ca="1">Standard!M150+Standard!M159+Standard!M152</f>
        <v>61.449885494857753</v>
      </c>
      <c r="D15" s="615"/>
      <c r="E15" s="615">
        <f ca="1">Réaliste!M162+Réaliste!M164+Réaliste!M171</f>
        <v>51.235300958550937</v>
      </c>
      <c r="F15" s="615"/>
    </row>
    <row r="16" spans="2:15">
      <c r="B16" t="s">
        <v>3344</v>
      </c>
      <c r="C16" s="615">
        <f>Standard!M160</f>
        <v>3.3803709451938908</v>
      </c>
      <c r="D16" s="615">
        <f>-Standard!S160</f>
        <v>-0.28500828102043535</v>
      </c>
    </row>
    <row r="17" spans="2:14">
      <c r="B17" t="str">
        <f>Réaliste!F172</f>
        <v>BLC 100mm</v>
      </c>
      <c r="E17" s="615">
        <f>Réaliste!M172</f>
        <v>12.063809384544193</v>
      </c>
      <c r="F17" s="615">
        <f>-Réaliste!S172</f>
        <v>-38.501853266051143</v>
      </c>
    </row>
    <row r="18" spans="2:14">
      <c r="B18" t="str">
        <f>Engagé!F169</f>
        <v>Membrure CLT 120mm</v>
      </c>
      <c r="G18" s="615">
        <f ca="1">Engagé!M169</f>
        <v>3.8810723104348899</v>
      </c>
      <c r="H18" s="615">
        <f>-Engagé!S160-Engagé!S169</f>
        <v>-32.776412911294443</v>
      </c>
    </row>
    <row r="19" spans="2:14">
      <c r="B19" t="str">
        <f>Engagé!F170</f>
        <v>panneau tri-pli 60mm</v>
      </c>
      <c r="G19" s="615">
        <f ca="1">Engagé!M170</f>
        <v>9.496203354960409</v>
      </c>
      <c r="H19" s="615">
        <f>-Engagé!S161-Engagé!S170</f>
        <v>-31.136278564321543</v>
      </c>
    </row>
    <row r="20" spans="2:14">
      <c r="B20" t="str">
        <f>Engagé!F171</f>
        <v>Panneau CLT</v>
      </c>
      <c r="G20" s="615">
        <f>Engagé!M171</f>
        <v>9.1720214771361057</v>
      </c>
      <c r="H20" s="615">
        <f>-Engagé!S164-Engagé!S171</f>
        <v>-37.495530036068153</v>
      </c>
    </row>
    <row r="21" spans="2:14">
      <c r="B21" t="str">
        <f>Standard!F196</f>
        <v xml:space="preserve">Parquet </v>
      </c>
      <c r="C21" s="615">
        <f>Standard!M196</f>
        <v>4.9791416232580916</v>
      </c>
      <c r="D21" s="615">
        <f>-Standard!S196</f>
        <v>-2.5798977486903221</v>
      </c>
      <c r="E21" s="615">
        <f>Réaliste!M208</f>
        <v>11.556417884136533</v>
      </c>
      <c r="F21" s="615">
        <f>-Réaliste!S208</f>
        <v>-5.9878546822091474</v>
      </c>
      <c r="G21" s="615">
        <f>Engagé!M206</f>
        <v>11.541872227519589</v>
      </c>
      <c r="H21" s="615">
        <f>-Engagé!S206</f>
        <v>-5.9803179801832425</v>
      </c>
    </row>
    <row r="22" spans="2:14">
      <c r="B22" t="str">
        <f>Standard!F197</f>
        <v>Carrelage</v>
      </c>
      <c r="C22" s="615">
        <f>Standard!M197</f>
        <v>21.70361960731935</v>
      </c>
      <c r="D22" s="615">
        <f>-Standard!S197</f>
        <v>0</v>
      </c>
      <c r="E22" s="615">
        <f>Réaliste!M209</f>
        <v>5.0856085145765855</v>
      </c>
      <c r="F22" s="615">
        <f>-Réaliste!S209</f>
        <v>0</v>
      </c>
      <c r="G22" s="615">
        <f>Engagé!M207</f>
        <v>3.1242485800754527</v>
      </c>
      <c r="H22" s="615">
        <f>-Engagé!S207</f>
        <v>0</v>
      </c>
    </row>
    <row r="23" spans="2:14">
      <c r="B23" t="str">
        <f>Standard!F198</f>
        <v>Commun moquette</v>
      </c>
      <c r="C23" s="615">
        <f>Standard!M198</f>
        <v>9.8248074440140692E-2</v>
      </c>
      <c r="D23" s="615">
        <f>-Standard!S198</f>
        <v>-2.8853716812845966E-2</v>
      </c>
      <c r="E23" s="615">
        <f>Réaliste!M210</f>
        <v>9.7254357550516743E-2</v>
      </c>
      <c r="F23" s="615">
        <f>-Réaliste!S210</f>
        <v>-2.8561879788163914E-2</v>
      </c>
      <c r="G23" s="615">
        <f>Engagé!M208</f>
        <v>9.1486671365200445E-2</v>
      </c>
      <c r="H23" s="615">
        <f>-Engagé!S208</f>
        <v>-2.6868012658402773E-2</v>
      </c>
    </row>
    <row r="24" spans="2:14">
      <c r="B24" t="str">
        <f>Standard!F199</f>
        <v>Commun - carrelage?</v>
      </c>
      <c r="C24" s="615">
        <f>Standard!M199</f>
        <v>2.4115132897021501</v>
      </c>
      <c r="D24" s="615">
        <f>-Standard!S199</f>
        <v>0</v>
      </c>
      <c r="E24" s="615">
        <f>Réaliste!M211</f>
        <v>2.3871223639849277</v>
      </c>
      <c r="F24" s="615">
        <f>-Réaliste!S211</f>
        <v>0</v>
      </c>
      <c r="G24" s="615">
        <f>Engagé!M209</f>
        <v>2.245553666929232</v>
      </c>
      <c r="H24" s="615">
        <f>-Engagé!S209</f>
        <v>0</v>
      </c>
    </row>
    <row r="25" spans="2:14">
      <c r="B25" t="str">
        <f>Réaliste!F190</f>
        <v>barrière vapeur</v>
      </c>
      <c r="E25" s="615">
        <f>Réaliste!M190</f>
        <v>4.6339435446552519</v>
      </c>
    </row>
    <row r="32" spans="2:14">
      <c r="J32" t="s">
        <v>293</v>
      </c>
      <c r="L32" t="s">
        <v>3327</v>
      </c>
      <c r="N32" t="s">
        <v>3330</v>
      </c>
    </row>
    <row r="33" spans="2:15">
      <c r="B33" t="s">
        <v>3347</v>
      </c>
      <c r="I33" t="s">
        <v>3407</v>
      </c>
      <c r="J33" s="615">
        <f>C46+C47+C49+C50</f>
        <v>74.08309914963715</v>
      </c>
      <c r="K33" s="615">
        <f t="shared" ref="K33:O33" si="3">D46+D47+D49+D50</f>
        <v>0</v>
      </c>
      <c r="L33" s="615">
        <f t="shared" si="3"/>
        <v>18.107599066770234</v>
      </c>
      <c r="M33" s="615">
        <f t="shared" si="3"/>
        <v>-22.450702548423347</v>
      </c>
      <c r="N33" s="615">
        <f t="shared" si="3"/>
        <v>21.711344494423944</v>
      </c>
      <c r="O33" s="615">
        <f t="shared" si="3"/>
        <v>-28.44154986664455</v>
      </c>
    </row>
    <row r="34" spans="2:15">
      <c r="B34" t="str">
        <f>Standard!F64</f>
        <v>Crépis 15mm</v>
      </c>
      <c r="C34" s="615">
        <f ca="1">Standard!M64+Standard!M73+Standard!M77</f>
        <v>9.6344446148323755</v>
      </c>
      <c r="D34" s="615">
        <f>-Standard!S64-Standard!S73-Standard!S77</f>
        <v>0</v>
      </c>
      <c r="I34" t="s">
        <v>3388</v>
      </c>
      <c r="J34" s="615">
        <f ca="1">C35+C36+C40+C41+C42+C44</f>
        <v>50.403699712835582</v>
      </c>
      <c r="K34" s="615">
        <f t="shared" ref="K34:O34" si="4">D35+D36+D40+D41+D42+D44</f>
        <v>0</v>
      </c>
      <c r="L34" s="615">
        <f t="shared" ca="1" si="4"/>
        <v>27.005140867323327</v>
      </c>
      <c r="M34" s="615">
        <f t="shared" si="4"/>
        <v>-24.688995703047532</v>
      </c>
      <c r="N34" s="615">
        <f t="shared" ca="1" si="4"/>
        <v>22.108181840512412</v>
      </c>
      <c r="O34" s="615">
        <f t="shared" si="4"/>
        <v>-114.20867801224381</v>
      </c>
    </row>
    <row r="35" spans="2:15">
      <c r="B35" t="str">
        <f>Standard!F65</f>
        <v>Isolation EPS RF3 300mm</v>
      </c>
      <c r="C35" s="615">
        <f ca="1">Standard!M65+Standard!M74</f>
        <v>43.991659810337921</v>
      </c>
      <c r="D35" s="615"/>
      <c r="I35" t="s">
        <v>3408</v>
      </c>
      <c r="J35" s="615">
        <f ca="1">C34+C37+C38+C39+C43+C45+C48</f>
        <v>14.438924773774541</v>
      </c>
      <c r="K35" s="615">
        <f t="shared" ref="K35:O35" si="5">D34+D37+D38+D39+D43+D45+D48</f>
        <v>-0.34737491652197139</v>
      </c>
      <c r="L35" s="615">
        <f t="shared" ca="1" si="5"/>
        <v>19.614327200648731</v>
      </c>
      <c r="M35" s="615">
        <f t="shared" si="5"/>
        <v>-19.540561651351886</v>
      </c>
      <c r="N35" s="615">
        <f t="shared" ca="1" si="5"/>
        <v>3.1605303221259486</v>
      </c>
      <c r="O35" s="615">
        <f t="shared" si="5"/>
        <v>0</v>
      </c>
    </row>
    <row r="36" spans="2:15">
      <c r="B36" t="str">
        <f>Standard!F78</f>
        <v>isolation XPS 300mm</v>
      </c>
      <c r="C36" s="615">
        <f>Standard!M78</f>
        <v>6.4120399024976624</v>
      </c>
      <c r="D36" s="615"/>
      <c r="J36" s="615"/>
      <c r="K36" s="615"/>
      <c r="L36" s="615"/>
      <c r="M36" s="615"/>
      <c r="N36" s="615"/>
    </row>
    <row r="37" spans="2:15">
      <c r="B37" t="str">
        <f>Standard!F75</f>
        <v>Etanchéité (14.85m2)</v>
      </c>
      <c r="C37" s="615">
        <f>Standard!M75</f>
        <v>0.68440311873914772</v>
      </c>
      <c r="D37" s="615"/>
      <c r="J37" s="615"/>
      <c r="K37" s="615"/>
      <c r="L37" s="615"/>
      <c r="M37" s="615"/>
      <c r="N37" s="615"/>
    </row>
    <row r="38" spans="2:15">
      <c r="B38" t="str">
        <f>Réaliste!F68</f>
        <v>tavillonage 30mm</v>
      </c>
      <c r="E38" s="615">
        <f ca="1">Réaliste!M68+Réaliste!M77+Réaliste!M81</f>
        <v>2.9445973914193164</v>
      </c>
      <c r="F38" s="615">
        <f>-Réaliste!S68-Réaliste!S77-Réaliste!S81</f>
        <v>-12.440936517485289</v>
      </c>
    </row>
    <row r="39" spans="2:15">
      <c r="B39" t="str">
        <f>Réaliste!F69</f>
        <v>lattage 60mm</v>
      </c>
      <c r="E39" s="615">
        <f ca="1">Réaliste!M69+Réaliste!M78+Réaliste!M82</f>
        <v>2.2090439759511691</v>
      </c>
      <c r="F39" s="615">
        <f>-Réaliste!S69-Réaliste!S78-Réaliste!S82</f>
        <v>-5.6360133602168307</v>
      </c>
    </row>
    <row r="40" spans="2:15">
      <c r="B40" t="str">
        <f>Réaliste!F70</f>
        <v>isolation fibre de bois 60mm</v>
      </c>
      <c r="E40" s="615">
        <f ca="1">Réaliste!M70+Réaliste!M72+Réaliste!M83+Réaliste!M85</f>
        <v>17.551191439148543</v>
      </c>
      <c r="F40" s="615">
        <f>-Réaliste!S70-Réaliste!S72-Réaliste!S83-Réaliste!S85</f>
        <v>-16.581080672528152</v>
      </c>
    </row>
    <row r="41" spans="2:15">
      <c r="B41" t="str">
        <f>Réaliste!F71</f>
        <v>Gramitherm 300mm (dans ossature)</v>
      </c>
      <c r="E41" s="615">
        <f ca="1">Réaliste!M71+Réaliste!M84</f>
        <v>4.4224991075560256</v>
      </c>
      <c r="F41" s="615">
        <f>-Réaliste!S71-Réaliste!S84</f>
        <v>-8.1079150305193792</v>
      </c>
    </row>
    <row r="42" spans="2:15">
      <c r="B42" t="str">
        <f>Réaliste!F79</f>
        <v>isolation PIR ali 220mm</v>
      </c>
      <c r="E42" s="615">
        <f>Réaliste!M79</f>
        <v>5.0314503206187613</v>
      </c>
      <c r="F42" s="615"/>
    </row>
    <row r="43" spans="2:15">
      <c r="B43" t="str">
        <f>Réaliste!F73</f>
        <v>Fermacell 15mm</v>
      </c>
      <c r="E43" s="615">
        <f ca="1">Réaliste!M73+Réaliste!M86</f>
        <v>14.460685833278244</v>
      </c>
      <c r="F43" s="615">
        <f>-Réaliste!S73-Réaliste!S86</f>
        <v>-1.4636117736497651</v>
      </c>
    </row>
    <row r="44" spans="2:15">
      <c r="B44" t="str">
        <f>Engagé!F68</f>
        <v>Botte de paille 2x350mm</v>
      </c>
      <c r="E44" s="615"/>
      <c r="F44" s="615"/>
      <c r="G44" s="615">
        <f ca="1">Engagé!M68+Engagé!M78+Engagé!M82</f>
        <v>22.108181840512412</v>
      </c>
      <c r="H44" s="615">
        <f>-Engagé!S68-Engagé!S78-Engagé!S82</f>
        <v>-114.20867801224381</v>
      </c>
    </row>
    <row r="45" spans="2:15">
      <c r="B45" t="str">
        <f>Engagé!F69</f>
        <v>Enduit minéral extérieur 40mm</v>
      </c>
      <c r="E45" s="615"/>
      <c r="F45" s="615"/>
      <c r="G45" s="615">
        <f ca="1">Engagé!M69+Engagé!M77+Engagé!M81</f>
        <v>3.1605303221259486</v>
      </c>
      <c r="H45" s="615"/>
    </row>
    <row r="46" spans="2:15">
      <c r="B46" t="str">
        <f>Standard!F47</f>
        <v>Mur béton 200mm</v>
      </c>
      <c r="C46" s="615">
        <f>Standard!M47+Standard!M51+Standard!M55</f>
        <v>37.765195650238198</v>
      </c>
      <c r="D46" s="615"/>
      <c r="E46" s="615">
        <f>Réaliste!M55+Réaliste!M59</f>
        <v>4.3608286860139707</v>
      </c>
      <c r="F46" s="615"/>
      <c r="G46" s="615">
        <f>Engagé!M55+Engagé!M59</f>
        <v>5.6723881824965803</v>
      </c>
    </row>
    <row r="47" spans="2:15">
      <c r="B47" t="str">
        <f>Standard!F48</f>
        <v>Armature</v>
      </c>
      <c r="C47" s="615">
        <f>Standard!M48+Standard!M52+Standard!M56</f>
        <v>36.317903499398952</v>
      </c>
      <c r="D47" s="615"/>
      <c r="E47" s="615">
        <f>Réaliste!M56+Réaliste!M60</f>
        <v>4.1937067362993323</v>
      </c>
      <c r="F47" s="615"/>
      <c r="G47" s="615">
        <f>Engagé!M56+Engagé!M60</f>
        <v>5.4550027631524394</v>
      </c>
    </row>
    <row r="48" spans="2:15">
      <c r="B48" t="str">
        <f>Standard!F49</f>
        <v>Plâtre 10mm</v>
      </c>
      <c r="C48" s="615">
        <f>Standard!M49+Standard!M57</f>
        <v>4.120077040203018</v>
      </c>
      <c r="D48" s="615">
        <f>-Standard!S49-Standard!S57</f>
        <v>-0.34737491652197139</v>
      </c>
    </row>
    <row r="49" spans="2:15">
      <c r="B49" t="str">
        <f>Réaliste!F52</f>
        <v>Ossature 300mm</v>
      </c>
      <c r="E49" s="615">
        <f>Réaliste!M52+Réaliste!M61</f>
        <v>3.2825954972697824</v>
      </c>
      <c r="F49" s="615">
        <f>-Réaliste!S52-Réaliste!S61</f>
        <v>-15.153831823891055</v>
      </c>
      <c r="G49" s="615">
        <f>Engagé!M52+Engagé!M61</f>
        <v>10.583953548774925</v>
      </c>
      <c r="H49" s="615">
        <f>-Engagé!S52</f>
        <v>-28.44154986664455</v>
      </c>
    </row>
    <row r="50" spans="2:15">
      <c r="B50" t="str">
        <f>Réaliste!F53</f>
        <v>Panneau bois OSB 15mm</v>
      </c>
      <c r="E50" s="615">
        <f>Réaliste!M53+Réaliste!M62</f>
        <v>6.270468147187148</v>
      </c>
      <c r="F50" s="615">
        <f>-Réaliste!S53-Réaliste!S62</f>
        <v>-7.2968707245322912</v>
      </c>
    </row>
    <row r="51" spans="2:15">
      <c r="B51" t="s">
        <v>3345</v>
      </c>
      <c r="C51" s="615"/>
      <c r="D51" s="615"/>
      <c r="E51" s="615"/>
      <c r="F51" s="615"/>
      <c r="G51" s="615"/>
      <c r="H51" s="615"/>
    </row>
    <row r="63" spans="2:15">
      <c r="J63" t="s">
        <v>293</v>
      </c>
      <c r="L63" t="s">
        <v>3327</v>
      </c>
      <c r="N63" t="s">
        <v>3330</v>
      </c>
    </row>
    <row r="64" spans="2:15">
      <c r="B64" t="s">
        <v>3348</v>
      </c>
      <c r="I64" t="s">
        <v>3407</v>
      </c>
      <c r="J64" s="615">
        <f ca="1">C75+C76+C77+C79+C80+C81+C82</f>
        <v>41.132573794577269</v>
      </c>
      <c r="K64" s="615">
        <f>D75+D76+D77+D79+D80+D81+D82</f>
        <v>0</v>
      </c>
      <c r="L64" s="615">
        <f ca="1">E75+E76+E77+E79+E80+E81+E82</f>
        <v>7.2164860315991257</v>
      </c>
      <c r="M64" s="615">
        <f>F75+F76+F77+F79+F80+F81+F82</f>
        <v>-5.2961118897042079</v>
      </c>
      <c r="N64" s="615">
        <f t="shared" ref="N64:O64" ca="1" si="6">G75+G76+G77+G79+G80+G81+G82</f>
        <v>13.277468461506572</v>
      </c>
      <c r="O64" s="615">
        <f t="shared" si="6"/>
        <v>-34.797438352472952</v>
      </c>
    </row>
    <row r="65" spans="2:15">
      <c r="B65" t="str">
        <f>Standard!F102</f>
        <v>(PV) + substrat</v>
      </c>
      <c r="C65" s="615">
        <f>Standard!M102</f>
        <v>1.0184374582609856</v>
      </c>
      <c r="D65" s="615">
        <f>-Standard!S102</f>
        <v>0</v>
      </c>
      <c r="E65" s="615">
        <f>Réaliste!M108</f>
        <v>1.0578118595888146</v>
      </c>
      <c r="F65" s="615">
        <f>-Réaliste!S108</f>
        <v>0</v>
      </c>
      <c r="G65" s="615">
        <f>Engagé!M109</f>
        <v>1.3675867397703245</v>
      </c>
      <c r="H65" s="615">
        <f>-Engagé!S109</f>
        <v>0</v>
      </c>
      <c r="I65" t="s">
        <v>3388</v>
      </c>
      <c r="J65" s="615">
        <f>C71+C74+C73</f>
        <v>37.373766194737549</v>
      </c>
      <c r="K65" s="615">
        <f>D71+D74+D73</f>
        <v>0</v>
      </c>
      <c r="L65" s="615">
        <f>E71+E74+E73</f>
        <v>38.998706947841605</v>
      </c>
      <c r="M65" s="615">
        <f>F71+F74+F73</f>
        <v>0</v>
      </c>
      <c r="N65" s="615">
        <f t="shared" ref="N65:O65" si="7">G71+G74+G73</f>
        <v>10.49461501181543</v>
      </c>
      <c r="O65" s="615">
        <f t="shared" si="7"/>
        <v>-54.214141868081754</v>
      </c>
    </row>
    <row r="66" spans="2:15">
      <c r="B66" t="str">
        <f>Standard!F103</f>
        <v>Natte filtrante</v>
      </c>
      <c r="C66" s="615">
        <f>Standard!M103</f>
        <v>0.40066615466809136</v>
      </c>
      <c r="D66" s="615">
        <f>-Standard!S103</f>
        <v>0</v>
      </c>
      <c r="E66" s="615">
        <f>Réaliste!M109</f>
        <v>0.4161565412837972</v>
      </c>
      <c r="F66" s="615">
        <f>-Réaliste!S109</f>
        <v>0</v>
      </c>
      <c r="G66" s="615">
        <f>Engagé!M110</f>
        <v>0.53802589030305548</v>
      </c>
      <c r="H66" s="615">
        <f>-Engagé!S110</f>
        <v>0</v>
      </c>
      <c r="I66" t="s">
        <v>3408</v>
      </c>
      <c r="J66" s="615">
        <f>C65+C66+C67+C68+C69+C70+C72+C78</f>
        <v>25.588211632385022</v>
      </c>
      <c r="K66" s="615">
        <f>D65+D66+D67+D68+D69+D70+D72+D78</f>
        <v>-0.1742431881928676</v>
      </c>
      <c r="L66" s="615">
        <f>E65+E66+E67+E68+E69+E70+E72+E78</f>
        <v>24.430963337079394</v>
      </c>
      <c r="M66" s="615">
        <f>F65+F66+F67+F68+F69+F70+F72+F78</f>
        <v>0</v>
      </c>
      <c r="N66" s="615">
        <f t="shared" ref="N66:O66" si="8">G65+G66+G67+G68+G69+G70+G72+G78</f>
        <v>31.397639441565442</v>
      </c>
      <c r="O66" s="615">
        <f t="shared" si="8"/>
        <v>0</v>
      </c>
    </row>
    <row r="67" spans="2:15">
      <c r="B67" t="str">
        <f>Standard!F104</f>
        <v>Natte drainante</v>
      </c>
      <c r="C67" s="615">
        <f>Standard!M104</f>
        <v>2.3581532656604782</v>
      </c>
      <c r="D67" s="615">
        <f>-Standard!S104</f>
        <v>0</v>
      </c>
      <c r="E67" s="615">
        <f>Réaliste!M110</f>
        <v>2.4493231969326374</v>
      </c>
      <c r="F67" s="615">
        <f>-Réaliste!S110</f>
        <v>0</v>
      </c>
      <c r="G67" s="615">
        <f>Engagé!M111</f>
        <v>3.1665951701836574</v>
      </c>
      <c r="H67" s="615">
        <f>-Engagé!S111</f>
        <v>0</v>
      </c>
    </row>
    <row r="68" spans="2:15">
      <c r="B68" t="str">
        <f>Standard!F105</f>
        <v>Natte protectrice absorbante</v>
      </c>
      <c r="C68" s="615">
        <f>Standard!M105</f>
        <v>1.9356834179244022</v>
      </c>
      <c r="D68" s="615">
        <f>-Standard!S105</f>
        <v>0</v>
      </c>
      <c r="E68" s="615">
        <f>Réaliste!M111</f>
        <v>2.0105199973557211</v>
      </c>
      <c r="F68" s="615">
        <f>-Réaliste!S111</f>
        <v>0</v>
      </c>
      <c r="G68" s="615">
        <f>Engagé!M112</f>
        <v>2.5992906616641096</v>
      </c>
      <c r="H68" s="615">
        <f>-Engagé!S112</f>
        <v>0</v>
      </c>
    </row>
    <row r="69" spans="2:15">
      <c r="B69" t="str">
        <f>Standard!F106</f>
        <v>lé anti-racine</v>
      </c>
      <c r="C69" s="615">
        <f>Standard!M106</f>
        <v>4.8079938560170961</v>
      </c>
      <c r="D69" s="615">
        <f>-Standard!S106</f>
        <v>0</v>
      </c>
      <c r="E69" s="615">
        <f>Réaliste!M112</f>
        <v>4.9938784954055659</v>
      </c>
      <c r="F69" s="615">
        <f>-Réaliste!S112</f>
        <v>0</v>
      </c>
      <c r="G69" s="615">
        <f>Engagé!M113</f>
        <v>6.4563106836366648</v>
      </c>
      <c r="H69" s="615">
        <f>-Engagé!S113</f>
        <v>0</v>
      </c>
    </row>
    <row r="70" spans="2:15">
      <c r="B70" t="str">
        <f>Standard!F107</f>
        <v>Etanchéité</v>
      </c>
      <c r="C70" s="615">
        <f>Standard!M107</f>
        <v>12.860787224522506</v>
      </c>
      <c r="D70" s="615">
        <f>-Standard!S107</f>
        <v>0</v>
      </c>
      <c r="E70" s="615">
        <f>Réaliste!M113</f>
        <v>13.358005579427513</v>
      </c>
      <c r="F70" s="615">
        <f>-Réaliste!S113</f>
        <v>0</v>
      </c>
      <c r="G70" s="615">
        <f>Engagé!M114</f>
        <v>17.26983029600763</v>
      </c>
      <c r="H70" s="615">
        <f>-Engagé!S114</f>
        <v>0</v>
      </c>
    </row>
    <row r="71" spans="2:15">
      <c r="B71" t="str">
        <f>Standard!F108</f>
        <v>Isolation EPS Lambdaroof</v>
      </c>
      <c r="C71" s="615">
        <f>Standard!M108</f>
        <v>37.373766194737549</v>
      </c>
      <c r="D71" s="615">
        <f>-Standard!S108</f>
        <v>0</v>
      </c>
    </row>
    <row r="72" spans="2:15">
      <c r="B72" t="str">
        <f>Standard!F109</f>
        <v>Etanchéité provisoire</v>
      </c>
      <c r="C72" s="615">
        <f>Standard!M109</f>
        <v>0.13986044143181514</v>
      </c>
      <c r="D72" s="615">
        <f>-Standard!S109</f>
        <v>0</v>
      </c>
      <c r="E72" s="615">
        <f>Réaliste!M115</f>
        <v>0.14526766708534408</v>
      </c>
      <c r="F72" s="615">
        <f>-Réaliste!S115</f>
        <v>0</v>
      </c>
    </row>
    <row r="73" spans="2:15">
      <c r="B73" t="str">
        <f>Réaliste!F114</f>
        <v>Isolation PIR Premium 120-240mm</v>
      </c>
      <c r="E73" s="615">
        <f>Réaliste!M114</f>
        <v>38.998706947841605</v>
      </c>
      <c r="F73" s="615">
        <f>-Réaliste!T114</f>
        <v>0</v>
      </c>
    </row>
    <row r="74" spans="2:15">
      <c r="B74" t="str">
        <f>Engagé!F115</f>
        <v>Botte de paille 700mm (257.58)</v>
      </c>
      <c r="E74" s="615"/>
      <c r="F74" s="615"/>
      <c r="G74" s="615">
        <f>Engagé!M115</f>
        <v>10.49461501181543</v>
      </c>
      <c r="H74" s="615">
        <f>-Engagé!S115</f>
        <v>-54.214141868081754</v>
      </c>
    </row>
    <row r="75" spans="2:15">
      <c r="B75" t="str">
        <f>Réaliste!F116</f>
        <v>OSB 15mm</v>
      </c>
      <c r="E75" s="615">
        <f>Réaliste!M116</f>
        <v>4.0957304158127839</v>
      </c>
      <c r="F75" s="615">
        <f>-Réaliste!S116</f>
        <v>-4.766153764791432</v>
      </c>
    </row>
    <row r="76" spans="2:15">
      <c r="B76" t="str">
        <f>Standard!F92</f>
        <v>Dalle béton 240mm</v>
      </c>
      <c r="C76" s="615">
        <f ca="1">Standard!M92</f>
        <v>20.968071190062773</v>
      </c>
      <c r="D76" s="615">
        <f>-Standard!S92</f>
        <v>0</v>
      </c>
      <c r="E76" s="615">
        <f ca="1">Réaliste!M98</f>
        <v>1.5062133932703112</v>
      </c>
      <c r="F76" s="615">
        <f>-Réaliste!S98</f>
        <v>0</v>
      </c>
    </row>
    <row r="77" spans="2:15">
      <c r="B77" t="str">
        <f>Standard!F93</f>
        <v>Armature</v>
      </c>
      <c r="C77" s="615">
        <f ca="1">Standard!M93</f>
        <v>20.164502604514492</v>
      </c>
      <c r="D77" s="615">
        <f>-Standard!S93</f>
        <v>0</v>
      </c>
      <c r="E77" s="615">
        <f ca="1">Réaliste!M99</f>
        <v>1.4484901170093212</v>
      </c>
      <c r="F77" s="615">
        <f>-Réaliste!S99</f>
        <v>0</v>
      </c>
    </row>
    <row r="78" spans="2:15">
      <c r="B78" t="str">
        <f>Standard!F94</f>
        <v>Plâtre 10mm</v>
      </c>
      <c r="C78" s="615">
        <f>Standard!M94</f>
        <v>2.0666298138996479</v>
      </c>
      <c r="D78" s="615">
        <f>-Standard!S94</f>
        <v>-0.1742431881928676</v>
      </c>
    </row>
    <row r="79" spans="2:15">
      <c r="B79" t="str">
        <f>Réaliste!F100</f>
        <v>Dalle BLC massive 180mm</v>
      </c>
      <c r="E79" s="615">
        <f>Réaliste!M100</f>
        <v>0.16605210550670985</v>
      </c>
      <c r="F79" s="615">
        <f>-Réaliste!S100</f>
        <v>-0.5299581249127755</v>
      </c>
    </row>
    <row r="80" spans="2:15">
      <c r="B80" t="str">
        <f>Engagé!F98</f>
        <v>Panneau CLT</v>
      </c>
      <c r="E80" s="615"/>
      <c r="F80" s="615"/>
      <c r="G80" s="615">
        <f ca="1">Engagé!M98</f>
        <v>4.2773236287881922</v>
      </c>
      <c r="H80" s="615">
        <f>-Engagé!S98</f>
        <v>-11.494165457485177</v>
      </c>
    </row>
    <row r="81" spans="2:8">
      <c r="B81" t="str">
        <f>Engagé!F99</f>
        <v>panneau tri-pli</v>
      </c>
      <c r="E81" s="615"/>
      <c r="F81" s="615"/>
      <c r="G81" s="615">
        <f ca="1">Engagé!M99</f>
        <v>6.9193585568591685</v>
      </c>
      <c r="H81" s="615">
        <f>-Engagé!S99</f>
        <v>-17.99448801873886</v>
      </c>
    </row>
    <row r="82" spans="2:8">
      <c r="B82" t="str">
        <f>Engagé!F101</f>
        <v>Lattage</v>
      </c>
      <c r="E82" s="615"/>
      <c r="F82" s="615"/>
      <c r="G82" s="615">
        <f>Engagé!M101</f>
        <v>2.0807862758592099</v>
      </c>
      <c r="H82" s="615">
        <f>-Engagé!S101</f>
        <v>-5.3087848762489109</v>
      </c>
    </row>
    <row r="83" spans="2:8">
      <c r="B83" t="s">
        <v>3345</v>
      </c>
      <c r="C83" s="615">
        <f>-Standard!S91-Standard!S101</f>
        <v>-1.0557974934330616</v>
      </c>
      <c r="D83" s="615"/>
      <c r="E83" s="615">
        <f>-Réaliste!S97-Réaliste!S107</f>
        <v>-5.2961118897042079</v>
      </c>
      <c r="F83" s="615"/>
      <c r="G83" s="615">
        <f>-Engagé!S97-Engagé!S108</f>
        <v>-106.80236416400646</v>
      </c>
      <c r="H83" s="615">
        <f>Engagé!S102</f>
        <v>0</v>
      </c>
    </row>
    <row r="97" spans="1:15">
      <c r="J97" t="s">
        <v>293</v>
      </c>
      <c r="L97" t="s">
        <v>3327</v>
      </c>
      <c r="N97" t="s">
        <v>3330</v>
      </c>
    </row>
    <row r="98" spans="1:15">
      <c r="B98" t="s">
        <v>3373</v>
      </c>
      <c r="I98" t="s">
        <v>3407</v>
      </c>
      <c r="J98" s="622">
        <f>C101+C102+C108+C109+C112+C113+C117+C118+C120+C121+C137+C142+C149+C150+C151+C153+C154+C158+C159+C161+C162+C178+C182+C188+C189+C190+C192+C193+C197+C198+C200+C201</f>
        <v>79.963217131917546</v>
      </c>
      <c r="K98" s="622">
        <f t="shared" ref="K98:O98" si="9">D101+D102+D108+D109+D112+D113+D117+D118+D120+D121+D137+D142+D149+D150+D151+D153+D154+D158+D159+D161+D162+D178+D182+D188+D189+D190+D192+D193+D197+D198+D200+D201</f>
        <v>0</v>
      </c>
      <c r="L98" s="622">
        <f t="shared" si="9"/>
        <v>44.559787901985409</v>
      </c>
      <c r="M98" s="622">
        <f t="shared" si="9"/>
        <v>-11.001599788457725</v>
      </c>
      <c r="N98" s="622">
        <f t="shared" si="9"/>
        <v>42.788135929273253</v>
      </c>
      <c r="O98" s="622">
        <f t="shared" si="9"/>
        <v>-13.7938932880063</v>
      </c>
    </row>
    <row r="99" spans="1:15">
      <c r="A99" t="str">
        <f>Standard!F113</f>
        <v>Parois porteuses intérieures</v>
      </c>
      <c r="B99">
        <f>Standard!G113</f>
        <v>0</v>
      </c>
      <c r="C99" s="615"/>
      <c r="D99" s="615"/>
      <c r="I99" t="s">
        <v>3388</v>
      </c>
      <c r="J99" s="622">
        <f>C114+C138+C143+C155+C166+C179+C183+C194+C205</f>
        <v>2.1860596700948305</v>
      </c>
      <c r="K99" s="622">
        <f t="shared" ref="K99:O99" si="10">D114+D138+D143+D155+D166+D179+D183+D194+D205</f>
        <v>0</v>
      </c>
      <c r="L99" s="622">
        <f t="shared" si="10"/>
        <v>7.8916843606795801</v>
      </c>
      <c r="M99" s="622">
        <f t="shared" si="10"/>
        <v>0</v>
      </c>
      <c r="N99" s="622">
        <f t="shared" si="10"/>
        <v>5.6573785817337594</v>
      </c>
      <c r="O99" s="622">
        <f t="shared" si="10"/>
        <v>-0.55228436631980427</v>
      </c>
    </row>
    <row r="100" spans="1:15">
      <c r="A100" t="str">
        <f>Standard!F114</f>
        <v>lissage plâtre 10mm</v>
      </c>
      <c r="B100" t="str">
        <f>Standard!G114</f>
        <v>Plaque de plâtre cartonnée</v>
      </c>
      <c r="C100" s="615">
        <f>Standard!M114</f>
        <v>2.0864333190864159</v>
      </c>
      <c r="D100" s="615">
        <f>-Standard!S114</f>
        <v>-0.17591287565112859</v>
      </c>
      <c r="E100" s="615"/>
      <c r="F100" s="615"/>
      <c r="G100" s="615"/>
      <c r="H100" s="615"/>
      <c r="I100" t="s">
        <v>3408</v>
      </c>
      <c r="J100" s="622">
        <f>C100+C103+C105+C106+C115+C123+C124+C126+C128+C129+C131+C132+C136+C139+C141+C144+C146+C147+C156+C164+C165+C167+C169+C170+C172+C173+C177+C181+C185+C186+C195+C203+C204+C208+C209+C211+C212</f>
        <v>33.037078243812836</v>
      </c>
      <c r="K100" s="622">
        <f t="shared" ref="K100:O100" si="11">D100+D103+D105+D106+D115+D123+D124+D126+D128+D129+D131+D132+D136+D139+D141+D144+D146+D147+D156+D164+D165+D167+D169+D170+D172+D173+D177+D181+D185+D186+D195+D203+D204+D208+D209+D211+D212</f>
        <v>-2.0055702495436529</v>
      </c>
      <c r="L100" s="622">
        <f t="shared" si="11"/>
        <v>77.556912548255895</v>
      </c>
      <c r="M100" s="622">
        <f t="shared" si="11"/>
        <v>-8.3910724318547416</v>
      </c>
      <c r="N100" s="622">
        <f t="shared" si="11"/>
        <v>20.562631227768332</v>
      </c>
      <c r="O100" s="622">
        <f t="shared" si="11"/>
        <v>-28.086237899548106</v>
      </c>
    </row>
    <row r="101" spans="1:15">
      <c r="A101" t="str">
        <f>Standard!F115</f>
        <v>Mur béton 200mm</v>
      </c>
      <c r="B101" t="str">
        <f>Standard!G115</f>
        <v>Béton pour bâtiment (sans armature)</v>
      </c>
      <c r="C101" s="615">
        <f>Standard!M115</f>
        <v>17.640831654868435</v>
      </c>
      <c r="D101" s="615">
        <f>-Standard!S115</f>
        <v>0</v>
      </c>
      <c r="E101" s="615"/>
      <c r="F101" s="615"/>
      <c r="G101" s="615"/>
      <c r="H101" s="615"/>
    </row>
    <row r="102" spans="1:15">
      <c r="A102" t="str">
        <f>Standard!F116</f>
        <v>Armature</v>
      </c>
      <c r="B102" t="str">
        <f>Standard!G116</f>
        <v>Acier d'armature</v>
      </c>
      <c r="C102" s="615">
        <f>Standard!M116</f>
        <v>16.964774328836647</v>
      </c>
      <c r="D102" s="615">
        <f>-Standard!S116</f>
        <v>0</v>
      </c>
      <c r="E102" s="615"/>
      <c r="F102" s="615"/>
      <c r="G102" s="615"/>
      <c r="H102" s="615"/>
    </row>
    <row r="103" spans="1:15">
      <c r="A103" t="str">
        <f>Standard!F117</f>
        <v>lissage plâtre 10mm</v>
      </c>
      <c r="B103" t="str">
        <f>Standard!G117</f>
        <v>Plaque de plâtre cartonnée</v>
      </c>
      <c r="C103" s="615">
        <f>Standard!M117</f>
        <v>2.0864333190864159</v>
      </c>
      <c r="D103" s="615">
        <f>-Standard!S117</f>
        <v>-0.17591287565112859</v>
      </c>
      <c r="E103" s="615"/>
      <c r="F103" s="615"/>
      <c r="G103" s="615"/>
      <c r="H103" s="615"/>
    </row>
    <row r="104" spans="1:15">
      <c r="A104" t="str">
        <f>Standard!F118</f>
        <v>Revêtement parois</v>
      </c>
      <c r="B104">
        <f>Standard!G118</f>
        <v>0</v>
      </c>
      <c r="C104" s="615"/>
      <c r="D104" s="615">
        <f>-Standard!S118</f>
        <v>0</v>
      </c>
      <c r="E104" s="615"/>
      <c r="F104" s="615"/>
    </row>
    <row r="105" spans="1:15">
      <c r="A105" t="str">
        <f>Standard!F119</f>
        <v>carrelage cuisine 12.21m2</v>
      </c>
      <c r="B105" t="str">
        <f>Standard!G119</f>
        <v>Dalle en céramique/grès, 9 mm</v>
      </c>
      <c r="C105" s="615">
        <f>Standard!M119</f>
        <v>0.6400995058100708</v>
      </c>
      <c r="D105" s="615">
        <f>-Standard!S119</f>
        <v>0</v>
      </c>
      <c r="E105" s="615"/>
      <c r="F105" s="615"/>
      <c r="G105" s="615"/>
      <c r="H105" s="615"/>
    </row>
    <row r="106" spans="1:15">
      <c r="A106" t="str">
        <f>Standard!F120</f>
        <v>Carrelage SDB 267.17m2</v>
      </c>
      <c r="B106" t="str">
        <f>Standard!G120</f>
        <v>Dalle en céramique/grès, 9 mm</v>
      </c>
      <c r="C106" s="615">
        <f>Standard!M120</f>
        <v>14.006174034993991</v>
      </c>
      <c r="D106" s="615">
        <f>-Standard!S120</f>
        <v>0</v>
      </c>
      <c r="E106" s="615"/>
      <c r="F106" s="615"/>
      <c r="G106" s="615"/>
      <c r="H106" s="615"/>
    </row>
    <row r="107" spans="1:15">
      <c r="A107" t="str">
        <f>Standard!F121</f>
        <v>Murs béton ss</v>
      </c>
      <c r="B107">
        <f>Standard!G121</f>
        <v>0</v>
      </c>
      <c r="C107" s="615"/>
      <c r="D107" s="615">
        <f>-Standard!S121</f>
        <v>0</v>
      </c>
      <c r="G107" s="615"/>
      <c r="H107" s="615"/>
    </row>
    <row r="108" spans="1:15">
      <c r="A108" t="str">
        <f>Standard!F122</f>
        <v>Mur béton 200mm</v>
      </c>
      <c r="B108" t="str">
        <f>Standard!G122</f>
        <v>Béton pour bâtiment (sans armature)</v>
      </c>
      <c r="C108" s="615">
        <f>Standard!M122</f>
        <v>6.327490873068875</v>
      </c>
      <c r="D108" s="615">
        <f>-Standard!S122</f>
        <v>0</v>
      </c>
      <c r="E108" s="615"/>
      <c r="F108" s="615"/>
      <c r="G108" s="615"/>
      <c r="H108" s="615"/>
    </row>
    <row r="109" spans="1:15">
      <c r="A109" t="str">
        <f>Standard!F123</f>
        <v>Armature</v>
      </c>
      <c r="B109" t="str">
        <f>Standard!G123</f>
        <v>Acier d'armature</v>
      </c>
      <c r="C109" s="615">
        <f>Standard!M123</f>
        <v>6.0849996660878851</v>
      </c>
      <c r="D109" s="615">
        <f>-Standard!S123</f>
        <v>0</v>
      </c>
    </row>
    <row r="110" spans="1:15">
      <c r="A110" t="str">
        <f>Standard!F124</f>
        <v>Sur épaisseur abris Pci béton 10cm (140.99m2)</v>
      </c>
      <c r="B110" t="str">
        <f>Standard!G124</f>
        <v>Béton pour bâtiment (sans armature)</v>
      </c>
      <c r="C110" s="615">
        <f>Standard!M124</f>
        <v>4.4142154289657629</v>
      </c>
      <c r="D110" s="615">
        <f>-Standard!S124</f>
        <v>0</v>
      </c>
    </row>
    <row r="111" spans="1:15">
      <c r="A111" t="str">
        <f>Standard!F125</f>
        <v>Murs béton ss isolé</v>
      </c>
      <c r="B111">
        <f>Standard!G125</f>
        <v>0</v>
      </c>
      <c r="C111" s="615"/>
      <c r="D111" s="615">
        <f>-Standard!S125</f>
        <v>-7.274962713147233E-2</v>
      </c>
    </row>
    <row r="112" spans="1:15">
      <c r="A112" t="str">
        <f>Standard!F126</f>
        <v>Mur béton 200mm</v>
      </c>
      <c r="B112" t="str">
        <f>Standard!G126</f>
        <v>Béton pour bâtiment (sans armature)</v>
      </c>
      <c r="C112" s="615">
        <f>Standard!M126</f>
        <v>3.1797128801032901</v>
      </c>
      <c r="D112" s="615">
        <f>-Standard!S126</f>
        <v>0</v>
      </c>
    </row>
    <row r="113" spans="1:4">
      <c r="A113" t="str">
        <f>Standard!F127</f>
        <v>Armature</v>
      </c>
      <c r="B113" t="str">
        <f>Standard!G127</f>
        <v>Acier d'armature</v>
      </c>
      <c r="C113" s="615">
        <f>Standard!M127</f>
        <v>3.0578553492720717</v>
      </c>
      <c r="D113" s="615">
        <f>-Standard!S127</f>
        <v>0</v>
      </c>
    </row>
    <row r="114" spans="1:4">
      <c r="A114" t="str">
        <f>Standard!F128</f>
        <v>EPS- 150mm</v>
      </c>
      <c r="B114" t="str">
        <f>Standard!G128</f>
        <v>Polystyrène expansé (EPS)</v>
      </c>
      <c r="C114" s="615">
        <f>Standard!M128</f>
        <v>2.1860596700948305</v>
      </c>
      <c r="D114" s="615">
        <f>-Standard!S128</f>
        <v>0</v>
      </c>
    </row>
    <row r="115" spans="1:4">
      <c r="A115" t="str">
        <f>Standard!F129</f>
        <v>Copeaux de bois</v>
      </c>
      <c r="B115" t="str">
        <f>Standard!G129</f>
        <v>Bois massif épicéa / sapin / mélèze, séché en cellule, raboté</v>
      </c>
      <c r="C115" s="615">
        <f>Standard!M129</f>
        <v>1.7218829304127155E-2</v>
      </c>
      <c r="D115" s="615">
        <f>-Standard!S129</f>
        <v>-7.274962713147233E-2</v>
      </c>
    </row>
    <row r="116" spans="1:4">
      <c r="A116" t="str">
        <f>Standard!F130</f>
        <v>Murs béton étages</v>
      </c>
      <c r="B116">
        <f>Standard!G130</f>
        <v>0</v>
      </c>
      <c r="C116" s="615"/>
      <c r="D116" s="615">
        <f>-Standard!S130</f>
        <v>0</v>
      </c>
    </row>
    <row r="117" spans="1:4">
      <c r="A117" t="str">
        <f>Standard!F131</f>
        <v>Mur béton 280mm</v>
      </c>
      <c r="B117" t="str">
        <f>Standard!G131</f>
        <v>Béton pour bâtiment (sans armature)</v>
      </c>
      <c r="C117" s="615">
        <f>Standard!M131</f>
        <v>11.706703450425183</v>
      </c>
      <c r="D117" s="615">
        <f>-Standard!S131</f>
        <v>0</v>
      </c>
    </row>
    <row r="118" spans="1:4">
      <c r="A118" t="str">
        <f>Standard!F132</f>
        <v>Armature</v>
      </c>
      <c r="B118" t="str">
        <f>Standard!G132</f>
        <v>Acier d'armature</v>
      </c>
      <c r="C118" s="615">
        <f>Standard!M132</f>
        <v>11.258062321357018</v>
      </c>
      <c r="D118" s="615">
        <f>-Standard!S132</f>
        <v>0</v>
      </c>
    </row>
    <row r="119" spans="1:4">
      <c r="A119" t="str">
        <f>Standard!F133</f>
        <v>Murs béton asc</v>
      </c>
      <c r="B119">
        <f>Standard!G133</f>
        <v>0</v>
      </c>
      <c r="C119" s="615"/>
      <c r="D119" s="615">
        <f>-Standard!S133</f>
        <v>0</v>
      </c>
    </row>
    <row r="120" spans="1:4">
      <c r="A120" t="str">
        <f>Standard!F134</f>
        <v>Mur béton 200mm</v>
      </c>
      <c r="B120" t="str">
        <f>Standard!G134</f>
        <v>Béton pour bâtiment (sans armature)</v>
      </c>
      <c r="C120" s="615">
        <f>Standard!M134</f>
        <v>1.9079529629134944</v>
      </c>
      <c r="D120" s="615">
        <f>-Standard!S134</f>
        <v>0</v>
      </c>
    </row>
    <row r="121" spans="1:4">
      <c r="A121" t="str">
        <f>Standard!F135</f>
        <v>Armature</v>
      </c>
      <c r="B121" t="str">
        <f>Standard!G135</f>
        <v>Acier d'armature</v>
      </c>
      <c r="C121" s="615">
        <f>Standard!M135</f>
        <v>1.8348336449846396</v>
      </c>
      <c r="D121" s="615">
        <f>-Standard!S135</f>
        <v>0</v>
      </c>
    </row>
    <row r="122" spans="1:4">
      <c r="A122" t="str">
        <f>Standard!F136</f>
        <v>Cloisons intérieures légères</v>
      </c>
      <c r="B122">
        <f>Standard!G136</f>
        <v>0</v>
      </c>
      <c r="C122" s="615"/>
      <c r="D122" s="615">
        <f>-Standard!S136</f>
        <v>-0.21749146520635765</v>
      </c>
    </row>
    <row r="123" spans="1:4">
      <c r="A123" t="str">
        <f>Standard!F137</f>
        <v>plaque de plâtre 15mm</v>
      </c>
      <c r="B123" t="str">
        <f>Standard!G137</f>
        <v>Plaque de plâtre cartonnée</v>
      </c>
      <c r="C123" s="615">
        <f>Standard!M137</f>
        <v>1.2897902951783087</v>
      </c>
      <c r="D123" s="615">
        <f>-Standard!S137</f>
        <v>-0.10874573260317882</v>
      </c>
    </row>
    <row r="124" spans="1:4">
      <c r="A124" t="str">
        <f>Standard!F138</f>
        <v>structure métallique</v>
      </c>
      <c r="B124" t="str">
        <f>Standard!G138</f>
        <v>Tôle d'acier, zinguée</v>
      </c>
      <c r="C124" s="615">
        <f>Standard!M138</f>
        <v>5.493056559284093</v>
      </c>
      <c r="D124" s="615">
        <f>-Standard!S138</f>
        <v>0</v>
      </c>
    </row>
    <row r="125" spans="1:4">
      <c r="A125" t="str">
        <f>Standard!F139</f>
        <v>isolation minérale 120mm</v>
      </c>
      <c r="B125" t="str">
        <f>Standard!G139</f>
        <v>Laine de verre</v>
      </c>
      <c r="C125" s="615">
        <f>Standard!M139</f>
        <v>1.2194409167891012</v>
      </c>
      <c r="D125" s="615">
        <f>-Standard!S139</f>
        <v>0</v>
      </c>
    </row>
    <row r="126" spans="1:4">
      <c r="A126" t="str">
        <f>Standard!F140</f>
        <v>plaque de plâtre 15mm</v>
      </c>
      <c r="B126" t="str">
        <f>Standard!G140</f>
        <v>Plaque de plâtre cartonnée</v>
      </c>
      <c r="C126" s="615">
        <f>Standard!M140</f>
        <v>1.2897902951783087</v>
      </c>
      <c r="D126" s="615">
        <f>-Standard!S140</f>
        <v>-0.10874573260317882</v>
      </c>
    </row>
    <row r="127" spans="1:4">
      <c r="A127" t="str">
        <f>Standard!F141</f>
        <v>Fermeture de gaine</v>
      </c>
      <c r="B127">
        <f>Standard!G141</f>
        <v>0</v>
      </c>
      <c r="C127" s="615"/>
      <c r="D127" s="615">
        <f>-Standard!S141</f>
        <v>-0.18239181247495656</v>
      </c>
    </row>
    <row r="128" spans="1:4">
      <c r="A128" t="str">
        <f>Standard!F142</f>
        <v>structure métallique 50mm</v>
      </c>
      <c r="B128" t="str">
        <f>Standard!G142</f>
        <v>Tôle d'acier, zinguée</v>
      </c>
      <c r="C128" s="615">
        <f>Standard!M142</f>
        <v>3.6852518913316414</v>
      </c>
      <c r="D128" s="615">
        <f>-Standard!S142</f>
        <v>0</v>
      </c>
    </row>
    <row r="129" spans="1:6">
      <c r="A129" t="str">
        <f>Standard!F143</f>
        <v>2 plaques de plâtre 2x12.5mm</v>
      </c>
      <c r="B129" t="str">
        <f>Standard!G143</f>
        <v>Plaque de plâtre cartonnée</v>
      </c>
      <c r="C129" s="615">
        <f>Standard!M143</f>
        <v>2.1632774364453939</v>
      </c>
      <c r="D129" s="615">
        <f>-Standard!S143</f>
        <v>-0.18239181247495656</v>
      </c>
    </row>
    <row r="130" spans="1:6">
      <c r="A130" t="str">
        <f>Standard!F144</f>
        <v>Clairvoie caves</v>
      </c>
      <c r="B130">
        <f>Standard!G144</f>
        <v>0</v>
      </c>
      <c r="C130" s="615"/>
      <c r="D130" s="615">
        <f>-Standard!S144</f>
        <v>-1.1811115934286094</v>
      </c>
    </row>
    <row r="131" spans="1:6">
      <c r="A131" t="str">
        <f>Standard!F145</f>
        <v>cloisons en clairvoie bois</v>
      </c>
      <c r="B131" t="str">
        <f>Standard!G145</f>
        <v>Bois massif épicéa / sapin / mélèze, séché en cellule, raboté</v>
      </c>
      <c r="C131" s="615">
        <f>Standard!M145</f>
        <v>0.27955275811406433</v>
      </c>
      <c r="D131" s="615">
        <f>-Standard!S145</f>
        <v>-1.1811115934286094</v>
      </c>
    </row>
    <row r="132" spans="1:6">
      <c r="A132" t="str">
        <f>Standard!F146</f>
        <v>structure en acier</v>
      </c>
      <c r="B132" t="str">
        <f>Standard!G146</f>
        <v>Tôle d'acier, zinguée</v>
      </c>
      <c r="C132" s="615">
        <f>Standard!M146</f>
        <v>0</v>
      </c>
      <c r="D132" s="615">
        <f>-Standard!S146</f>
        <v>0</v>
      </c>
    </row>
    <row r="133" spans="1:6">
      <c r="A133">
        <f>Standard!F147</f>
        <v>0</v>
      </c>
      <c r="B133">
        <f>Standard!G147</f>
        <v>0</v>
      </c>
      <c r="C133" s="615"/>
      <c r="D133" s="615"/>
    </row>
    <row r="135" spans="1:6">
      <c r="A135" t="str">
        <f>Réaliste!F120</f>
        <v>Parois porteuses intérieures</v>
      </c>
      <c r="B135">
        <f>Réaliste!G120</f>
        <v>0</v>
      </c>
    </row>
    <row r="136" spans="1:6">
      <c r="A136" t="str">
        <f>Réaliste!F121</f>
        <v>plaque de fermacell 2x15mm</v>
      </c>
      <c r="B136" t="str">
        <f>Réaliste!G121</f>
        <v>Plaque de plâtre armé de fibres</v>
      </c>
      <c r="E136" s="615">
        <f>Réaliste!M121</f>
        <v>23.036707714682358</v>
      </c>
      <c r="F136" s="615">
        <f>-Réaliste!S121</f>
        <v>-2.3316180868645469</v>
      </c>
    </row>
    <row r="137" spans="1:6">
      <c r="A137" t="str">
        <f>Réaliste!F122</f>
        <v>Structure bois 140x60</v>
      </c>
      <c r="B137" t="str">
        <f>Réaliste!G122</f>
        <v>Bois massif de construction</v>
      </c>
      <c r="E137" s="615">
        <f>Réaliste!M122</f>
        <v>2.0912626006478479</v>
      </c>
      <c r="F137" s="615">
        <f>-Réaliste!S122</f>
        <v>-9.6541416011105969</v>
      </c>
    </row>
    <row r="138" spans="1:6">
      <c r="A138" t="str">
        <f>Réaliste!F123</f>
        <v>Isolation minérale 140mm</v>
      </c>
      <c r="B138" t="str">
        <f>Réaliste!G123</f>
        <v>Laine de verre</v>
      </c>
      <c r="E138" s="615">
        <f>Réaliste!M123</f>
        <v>4.3309841369736235</v>
      </c>
      <c r="F138" s="615">
        <f>-Réaliste!S123</f>
        <v>0</v>
      </c>
    </row>
    <row r="139" spans="1:6">
      <c r="A139" t="str">
        <f>Réaliste!F124</f>
        <v>plaque de fermacell 2x15mm</v>
      </c>
      <c r="B139" t="str">
        <f>Réaliste!G124</f>
        <v>Plaque de plâtre armé de fibres</v>
      </c>
      <c r="E139" s="615">
        <f>Réaliste!M124</f>
        <v>23.036707714682358</v>
      </c>
      <c r="F139" s="615">
        <f>-Réaliste!S124</f>
        <v>-2.3316180868645469</v>
      </c>
    </row>
    <row r="140" spans="1:6">
      <c r="A140" t="str">
        <f>Réaliste!F125</f>
        <v>Parois porteuses intérieures 2</v>
      </c>
      <c r="B140">
        <f>Réaliste!G125</f>
        <v>0</v>
      </c>
      <c r="E140" s="615">
        <f>Réaliste!M125</f>
        <v>6.2842291055728179</v>
      </c>
      <c r="F140" s="615">
        <f>-Réaliste!S125</f>
        <v>-1.8942842070470018</v>
      </c>
    </row>
    <row r="141" spans="1:6">
      <c r="A141" t="str">
        <f>Réaliste!F126</f>
        <v>plaque de fermacell 2x15mm</v>
      </c>
      <c r="B141" t="str">
        <f>Réaliste!G126</f>
        <v>Plaque de plâtre armé de fibres</v>
      </c>
      <c r="E141" s="615">
        <f>Réaliste!M126</f>
        <v>2.701358180736432</v>
      </c>
      <c r="F141" s="615">
        <f>-Réaliste!S126</f>
        <v>-0.27341300984993722</v>
      </c>
    </row>
    <row r="142" spans="1:6">
      <c r="A142" t="str">
        <f>Réaliste!F127</f>
        <v>Structure bois 120x60 X2</v>
      </c>
      <c r="B142" t="str">
        <f>Réaliste!G127</f>
        <v>Bois massif de construction</v>
      </c>
      <c r="E142" s="615">
        <f>Réaliste!M127</f>
        <v>0.29188394261915779</v>
      </c>
      <c r="F142" s="615">
        <f>-Réaliste!S127</f>
        <v>-1.3474581873471274</v>
      </c>
    </row>
    <row r="143" spans="1:6">
      <c r="A143" t="str">
        <f>Réaliste!F128</f>
        <v>Isolation minérale 120mm X2 +40mm</v>
      </c>
      <c r="B143" t="str">
        <f>Réaliste!G128</f>
        <v>Laine de verre</v>
      </c>
      <c r="E143" s="615">
        <f>Réaliste!M128</f>
        <v>0.58962880148079588</v>
      </c>
      <c r="F143" s="615">
        <f>-Réaliste!S128</f>
        <v>0</v>
      </c>
    </row>
    <row r="144" spans="1:6">
      <c r="A144" t="str">
        <f>Réaliste!F129</f>
        <v>plaque de fermacell 2x15mm</v>
      </c>
      <c r="B144" t="str">
        <f>Réaliste!G129</f>
        <v>Plaque de plâtre armé de fibres</v>
      </c>
      <c r="E144" s="615">
        <f>Réaliste!M129</f>
        <v>2.701358180736432</v>
      </c>
      <c r="F144" s="615">
        <f>-Réaliste!S129</f>
        <v>-0.27341300984993722</v>
      </c>
    </row>
    <row r="145" spans="1:6">
      <c r="A145" t="str">
        <f>Réaliste!F130</f>
        <v>Revêtement parois</v>
      </c>
      <c r="B145">
        <f>Réaliste!G130</f>
        <v>0</v>
      </c>
      <c r="E145" s="615">
        <f>Réaliste!M130</f>
        <v>14.498135783698023</v>
      </c>
      <c r="F145" s="615">
        <f>-Réaliste!S130</f>
        <v>0</v>
      </c>
    </row>
    <row r="146" spans="1:6">
      <c r="A146" t="str">
        <f>Réaliste!F131</f>
        <v>carrelage cuisine 12.21m2</v>
      </c>
      <c r="B146" t="str">
        <f>Réaliste!G131</f>
        <v>Dalle en céramique/grès, 9 mm</v>
      </c>
      <c r="E146" s="615">
        <f>Réaliste!M131</f>
        <v>0.633625305744695</v>
      </c>
      <c r="F146" s="615">
        <f>-Réaliste!S131</f>
        <v>0</v>
      </c>
    </row>
    <row r="147" spans="1:6">
      <c r="A147" t="str">
        <f>Réaliste!F132</f>
        <v>Carrelage SDB 267.17m2</v>
      </c>
      <c r="B147" t="str">
        <f>Réaliste!G132</f>
        <v>Dalle en céramique/grès, 9 mm</v>
      </c>
      <c r="E147" s="615">
        <f>Réaliste!M132</f>
        <v>13.864510477953328</v>
      </c>
      <c r="F147" s="615">
        <f>-Réaliste!S132</f>
        <v>0</v>
      </c>
    </row>
    <row r="148" spans="1:6">
      <c r="A148" t="str">
        <f>Réaliste!F133</f>
        <v>Murs béton ss</v>
      </c>
      <c r="B148">
        <f>Réaliste!G133</f>
        <v>0</v>
      </c>
      <c r="E148" s="615">
        <f>Réaliste!M133</f>
        <v>16.656514521495779</v>
      </c>
      <c r="F148" s="615">
        <f>-Réaliste!S133</f>
        <v>0</v>
      </c>
    </row>
    <row r="149" spans="1:6">
      <c r="A149" t="str">
        <f>Réaliste!F134</f>
        <v>Mur béton 200mm</v>
      </c>
      <c r="B149" t="str">
        <f>Réaliste!G134</f>
        <v>Béton pour bâtiment (sans armature)</v>
      </c>
      <c r="E149" s="615">
        <f>Réaliste!M134</f>
        <v>6.2634923205746897</v>
      </c>
      <c r="F149" s="615">
        <f>-Réaliste!S134</f>
        <v>0</v>
      </c>
    </row>
    <row r="150" spans="1:6">
      <c r="A150" t="str">
        <f>Réaliste!F135</f>
        <v>Armature</v>
      </c>
      <c r="B150" t="str">
        <f>Réaliste!G135</f>
        <v>Acier d'armature</v>
      </c>
      <c r="E150" s="615">
        <f>Réaliste!M135</f>
        <v>6.0234537581807359</v>
      </c>
      <c r="F150" s="615">
        <f>-Réaliste!S135</f>
        <v>0</v>
      </c>
    </row>
    <row r="151" spans="1:6">
      <c r="A151" t="str">
        <f>Réaliste!F136</f>
        <v>Sur épaisseur abris Pci béton 10cm (140.99m2)</v>
      </c>
      <c r="B151" t="str">
        <f>Réaliste!G136</f>
        <v>Béton pour bâtiment (sans armature)</v>
      </c>
      <c r="E151" s="615">
        <f>Réaliste!M136</f>
        <v>4.3695684427403538</v>
      </c>
      <c r="F151" s="615">
        <f>-Réaliste!S136</f>
        <v>0</v>
      </c>
    </row>
    <row r="152" spans="1:6">
      <c r="A152" t="str">
        <f>Réaliste!F137</f>
        <v>Murs béton ss isolé</v>
      </c>
      <c r="B152">
        <f>Réaliste!G137</f>
        <v>0</v>
      </c>
      <c r="E152" s="615">
        <f>Réaliste!M137</f>
        <v>8.3554729236905327</v>
      </c>
      <c r="F152" s="615">
        <f>-Réaliste!S137</f>
        <v>-7.2013810845948753E-2</v>
      </c>
    </row>
    <row r="153" spans="1:6">
      <c r="A153" t="str">
        <f>Réaliste!F138</f>
        <v>Mur béton 200mm</v>
      </c>
      <c r="B153" t="str">
        <f>Réaliste!G138</f>
        <v>Béton pour bâtiment (sans armature)</v>
      </c>
      <c r="E153" s="615">
        <f>Réaliste!M138</f>
        <v>3.1475521033031448</v>
      </c>
      <c r="F153" s="615">
        <f>-Réaliste!S138</f>
        <v>0</v>
      </c>
    </row>
    <row r="154" spans="1:6">
      <c r="A154" t="str">
        <f>Réaliste!F139</f>
        <v>Armature</v>
      </c>
      <c r="B154" t="str">
        <f>Réaliste!G139</f>
        <v>Acier d'armature</v>
      </c>
      <c r="E154" s="615">
        <f>Réaliste!M139</f>
        <v>3.0269270840219482</v>
      </c>
      <c r="F154" s="615">
        <f>-Réaliste!S139</f>
        <v>0</v>
      </c>
    </row>
    <row r="155" spans="1:6">
      <c r="A155" t="str">
        <f>Réaliste!F140</f>
        <v>EPS- 150mm</v>
      </c>
      <c r="B155" t="str">
        <f>Réaliste!G140</f>
        <v>Polystyrène expansé (EPS)</v>
      </c>
      <c r="E155" s="615">
        <f>Réaliste!M140</f>
        <v>2.1639490645865007</v>
      </c>
      <c r="F155" s="615">
        <f>-Réaliste!S140</f>
        <v>0</v>
      </c>
    </row>
    <row r="156" spans="1:6">
      <c r="A156" t="str">
        <f>Réaliste!F141</f>
        <v>Copeaux de bois</v>
      </c>
      <c r="B156" t="str">
        <f>Réaliste!G141</f>
        <v>Bois massif épicéa / sapin / mélèze, séché en cellule, raboté</v>
      </c>
      <c r="E156" s="615">
        <f>Réaliste!M141</f>
        <v>1.7044671778938328E-2</v>
      </c>
      <c r="F156" s="615">
        <f>-Réaliste!S141</f>
        <v>-7.2013810845948753E-2</v>
      </c>
    </row>
    <row r="157" spans="1:6">
      <c r="A157" t="str">
        <f>Réaliste!F142</f>
        <v>Murs béton étages</v>
      </c>
      <c r="B157">
        <f>Réaliste!G142</f>
        <v>0</v>
      </c>
      <c r="E157" s="615">
        <f>Réaliste!M142</f>
        <v>15.640716952028384</v>
      </c>
      <c r="F157" s="615">
        <f>-Réaliste!S142</f>
        <v>0</v>
      </c>
    </row>
    <row r="158" spans="1:6">
      <c r="A158" t="str">
        <f>Réaliste!F143</f>
        <v>Mur béton 280mm</v>
      </c>
      <c r="B158" t="str">
        <f>Réaliste!G143</f>
        <v>Béton pour bâtiment (sans armature)</v>
      </c>
      <c r="E158" s="615">
        <f>Réaliste!M143</f>
        <v>7.9731374980718819</v>
      </c>
      <c r="F158" s="615">
        <f>-Réaliste!S143</f>
        <v>0</v>
      </c>
    </row>
    <row r="159" spans="1:6">
      <c r="A159" t="str">
        <f>Réaliste!F144</f>
        <v>Armature</v>
      </c>
      <c r="B159" t="str">
        <f>Réaliste!G144</f>
        <v>Acier d'armature</v>
      </c>
      <c r="E159" s="615">
        <f>Réaliste!M144</f>
        <v>7.6675794539565025</v>
      </c>
      <c r="F159" s="615">
        <f>-Réaliste!S144</f>
        <v>0</v>
      </c>
    </row>
    <row r="160" spans="1:6">
      <c r="A160" t="str">
        <f>Réaliste!F145</f>
        <v>Murs béton asc</v>
      </c>
      <c r="B160">
        <f>Réaliste!G145</f>
        <v>0</v>
      </c>
      <c r="E160" s="615">
        <f>Réaliste!M145</f>
        <v>3.7049306978691519</v>
      </c>
      <c r="F160" s="615">
        <f>-Réaliste!S145</f>
        <v>0</v>
      </c>
    </row>
    <row r="161" spans="1:6">
      <c r="A161" t="str">
        <f>Réaliste!F146</f>
        <v>Mur béton 200mm</v>
      </c>
      <c r="B161" t="str">
        <f>Réaliste!G146</f>
        <v>Béton pour bâtiment (sans armature)</v>
      </c>
      <c r="E161" s="615">
        <f>Réaliste!M146</f>
        <v>1.8886552301624024</v>
      </c>
      <c r="F161" s="615">
        <f>-Réaliste!S146</f>
        <v>0</v>
      </c>
    </row>
    <row r="162" spans="1:6">
      <c r="A162" t="str">
        <f>Réaliste!F147</f>
        <v>Armature</v>
      </c>
      <c r="B162" t="str">
        <f>Réaliste!G147</f>
        <v>Acier d'armature</v>
      </c>
      <c r="E162" s="615">
        <f>Réaliste!M147</f>
        <v>1.8162754677067492</v>
      </c>
      <c r="F162" s="615">
        <f>-Réaliste!S147</f>
        <v>0</v>
      </c>
    </row>
    <row r="163" spans="1:6">
      <c r="A163" t="str">
        <f>Réaliste!F148</f>
        <v>Cloisons intérieures légères</v>
      </c>
      <c r="B163">
        <f>Réaliste!G148</f>
        <v>0</v>
      </c>
      <c r="E163" s="615">
        <f>Réaliste!M148</f>
        <v>6.3066222329168609</v>
      </c>
      <c r="F163" s="615">
        <f>-Réaliste!S148</f>
        <v>-1.7592839928604485</v>
      </c>
    </row>
    <row r="164" spans="1:6">
      <c r="A164" t="str">
        <f>Réaliste!F149</f>
        <v>plaque de fermacell 15mm</v>
      </c>
      <c r="B164" t="str">
        <f>Réaliste!G149</f>
        <v>Plaque de plâtre armé de fibres</v>
      </c>
      <c r="E164" s="615">
        <f>Réaliste!M149</f>
        <v>2.5043209730944676</v>
      </c>
      <c r="F164" s="615">
        <f>-Réaliste!S149</f>
        <v>-0.25347025054538247</v>
      </c>
    </row>
    <row r="165" spans="1:6">
      <c r="A165" t="str">
        <f>Réaliste!F150</f>
        <v>Structure bois 80x60</v>
      </c>
      <c r="B165" t="str">
        <f>Réaliste!G150</f>
        <v>Bois massif de construction</v>
      </c>
      <c r="E165" s="615">
        <f>Réaliste!M150</f>
        <v>0.49085792908926645</v>
      </c>
      <c r="F165" s="615">
        <f>-Réaliste!S150</f>
        <v>-1.2523434917696834</v>
      </c>
    </row>
    <row r="166" spans="1:6">
      <c r="A166" t="str">
        <f>Réaliste!F151</f>
        <v>Isolation minérale 120mm</v>
      </c>
      <c r="B166" t="str">
        <f>Réaliste!G151</f>
        <v>Laine de verre</v>
      </c>
      <c r="E166" s="615">
        <f>Réaliste!M151</f>
        <v>0.80712235763865925</v>
      </c>
      <c r="F166" s="615">
        <f>-Réaliste!S151</f>
        <v>0</v>
      </c>
    </row>
    <row r="167" spans="1:6">
      <c r="A167" t="str">
        <f>Réaliste!F152</f>
        <v>plaque de fermacell 15mm</v>
      </c>
      <c r="B167" t="str">
        <f>Réaliste!G152</f>
        <v>Plaque de plâtre armé de fibres</v>
      </c>
      <c r="E167" s="615">
        <f>Réaliste!M152</f>
        <v>2.5043209730944676</v>
      </c>
      <c r="F167" s="615">
        <f>-Réaliste!S152</f>
        <v>-0.25347025054538247</v>
      </c>
    </row>
    <row r="168" spans="1:6">
      <c r="A168" t="str">
        <f>Réaliste!F153</f>
        <v>Fermeture de gaine</v>
      </c>
      <c r="B168">
        <f>Réaliste!G153</f>
        <v>0</v>
      </c>
      <c r="E168" s="615">
        <f>Réaliste!M153</f>
        <v>5.7893751671933185</v>
      </c>
      <c r="F168" s="615">
        <f>-Réaliste!S153</f>
        <v>-0.18054703510279629</v>
      </c>
    </row>
    <row r="169" spans="1:6">
      <c r="A169" t="str">
        <f>Réaliste!F154</f>
        <v>structure métallique 50mm</v>
      </c>
      <c r="B169" t="str">
        <f>Réaliste!G154</f>
        <v>Tôle d'acier, zinguée</v>
      </c>
      <c r="E169" s="615">
        <f>Réaliste!M154</f>
        <v>3.6479779084286381</v>
      </c>
      <c r="F169" s="615">
        <f>-Réaliste!S154</f>
        <v>0</v>
      </c>
    </row>
    <row r="170" spans="1:6">
      <c r="A170" t="str">
        <f>Réaliste!F155</f>
        <v>2 plaques de plâtre 2x12.5mm</v>
      </c>
      <c r="B170" t="str">
        <f>Réaliste!G155</f>
        <v>Plaque de plâtre cartonnée</v>
      </c>
      <c r="E170" s="615">
        <f>Réaliste!M155</f>
        <v>2.1413972587646808</v>
      </c>
      <c r="F170" s="615">
        <f>-Réaliste!S155</f>
        <v>-0.18054703510279629</v>
      </c>
    </row>
    <row r="171" spans="1:6">
      <c r="A171" t="str">
        <f>Réaliste!F156</f>
        <v>Clairvoie caves</v>
      </c>
      <c r="B171">
        <f>Réaliste!G156</f>
        <v>0</v>
      </c>
      <c r="E171" s="615">
        <f>Réaliste!M156</f>
        <v>0.27672525946982218</v>
      </c>
      <c r="F171" s="615">
        <f>-Réaliste!S156</f>
        <v>-1.1691653996165796</v>
      </c>
    </row>
    <row r="172" spans="1:6">
      <c r="A172" t="str">
        <f>Réaliste!F157</f>
        <v>cloisons en clairvoie bois</v>
      </c>
      <c r="B172" t="str">
        <f>Réaliste!G157</f>
        <v>Bois massif épicéa / sapin / mélèze, séché en cellule, raboté</v>
      </c>
      <c r="E172" s="615">
        <f>Réaliste!M157</f>
        <v>0.27672525946982218</v>
      </c>
      <c r="F172" s="615">
        <f>-Réaliste!S157</f>
        <v>-1.1691653996165796</v>
      </c>
    </row>
    <row r="173" spans="1:6">
      <c r="A173" t="str">
        <f>Réaliste!F158</f>
        <v>structure en acier</v>
      </c>
      <c r="B173" t="str">
        <f>Réaliste!G158</f>
        <v>Tôle d'acier, zinguée</v>
      </c>
      <c r="E173" s="615">
        <f>Réaliste!M158</f>
        <v>0</v>
      </c>
      <c r="F173" s="615">
        <f>-Réaliste!S158</f>
        <v>0</v>
      </c>
    </row>
    <row r="174" spans="1:6">
      <c r="A174">
        <f>Réaliste!F159</f>
        <v>0</v>
      </c>
      <c r="B174">
        <f>Réaliste!G159</f>
        <v>0</v>
      </c>
    </row>
    <row r="176" spans="1:6">
      <c r="A176" t="str">
        <f>Engagé!F121</f>
        <v>Parois porteuses intérieures</v>
      </c>
      <c r="B176">
        <f>Engagé!G121</f>
        <v>0</v>
      </c>
    </row>
    <row r="177" spans="1:8">
      <c r="A177" t="str">
        <f>Engagé!F122</f>
        <v>panneau rainécreté en mélèze 30mm x2</v>
      </c>
      <c r="B177" t="str">
        <f>Engagé!G122</f>
        <v>Bois massif épicéa / sapin / mélèze, séché en cellule, raboté</v>
      </c>
      <c r="G177" s="615">
        <f>Engagé!M122</f>
        <v>4.0405263256083916</v>
      </c>
      <c r="H177" s="615">
        <f>-Engagé!S122</f>
        <v>-17.071240931138842</v>
      </c>
    </row>
    <row r="178" spans="1:8">
      <c r="A178" t="str">
        <f>Engagé!F123</f>
        <v>str bois 140x80</v>
      </c>
      <c r="B178" t="str">
        <f>Engagé!G123</f>
        <v>Bois massif de construction</v>
      </c>
      <c r="G178" s="615">
        <f>Engagé!M123</f>
        <v>2.6229865561129304</v>
      </c>
      <c r="H178" s="615">
        <f>-Engagé!S123</f>
        <v>-12.108801459309314</v>
      </c>
    </row>
    <row r="179" spans="1:8">
      <c r="A179" t="str">
        <f>Engagé!F124</f>
        <v>Isolation minérale 140mm</v>
      </c>
      <c r="B179" t="str">
        <f>Engagé!G124</f>
        <v>Laine de verre</v>
      </c>
      <c r="G179" s="615">
        <f>Engagé!M124</f>
        <v>2.3650247535342652</v>
      </c>
      <c r="H179" s="615">
        <f>-Engagé!S124</f>
        <v>0</v>
      </c>
    </row>
    <row r="180" spans="1:8">
      <c r="A180" t="str">
        <f>Engagé!F125</f>
        <v>Parois porteuses intérieures</v>
      </c>
      <c r="B180">
        <f>Engagé!G125</f>
        <v>0</v>
      </c>
      <c r="G180" s="615">
        <f>Engagé!M125</f>
        <v>1.79398334521786</v>
      </c>
      <c r="H180" s="615">
        <f>-Engagé!S125</f>
        <v>-3.6855033477053185</v>
      </c>
    </row>
    <row r="181" spans="1:8">
      <c r="A181" t="str">
        <f>Engagé!F126</f>
        <v>panneau rainécreté en mélèze 30mm x2</v>
      </c>
      <c r="B181" t="str">
        <f>Engagé!G126</f>
        <v>Bois massif épicéa / sapin / mélèze, séché en cellule, raboté</v>
      </c>
      <c r="G181" s="615">
        <f>Engagé!M126</f>
        <v>0.47346970482152473</v>
      </c>
      <c r="H181" s="615">
        <f>-Engagé!S126</f>
        <v>-2.0004115190083325</v>
      </c>
    </row>
    <row r="182" spans="1:8">
      <c r="A182" t="str">
        <f>Engagé!F127</f>
        <v>str bois 120x80 X2</v>
      </c>
      <c r="B182" t="str">
        <f>Engagé!G127</f>
        <v>Bois massif de construction</v>
      </c>
      <c r="G182" s="615">
        <f>Engagé!M127</f>
        <v>0.36502152812901617</v>
      </c>
      <c r="H182" s="615">
        <f>-Engagé!S127</f>
        <v>-1.6850918286969858</v>
      </c>
    </row>
    <row r="183" spans="1:8">
      <c r="A183" t="str">
        <f>Engagé!F128</f>
        <v>Isolation minérale 120mm X2 + 40mm</v>
      </c>
      <c r="B183" t="str">
        <f>Engagé!G128</f>
        <v>Laine de verre</v>
      </c>
      <c r="G183" s="615">
        <f>Engagé!M128</f>
        <v>0.955492112267319</v>
      </c>
      <c r="H183" s="615">
        <f>-Engagé!S128</f>
        <v>0</v>
      </c>
    </row>
    <row r="184" spans="1:8">
      <c r="A184" t="str">
        <f>Engagé!F129</f>
        <v>Revêtement parois</v>
      </c>
      <c r="B184">
        <f>Engagé!G129</f>
        <v>0</v>
      </c>
      <c r="G184" s="615">
        <f>Engagé!M129</f>
        <v>13.638321379710627</v>
      </c>
      <c r="H184" s="615">
        <f>-Engagé!S129</f>
        <v>0</v>
      </c>
    </row>
    <row r="185" spans="1:8">
      <c r="A185" t="str">
        <f>Engagé!F130</f>
        <v>carrelage cuisine 12.21m2</v>
      </c>
      <c r="B185" t="str">
        <f>Engagé!G130</f>
        <v>Dalle en céramique/grès, 9 mm</v>
      </c>
      <c r="G185" s="615">
        <f>Engagé!M130</f>
        <v>0.5960480494175201</v>
      </c>
      <c r="H185" s="615">
        <f>-Engagé!S130</f>
        <v>0</v>
      </c>
    </row>
    <row r="186" spans="1:8">
      <c r="A186" t="str">
        <f>Engagé!F131</f>
        <v>Carrelage SDB 267.17m2</v>
      </c>
      <c r="B186" t="str">
        <f>Engagé!G131</f>
        <v>Dalle en céramique/grès, 9 mm</v>
      </c>
      <c r="G186" s="615">
        <f>Engagé!M131</f>
        <v>13.042273330293106</v>
      </c>
      <c r="H186" s="615">
        <f>-Engagé!S131</f>
        <v>0</v>
      </c>
    </row>
    <row r="187" spans="1:8">
      <c r="A187" t="str">
        <f>Engagé!F132</f>
        <v>Murs béton ss</v>
      </c>
      <c r="B187">
        <f>Engagé!G132</f>
        <v>0</v>
      </c>
      <c r="G187" s="615">
        <f>Engagé!M132</f>
        <v>15.79347646241864</v>
      </c>
      <c r="H187" s="615">
        <f>-Engagé!S132</f>
        <v>0</v>
      </c>
    </row>
    <row r="188" spans="1:8">
      <c r="A188" t="str">
        <f>Engagé!F133</f>
        <v>Mur béton 200mm</v>
      </c>
      <c r="B188" t="str">
        <f>Engagé!G133</f>
        <v>Béton pour bâtiment (sans armature)</v>
      </c>
      <c r="G188" s="615">
        <f>Engagé!M133</f>
        <v>5.8920348451556732</v>
      </c>
      <c r="H188" s="615">
        <f>-Engagé!S133</f>
        <v>0</v>
      </c>
    </row>
    <row r="189" spans="1:8">
      <c r="A189" t="str">
        <f>Engagé!F134</f>
        <v>Armature</v>
      </c>
      <c r="B189" t="str">
        <f>Engagé!G134</f>
        <v>Acier d'armature</v>
      </c>
      <c r="G189" s="615">
        <f>Engagé!M134</f>
        <v>5.6662318104556197</v>
      </c>
      <c r="H189" s="615">
        <f>-Engagé!S134</f>
        <v>0</v>
      </c>
    </row>
    <row r="190" spans="1:8">
      <c r="A190" t="str">
        <f>Engagé!F135</f>
        <v>Sur épaisseur abris Pci béton 10cm (145.27m2)</v>
      </c>
      <c r="B190" t="str">
        <f>Engagé!G135</f>
        <v>Béton pour bâtiment (sans armature)</v>
      </c>
      <c r="G190" s="615">
        <f>Engagé!M135</f>
        <v>4.2352098068073474</v>
      </c>
      <c r="H190" s="615">
        <f>-Engagé!S135</f>
        <v>0</v>
      </c>
    </row>
    <row r="191" spans="1:8">
      <c r="A191" t="str">
        <f>Engagé!F136</f>
        <v>Murs béton ss isolé</v>
      </c>
      <c r="B191">
        <f>Engagé!G136</f>
        <v>0</v>
      </c>
      <c r="G191" s="615">
        <f>Engagé!M136</f>
        <v>7.8599501834501062</v>
      </c>
      <c r="H191" s="615">
        <f>-Engagé!S136</f>
        <v>-6.7743019568011278E-2</v>
      </c>
    </row>
    <row r="192" spans="1:8">
      <c r="A192" t="str">
        <f>Engagé!F137</f>
        <v>Mur béton 200mm</v>
      </c>
      <c r="B192" t="str">
        <f>Engagé!G137</f>
        <v>Béton pour bâtiment (sans armature)</v>
      </c>
      <c r="G192" s="615">
        <f>Engagé!M137</f>
        <v>2.9608859914597243</v>
      </c>
      <c r="H192" s="615">
        <f>-Engagé!S137</f>
        <v>0</v>
      </c>
    </row>
    <row r="193" spans="1:8">
      <c r="A193" t="str">
        <f>Engagé!F138</f>
        <v>Armature</v>
      </c>
      <c r="B193" t="str">
        <f>Engagé!G138</f>
        <v>Acier d'armature</v>
      </c>
      <c r="G193" s="615">
        <f>Engagé!M138</f>
        <v>2.8474146594253971</v>
      </c>
      <c r="H193" s="615">
        <f>-Engagé!S138</f>
        <v>0</v>
      </c>
    </row>
    <row r="194" spans="1:8">
      <c r="A194" t="str">
        <f>Engagé!F139</f>
        <v>EPS- 150mm</v>
      </c>
      <c r="B194" t="str">
        <f>Engagé!G139</f>
        <v>Polystyrène expansé (EPS)</v>
      </c>
      <c r="G194" s="615">
        <f>Engagé!M139</f>
        <v>2.0356156979395545</v>
      </c>
      <c r="H194" s="615">
        <f>-Engagé!S139</f>
        <v>0</v>
      </c>
    </row>
    <row r="195" spans="1:8">
      <c r="A195" t="str">
        <f>Engagé!F140</f>
        <v>Copeaux de bois</v>
      </c>
      <c r="B195" t="str">
        <f>Engagé!G140</f>
        <v>Bois massif épicéa / sapin / mélèze, séché en cellule, raboté</v>
      </c>
      <c r="G195" s="615">
        <f>Engagé!M140</f>
        <v>1.6033834625430125E-2</v>
      </c>
      <c r="H195" s="615">
        <f>-Engagé!S140</f>
        <v>-6.7743019568011278E-2</v>
      </c>
    </row>
    <row r="196" spans="1:8">
      <c r="A196" t="str">
        <f>Engagé!F141</f>
        <v>Murs béton étages</v>
      </c>
      <c r="B196">
        <f>Engagé!G141</f>
        <v>0</v>
      </c>
      <c r="G196" s="615"/>
      <c r="H196" s="615"/>
    </row>
    <row r="197" spans="1:8">
      <c r="A197" t="str">
        <f>Engagé!F142</f>
        <v>Mur béton 280mm</v>
      </c>
      <c r="B197" t="str">
        <f>Engagé!G142</f>
        <v>Béton pour bâtiment (sans armature)</v>
      </c>
      <c r="G197" s="615">
        <f>Engagé!M142</f>
        <v>7.5002892251565028</v>
      </c>
      <c r="H197" s="615">
        <f>-Engagé!S142</f>
        <v>0</v>
      </c>
    </row>
    <row r="198" spans="1:8">
      <c r="A198" t="str">
        <f>Engagé!F143</f>
        <v>Armature</v>
      </c>
      <c r="B198" t="str">
        <f>Engagé!G143</f>
        <v>Acier d'armature</v>
      </c>
      <c r="G198" s="615">
        <f>Engagé!M143</f>
        <v>7.2128523527216952</v>
      </c>
      <c r="H198" s="615">
        <f>-Engagé!S143</f>
        <v>0</v>
      </c>
    </row>
    <row r="199" spans="1:8">
      <c r="A199" t="str">
        <f>Engagé!F144</f>
        <v>Murs béton asc</v>
      </c>
      <c r="B199">
        <f>Engagé!G144</f>
        <v>0</v>
      </c>
      <c r="G199" s="615"/>
      <c r="H199" s="615"/>
    </row>
    <row r="200" spans="1:8">
      <c r="A200" t="str">
        <f>Engagé!F145</f>
        <v>Mur béton 200mm</v>
      </c>
      <c r="B200" t="str">
        <f>Engagé!G145</f>
        <v>Béton pour bâtiment (sans armature)</v>
      </c>
      <c r="G200" s="615">
        <f>Engagé!M145</f>
        <v>1.7766482111023587</v>
      </c>
      <c r="H200" s="615">
        <f>-Engagé!S145</f>
        <v>0</v>
      </c>
    </row>
    <row r="201" spans="1:8">
      <c r="A201" t="str">
        <f>Engagé!F146</f>
        <v>Armature</v>
      </c>
      <c r="B201" t="str">
        <f>Engagé!G146</f>
        <v>Acier d'armature</v>
      </c>
      <c r="G201" s="615">
        <f>Engagé!M146</f>
        <v>1.7085609427469837</v>
      </c>
      <c r="H201" s="615">
        <f>-Engagé!S146</f>
        <v>0</v>
      </c>
    </row>
    <row r="202" spans="1:8">
      <c r="A202" t="str">
        <f>Engagé!F147</f>
        <v>Cloisons intérieures légères</v>
      </c>
      <c r="B202">
        <f>Engagé!G147</f>
        <v>0</v>
      </c>
      <c r="G202" s="615"/>
      <c r="H202" s="615"/>
    </row>
    <row r="203" spans="1:8">
      <c r="A203" t="str">
        <f>Engagé!F148</f>
        <v>panneau rainécreté en mélèze 27mm x2</v>
      </c>
      <c r="B203" t="str">
        <f>Engagé!G148</f>
        <v>Bois massif épicéa / sapin / mélèze, séché en cellule, raboté</v>
      </c>
      <c r="G203" s="615">
        <f>Engagé!M148</f>
        <v>0.79037373035943792</v>
      </c>
      <c r="H203" s="615">
        <f>-Engagé!S148</f>
        <v>-3.339332376352556</v>
      </c>
    </row>
    <row r="204" spans="1:8">
      <c r="A204" t="str">
        <f>Engagé!F149</f>
        <v>str bois 80x60</v>
      </c>
      <c r="B204" t="str">
        <f>Engagé!G149</f>
        <v>Bois massif de construction</v>
      </c>
      <c r="G204" s="615">
        <f>Engagé!M149</f>
        <v>0.46174751627212796</v>
      </c>
      <c r="H204" s="615">
        <f>-Engagé!S149</f>
        <v>-1.1780730483810786</v>
      </c>
    </row>
    <row r="205" spans="1:8">
      <c r="A205" t="str">
        <f>Engagé!F150</f>
        <v>isolation gramitherm 120mm</v>
      </c>
      <c r="B205" t="str">
        <f>Engagé!G150</f>
        <v>Gramitherm</v>
      </c>
      <c r="G205" s="615">
        <f>Engagé!M150</f>
        <v>0.30124601799262052</v>
      </c>
      <c r="H205" s="615">
        <f>-Engagé!S150</f>
        <v>-0.55228436631980427</v>
      </c>
    </row>
    <row r="206" spans="1:8">
      <c r="A206">
        <f>Engagé!F151</f>
        <v>0</v>
      </c>
      <c r="B206" t="str">
        <f>Engagé!G151</f>
        <v>Données écobilans dans la construction</v>
      </c>
      <c r="G206" s="615">
        <f>Engagé!M151</f>
        <v>0</v>
      </c>
      <c r="H206" s="615">
        <f>-Engagé!S151</f>
        <v>0</v>
      </c>
    </row>
    <row r="207" spans="1:8">
      <c r="A207" t="str">
        <f>Engagé!F152</f>
        <v>Fermeture de gaine</v>
      </c>
      <c r="B207">
        <f>Engagé!G152</f>
        <v>0</v>
      </c>
      <c r="G207" s="615"/>
      <c r="H207" s="615"/>
    </row>
    <row r="208" spans="1:8">
      <c r="A208" t="str">
        <f>Engagé!F153</f>
        <v>structure bois 70x55</v>
      </c>
      <c r="B208" t="str">
        <f>Engagé!G153</f>
        <v>Bois massif de construction</v>
      </c>
      <c r="G208" s="615">
        <f>Engagé!M153</f>
        <v>0.23671866340533149</v>
      </c>
      <c r="H208" s="615">
        <f>-Engagé!S153</f>
        <v>-0.60394884125865433</v>
      </c>
    </row>
    <row r="209" spans="1:8">
      <c r="A209" t="str">
        <f>Engagé!F154</f>
        <v>panneau rainécreté en mélèze 27mm x2</v>
      </c>
      <c r="B209" t="str">
        <f>Engagé!G154</f>
        <v>Bois massif épicéa / sapin / mélèze, séché en cellule, raboté</v>
      </c>
      <c r="G209" s="615">
        <f>Engagé!M154</f>
        <v>0.5941950478835869</v>
      </c>
      <c r="H209" s="615">
        <f>-Engagé!S154</f>
        <v>-2.5104766075204181</v>
      </c>
    </row>
    <row r="210" spans="1:8">
      <c r="A210" t="str">
        <f>Engagé!F155</f>
        <v>Clairvoie caves</v>
      </c>
      <c r="B210">
        <f>Engagé!G155</f>
        <v>0</v>
      </c>
      <c r="G210" s="615"/>
      <c r="H210" s="615"/>
    </row>
    <row r="211" spans="1:8">
      <c r="A211" t="str">
        <f>Engagé!F156</f>
        <v>bois panneax porte</v>
      </c>
      <c r="B211" t="str">
        <f>Engagé!G156</f>
        <v>Bois massif épicéa / sapin / mélèze, séché en cellule, raboté</v>
      </c>
      <c r="G211" s="615">
        <f>Engagé!M156</f>
        <v>0.3112450250818789</v>
      </c>
      <c r="H211" s="615">
        <f>-Engagé!S156</f>
        <v>-1.3150115563202189</v>
      </c>
    </row>
    <row r="212" spans="1:8">
      <c r="A212" t="str">
        <f>Engagé!F157</f>
        <v>structure bois</v>
      </c>
      <c r="B212" t="str">
        <f>Engagé!G157</f>
        <v>-</v>
      </c>
      <c r="G212" s="615">
        <f>Engagé!M157</f>
        <v>0</v>
      </c>
      <c r="H212" s="615">
        <f>-Engagé!S157</f>
        <v>0</v>
      </c>
    </row>
    <row r="213" spans="1:8">
      <c r="A213">
        <f>Engagé!F158</f>
        <v>0</v>
      </c>
      <c r="B213">
        <f>Engagé!G158</f>
        <v>0</v>
      </c>
      <c r="G213" s="615"/>
      <c r="H213" s="615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40AB-0964-4CEB-A095-01E5BCC38FB9}">
  <dimension ref="B3:E7"/>
  <sheetViews>
    <sheetView workbookViewId="0">
      <selection activeCell="A57" sqref="A57:A60"/>
    </sheetView>
  </sheetViews>
  <sheetFormatPr baseColWidth="10" defaultRowHeight="15.75"/>
  <cols>
    <col min="4" max="4" width="11.375" bestFit="1" customWidth="1"/>
  </cols>
  <sheetData>
    <row r="3" spans="2:5">
      <c r="B3" t="s">
        <v>202</v>
      </c>
      <c r="C3" t="s">
        <v>293</v>
      </c>
      <c r="D3" t="s">
        <v>3327</v>
      </c>
      <c r="E3" t="s">
        <v>3330</v>
      </c>
    </row>
    <row r="4" spans="2:5">
      <c r="B4" t="s">
        <v>3385</v>
      </c>
      <c r="C4" s="422">
        <f>'List of materials_st'!C6</f>
        <v>1984784.08</v>
      </c>
      <c r="D4" s="422">
        <f>'List of materials_Re'!C6</f>
        <v>1317456.0999999999</v>
      </c>
      <c r="E4" s="422">
        <f>'List of materials_En'!C6</f>
        <v>936456.49999999988</v>
      </c>
    </row>
    <row r="5" spans="2:5">
      <c r="B5" t="s">
        <v>3386</v>
      </c>
      <c r="C5" s="422">
        <f>'List of materials_st'!C7</f>
        <v>127327.58999999998</v>
      </c>
      <c r="D5" s="422">
        <f>'List of materials_Re'!C7</f>
        <v>83806.200000000012</v>
      </c>
      <c r="E5" s="422">
        <f>'List of materials_En'!C7</f>
        <v>58600.799999999996</v>
      </c>
    </row>
    <row r="6" spans="2:5">
      <c r="B6" t="s">
        <v>3387</v>
      </c>
      <c r="C6" s="422">
        <f>'List of materials_st'!C28+'List of materials_st'!C33</f>
        <v>1292.38744</v>
      </c>
      <c r="D6" s="422">
        <f>'List of materials_Re'!C12+'List of materials_Re'!C14</f>
        <v>18952.350299999998</v>
      </c>
      <c r="E6" s="422">
        <f>'List of materials_En'!$C$12+'List of materials_En'!$C$14+'List of materials_En'!$C$28</f>
        <v>131367.375</v>
      </c>
    </row>
    <row r="7" spans="2:5">
      <c r="B7" t="s">
        <v>3388</v>
      </c>
      <c r="C7" s="422">
        <f>'List of materials_st'!C10+'List of materials_st'!C15+'List of materials_st'!C30</f>
        <v>126526.549</v>
      </c>
      <c r="D7" s="422">
        <f>'List of materials_Re'!C10+'List of materials_Re'!C17+'List of materials_Re'!C22+'List of materials_Re'!C35+'List of materials_Re'!C39</f>
        <v>15796.056199999999</v>
      </c>
      <c r="E7" s="422">
        <f>'List of materials_En'!$C$10+'List of materials_En'!$C$13+'List of materials_En'!$C$15+'List of materials_En'!$C$17+'List of materials_En'!$C$22+'List of materials_En'!$C$35+'List of materials_En'!$C$39</f>
        <v>234703.55549999996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Z91"/>
  <sheetViews>
    <sheetView zoomScale="65" zoomScaleNormal="55" workbookViewId="0">
      <pane ySplit="1" topLeftCell="A6" activePane="bottomLeft" state="frozen"/>
      <selection activeCell="J3" sqref="J3"/>
      <selection pane="bottomLeft" activeCell="B31" sqref="B31"/>
    </sheetView>
  </sheetViews>
  <sheetFormatPr baseColWidth="10" defaultColWidth="10.875" defaultRowHeight="14.25" outlineLevelCol="1"/>
  <cols>
    <col min="1" max="1" width="30.625" style="3" customWidth="1"/>
    <col min="2" max="2" width="30.625" style="3" customWidth="1" outlineLevel="1"/>
    <col min="3" max="3" width="54.5" style="3" customWidth="1" outlineLevel="1"/>
    <col min="4" max="4" width="54.5" style="3" customWidth="1"/>
    <col min="5" max="5" width="9.5" style="3" customWidth="1"/>
    <col min="6" max="6" width="12.125" style="3" customWidth="1"/>
    <col min="7" max="7" width="12.5" style="3" customWidth="1"/>
    <col min="8" max="8" width="2.125" style="3" customWidth="1"/>
    <col min="9" max="9" width="12.625" style="3" hidden="1" customWidth="1" outlineLevel="1"/>
    <col min="10" max="10" width="11.375" style="3" hidden="1" customWidth="1" outlineLevel="1"/>
    <col min="11" max="11" width="13.5" style="3" customWidth="1" collapsed="1"/>
    <col min="12" max="12" width="12" style="3" customWidth="1"/>
    <col min="13" max="13" width="10.875" style="3"/>
    <col min="14" max="15" width="0" style="3" hidden="1" customWidth="1" outlineLevel="1"/>
    <col min="16" max="16" width="10.875" style="3" collapsed="1"/>
    <col min="17" max="16384" width="10.875" style="3"/>
  </cols>
  <sheetData>
    <row r="1" spans="1:26" ht="60">
      <c r="B1" s="1" t="s">
        <v>444</v>
      </c>
      <c r="C1" s="1" t="s">
        <v>445</v>
      </c>
      <c r="D1" s="1" t="s">
        <v>488</v>
      </c>
      <c r="E1" s="1" t="s">
        <v>489</v>
      </c>
      <c r="F1" s="1" t="s">
        <v>446</v>
      </c>
      <c r="G1" s="1" t="s">
        <v>447</v>
      </c>
      <c r="I1" s="207" t="s">
        <v>448</v>
      </c>
      <c r="J1" s="207" t="s">
        <v>449</v>
      </c>
      <c r="K1" s="207" t="s">
        <v>450</v>
      </c>
      <c r="L1" s="207" t="s">
        <v>451</v>
      </c>
      <c r="M1" s="207" t="s">
        <v>452</v>
      </c>
      <c r="N1" s="207" t="s">
        <v>453</v>
      </c>
      <c r="O1" s="207" t="s">
        <v>454</v>
      </c>
      <c r="P1" s="207" t="s">
        <v>455</v>
      </c>
      <c r="Q1" s="207" t="s">
        <v>456</v>
      </c>
    </row>
    <row r="2" spans="1:26" s="1" customFormat="1" ht="18" thickBot="1">
      <c r="A2" s="350" t="s">
        <v>490</v>
      </c>
      <c r="B2" s="350"/>
      <c r="C2" s="350"/>
      <c r="D2" s="350"/>
      <c r="E2" s="350"/>
      <c r="F2" s="350"/>
      <c r="G2" s="351" t="s">
        <v>491</v>
      </c>
      <c r="H2" s="350"/>
      <c r="I2" s="351"/>
      <c r="J2" s="351"/>
      <c r="K2" s="351"/>
      <c r="L2" s="351"/>
      <c r="M2" s="350"/>
      <c r="N2" s="350"/>
      <c r="O2" s="350"/>
      <c r="P2" s="350"/>
      <c r="Q2" s="350"/>
      <c r="X2" s="3" t="s">
        <v>492</v>
      </c>
      <c r="Y2" s="3"/>
      <c r="Z2" s="3"/>
    </row>
    <row r="3" spans="1:26" ht="56.1" customHeight="1">
      <c r="A3" s="696" t="str">
        <f>'Calcul ACV'!$C$14</f>
        <v>non-isolés</v>
      </c>
      <c r="B3" s="1181" t="s">
        <v>493</v>
      </c>
      <c r="C3" s="697" t="s">
        <v>494</v>
      </c>
      <c r="D3" s="697" t="str">
        <f>VLOOKUP(F3,'Baumaterialien Matériaux'!$A$10:$AD$432,30,FALSE)</f>
        <v>Béton maigre (sans armature)</v>
      </c>
      <c r="E3" s="697" t="str">
        <f>VLOOKUP(F3,'Baumaterialien Matériaux'!$A$10:$AD$432,6,FALSE)</f>
        <v>kg</v>
      </c>
      <c r="F3" s="698">
        <v>1.0009999999999999</v>
      </c>
      <c r="G3" s="699">
        <f>0.07*2150</f>
        <v>150.50000000000003</v>
      </c>
      <c r="H3" s="700"/>
      <c r="I3" s="699">
        <f>$G3*VLOOKUP(F3,'Baumaterialien Matériaux'!$A$10:$AD$432,21,FALSE)</f>
        <v>11.558400000000001</v>
      </c>
      <c r="J3" s="699">
        <f>$G3*VLOOKUP(F3,'Baumaterialien Matériaux'!$A$10:$AD$432,24,FALSE)</f>
        <v>7.8109500000000018</v>
      </c>
      <c r="K3" s="699">
        <f>$G3*VLOOKUP(F3,'Baumaterialien Matériaux'!$A$10:$AD$432,26,FALSE)</f>
        <v>7.5551000000000013</v>
      </c>
      <c r="L3" s="699">
        <f>$G3*VLOOKUP(F3,'Baumaterialien Matériaux'!$A$10:$AD$432,27,FALSE)</f>
        <v>1.9264000000000006</v>
      </c>
      <c r="M3" s="713">
        <v>60</v>
      </c>
      <c r="N3" s="714"/>
      <c r="O3" s="714"/>
      <c r="P3" s="714"/>
      <c r="Q3" s="715"/>
      <c r="X3" s="3">
        <v>3</v>
      </c>
      <c r="Y3" s="3">
        <f ca="1">MATCH(BillQuantities!$E$8, INDIRECT("A"&amp;X3&amp;":A19"),0)</f>
        <v>1</v>
      </c>
      <c r="Z3" s="3" t="str" cm="1">
        <f t="array" aca="1" ref="Z3" ca="1">IFERROR(INDEX(C3:C16, Y3),0)</f>
        <v>Magerbeton / Béton maigre 7 cm [kg], 2'150 [kg/m3]</v>
      </c>
    </row>
    <row r="4" spans="1:26">
      <c r="A4" s="701" t="str">
        <f>'Calcul ACV'!$C$14</f>
        <v>non-isolés</v>
      </c>
      <c r="B4" s="1182"/>
      <c r="C4" s="483" t="s">
        <v>495</v>
      </c>
      <c r="D4" s="483" t="str">
        <f>VLOOKUP(F4,'Baumaterialien Matériaux'!$A$10:$AD$432,30,FALSE)</f>
        <v>Béton pour bâtiment (sans armature)</v>
      </c>
      <c r="E4" s="483" t="str">
        <f>VLOOKUP(F4,'Baumaterialien Matériaux'!$A$10:$AD$432,6,FALSE)</f>
        <v>kg</v>
      </c>
      <c r="F4" s="702">
        <v>1.0019999999999998</v>
      </c>
      <c r="G4" s="703">
        <f>(0.3-G5/7850)*2300</f>
        <v>680.77070063694271</v>
      </c>
      <c r="H4" s="704"/>
      <c r="I4" s="703">
        <f>$G4*VLOOKUP(F4,'Baumaterialien Matériaux'!$A$10:$AD$432,21,FALSE)</f>
        <v>84.415566878980897</v>
      </c>
      <c r="J4" s="703">
        <f>$G4*VLOOKUP(F4,'Baumaterialien Matériaux'!$A$10:$AD$432,24,FALSE)</f>
        <v>35.127768152866246</v>
      </c>
      <c r="K4" s="703">
        <f>$G4*VLOOKUP(F4,'Baumaterialien Matériaux'!$A$10:$AD$432,26,FALSE)</f>
        <v>60.452438216560516</v>
      </c>
      <c r="L4" s="703">
        <f>$G4*VLOOKUP(F4,'Baumaterialien Matériaux'!$A$10:$AD$432,27,FALSE)</f>
        <v>8.6457878980891714</v>
      </c>
      <c r="M4" s="711">
        <v>60</v>
      </c>
      <c r="N4" s="712"/>
      <c r="O4" s="712"/>
      <c r="P4" s="712"/>
      <c r="Q4" s="716"/>
      <c r="X4" s="3">
        <f ca="1">Y3+X3</f>
        <v>4</v>
      </c>
      <c r="Y4" s="3">
        <f ca="1">MATCH(BillQuantities!$E$8, INDIRECT("A"&amp;X4&amp;":A19"),0)+Y3-1</f>
        <v>1</v>
      </c>
      <c r="Z4" s="3" t="str" cm="1">
        <f t="array" aca="1" ref="Z4" ca="1">IFERROR(INDEX(C4:C17, Y4),0)</f>
        <v>Hochbaubeton / béton pour bâtiment, 30 cm [kg], 2'300 [kg/m3]</v>
      </c>
    </row>
    <row r="5" spans="1:26">
      <c r="A5" s="701" t="str">
        <f>'Calcul ACV'!$C$14</f>
        <v>non-isolés</v>
      </c>
      <c r="B5" s="1182"/>
      <c r="C5" s="483" t="s">
        <v>496</v>
      </c>
      <c r="D5" s="483" t="str">
        <f>VLOOKUP(F5,'Baumaterialien Matériaux'!$A$10:$AD$432,30,FALSE)</f>
        <v>Acier d'armature</v>
      </c>
      <c r="E5" s="483" t="str">
        <f>VLOOKUP(F5,'Baumaterialien Matériaux'!$A$10:$AD$432,6,FALSE)</f>
        <v>kg</v>
      </c>
      <c r="F5" s="702" t="s">
        <v>497</v>
      </c>
      <c r="G5" s="703">
        <f>105*0.3</f>
        <v>31.5</v>
      </c>
      <c r="H5" s="704"/>
      <c r="I5" s="703">
        <f>$G5*VLOOKUP(F5,'Baumaterialien Matériaux'!$A$10:$AD$432,21,FALSE)</f>
        <v>155.61000000000001</v>
      </c>
      <c r="J5" s="703">
        <f>$G5*VLOOKUP(F5,'Baumaterialien Matériaux'!$A$10:$AD$432,24,FALSE)</f>
        <v>1.6001999999999998</v>
      </c>
      <c r="K5" s="703">
        <f>$G5*VLOOKUP(F5,'Baumaterialien Matériaux'!$A$10:$AD$432,26,FALSE)</f>
        <v>47.25</v>
      </c>
      <c r="L5" s="703">
        <f>$G5*VLOOKUP(F5,'Baumaterialien Matériaux'!$A$10:$AD$432,27,FALSE)</f>
        <v>0.3906</v>
      </c>
      <c r="M5" s="717">
        <v>60</v>
      </c>
      <c r="N5" s="718"/>
      <c r="O5" s="718"/>
      <c r="P5" s="718"/>
      <c r="Q5" s="719"/>
      <c r="X5" s="3">
        <f ca="1">Y4+X4-Y3</f>
        <v>4</v>
      </c>
      <c r="Y5" s="3">
        <f ca="1">MATCH(BillQuantities!$E$8, INDIRECT("A"&amp;X5&amp;":A19"),0)+Y4-1</f>
        <v>1</v>
      </c>
      <c r="Z5" s="3" t="str" cm="1">
        <f t="array" aca="1" ref="Z5" ca="1">IFERROR(INDEX(C5:C18, Y5),0)</f>
        <v>Armierungsstahl / Acier d'armature [kg], 7'850 [kg/m3]</v>
      </c>
    </row>
    <row r="6" spans="1:26" ht="15.75" thickBot="1">
      <c r="A6" s="705"/>
      <c r="B6" s="428"/>
      <c r="C6" s="428"/>
      <c r="D6" s="428"/>
      <c r="E6" s="428"/>
      <c r="F6" s="428"/>
      <c r="G6" s="706"/>
      <c r="H6" s="706"/>
      <c r="I6" s="707">
        <f>SUM(I3:I5)</f>
        <v>251.5839668789809</v>
      </c>
      <c r="J6" s="707">
        <f t="shared" ref="J6:L6" si="0">SUM(J3:J5)</f>
        <v>44.538918152866245</v>
      </c>
      <c r="K6" s="707">
        <f t="shared" si="0"/>
        <v>115.25753821656052</v>
      </c>
      <c r="L6" s="707">
        <f t="shared" si="0"/>
        <v>10.962787898089172</v>
      </c>
      <c r="M6" s="708">
        <v>60</v>
      </c>
      <c r="N6" s="709">
        <f>I6/$M6</f>
        <v>4.1930661146496817</v>
      </c>
      <c r="O6" s="709">
        <f t="shared" ref="O6:Q6" si="1">J6/$M6</f>
        <v>0.74231530254777078</v>
      </c>
      <c r="P6" s="709">
        <f t="shared" si="1"/>
        <v>1.9209589702760086</v>
      </c>
      <c r="Q6" s="710">
        <f t="shared" si="1"/>
        <v>0.18271313163481953</v>
      </c>
      <c r="X6" s="3">
        <f ca="1">Y5+X5-Y4</f>
        <v>4</v>
      </c>
      <c r="Y6" s="3">
        <f ca="1">MATCH(BillQuantities!$E$8, INDIRECT("A"&amp;X6&amp;":A19"),0)+Y5-1</f>
        <v>1</v>
      </c>
      <c r="Z6" s="3" cm="1">
        <f t="array" aca="1" ref="Z6" ca="1">IFERROR(INDEX(C6:C19, Y6),0)</f>
        <v>0</v>
      </c>
    </row>
    <row r="7" spans="1:26">
      <c r="C7" s="364"/>
      <c r="D7" s="364"/>
      <c r="E7" s="364"/>
      <c r="X7" s="3">
        <f ca="1">Y6+X6-Y5</f>
        <v>4</v>
      </c>
      <c r="Y7" s="3">
        <f ca="1">MATCH(BillQuantities!$E$8, INDIRECT("A"&amp;X7&amp;":A19"),0)+Y6-1</f>
        <v>1</v>
      </c>
      <c r="Z7" s="3" cm="1">
        <f t="array" aca="1" ref="Z7" ca="1">IFERROR(INDEX(C7:C20, Y7),0)</f>
        <v>0</v>
      </c>
    </row>
    <row r="8" spans="1:26">
      <c r="C8" s="364"/>
      <c r="D8" s="364" t="s">
        <v>498</v>
      </c>
      <c r="E8" s="364"/>
      <c r="X8" s="3">
        <f ca="1">Y7+X7-Y6</f>
        <v>4</v>
      </c>
      <c r="Y8" s="3">
        <f ca="1">MATCH(BillQuantities!$E$8, INDIRECT("A"&amp;X8&amp;":A19"),0)+Y7-1</f>
        <v>1</v>
      </c>
      <c r="Z8" s="3" cm="1">
        <f t="array" aca="1" ref="Z8" ca="1">IFERROR(INDEX(C8:C21, Y8),0)</f>
        <v>0</v>
      </c>
    </row>
    <row r="9" spans="1:26" ht="15.6" customHeight="1">
      <c r="A9" s="483" t="str">
        <f>'Calcul ACV'!$C$15</f>
        <v>isolés</v>
      </c>
      <c r="B9" s="1163" t="s">
        <v>493</v>
      </c>
      <c r="C9" s="482" t="str">
        <f>C3</f>
        <v>Magerbeton / Béton maigre 7 cm [kg], 2'150 [kg/m3]</v>
      </c>
      <c r="D9" s="483" t="str">
        <f>VLOOKUP(F9,'Baumaterialien Matériaux'!$A$10:$AD$432,30,FALSE)</f>
        <v>Béton maigre (sans armature)</v>
      </c>
      <c r="E9" s="483" t="str">
        <f>VLOOKUP(F9,'Baumaterialien Matériaux'!$A$10:$AD$432,6,FALSE)</f>
        <v>kg</v>
      </c>
      <c r="F9" s="702">
        <f t="shared" ref="F9:G11" si="2">F3</f>
        <v>1.0009999999999999</v>
      </c>
      <c r="G9" s="484">
        <f t="shared" si="2"/>
        <v>150.50000000000003</v>
      </c>
      <c r="H9" s="1183"/>
      <c r="I9" s="1183">
        <f>I6</f>
        <v>251.5839668789809</v>
      </c>
      <c r="J9" s="1183">
        <f t="shared" ref="J9:L9" si="3">J6</f>
        <v>44.538918152866245</v>
      </c>
      <c r="K9" s="1183">
        <f t="shared" si="3"/>
        <v>115.25753821656052</v>
      </c>
      <c r="L9" s="1183">
        <f t="shared" si="3"/>
        <v>10.962787898089172</v>
      </c>
      <c r="M9" s="1169"/>
      <c r="N9" s="1170"/>
      <c r="O9" s="1170"/>
      <c r="P9" s="1170"/>
      <c r="Q9" s="1171"/>
      <c r="U9"/>
    </row>
    <row r="10" spans="1:26">
      <c r="A10" s="483" t="str">
        <f>'Calcul ACV'!$C$15</f>
        <v>isolés</v>
      </c>
      <c r="B10" s="1164"/>
      <c r="C10" s="482" t="str">
        <f>C4</f>
        <v>Hochbaubeton / béton pour bâtiment, 30 cm [kg], 2'300 [kg/m3]</v>
      </c>
      <c r="D10" s="483" t="str">
        <f>VLOOKUP(F10,'Baumaterialien Matériaux'!$A$10:$AD$432,30,FALSE)</f>
        <v>Béton pour bâtiment (sans armature)</v>
      </c>
      <c r="E10" s="483" t="str">
        <f>VLOOKUP(F10,'Baumaterialien Matériaux'!$A$10:$AD$432,6,FALSE)</f>
        <v>kg</v>
      </c>
      <c r="F10" s="702">
        <f t="shared" si="2"/>
        <v>1.0019999999999998</v>
      </c>
      <c r="G10" s="484">
        <f t="shared" si="2"/>
        <v>680.77070063694271</v>
      </c>
      <c r="H10" s="1183"/>
      <c r="I10" s="1183"/>
      <c r="J10" s="1183"/>
      <c r="K10" s="1183"/>
      <c r="L10" s="1183"/>
      <c r="M10" s="1172"/>
      <c r="N10" s="1173"/>
      <c r="O10" s="1173"/>
      <c r="P10" s="1173"/>
      <c r="Q10" s="1174"/>
    </row>
    <row r="11" spans="1:26" ht="33" customHeight="1">
      <c r="A11" s="483" t="str">
        <f>'Calcul ACV'!$C$15</f>
        <v>isolés</v>
      </c>
      <c r="B11" s="1165"/>
      <c r="C11" s="482" t="str">
        <f>C5</f>
        <v>Armierungsstahl / Acier d'armature [kg], 7'850 [kg/m3]</v>
      </c>
      <c r="D11" s="483" t="str">
        <f>VLOOKUP(F11,'Baumaterialien Matériaux'!$A$10:$AD$432,30,FALSE)</f>
        <v>Acier d'armature</v>
      </c>
      <c r="E11" s="483" t="str">
        <f>VLOOKUP(F11,'Baumaterialien Matériaux'!$A$10:$AD$432,6,FALSE)</f>
        <v>kg</v>
      </c>
      <c r="F11" s="702" t="str">
        <f t="shared" si="2"/>
        <v>06.003</v>
      </c>
      <c r="G11" s="484">
        <f t="shared" si="2"/>
        <v>31.5</v>
      </c>
      <c r="H11" s="1183"/>
      <c r="I11" s="1183"/>
      <c r="J11" s="1183"/>
      <c r="K11" s="1183"/>
      <c r="L11" s="1183"/>
      <c r="M11" s="1172"/>
      <c r="N11" s="1173"/>
      <c r="O11" s="1173"/>
      <c r="P11" s="1173"/>
      <c r="Q11" s="1174"/>
    </row>
    <row r="12" spans="1:26" ht="28.5">
      <c r="A12" s="483" t="str">
        <f>'Calcul ACV'!$C$15</f>
        <v>isolés</v>
      </c>
      <c r="B12" s="840" t="s">
        <v>499</v>
      </c>
      <c r="C12" s="483" t="s">
        <v>500</v>
      </c>
      <c r="D12" s="483" t="str">
        <f>VLOOKUP(F12,'Baumaterialien Matériaux'!$A$10:$AD$432,30,FALSE)</f>
        <v>Polystyrène extrudé (XPS)</v>
      </c>
      <c r="E12" s="483" t="str">
        <f>VLOOKUP(F12,'Baumaterialien Matériaux'!$A$10:$AD$432,6,FALSE)</f>
        <v>kg</v>
      </c>
      <c r="F12" s="483" t="s">
        <v>110</v>
      </c>
      <c r="G12" s="484">
        <f>33*0.2</f>
        <v>6.6000000000000005</v>
      </c>
      <c r="H12" s="484"/>
      <c r="I12" s="703">
        <f>$G12*VLOOKUP(F12,'Baumaterialien Matériaux'!$A$10:$AD$432,21,FALSE)</f>
        <v>192.72</v>
      </c>
      <c r="J12" s="703">
        <f>$G12*VLOOKUP(F12,'Baumaterialien Matériaux'!$A$10:$AD$432,24,FALSE)</f>
        <v>1.3398000000000001</v>
      </c>
      <c r="K12" s="703">
        <f>$G12*VLOOKUP(F12,'Baumaterialien Matériaux'!$A$10:$AD$432,26,FALSE)</f>
        <v>74.580000000000013</v>
      </c>
      <c r="L12" s="703">
        <f>$G12*VLOOKUP(F12,'Baumaterialien Matériaux'!$A$10:$AD$432,27,FALSE)</f>
        <v>20.394000000000002</v>
      </c>
      <c r="M12" s="1172"/>
      <c r="N12" s="1173"/>
      <c r="O12" s="1173"/>
      <c r="P12" s="1173"/>
      <c r="Q12" s="1174"/>
    </row>
    <row r="13" spans="1:26" ht="15">
      <c r="G13" s="208"/>
      <c r="H13" s="208"/>
      <c r="I13" s="485">
        <f>SUM(I9:I12)</f>
        <v>444.30396687898087</v>
      </c>
      <c r="J13" s="485">
        <f>SUM(J9:J12)</f>
        <v>45.878718152866242</v>
      </c>
      <c r="K13" s="485">
        <f>SUM(K9:K12)</f>
        <v>189.83753821656052</v>
      </c>
      <c r="L13" s="485">
        <f>SUM(L9:L12)</f>
        <v>31.356787898089173</v>
      </c>
      <c r="M13" s="843">
        <v>60</v>
      </c>
      <c r="N13" s="485">
        <f>I13/$M13</f>
        <v>7.4050661146496815</v>
      </c>
      <c r="O13" s="485">
        <f t="shared" ref="O13:Q13" si="4">J13/$M13</f>
        <v>0.76464530254777074</v>
      </c>
      <c r="P13" s="485">
        <f t="shared" si="4"/>
        <v>3.1639589702760085</v>
      </c>
      <c r="Q13" s="485">
        <f t="shared" si="4"/>
        <v>0.52261313163481959</v>
      </c>
    </row>
    <row r="14" spans="1:26" ht="15">
      <c r="D14" s="364" t="s">
        <v>498</v>
      </c>
      <c r="E14" s="364"/>
      <c r="G14" s="208"/>
      <c r="H14" s="208"/>
      <c r="I14" s="353"/>
      <c r="J14" s="353"/>
      <c r="K14" s="353"/>
      <c r="L14" s="353"/>
    </row>
    <row r="15" spans="1:26" ht="15">
      <c r="C15" s="364"/>
      <c r="D15" s="364"/>
      <c r="E15" s="364"/>
      <c r="G15" s="208"/>
      <c r="H15" s="208"/>
      <c r="I15" s="353"/>
      <c r="J15" s="353"/>
      <c r="K15" s="353"/>
      <c r="L15" s="353"/>
    </row>
    <row r="16" spans="1:26" ht="29.45" hidden="1" customHeight="1">
      <c r="A16" s="483" t="str">
        <f>'Calcul ACV'!$C$15</f>
        <v>isolés</v>
      </c>
      <c r="B16" s="1185" t="s">
        <v>493</v>
      </c>
      <c r="C16" s="483" t="str">
        <f>C9</f>
        <v>Magerbeton / Béton maigre 7 cm [kg], 2'150 [kg/m3]</v>
      </c>
      <c r="D16" s="483" t="str">
        <f>VLOOKUP(F16,'Baumaterialien Matériaux'!$A$10:$AD$432,30,FALSE)</f>
        <v>Béton maigre (sans armature)</v>
      </c>
      <c r="E16" s="483" t="str">
        <f>VLOOKUP(F16,'Baumaterialien Matériaux'!$A$10:$AD$432,6,FALSE)</f>
        <v>kg</v>
      </c>
      <c r="F16" s="702">
        <f t="shared" ref="F16:G18" si="5">F9</f>
        <v>1.0009999999999999</v>
      </c>
      <c r="G16" s="484">
        <f t="shared" si="5"/>
        <v>150.50000000000003</v>
      </c>
      <c r="H16" s="484"/>
      <c r="I16" s="1166">
        <f>I6</f>
        <v>251.5839668789809</v>
      </c>
      <c r="J16" s="1166">
        <f t="shared" ref="J16:L16" si="6">J6</f>
        <v>44.538918152866245</v>
      </c>
      <c r="K16" s="1166">
        <f t="shared" si="6"/>
        <v>115.25753821656052</v>
      </c>
      <c r="L16" s="1166">
        <f t="shared" si="6"/>
        <v>10.962787898089172</v>
      </c>
      <c r="M16" s="1169"/>
      <c r="N16" s="1170"/>
      <c r="O16" s="1170"/>
      <c r="P16" s="1170"/>
      <c r="Q16" s="1171"/>
    </row>
    <row r="17" spans="1:26" hidden="1">
      <c r="A17" s="483" t="str">
        <f>'Calcul ACV'!$C$15</f>
        <v>isolés</v>
      </c>
      <c r="B17" s="1186"/>
      <c r="C17" s="483" t="str">
        <f>C10</f>
        <v>Hochbaubeton / béton pour bâtiment, 30 cm [kg], 2'300 [kg/m3]</v>
      </c>
      <c r="D17" s="483" t="str">
        <f>VLOOKUP(F17,'Baumaterialien Matériaux'!$A$10:$AD$432,30,FALSE)</f>
        <v>Béton pour bâtiment (sans armature)</v>
      </c>
      <c r="E17" s="483" t="str">
        <f>VLOOKUP(F17,'Baumaterialien Matériaux'!$A$10:$AD$432,6,FALSE)</f>
        <v>kg</v>
      </c>
      <c r="F17" s="702">
        <f t="shared" si="5"/>
        <v>1.0019999999999998</v>
      </c>
      <c r="G17" s="484">
        <f t="shared" si="5"/>
        <v>680.77070063694271</v>
      </c>
      <c r="H17" s="484"/>
      <c r="I17" s="1167"/>
      <c r="J17" s="1167"/>
      <c r="K17" s="1167"/>
      <c r="L17" s="1167"/>
      <c r="M17" s="1172"/>
      <c r="N17" s="1173"/>
      <c r="O17" s="1173"/>
      <c r="P17" s="1173"/>
      <c r="Q17" s="1174"/>
    </row>
    <row r="18" spans="1:26" hidden="1">
      <c r="A18" s="483" t="str">
        <f>'Calcul ACV'!$C$15</f>
        <v>isolés</v>
      </c>
      <c r="B18" s="1187"/>
      <c r="C18" s="483" t="str">
        <f>C11</f>
        <v>Armierungsstahl / Acier d'armature [kg], 7'850 [kg/m3]</v>
      </c>
      <c r="D18" s="483" t="str">
        <f>VLOOKUP(F18,'Baumaterialien Matériaux'!$A$10:$AD$432,30,FALSE)</f>
        <v>Acier d'armature</v>
      </c>
      <c r="E18" s="483" t="str">
        <f>VLOOKUP(F18,'Baumaterialien Matériaux'!$A$10:$AD$432,6,FALSE)</f>
        <v>kg</v>
      </c>
      <c r="F18" s="702" t="str">
        <f t="shared" si="5"/>
        <v>06.003</v>
      </c>
      <c r="G18" s="484">
        <f t="shared" si="5"/>
        <v>31.5</v>
      </c>
      <c r="H18" s="484"/>
      <c r="I18" s="1168"/>
      <c r="J18" s="1168"/>
      <c r="K18" s="1168"/>
      <c r="L18" s="1168"/>
      <c r="M18" s="1172"/>
      <c r="N18" s="1173"/>
      <c r="O18" s="1173"/>
      <c r="P18" s="1173"/>
      <c r="Q18" s="1174"/>
    </row>
    <row r="19" spans="1:26" ht="29.25" hidden="1">
      <c r="A19" s="483" t="str">
        <f>'Calcul ACV'!$C$15</f>
        <v>isolés</v>
      </c>
      <c r="B19" s="840" t="s">
        <v>501</v>
      </c>
      <c r="C19" s="482" t="s">
        <v>502</v>
      </c>
      <c r="D19" s="483" t="str">
        <f>VLOOKUP(F19,'Baumaterialien Matériaux'!$A$10:$AD$432,30,FALSE)</f>
        <v>Verre cellulaire</v>
      </c>
      <c r="E19" s="483" t="str">
        <f>VLOOKUP(F19,'Baumaterialien Matériaux'!$A$10:$AD$432,6,FALSE)</f>
        <v>kg</v>
      </c>
      <c r="F19" s="483" t="s">
        <v>503</v>
      </c>
      <c r="G19" s="484">
        <f>0.25*115</f>
        <v>28.75</v>
      </c>
      <c r="H19" s="484"/>
      <c r="I19" s="703">
        <f>$G19*VLOOKUP(F19,'Baumaterialien Matériaux'!$A$10:$AD$432,21,FALSE)</f>
        <v>147.20000000000002</v>
      </c>
      <c r="J19" s="703">
        <f>$G19*VLOOKUP(F19,'Baumaterialien Matériaux'!$A$10:$AD$432,24,FALSE)</f>
        <v>1.520875</v>
      </c>
      <c r="K19" s="703">
        <f>$G19*VLOOKUP(F19,'Baumaterialien Matériaux'!$A$10:$AD$432,26,FALSE)</f>
        <v>33.924999999999997</v>
      </c>
      <c r="L19" s="703">
        <f>$G19*VLOOKUP(F19,'Baumaterialien Matériaux'!$A$10:$AD$432,27,FALSE)</f>
        <v>0.36799999999999999</v>
      </c>
      <c r="M19" s="1175"/>
      <c r="N19" s="1176"/>
      <c r="O19" s="1176"/>
      <c r="P19" s="1176"/>
      <c r="Q19" s="1177"/>
      <c r="T19"/>
    </row>
    <row r="20" spans="1:26" ht="15" hidden="1">
      <c r="B20" s="354"/>
      <c r="G20" s="208"/>
      <c r="H20" s="208"/>
      <c r="I20" s="485">
        <f>SUM(I16:I19)</f>
        <v>398.78396687898089</v>
      </c>
      <c r="J20" s="485">
        <f>SUM(J16:J19)</f>
        <v>46.059793152866241</v>
      </c>
      <c r="K20" s="485">
        <f>SUM(K16:K19)</f>
        <v>149.18253821656052</v>
      </c>
      <c r="L20" s="485">
        <f>SUM(L16:L19)</f>
        <v>11.330787898089172</v>
      </c>
      <c r="M20" s="843">
        <v>60</v>
      </c>
      <c r="N20" s="485">
        <f>I20/$M20</f>
        <v>6.6463994479830149</v>
      </c>
      <c r="O20" s="485">
        <f t="shared" ref="O20:Q20" si="7">J20/$M20</f>
        <v>0.76766321921443736</v>
      </c>
      <c r="P20" s="485">
        <f t="shared" si="7"/>
        <v>2.4863756369426753</v>
      </c>
      <c r="Q20" s="485">
        <f t="shared" si="7"/>
        <v>0.18884646496815286</v>
      </c>
    </row>
    <row r="21" spans="1:26" ht="15" hidden="1">
      <c r="G21" s="208"/>
      <c r="H21" s="208"/>
      <c r="I21" s="353"/>
      <c r="J21" s="353"/>
      <c r="K21" s="353"/>
      <c r="L21" s="353"/>
    </row>
    <row r="22" spans="1:26" ht="14.1" hidden="1" customHeight="1">
      <c r="A22" s="483" t="s">
        <v>504</v>
      </c>
      <c r="B22" s="457"/>
      <c r="C22" s="494"/>
      <c r="D22" s="494"/>
      <c r="E22" s="494"/>
      <c r="F22" s="494"/>
      <c r="G22" s="361"/>
      <c r="H22" s="484"/>
      <c r="I22" s="485">
        <f>AVERAGE(I13,I20)</f>
        <v>421.54396687898088</v>
      </c>
      <c r="J22" s="485">
        <f>AVERAGE(J13,J20)</f>
        <v>45.969255652866238</v>
      </c>
      <c r="K22" s="485">
        <f>AVERAGE(K13,K20)</f>
        <v>169.51003821656053</v>
      </c>
      <c r="L22" s="485">
        <f>AVERAGE(L13,L20)</f>
        <v>21.343787898089172</v>
      </c>
      <c r="M22" s="843"/>
      <c r="N22" s="485">
        <f>AVERAGE(N13,N20)</f>
        <v>7.0257327813163482</v>
      </c>
      <c r="O22" s="485">
        <f>AVERAGE(O13,O20)</f>
        <v>0.76615426088110405</v>
      </c>
      <c r="P22" s="485">
        <f>AVERAGE(P13,P20)</f>
        <v>2.8251673036093417</v>
      </c>
      <c r="Q22" s="485">
        <f>AVERAGE(Q13,Q20)</f>
        <v>0.35572979830148621</v>
      </c>
    </row>
    <row r="23" spans="1:26" ht="15" hidden="1">
      <c r="G23" s="208"/>
      <c r="H23" s="208"/>
      <c r="I23" s="353"/>
      <c r="J23" s="353"/>
      <c r="K23" s="353"/>
      <c r="L23" s="353"/>
    </row>
    <row r="25" spans="1:26" ht="17.25">
      <c r="A25" s="350" t="s">
        <v>505</v>
      </c>
      <c r="B25" s="350"/>
      <c r="C25" s="350"/>
      <c r="D25" s="350"/>
      <c r="E25" s="350"/>
      <c r="F25" s="350"/>
      <c r="G25" s="351" t="s">
        <v>491</v>
      </c>
      <c r="H25" s="350"/>
      <c r="I25" s="351"/>
      <c r="J25" s="351"/>
      <c r="K25" s="351"/>
      <c r="L25" s="351"/>
      <c r="M25" s="352"/>
      <c r="N25" s="352"/>
      <c r="O25" s="352"/>
      <c r="P25" s="352"/>
      <c r="Q25" s="352"/>
      <c r="X25" s="3" t="s">
        <v>506</v>
      </c>
    </row>
    <row r="26" spans="1:26" ht="42" customHeight="1">
      <c r="A26" s="844" t="str">
        <f>'Calcul ACV'!$C$17</f>
        <v>non-isolés</v>
      </c>
      <c r="B26" s="1163" t="s">
        <v>507</v>
      </c>
      <c r="C26" s="483" t="s">
        <v>508</v>
      </c>
      <c r="D26" s="483" t="str">
        <f>VLOOKUP(F26,'Baumaterialien Matériaux'!$A$10:$AD$432,30,FALSE)</f>
        <v>Béton pour bâtiment (sans armature)</v>
      </c>
      <c r="E26" s="483" t="str">
        <f>VLOOKUP(F26,'Baumaterialien Matériaux'!$A$10:$AD$432,6,FALSE)</f>
        <v>kg</v>
      </c>
      <c r="F26" s="845">
        <v>1.0019999999999998</v>
      </c>
      <c r="G26" s="484">
        <f>(0.25-G27/7850)*2300</f>
        <v>567.85828025477701</v>
      </c>
      <c r="H26" s="484"/>
      <c r="I26" s="703">
        <f>$G26*VLOOKUP(F26,'Baumaterialien Matériaux'!$A$10:$AD$432,21,FALSE)</f>
        <v>70.414426751592345</v>
      </c>
      <c r="J26" s="703">
        <f>$G26*VLOOKUP(F26,'Baumaterialien Matériaux'!$A$10:$AD$432,24,FALSE)</f>
        <v>29.301487261146494</v>
      </c>
      <c r="K26" s="703">
        <f>$G26*VLOOKUP(F26,'Baumaterialien Matériaux'!$A$10:$AD$432,26,FALSE)</f>
        <v>50.4258152866242</v>
      </c>
      <c r="L26" s="703">
        <f>$G26*VLOOKUP(F26,'Baumaterialien Matériaux'!$A$10:$AD$432,27,FALSE)</f>
        <v>7.2118001592356675</v>
      </c>
      <c r="M26" s="1172"/>
      <c r="N26" s="1173"/>
      <c r="O26" s="1173"/>
      <c r="P26" s="1173"/>
      <c r="Q26" s="1173"/>
      <c r="X26" s="3">
        <v>26</v>
      </c>
      <c r="Y26" s="3">
        <f ca="1">MATCH(BillQuantities!$E$10, INDIRECT("A"&amp;X26&amp;":A39"),0)</f>
        <v>1</v>
      </c>
      <c r="Z26" s="3" t="str" cm="1">
        <f t="array" aca="1" ref="Z26" ca="1">IFERROR(INDEX(C26:C39, Y26),0)</f>
        <v>Hochbaubeton / béton pour bâtiment, 25 cm [kg], 2'300 [kg/m3]</v>
      </c>
    </row>
    <row r="27" spans="1:26">
      <c r="A27" s="844" t="str">
        <f>'Calcul ACV'!$C$17</f>
        <v>non-isolés</v>
      </c>
      <c r="B27" s="1164"/>
      <c r="C27" s="483" t="s">
        <v>496</v>
      </c>
      <c r="D27" s="483" t="str">
        <f>VLOOKUP(F27,'Baumaterialien Matériaux'!$A$10:$AD$432,30,FALSE)</f>
        <v>Acier d'armature</v>
      </c>
      <c r="E27" s="483" t="str">
        <f>VLOOKUP(F27,'Baumaterialien Matériaux'!$A$10:$AD$432,6,FALSE)</f>
        <v>kg</v>
      </c>
      <c r="F27" s="483" t="s">
        <v>497</v>
      </c>
      <c r="G27" s="484">
        <f>97.5*0.25</f>
        <v>24.375</v>
      </c>
      <c r="H27" s="484"/>
      <c r="I27" s="703">
        <f>$G27*VLOOKUP(F27,'Baumaterialien Matériaux'!$A$10:$AD$432,21,FALSE)</f>
        <v>120.41250000000001</v>
      </c>
      <c r="J27" s="703">
        <f>$G27*VLOOKUP(F27,'Baumaterialien Matériaux'!$A$10:$AD$432,24,FALSE)</f>
        <v>1.2382499999999999</v>
      </c>
      <c r="K27" s="703">
        <f>$G27*VLOOKUP(F27,'Baumaterialien Matériaux'!$A$10:$AD$432,26,FALSE)</f>
        <v>36.5625</v>
      </c>
      <c r="L27" s="703">
        <f>$G27*VLOOKUP(F27,'Baumaterialien Matériaux'!$A$10:$AD$432,27,FALSE)</f>
        <v>0.30224999999999996</v>
      </c>
      <c r="M27" s="1172"/>
      <c r="N27" s="1173"/>
      <c r="O27" s="1173"/>
      <c r="P27" s="1173"/>
      <c r="Q27" s="1173"/>
      <c r="X27" s="3">
        <f ca="1">Y26+X26</f>
        <v>27</v>
      </c>
      <c r="Y27" s="3">
        <f ca="1">IFERROR(MATCH(BillQuantities!$E$10, INDIRECT("A"&amp;X27&amp;":A39"),0)+Y26-1,0)</f>
        <v>1</v>
      </c>
      <c r="Z27" s="3" t="str" cm="1">
        <f t="array" aca="1" ref="Z27" ca="1">IFERROR(INDEX(C27:C40, Y27),0)</f>
        <v>Armierungsstahl / Acier d'armature [kg], 7'850 [kg/m3]</v>
      </c>
    </row>
    <row r="28" spans="1:26">
      <c r="A28" s="844" t="str">
        <f>'Calcul ACV'!$C$17</f>
        <v>non-isolés</v>
      </c>
      <c r="B28" s="1164"/>
      <c r="C28" s="483" t="s">
        <v>509</v>
      </c>
      <c r="D28" s="483" t="str">
        <f>VLOOKUP(F28,'Baumaterialien Matériaux'!$A$10:$AD$432,30,FALSE)</f>
        <v>Bois massif 3 et 5 plis</v>
      </c>
      <c r="E28" s="483" t="str">
        <f>VLOOKUP(F28,'Baumaterialien Matériaux'!$A$10:$AD$432,6,FALSE)</f>
        <v>kg</v>
      </c>
      <c r="F28" s="483" t="s">
        <v>510</v>
      </c>
      <c r="G28" s="484">
        <f>2/5*0.025*470</f>
        <v>4.7000000000000011</v>
      </c>
      <c r="H28" s="484"/>
      <c r="I28" s="703">
        <f>$G28*VLOOKUP(F28,'Baumaterialien Matériaux'!$A$10:$AD$432,21,FALSE)</f>
        <v>9.8230000000000022</v>
      </c>
      <c r="J28" s="703">
        <f>$G28*VLOOKUP(F28,'Baumaterialien Matériaux'!$A$10:$AD$432,24,FALSE)</f>
        <v>0.43569000000000013</v>
      </c>
      <c r="K28" s="703">
        <f>$G28*VLOOKUP(F28,'Baumaterialien Matériaux'!$A$10:$AD$432,26,FALSE)</f>
        <v>1.9505000000000003</v>
      </c>
      <c r="L28" s="703">
        <f>$G28*VLOOKUP(F28,'Baumaterialien Matériaux'!$A$10:$AD$432,27,FALSE)</f>
        <v>0.26085000000000008</v>
      </c>
      <c r="M28" s="1172"/>
      <c r="N28" s="1173"/>
      <c r="O28" s="1173"/>
      <c r="P28" s="1173"/>
      <c r="Q28" s="1173"/>
      <c r="X28" s="3">
        <f ca="1">Y27+X27-Y26</f>
        <v>27</v>
      </c>
      <c r="Y28" s="3">
        <f ca="1">IFERROR(MATCH(BillQuantities!$E$10, INDIRECT("A"&amp;X28&amp;":A39"),0)+Y27-1,0)</f>
        <v>1</v>
      </c>
      <c r="Z28" s="3" t="str" cm="1">
        <f t="array" aca="1" ref="Z28" ca="1">IFERROR(INDEX(C28:C41, Y28),0)</f>
        <v>3-SP Schalung/Coffrage 2.5cm (Annahme/Hyp. 5xverwendet/utilisé) [kg]</v>
      </c>
    </row>
    <row r="29" spans="1:26">
      <c r="A29" s="844" t="str">
        <f>'Calcul ACV'!$C$17</f>
        <v>non-isolés</v>
      </c>
      <c r="B29" s="1164"/>
      <c r="C29" s="483" t="s">
        <v>511</v>
      </c>
      <c r="D29" s="483" t="str">
        <f>VLOOKUP(F29,'Baumaterialien Matériaux'!$A$10:$AD$432,30,FALSE)</f>
        <v>Émulsion de bitume, 1 couche</v>
      </c>
      <c r="E29" s="483" t="str">
        <f>VLOOKUP(F29,'Baumaterialien Matériaux'!$A$10:$AD$432,6,FALSE)</f>
        <v>m2</v>
      </c>
      <c r="F29" s="356" t="s">
        <v>512</v>
      </c>
      <c r="G29" s="484">
        <v>2</v>
      </c>
      <c r="H29" s="484"/>
      <c r="I29" s="703">
        <f>$G29*VLOOKUP(F29,'Baumaterialien Matériaux'!$A$10:$AD$432,21,FALSE)</f>
        <v>3.68</v>
      </c>
      <c r="J29" s="703">
        <f>$G29*VLOOKUP(F29,'Baumaterialien Matériaux'!$A$10:$AD$432,24,FALSE)</f>
        <v>2.8000000000000001E-2</v>
      </c>
      <c r="K29" s="703">
        <f>$G29*VLOOKUP(F29,'Baumaterialien Matériaux'!$A$10:$AD$432,26,FALSE)</f>
        <v>0.27</v>
      </c>
      <c r="L29" s="703">
        <f>$G29*VLOOKUP(F29,'Baumaterialien Matériaux'!$A$10:$AD$432,27,FALSE)</f>
        <v>9.3600000000000003E-2</v>
      </c>
      <c r="M29" s="1172"/>
      <c r="N29" s="1173"/>
      <c r="O29" s="1173"/>
      <c r="P29" s="1173"/>
      <c r="Q29" s="1173"/>
      <c r="X29" s="3">
        <f ca="1">Y28+X28-Y27</f>
        <v>27</v>
      </c>
      <c r="Y29" s="3">
        <f ca="1">IFERROR(MATCH(BillQuantities!$E$10, INDIRECT("A"&amp;X29&amp;":A39"),0)+Y28-1,0)</f>
        <v>1</v>
      </c>
      <c r="Z29" s="3" t="str" cm="1">
        <f t="array" aca="1" ref="Z29" ca="1">IFERROR(INDEX(C29:C42, Y29),0)</f>
        <v>Bitumenanstrich / Emulsion de bitume [m2]</v>
      </c>
    </row>
    <row r="30" spans="1:26">
      <c r="A30" s="844" t="str">
        <f>'Calcul ACV'!$C$17</f>
        <v>non-isolés</v>
      </c>
      <c r="B30" s="1165"/>
      <c r="C30" s="483" t="s">
        <v>513</v>
      </c>
      <c r="D30" s="483" t="str">
        <f>VLOOKUP(F30,'Baumaterialien Matériaux'!$A$10:$AD$432,30,FALSE)</f>
        <v>Polyéthylène (HDPE)</v>
      </c>
      <c r="E30" s="483" t="str">
        <f>VLOOKUP(F30,'Baumaterialien Matériaux'!$A$10:$AD$432,6,FALSE)</f>
        <v>kg</v>
      </c>
      <c r="F30" s="845" t="s">
        <v>514</v>
      </c>
      <c r="G30" s="484">
        <v>2.5</v>
      </c>
      <c r="H30" s="484"/>
      <c r="I30" s="703">
        <f>$G30*VLOOKUP(F30,'Baumaterialien Matériaux'!$A$10:$AD$432,21,FALSE)</f>
        <v>57.5</v>
      </c>
      <c r="J30" s="703">
        <f>$G30*VLOOKUP(F30,'Baumaterialien Matériaux'!$A$10:$AD$432,24,FALSE)</f>
        <v>0.52500000000000002</v>
      </c>
      <c r="K30" s="703">
        <f>$G30*VLOOKUP(F30,'Baumaterialien Matériaux'!$A$10:$AD$432,26,FALSE)</f>
        <v>5.9499999999999993</v>
      </c>
      <c r="L30" s="703">
        <f>$G30*VLOOKUP(F30,'Baumaterialien Matériaux'!$A$10:$AD$432,27,FALSE)</f>
        <v>5.9250000000000007</v>
      </c>
      <c r="M30" s="1175"/>
      <c r="N30" s="1176"/>
      <c r="O30" s="1176"/>
      <c r="P30" s="1176"/>
      <c r="Q30" s="1176"/>
      <c r="X30" s="3">
        <f ca="1">Y29+X29-Y28</f>
        <v>27</v>
      </c>
      <c r="Y30" s="3">
        <f ca="1">IFERROR(MATCH(BillQuantities!$E$10, INDIRECT("A"&amp;X30&amp;":A39"),0)+Y29-1,0)</f>
        <v>1</v>
      </c>
      <c r="Z30" s="3" t="str" cm="1">
        <f t="array" aca="1" ref="Z30" ca="1">IFERROR(INDEX(C30:C43, Y30),0)</f>
        <v>Noppenfolie / Feuille PE [kg]</v>
      </c>
    </row>
    <row r="31" spans="1:26" ht="15.75">
      <c r="I31" s="485">
        <f>SUM(I26:I30)</f>
        <v>261.82992675159232</v>
      </c>
      <c r="J31" s="485">
        <f>SUM(J26:J30)</f>
        <v>31.528427261146494</v>
      </c>
      <c r="K31" s="485">
        <f>SUM(K26:K30)</f>
        <v>95.158815286624204</v>
      </c>
      <c r="L31" s="485">
        <f>SUM(L26:L30)</f>
        <v>13.79350015923567</v>
      </c>
      <c r="M31" s="843">
        <v>60</v>
      </c>
      <c r="N31" s="485">
        <f>I31/$M31</f>
        <v>4.3638321125265387</v>
      </c>
      <c r="O31" s="485">
        <f t="shared" ref="O31:Q31" si="8">J31/$M31</f>
        <v>0.52547378768577491</v>
      </c>
      <c r="P31" s="485">
        <f t="shared" si="8"/>
        <v>1.5859802547770701</v>
      </c>
      <c r="Q31" s="485">
        <f t="shared" si="8"/>
        <v>0.22989166932059449</v>
      </c>
      <c r="T31"/>
      <c r="X31" s="3">
        <f ca="1">Y30+X30-Y29</f>
        <v>27</v>
      </c>
      <c r="Y31" s="3">
        <f ca="1">IFERROR(MATCH(BillQuantities!$E$10, INDIRECT("A"&amp;X31&amp;":A39"),0)+Y30-1,0)</f>
        <v>1</v>
      </c>
      <c r="Z31" s="3" cm="1">
        <f t="array" aca="1" ref="Z31" ca="1">IFERROR(INDEX(C31:C44, Y31),0)</f>
        <v>0</v>
      </c>
    </row>
    <row r="32" spans="1:26">
      <c r="X32" s="3">
        <f ca="1">Y31+X31-Y30</f>
        <v>27</v>
      </c>
      <c r="Y32" s="3">
        <f ca="1">IFERROR(MATCH(BillQuantities!$E$10, INDIRECT("A"&amp;X32&amp;":A39"),0)+Y31-1,0)</f>
        <v>1</v>
      </c>
      <c r="Z32" s="3" cm="1">
        <f t="array" aca="1" ref="Z32" ca="1">IFERROR(INDEX(C32:C45, Y32),0)</f>
        <v>0</v>
      </c>
    </row>
    <row r="33" spans="1:17" ht="41.45" customHeight="1">
      <c r="A33" s="844" t="str">
        <f>'Calcul ACV'!$C$18</f>
        <v>isolés</v>
      </c>
      <c r="B33" s="1188" t="s">
        <v>507</v>
      </c>
      <c r="C33" s="483" t="str">
        <f>C26</f>
        <v>Hochbaubeton / béton pour bâtiment, 25 cm [kg], 2'300 [kg/m3]</v>
      </c>
      <c r="D33" s="483" t="str">
        <f>VLOOKUP(F33,'Baumaterialien Matériaux'!$A$10:$AD$432,30,FALSE)</f>
        <v>Béton pour bâtiment (sans armature)</v>
      </c>
      <c r="E33" s="483" t="str">
        <f>VLOOKUP(F33,'Baumaterialien Matériaux'!$A$10:$AD$432,6,FALSE)</f>
        <v>kg</v>
      </c>
      <c r="F33" s="483">
        <f>F26</f>
        <v>1.0019999999999998</v>
      </c>
      <c r="G33" s="484">
        <f>G26</f>
        <v>567.85828025477701</v>
      </c>
      <c r="H33" s="484"/>
      <c r="I33" s="1166">
        <f>I31</f>
        <v>261.82992675159232</v>
      </c>
      <c r="J33" s="1166">
        <f t="shared" ref="J33:L33" si="9">J31</f>
        <v>31.528427261146494</v>
      </c>
      <c r="K33" s="1166">
        <f t="shared" si="9"/>
        <v>95.158815286624204</v>
      </c>
      <c r="L33" s="1166">
        <f t="shared" si="9"/>
        <v>13.79350015923567</v>
      </c>
      <c r="M33" s="711">
        <v>60</v>
      </c>
      <c r="N33" s="712"/>
      <c r="O33" s="712"/>
      <c r="P33" s="712"/>
      <c r="Q33" s="712"/>
    </row>
    <row r="34" spans="1:17">
      <c r="A34" s="844" t="str">
        <f>'Calcul ACV'!$C$18</f>
        <v>isolés</v>
      </c>
      <c r="B34" s="1189"/>
      <c r="C34" s="483" t="str">
        <f t="shared" ref="C34:C37" si="10">C27</f>
        <v>Armierungsstahl / Acier d'armature [kg], 7'850 [kg/m3]</v>
      </c>
      <c r="D34" s="483" t="str">
        <f>VLOOKUP(F34,'Baumaterialien Matériaux'!$A$10:$AD$432,30,FALSE)</f>
        <v>Acier d'armature</v>
      </c>
      <c r="E34" s="483" t="str">
        <f>VLOOKUP(F34,'Baumaterialien Matériaux'!$A$10:$AD$432,6,FALSE)</f>
        <v>kg</v>
      </c>
      <c r="F34" s="483" t="str">
        <f t="shared" ref="F34:G37" si="11">F27</f>
        <v>06.003</v>
      </c>
      <c r="G34" s="484">
        <f t="shared" si="11"/>
        <v>24.375</v>
      </c>
      <c r="H34" s="484"/>
      <c r="I34" s="1167"/>
      <c r="J34" s="1167"/>
      <c r="K34" s="1167"/>
      <c r="L34" s="1167"/>
      <c r="M34" s="711">
        <v>60</v>
      </c>
      <c r="N34" s="712"/>
      <c r="O34" s="712"/>
      <c r="P34" s="712"/>
      <c r="Q34" s="712"/>
    </row>
    <row r="35" spans="1:17">
      <c r="A35" s="844" t="str">
        <f>'Calcul ACV'!$C$18</f>
        <v>isolés</v>
      </c>
      <c r="B35" s="1189"/>
      <c r="C35" s="483" t="str">
        <f t="shared" si="10"/>
        <v>3-SP Schalung/Coffrage 2.5cm (Annahme/Hyp. 5xverwendet/utilisé) [kg]</v>
      </c>
      <c r="D35" s="483" t="str">
        <f>VLOOKUP(F35,'Baumaterialien Matériaux'!$A$10:$AD$432,30,FALSE)</f>
        <v>Bois massif 3 et 5 plis</v>
      </c>
      <c r="E35" s="483" t="str">
        <f>VLOOKUP(F35,'Baumaterialien Matériaux'!$A$10:$AD$432,6,FALSE)</f>
        <v>kg</v>
      </c>
      <c r="F35" s="483" t="str">
        <f t="shared" si="11"/>
        <v>07.001</v>
      </c>
      <c r="G35" s="484">
        <f t="shared" si="11"/>
        <v>4.7000000000000011</v>
      </c>
      <c r="H35" s="484"/>
      <c r="I35" s="1167"/>
      <c r="J35" s="1167"/>
      <c r="K35" s="1167"/>
      <c r="L35" s="1167"/>
      <c r="M35" s="711">
        <v>60</v>
      </c>
      <c r="N35" s="712"/>
      <c r="O35" s="712"/>
      <c r="P35" s="712"/>
      <c r="Q35" s="712"/>
    </row>
    <row r="36" spans="1:17">
      <c r="A36" s="844" t="str">
        <f>'Calcul ACV'!$C$18</f>
        <v>isolés</v>
      </c>
      <c r="B36" s="1189"/>
      <c r="C36" s="483" t="str">
        <f t="shared" si="10"/>
        <v>Bitumenanstrich / Emulsion de bitume [m2]</v>
      </c>
      <c r="D36" s="483" t="str">
        <f>VLOOKUP(F36,'Baumaterialien Matériaux'!$A$10:$AD$432,30,FALSE)</f>
        <v>Émulsion de bitume, 1 couche</v>
      </c>
      <c r="E36" s="483" t="str">
        <f>VLOOKUP(F36,'Baumaterialien Matériaux'!$A$10:$AD$432,6,FALSE)</f>
        <v>m2</v>
      </c>
      <c r="F36" s="483" t="str">
        <f t="shared" si="11"/>
        <v>14.003</v>
      </c>
      <c r="G36" s="484">
        <f t="shared" si="11"/>
        <v>2</v>
      </c>
      <c r="H36" s="484"/>
      <c r="I36" s="1167"/>
      <c r="J36" s="1167"/>
      <c r="K36" s="1167"/>
      <c r="L36" s="1167"/>
      <c r="M36" s="711">
        <v>60</v>
      </c>
      <c r="N36" s="712"/>
      <c r="O36" s="712"/>
      <c r="P36" s="712"/>
      <c r="Q36" s="712"/>
    </row>
    <row r="37" spans="1:17">
      <c r="A37" s="844" t="str">
        <f>'Calcul ACV'!$C$18</f>
        <v>isolés</v>
      </c>
      <c r="B37" s="1190"/>
      <c r="C37" s="483" t="str">
        <f t="shared" si="10"/>
        <v>Noppenfolie / Feuille PE [kg]</v>
      </c>
      <c r="D37" s="483" t="str">
        <f>VLOOKUP(F37,'Baumaterialien Matériaux'!$A$10:$AD$432,30,FALSE)</f>
        <v>Polyéthylène (HDPE)</v>
      </c>
      <c r="E37" s="483" t="str">
        <f>VLOOKUP(F37,'Baumaterialien Matériaux'!$A$10:$AD$432,6,FALSE)</f>
        <v>kg</v>
      </c>
      <c r="F37" s="483" t="str">
        <f t="shared" si="11"/>
        <v>13.002</v>
      </c>
      <c r="G37" s="484">
        <f t="shared" si="11"/>
        <v>2.5</v>
      </c>
      <c r="H37" s="484"/>
      <c r="I37" s="1168"/>
      <c r="J37" s="1168"/>
      <c r="K37" s="1168"/>
      <c r="L37" s="1168"/>
      <c r="M37" s="711">
        <v>60</v>
      </c>
      <c r="N37" s="712"/>
      <c r="O37" s="712"/>
      <c r="P37" s="712"/>
      <c r="Q37" s="712"/>
    </row>
    <row r="38" spans="1:17" ht="14.1" customHeight="1">
      <c r="A38" s="844" t="str">
        <f>'Calcul ACV'!$C$18</f>
        <v>isolés</v>
      </c>
      <c r="B38" s="1163" t="s">
        <v>515</v>
      </c>
      <c r="C38" s="483" t="s">
        <v>500</v>
      </c>
      <c r="D38" s="483" t="str">
        <f>VLOOKUP(F38,'Baumaterialien Matériaux'!$A$10:$AD$432,30,FALSE)</f>
        <v>Polystyrène extrudé (XPS)</v>
      </c>
      <c r="E38" s="483" t="str">
        <f>VLOOKUP(F38,'Baumaterialien Matériaux'!$A$10:$AD$432,6,FALSE)</f>
        <v>kg</v>
      </c>
      <c r="F38" s="483" t="s">
        <v>110</v>
      </c>
      <c r="G38" s="484">
        <f>0.2*33</f>
        <v>6.6000000000000005</v>
      </c>
      <c r="H38" s="484"/>
      <c r="I38" s="703">
        <f>$G38*VLOOKUP(F38,'Baumaterialien Matériaux'!$A$10:$AD$432,21,FALSE)</f>
        <v>192.72</v>
      </c>
      <c r="J38" s="703">
        <f>$G38*VLOOKUP(F38,'Baumaterialien Matériaux'!$A$10:$AD$432,24,FALSE)</f>
        <v>1.3398000000000001</v>
      </c>
      <c r="K38" s="703">
        <f>$G38*VLOOKUP(F38,'Baumaterialien Matériaux'!$A$10:$AD$432,26,FALSE)</f>
        <v>74.580000000000013</v>
      </c>
      <c r="L38" s="703">
        <f>$G38*VLOOKUP(F38,'Baumaterialien Matériaux'!$A$10:$AD$432,27,FALSE)</f>
        <v>20.394000000000002</v>
      </c>
      <c r="M38" s="711">
        <v>60</v>
      </c>
      <c r="N38" s="712"/>
      <c r="O38" s="712"/>
      <c r="P38" s="712"/>
      <c r="Q38" s="712"/>
    </row>
    <row r="39" spans="1:17">
      <c r="A39" s="844" t="str">
        <f>'Calcul ACV'!$C$18</f>
        <v>isolés</v>
      </c>
      <c r="B39" s="1164"/>
      <c r="C39" s="483" t="s">
        <v>516</v>
      </c>
      <c r="D39" s="483" t="str">
        <f>VLOOKUP(F39,'Baumaterialien Matériaux'!$A$10:$AD$432,30,FALSE)</f>
        <v>Masse bitumeuse, chaude</v>
      </c>
      <c r="E39" s="483" t="str">
        <f>VLOOKUP(F39,'Baumaterialien Matériaux'!$A$10:$AD$432,6,FALSE)</f>
        <v>kg</v>
      </c>
      <c r="F39" s="483" t="s">
        <v>517</v>
      </c>
      <c r="G39" s="484">
        <v>3</v>
      </c>
      <c r="H39" s="484"/>
      <c r="I39" s="703">
        <f>$G39*VLOOKUP(F39,'Baumaterialien Matériaux'!$A$10:$AD$432,21,FALSE)</f>
        <v>44.7</v>
      </c>
      <c r="J39" s="703">
        <f>$G39*VLOOKUP(F39,'Baumaterialien Matériaux'!$A$10:$AD$432,24,FALSE)</f>
        <v>0.16830000000000001</v>
      </c>
      <c r="K39" s="703">
        <f>$G39*VLOOKUP(F39,'Baumaterialien Matériaux'!$A$10:$AD$432,26,FALSE)</f>
        <v>2.7330000000000001</v>
      </c>
      <c r="L39" s="703">
        <f>$G39*VLOOKUP(F39,'Baumaterialien Matériaux'!$A$10:$AD$432,27,FALSE)</f>
        <v>0.56099999999999994</v>
      </c>
      <c r="M39" s="711">
        <v>60</v>
      </c>
      <c r="N39" s="712"/>
      <c r="O39" s="712"/>
      <c r="P39" s="712"/>
      <c r="Q39" s="712"/>
    </row>
    <row r="40" spans="1:17" ht="15">
      <c r="A40" s="384"/>
      <c r="B40" s="385"/>
      <c r="I40" s="485">
        <f>SUM(I33:I39)</f>
        <v>499.24992675159234</v>
      </c>
      <c r="J40" s="485">
        <f>SUM(J33:J39)</f>
        <v>33.036527261146496</v>
      </c>
      <c r="K40" s="485">
        <f>SUM(K33:K39)</f>
        <v>172.47181528662423</v>
      </c>
      <c r="L40" s="485">
        <f>SUM(L33:L39)</f>
        <v>34.748500159235668</v>
      </c>
      <c r="M40" s="843">
        <v>60</v>
      </c>
      <c r="N40" s="485">
        <f t="shared" ref="N40:Q40" si="12">I40/$M40</f>
        <v>8.3208321125265385</v>
      </c>
      <c r="O40" s="485">
        <f t="shared" si="12"/>
        <v>0.55060878768577493</v>
      </c>
      <c r="P40" s="485">
        <f t="shared" si="12"/>
        <v>2.8745302547770706</v>
      </c>
      <c r="Q40" s="485">
        <f t="shared" si="12"/>
        <v>0.57914166932059452</v>
      </c>
    </row>
    <row r="41" spans="1:17" hidden="1"/>
    <row r="42" spans="1:17" ht="42.75" hidden="1">
      <c r="A42" s="844" t="str">
        <f>'Calcul ACV'!$C$18</f>
        <v>isolés</v>
      </c>
      <c r="B42" s="482" t="s">
        <v>518</v>
      </c>
      <c r="C42" s="483"/>
      <c r="D42" s="483"/>
      <c r="E42" s="483"/>
      <c r="F42" s="483"/>
      <c r="G42" s="483"/>
      <c r="H42" s="483"/>
      <c r="I42" s="484">
        <f>I31</f>
        <v>261.82992675159232</v>
      </c>
      <c r="J42" s="484">
        <f t="shared" ref="J42:L42" si="13">J31</f>
        <v>31.528427261146494</v>
      </c>
      <c r="K42" s="484">
        <f t="shared" si="13"/>
        <v>95.158815286624204</v>
      </c>
      <c r="L42" s="484">
        <f t="shared" si="13"/>
        <v>13.79350015923567</v>
      </c>
      <c r="M42" s="1184"/>
      <c r="N42" s="1184"/>
      <c r="O42" s="1184"/>
      <c r="P42" s="1184"/>
      <c r="Q42" s="1184"/>
    </row>
    <row r="43" spans="1:17" ht="14.1" hidden="1" customHeight="1">
      <c r="A43" s="844" t="str">
        <f>'Calcul ACV'!$C$18</f>
        <v>isolés</v>
      </c>
      <c r="B43" s="1163" t="s">
        <v>519</v>
      </c>
      <c r="C43" s="483" t="s">
        <v>502</v>
      </c>
      <c r="D43" s="483" t="str">
        <f>VLOOKUP(F43,'Baumaterialien Matériaux'!$A$10:$AD$432,30,FALSE)</f>
        <v>Verre cellulaire</v>
      </c>
      <c r="E43" s="483" t="str">
        <f>VLOOKUP(F43,'Baumaterialien Matériaux'!$A$10:$AD$432,6,FALSE)</f>
        <v>kg</v>
      </c>
      <c r="F43" s="483" t="s">
        <v>503</v>
      </c>
      <c r="G43" s="483">
        <f>0.25*115</f>
        <v>28.75</v>
      </c>
      <c r="H43" s="483"/>
      <c r="I43" s="703">
        <f>$G43*VLOOKUP(F43,'Baumaterialien Matériaux'!$A$10:$AD$432,21,FALSE)</f>
        <v>147.20000000000002</v>
      </c>
      <c r="J43" s="703">
        <f>$G43*VLOOKUP(F43,'Baumaterialien Matériaux'!$A$10:$AD$432,24,FALSE)</f>
        <v>1.520875</v>
      </c>
      <c r="K43" s="703">
        <f>$G43*VLOOKUP(F43,'Baumaterialien Matériaux'!$A$10:$AD$432,26,FALSE)</f>
        <v>33.924999999999997</v>
      </c>
      <c r="L43" s="703">
        <f>$G43*VLOOKUP(F43,'Baumaterialien Matériaux'!$A$10:$AD$432,27,FALSE)</f>
        <v>0.36799999999999999</v>
      </c>
      <c r="M43" s="1184"/>
      <c r="N43" s="1184"/>
      <c r="O43" s="1184"/>
      <c r="P43" s="1184"/>
      <c r="Q43" s="1184"/>
    </row>
    <row r="44" spans="1:17" hidden="1">
      <c r="A44" s="844" t="str">
        <f>'Calcul ACV'!$C$18</f>
        <v>isolés</v>
      </c>
      <c r="B44" s="1164"/>
      <c r="C44" s="483" t="s">
        <v>516</v>
      </c>
      <c r="D44" s="483" t="str">
        <f>VLOOKUP(F44,'Baumaterialien Matériaux'!$A$10:$AD$432,30,FALSE)</f>
        <v>Masse bitumeuse, chaude</v>
      </c>
      <c r="E44" s="483" t="str">
        <f>VLOOKUP(F44,'Baumaterialien Matériaux'!$A$10:$AD$432,6,FALSE)</f>
        <v>kg</v>
      </c>
      <c r="F44" s="483" t="s">
        <v>517</v>
      </c>
      <c r="G44" s="484">
        <v>3</v>
      </c>
      <c r="H44" s="483"/>
      <c r="I44" s="703">
        <f>$G44*VLOOKUP(F44,'Baumaterialien Matériaux'!$A$10:$AD$432,21,FALSE)</f>
        <v>44.7</v>
      </c>
      <c r="J44" s="703">
        <f>$G44*VLOOKUP(F44,'Baumaterialien Matériaux'!$A$10:$AD$432,24,FALSE)</f>
        <v>0.16830000000000001</v>
      </c>
      <c r="K44" s="703">
        <f>$G44*VLOOKUP(F44,'Baumaterialien Matériaux'!$A$10:$AD$432,26,FALSE)</f>
        <v>2.7330000000000001</v>
      </c>
      <c r="L44" s="703">
        <f>$G44*VLOOKUP(F44,'Baumaterialien Matériaux'!$A$10:$AD$432,27,FALSE)</f>
        <v>0.56099999999999994</v>
      </c>
      <c r="M44" s="1184"/>
      <c r="N44" s="1184"/>
      <c r="O44" s="1184"/>
      <c r="P44" s="1184"/>
      <c r="Q44" s="1184"/>
    </row>
    <row r="45" spans="1:17" ht="15" hidden="1">
      <c r="B45" s="385"/>
      <c r="I45" s="485">
        <f>SUM(I42:I44)</f>
        <v>453.72992675159236</v>
      </c>
      <c r="J45" s="485">
        <f t="shared" ref="J45:L45" si="14">SUM(J42:J44)</f>
        <v>33.217602261146496</v>
      </c>
      <c r="K45" s="485">
        <f t="shared" si="14"/>
        <v>131.81681528662421</v>
      </c>
      <c r="L45" s="485">
        <f t="shared" si="14"/>
        <v>14.72250015923567</v>
      </c>
      <c r="M45" s="843">
        <v>60</v>
      </c>
      <c r="N45" s="485">
        <f>I45/$M45</f>
        <v>7.5621654458598728</v>
      </c>
      <c r="O45" s="485">
        <f t="shared" ref="O45:Q45" si="15">J45/$M45</f>
        <v>0.55362670435244155</v>
      </c>
      <c r="P45" s="485">
        <f t="shared" si="15"/>
        <v>2.1969469214437369</v>
      </c>
      <c r="Q45" s="485">
        <f t="shared" si="15"/>
        <v>0.24537500265392784</v>
      </c>
    </row>
    <row r="46" spans="1:17" ht="15" hidden="1">
      <c r="I46" s="353"/>
      <c r="J46" s="353"/>
      <c r="K46" s="353"/>
      <c r="L46" s="353"/>
    </row>
    <row r="47" spans="1:17" ht="15" hidden="1">
      <c r="A47" s="483" t="s">
        <v>520</v>
      </c>
      <c r="B47" s="1178"/>
      <c r="C47" s="1179"/>
      <c r="D47" s="1179"/>
      <c r="E47" s="1179"/>
      <c r="F47" s="1179"/>
      <c r="G47" s="1180"/>
      <c r="H47" s="483"/>
      <c r="I47" s="485">
        <f>AVERAGE(I40,I45)</f>
        <v>476.48992675159235</v>
      </c>
      <c r="J47" s="485">
        <f t="shared" ref="J47:L47" si="16">AVERAGE(J40,J45)</f>
        <v>33.127064761146499</v>
      </c>
      <c r="K47" s="485">
        <f t="shared" si="16"/>
        <v>152.14431528662422</v>
      </c>
      <c r="L47" s="485">
        <f t="shared" si="16"/>
        <v>24.73550015923567</v>
      </c>
      <c r="M47" s="843"/>
      <c r="N47" s="485">
        <f>AVERAGE(N40,N45)</f>
        <v>7.9414987791932052</v>
      </c>
      <c r="O47" s="485">
        <f t="shared" ref="O47:Q47" si="17">AVERAGE(O40,O45)</f>
        <v>0.55211774601910824</v>
      </c>
      <c r="P47" s="485">
        <f t="shared" si="17"/>
        <v>2.5357385881104038</v>
      </c>
      <c r="Q47" s="485">
        <f t="shared" si="17"/>
        <v>0.41225833598726119</v>
      </c>
    </row>
    <row r="49" spans="1:26" ht="17.25">
      <c r="A49" s="350" t="s">
        <v>521</v>
      </c>
      <c r="B49" s="350"/>
      <c r="C49" s="350"/>
      <c r="D49" s="350"/>
      <c r="E49" s="350"/>
      <c r="F49" s="350"/>
      <c r="G49" s="351" t="s">
        <v>491</v>
      </c>
      <c r="H49" s="350"/>
      <c r="I49" s="351"/>
      <c r="J49" s="351"/>
      <c r="K49" s="351"/>
      <c r="L49" s="351"/>
      <c r="M49" s="352"/>
      <c r="N49" s="352"/>
      <c r="O49" s="352"/>
      <c r="P49" s="352"/>
      <c r="Q49" s="352"/>
      <c r="X49" s="3" t="s">
        <v>522</v>
      </c>
    </row>
    <row r="50" spans="1:26" ht="56.1" customHeight="1">
      <c r="A50" s="846" t="s">
        <v>349</v>
      </c>
      <c r="B50" s="1195" t="s">
        <v>523</v>
      </c>
      <c r="C50" s="796" t="s">
        <v>495</v>
      </c>
      <c r="D50" s="796" t="str">
        <f>VLOOKUP(F50,'Baumaterialien Matériaux'!$A$10:$AD$432,30,FALSE)</f>
        <v>Béton pour bâtiment (sans armature)</v>
      </c>
      <c r="E50" s="796" t="str">
        <f>VLOOKUP(F50,'Baumaterialien Matériaux'!$A$10:$AD$432,6,FALSE)</f>
        <v>kg</v>
      </c>
      <c r="F50" s="847">
        <v>1.0019999999999998</v>
      </c>
      <c r="G50" s="848">
        <f>(0.3-G51/7850)*2300</f>
        <v>680.11146496815275</v>
      </c>
      <c r="H50" s="848"/>
      <c r="I50" s="849">
        <f>$G50*VLOOKUP(F50,'Baumaterialien Matériaux'!$A$10:$AD$432,21,FALSE)</f>
        <v>84.333821656050944</v>
      </c>
      <c r="J50" s="849">
        <f>$G50*VLOOKUP(F50,'Baumaterialien Matériaux'!$A$10:$AD$432,24,FALSE)</f>
        <v>35.093751592356682</v>
      </c>
      <c r="K50" s="849">
        <f>$G50*VLOOKUP(F50,'Baumaterialien Matériaux'!$A$10:$AD$432,26,FALSE)</f>
        <v>60.393898089171969</v>
      </c>
      <c r="L50" s="849">
        <f>$G50*VLOOKUP(F50,'Baumaterialien Matériaux'!$A$10:$AD$432,27,FALSE)</f>
        <v>8.6374156050955389</v>
      </c>
      <c r="M50" s="1191"/>
      <c r="N50" s="1192"/>
      <c r="O50" s="1192"/>
      <c r="P50" s="1192"/>
      <c r="Q50" s="1192"/>
      <c r="X50" s="3">
        <v>50</v>
      </c>
      <c r="Y50" s="3">
        <f ca="1">MATCH(BillQuantities!$E$12, INDIRECT("A"&amp;X50&amp;":A82"),0)</f>
        <v>10</v>
      </c>
      <c r="Z50" s="3" t="str" cm="1">
        <f t="array" aca="1" ref="Z50" ca="1">IFERROR(INDEX(C50:C63, Y50),0)</f>
        <v>Hochbaubeton / béton pour bâtiment, 30 cm [kg], 2'300 [kg/m3]</v>
      </c>
    </row>
    <row r="51" spans="1:26">
      <c r="A51" s="797"/>
      <c r="B51" s="1196"/>
      <c r="C51" s="796" t="s">
        <v>496</v>
      </c>
      <c r="D51" s="796" t="str">
        <f>VLOOKUP(F51,'Baumaterialien Matériaux'!$A$10:$AD$432,30,FALSE)</f>
        <v>Acier d'armature</v>
      </c>
      <c r="E51" s="796" t="str">
        <f>VLOOKUP(F51,'Baumaterialien Matériaux'!$A$10:$AD$432,6,FALSE)</f>
        <v>kg</v>
      </c>
      <c r="F51" s="796" t="s">
        <v>497</v>
      </c>
      <c r="G51" s="848">
        <f>112.5*0.3</f>
        <v>33.75</v>
      </c>
      <c r="H51" s="848"/>
      <c r="I51" s="849">
        <f>$G51*VLOOKUP(F51,'Baumaterialien Matériaux'!$A$10:$AD$432,21,FALSE)</f>
        <v>166.72500000000002</v>
      </c>
      <c r="J51" s="849">
        <f>$G51*VLOOKUP(F51,'Baumaterialien Matériaux'!$A$10:$AD$432,24,FALSE)</f>
        <v>1.7144999999999999</v>
      </c>
      <c r="K51" s="849">
        <f>$G51*VLOOKUP(F51,'Baumaterialien Matériaux'!$A$10:$AD$432,26,FALSE)</f>
        <v>50.625</v>
      </c>
      <c r="L51" s="849">
        <f>$G51*VLOOKUP(F51,'Baumaterialien Matériaux'!$A$10:$AD$432,27,FALSE)</f>
        <v>0.41849999999999998</v>
      </c>
      <c r="M51" s="1191"/>
      <c r="N51" s="1192"/>
      <c r="O51" s="1192"/>
      <c r="P51" s="1192"/>
      <c r="Q51" s="1192"/>
      <c r="X51" s="3">
        <f ca="1">Y50+X50</f>
        <v>60</v>
      </c>
      <c r="Y51" s="3">
        <f ca="1">MATCH(BillQuantities!$E$12, INDIRECT("A"&amp;X51&amp;":A82"),0)+Y50-1</f>
        <v>10</v>
      </c>
      <c r="Z51" s="3" t="str" cm="1">
        <f t="array" aca="1" ref="Z51" ca="1">IFERROR(INDEX(C51:C64, Y51),0)</f>
        <v>Armierungsstahl / Acier d'armature [kg], 7'850 [kg/m3]</v>
      </c>
    </row>
    <row r="52" spans="1:26">
      <c r="A52" s="797"/>
      <c r="B52" s="1196"/>
      <c r="C52" s="796" t="s">
        <v>509</v>
      </c>
      <c r="D52" s="796" t="str">
        <f>VLOOKUP(F52,'Baumaterialien Matériaux'!$A$10:$AD$432,30,FALSE)</f>
        <v>Bois massif 3 et 5 plis</v>
      </c>
      <c r="E52" s="796" t="str">
        <f>VLOOKUP(F52,'Baumaterialien Matériaux'!$A$10:$AD$432,6,FALSE)</f>
        <v>kg</v>
      </c>
      <c r="F52" s="796" t="s">
        <v>510</v>
      </c>
      <c r="G52" s="848">
        <f>2/5*0.025*470</f>
        <v>4.7000000000000011</v>
      </c>
      <c r="H52" s="848"/>
      <c r="I52" s="849">
        <f>$G52*VLOOKUP(F52,'Baumaterialien Matériaux'!$A$10:$AD$432,21,FALSE)</f>
        <v>9.8230000000000022</v>
      </c>
      <c r="J52" s="849">
        <f>$G52*VLOOKUP(F52,'Baumaterialien Matériaux'!$A$10:$AD$432,24,FALSE)</f>
        <v>0.43569000000000013</v>
      </c>
      <c r="K52" s="849">
        <f>$G52*VLOOKUP(F52,'Baumaterialien Matériaux'!$A$10:$AD$432,26,FALSE)</f>
        <v>1.9505000000000003</v>
      </c>
      <c r="L52" s="849">
        <f>$G52*VLOOKUP(F52,'Baumaterialien Matériaux'!$A$10:$AD$432,27,FALSE)</f>
        <v>0.26085000000000008</v>
      </c>
      <c r="M52" s="1191"/>
      <c r="N52" s="1192"/>
      <c r="O52" s="1192"/>
      <c r="P52" s="1192"/>
      <c r="Q52" s="1192"/>
      <c r="X52" s="3">
        <f t="shared" ref="X52:X58" ca="1" si="18">Y51+X51-Y50</f>
        <v>60</v>
      </c>
      <c r="Y52" s="3">
        <f ca="1">MATCH(BillQuantities!$E$12, INDIRECT("A"&amp;X52&amp;":A82"),0)+Y51-1</f>
        <v>10</v>
      </c>
      <c r="Z52" s="3" t="str" cm="1">
        <f t="array" aca="1" ref="Z52" ca="1">IFERROR(INDEX(C52:C65, Y52),0)</f>
        <v>3-SP Schalung/Coffrage 2.5cm (Annahme/Hyp. 5xverwendet/utilisé) [kg]</v>
      </c>
    </row>
    <row r="53" spans="1:26">
      <c r="A53" s="797"/>
      <c r="B53" s="1196"/>
      <c r="C53" s="796" t="s">
        <v>524</v>
      </c>
      <c r="D53" s="796" t="str">
        <f>VLOOKUP(F53,'Baumaterialien Matériaux'!$A$10:$AD$432,30,FALSE)</f>
        <v>Émulsion de bitume, 1 couche</v>
      </c>
      <c r="E53" s="796" t="str">
        <f>VLOOKUP(F53,'Baumaterialien Matériaux'!$A$10:$AD$432,6,FALSE)</f>
        <v>m2</v>
      </c>
      <c r="F53" s="798" t="s">
        <v>512</v>
      </c>
      <c r="G53" s="848">
        <v>1</v>
      </c>
      <c r="H53" s="848"/>
      <c r="I53" s="849">
        <f>$G53*VLOOKUP(F53,'Baumaterialien Matériaux'!$A$10:$AD$432,21,FALSE)</f>
        <v>1.84</v>
      </c>
      <c r="J53" s="849">
        <f>$G53*VLOOKUP(F53,'Baumaterialien Matériaux'!$A$10:$AD$432,24,FALSE)</f>
        <v>1.4E-2</v>
      </c>
      <c r="K53" s="849">
        <f>$G53*VLOOKUP(F53,'Baumaterialien Matériaux'!$A$10:$AD$432,26,FALSE)</f>
        <v>0.13500000000000001</v>
      </c>
      <c r="L53" s="849">
        <f>$G53*VLOOKUP(F53,'Baumaterialien Matériaux'!$A$10:$AD$432,27,FALSE)</f>
        <v>4.6800000000000001E-2</v>
      </c>
      <c r="M53" s="1191"/>
      <c r="N53" s="1192"/>
      <c r="O53" s="1192"/>
      <c r="P53" s="1192"/>
      <c r="Q53" s="1192"/>
      <c r="X53" s="3">
        <f t="shared" ca="1" si="18"/>
        <v>60</v>
      </c>
      <c r="Y53" s="3">
        <f ca="1">MATCH(BillQuantities!$E$12, INDIRECT("A"&amp;X53&amp;":A82"),0)+Y52-1</f>
        <v>10</v>
      </c>
      <c r="Z53" s="3" t="str" cm="1">
        <f t="array" aca="1" ref="Z53" ca="1">IFERROR(INDEX(C53:C66, Y53),0)</f>
        <v>Bitumenemulsion / Emulsion de bitume [m2]</v>
      </c>
    </row>
    <row r="54" spans="1:26">
      <c r="A54" s="797"/>
      <c r="B54" s="1196"/>
      <c r="C54" s="796" t="s">
        <v>525</v>
      </c>
      <c r="D54" s="796" t="str">
        <f>VLOOKUP(F54,'Baumaterialien Matériaux'!$A$10:$AD$432,30,FALSE)</f>
        <v>Lé d'étanchéité bitumineux, swissporBIKUTOP</v>
      </c>
      <c r="E54" s="796" t="str">
        <f>VLOOKUP(F54,'Baumaterialien Matériaux'!$A$10:$AD$432,6,FALSE)</f>
        <v>kg</v>
      </c>
      <c r="F54" s="796" t="s">
        <v>526</v>
      </c>
      <c r="G54" s="848">
        <v>5.9</v>
      </c>
      <c r="H54" s="796"/>
      <c r="I54" s="849">
        <f>$G54*VLOOKUP(F54,'Baumaterialien Matériaux'!$A$10:$AD$432,21,FALSE)</f>
        <v>59</v>
      </c>
      <c r="J54" s="849">
        <f>$G54*VLOOKUP(F54,'Baumaterialien Matériaux'!$A$10:$AD$432,24,FALSE)</f>
        <v>1.5812000000000002</v>
      </c>
      <c r="K54" s="849">
        <f>$G54*VLOOKUP(F54,'Baumaterialien Matériaux'!$A$10:$AD$432,26,FALSE)</f>
        <v>5.3513000000000002</v>
      </c>
      <c r="L54" s="849">
        <f>$G54*VLOOKUP(F54,'Baumaterialien Matériaux'!$A$10:$AD$432,27,FALSE)</f>
        <v>13.747000000000002</v>
      </c>
      <c r="M54" s="1191"/>
      <c r="N54" s="1192"/>
      <c r="O54" s="1192"/>
      <c r="P54" s="1192"/>
      <c r="Q54" s="1192"/>
      <c r="X54" s="3">
        <f t="shared" ca="1" si="18"/>
        <v>60</v>
      </c>
      <c r="Y54" s="3">
        <f ca="1">MATCH(BillQuantities!$E$12, INDIRECT("A"&amp;X54&amp;":A82"),0)+Y53-1</f>
        <v>10</v>
      </c>
      <c r="Z54" s="3" t="str" cm="1">
        <f t="array" aca="1" ref="Z54" ca="1">IFERROR(INDEX(C54:C67, Y54),0)</f>
        <v>Polymerbitumenbahn EP5 [kg]</v>
      </c>
    </row>
    <row r="55" spans="1:26">
      <c r="A55" s="797"/>
      <c r="B55" s="1196"/>
      <c r="C55" s="796" t="s">
        <v>527</v>
      </c>
      <c r="D55" s="796" t="str">
        <f>VLOOKUP(F55,'Baumaterialien Matériaux'!$A$10:$AD$432,30,FALSE)</f>
        <v>Voile de polyéthylène (PE)</v>
      </c>
      <c r="E55" s="796" t="str">
        <f>VLOOKUP(F55,'Baumaterialien Matériaux'!$A$10:$AD$432,6,FALSE)</f>
        <v>kg</v>
      </c>
      <c r="F55" s="796" t="s">
        <v>528</v>
      </c>
      <c r="G55" s="848">
        <v>0.4</v>
      </c>
      <c r="H55" s="796"/>
      <c r="I55" s="849">
        <f>$G55*VLOOKUP(F55,'Baumaterialien Matériaux'!$A$10:$AD$432,21,FALSE)</f>
        <v>10.280000000000001</v>
      </c>
      <c r="J55" s="849">
        <f>$G55*VLOOKUP(F55,'Baumaterialien Matériaux'!$A$10:$AD$432,24,FALSE)</f>
        <v>8.4000000000000005E-2</v>
      </c>
      <c r="K55" s="849">
        <f>$G55*VLOOKUP(F55,'Baumaterialien Matériaux'!$A$10:$AD$432,26,FALSE)</f>
        <v>1.1839999999999999</v>
      </c>
      <c r="L55" s="849">
        <f>$G55*VLOOKUP(F55,'Baumaterialien Matériaux'!$A$10:$AD$432,27,FALSE)</f>
        <v>1.0680000000000001</v>
      </c>
      <c r="M55" s="1191"/>
      <c r="N55" s="1192"/>
      <c r="O55" s="1192"/>
      <c r="P55" s="1192"/>
      <c r="Q55" s="1192"/>
      <c r="X55" s="3">
        <f t="shared" ca="1" si="18"/>
        <v>60</v>
      </c>
      <c r="Y55" s="3">
        <f ca="1">MATCH(BillQuantities!$E$12, INDIRECT("A"&amp;X55&amp;":A82"),0)+Y54-1</f>
        <v>10</v>
      </c>
      <c r="Z55" s="3" t="str" cm="1">
        <f t="array" aca="1" ref="Z55" ca="1">IFERROR(INDEX(C55:C68, Y55),0)</f>
        <v>Trenn-/Schutzvlies [kg]</v>
      </c>
    </row>
    <row r="56" spans="1:26">
      <c r="A56" s="799"/>
      <c r="B56" s="1197"/>
      <c r="C56" s="796" t="s">
        <v>529</v>
      </c>
      <c r="D56" s="796" t="str">
        <f>VLOOKUP(F56,'Baumaterialien Matériaux'!$A$10:$AD$432,30,FALSE)</f>
        <v>Gravier rond</v>
      </c>
      <c r="E56" s="796" t="str">
        <f>VLOOKUP(F56,'Baumaterialien Matériaux'!$A$10:$AD$432,6,FALSE)</f>
        <v>kg</v>
      </c>
      <c r="F56" s="850" t="s">
        <v>530</v>
      </c>
      <c r="G56" s="848">
        <f>0.03*2000</f>
        <v>60</v>
      </c>
      <c r="H56" s="796"/>
      <c r="I56" s="849">
        <f>$G56*VLOOKUP(F56,'Baumaterialien Matériaux'!$A$10:$AD$432,21,FALSE)</f>
        <v>0.94199999999999995</v>
      </c>
      <c r="J56" s="849">
        <f>$G56*VLOOKUP(F56,'Baumaterialien Matériaux'!$A$10:$AD$432,24,FALSE)</f>
        <v>3.1680000000000001</v>
      </c>
      <c r="K56" s="849">
        <f>$G56*VLOOKUP(F56,'Baumaterialien Matériaux'!$A$10:$AD$432,26,FALSE)</f>
        <v>0.18479999999999999</v>
      </c>
      <c r="L56" s="849">
        <f>$G56*VLOOKUP(F56,'Baumaterialien Matériaux'!$A$10:$AD$432,27,FALSE)</f>
        <v>0.76800000000000002</v>
      </c>
      <c r="M56" s="1193"/>
      <c r="N56" s="1194"/>
      <c r="O56" s="1194"/>
      <c r="P56" s="1194"/>
      <c r="Q56" s="1194"/>
      <c r="X56" s="3">
        <f t="shared" ca="1" si="18"/>
        <v>60</v>
      </c>
      <c r="Y56" s="3">
        <f ca="1">MATCH(BillQuantities!$E$12, INDIRECT("A"&amp;X56&amp;":A82"),0)+Y55-1</f>
        <v>10</v>
      </c>
      <c r="Z56" s="3" t="str" cm="1">
        <f t="array" aca="1" ref="Z56" ca="1">IFERROR(INDEX(C56:C69, Y56),0)</f>
        <v>Kies 3 cm [kg]</v>
      </c>
    </row>
    <row r="57" spans="1:26" ht="15">
      <c r="A57" s="800"/>
      <c r="B57" s="800"/>
      <c r="C57" s="800"/>
      <c r="D57" s="800"/>
      <c r="E57" s="800"/>
      <c r="F57" s="800"/>
      <c r="G57" s="800"/>
      <c r="H57" s="800"/>
      <c r="I57" s="851">
        <f>SUM(I50:I56)</f>
        <v>332.94382165605089</v>
      </c>
      <c r="J57" s="851">
        <f>SUM(J50:J56)</f>
        <v>42.091141592356692</v>
      </c>
      <c r="K57" s="851">
        <f>SUM(K50:K56)</f>
        <v>119.82449808917197</v>
      </c>
      <c r="L57" s="851">
        <f>SUM(L50:L56)</f>
        <v>24.94656560509554</v>
      </c>
      <c r="M57" s="852">
        <v>60</v>
      </c>
      <c r="N57" s="851">
        <f>I57/$M57</f>
        <v>5.5490636942675149</v>
      </c>
      <c r="O57" s="851">
        <f t="shared" ref="O57" si="19">J57/$M57</f>
        <v>0.70151902653927822</v>
      </c>
      <c r="P57" s="851">
        <f t="shared" ref="P57" si="20">K57/$M57</f>
        <v>1.9970749681528661</v>
      </c>
      <c r="Q57" s="851">
        <f t="shared" ref="Q57" si="21">L57/$M57</f>
        <v>0.415776093418259</v>
      </c>
      <c r="X57" s="3">
        <f t="shared" ca="1" si="18"/>
        <v>60</v>
      </c>
      <c r="Y57" s="3">
        <f ca="1">MATCH(BillQuantities!$E$12, INDIRECT("A"&amp;X57&amp;":A82"),0)+Y56-1</f>
        <v>10</v>
      </c>
      <c r="Z57" s="3" cm="1">
        <f t="array" aca="1" ref="Z57" ca="1">IFERROR(INDEX(C57:C70, Y57),0)</f>
        <v>0</v>
      </c>
    </row>
    <row r="58" spans="1:26" ht="15">
      <c r="A58" s="350"/>
      <c r="B58" s="350"/>
      <c r="C58" s="350"/>
      <c r="D58" s="350"/>
      <c r="E58" s="350"/>
      <c r="F58" s="350"/>
      <c r="G58" s="351"/>
      <c r="H58" s="350"/>
      <c r="I58" s="351"/>
      <c r="J58" s="351"/>
      <c r="K58" s="351"/>
      <c r="L58" s="351"/>
      <c r="M58" s="352"/>
      <c r="N58" s="352"/>
      <c r="O58" s="352"/>
      <c r="P58" s="352"/>
      <c r="Q58" s="352"/>
      <c r="X58" s="3">
        <f t="shared" ca="1" si="18"/>
        <v>60</v>
      </c>
      <c r="Y58" s="3">
        <f ca="1">MATCH(BillQuantities!$E$12, INDIRECT("A"&amp;X58&amp;":A82"),0)+Y57-1</f>
        <v>10</v>
      </c>
      <c r="Z58" s="3" cm="1">
        <f t="array" aca="1" ref="Z58" ca="1">IFERROR(INDEX(C58:C71, Y58),0)</f>
        <v>0</v>
      </c>
    </row>
    <row r="59" spans="1:26" ht="56.1" customHeight="1">
      <c r="A59" s="844" t="str">
        <f>'Calcul ACV'!$C$17</f>
        <v>non-isolés</v>
      </c>
      <c r="B59" s="1163" t="s">
        <v>531</v>
      </c>
      <c r="C59" s="483" t="s">
        <v>495</v>
      </c>
      <c r="D59" s="483" t="str">
        <f>VLOOKUP(F59,'Baumaterialien Matériaux'!$A$10:$AD$432,30,FALSE)</f>
        <v>Béton pour bâtiment (sans armature)</v>
      </c>
      <c r="E59" s="483" t="str">
        <f>VLOOKUP(F59,'Baumaterialien Matériaux'!$A$10:$AD$432,6,FALSE)</f>
        <v>kg</v>
      </c>
      <c r="F59" s="845">
        <v>1.0019999999999998</v>
      </c>
      <c r="G59" s="484">
        <f>(0.3-G60/7850)*2300</f>
        <v>680.11146496815275</v>
      </c>
      <c r="H59" s="484"/>
      <c r="I59" s="703">
        <f>$G59*VLOOKUP(F59,'Baumaterialien Matériaux'!$A$10:$AD$432,21,FALSE)</f>
        <v>84.333821656050944</v>
      </c>
      <c r="J59" s="703">
        <f>$G59*VLOOKUP(F59,'Baumaterialien Matériaux'!$A$10:$AD$432,24,FALSE)</f>
        <v>35.093751592356682</v>
      </c>
      <c r="K59" s="703">
        <f>$G59*VLOOKUP(F59,'Baumaterialien Matériaux'!$A$10:$AD$432,26,FALSE)</f>
        <v>60.393898089171969</v>
      </c>
      <c r="L59" s="703">
        <f>$G59*VLOOKUP(F59,'Baumaterialien Matériaux'!$A$10:$AD$432,27,FALSE)</f>
        <v>8.6374156050955389</v>
      </c>
      <c r="M59" s="1172"/>
      <c r="N59" s="1173"/>
      <c r="O59" s="1173"/>
      <c r="P59" s="1173"/>
      <c r="Q59" s="1173"/>
    </row>
    <row r="60" spans="1:26">
      <c r="A60" s="844" t="str">
        <f>'Calcul ACV'!$C$17</f>
        <v>non-isolés</v>
      </c>
      <c r="B60" s="1164"/>
      <c r="C60" s="483" t="s">
        <v>496</v>
      </c>
      <c r="D60" s="483" t="str">
        <f>VLOOKUP(F60,'Baumaterialien Matériaux'!$A$10:$AD$432,30,FALSE)</f>
        <v>Acier d'armature</v>
      </c>
      <c r="E60" s="483" t="str">
        <f>VLOOKUP(F60,'Baumaterialien Matériaux'!$A$10:$AD$432,6,FALSE)</f>
        <v>kg</v>
      </c>
      <c r="F60" s="483" t="s">
        <v>497</v>
      </c>
      <c r="G60" s="484">
        <f>112.5*0.3</f>
        <v>33.75</v>
      </c>
      <c r="H60" s="484"/>
      <c r="I60" s="703">
        <f>$G60*VLOOKUP(F60,'Baumaterialien Matériaux'!$A$10:$AD$432,21,FALSE)</f>
        <v>166.72500000000002</v>
      </c>
      <c r="J60" s="703">
        <f>$G60*VLOOKUP(F60,'Baumaterialien Matériaux'!$A$10:$AD$432,24,FALSE)</f>
        <v>1.7144999999999999</v>
      </c>
      <c r="K60" s="703">
        <f>$G60*VLOOKUP(F60,'Baumaterialien Matériaux'!$A$10:$AD$432,26,FALSE)</f>
        <v>50.625</v>
      </c>
      <c r="L60" s="703">
        <f>$G60*VLOOKUP(F60,'Baumaterialien Matériaux'!$A$10:$AD$432,27,FALSE)</f>
        <v>0.41849999999999998</v>
      </c>
      <c r="M60" s="1172"/>
      <c r="N60" s="1173"/>
      <c r="O60" s="1173"/>
      <c r="P60" s="1173"/>
      <c r="Q60" s="1173"/>
    </row>
    <row r="61" spans="1:26">
      <c r="A61" s="844" t="str">
        <f>'Calcul ACV'!$C$17</f>
        <v>non-isolés</v>
      </c>
      <c r="B61" s="1164"/>
      <c r="C61" s="483" t="s">
        <v>509</v>
      </c>
      <c r="D61" s="483" t="str">
        <f>VLOOKUP(F61,'Baumaterialien Matériaux'!$A$10:$AD$432,30,FALSE)</f>
        <v>Bois massif 3 et 5 plis</v>
      </c>
      <c r="E61" s="483" t="str">
        <f>VLOOKUP(F61,'Baumaterialien Matériaux'!$A$10:$AD$432,6,FALSE)</f>
        <v>kg</v>
      </c>
      <c r="F61" s="483" t="s">
        <v>510</v>
      </c>
      <c r="G61" s="484">
        <f>2/5*0.025*470</f>
        <v>4.7000000000000011</v>
      </c>
      <c r="H61" s="484"/>
      <c r="I61" s="703">
        <f>$G61*VLOOKUP(F61,'Baumaterialien Matériaux'!$A$10:$AD$432,21,FALSE)</f>
        <v>9.8230000000000022</v>
      </c>
      <c r="J61" s="703">
        <f>$G61*VLOOKUP(F61,'Baumaterialien Matériaux'!$A$10:$AD$432,24,FALSE)</f>
        <v>0.43569000000000013</v>
      </c>
      <c r="K61" s="703">
        <f>$G61*VLOOKUP(F61,'Baumaterialien Matériaux'!$A$10:$AD$432,26,FALSE)</f>
        <v>1.9505000000000003</v>
      </c>
      <c r="L61" s="703">
        <f>$G61*VLOOKUP(F61,'Baumaterialien Matériaux'!$A$10:$AD$432,27,FALSE)</f>
        <v>0.26085000000000008</v>
      </c>
      <c r="M61" s="1172"/>
      <c r="N61" s="1173"/>
      <c r="O61" s="1173"/>
      <c r="P61" s="1173"/>
      <c r="Q61" s="1173"/>
    </row>
    <row r="62" spans="1:26">
      <c r="A62" s="844" t="str">
        <f>'Calcul ACV'!$C$17</f>
        <v>non-isolés</v>
      </c>
      <c r="B62" s="1164"/>
      <c r="C62" s="483" t="s">
        <v>524</v>
      </c>
      <c r="D62" s="483" t="str">
        <f>VLOOKUP(F62,'Baumaterialien Matériaux'!$A$10:$AD$432,30,FALSE)</f>
        <v>Émulsion de bitume, 1 couche</v>
      </c>
      <c r="E62" s="483" t="str">
        <f>VLOOKUP(F62,'Baumaterialien Matériaux'!$A$10:$AD$432,6,FALSE)</f>
        <v>m2</v>
      </c>
      <c r="F62" s="173" t="s">
        <v>512</v>
      </c>
      <c r="G62" s="484">
        <v>1</v>
      </c>
      <c r="H62" s="484"/>
      <c r="I62" s="703">
        <f>$G62*VLOOKUP(F62,'Baumaterialien Matériaux'!$A$10:$AD$432,21,FALSE)</f>
        <v>1.84</v>
      </c>
      <c r="J62" s="703">
        <f>$G62*VLOOKUP(F62,'Baumaterialien Matériaux'!$A$10:$AD$432,24,FALSE)</f>
        <v>1.4E-2</v>
      </c>
      <c r="K62" s="703">
        <f>$G62*VLOOKUP(F62,'Baumaterialien Matériaux'!$A$10:$AD$432,26,FALSE)</f>
        <v>0.13500000000000001</v>
      </c>
      <c r="L62" s="703">
        <f>$G62*VLOOKUP(F62,'Baumaterialien Matériaux'!$A$10:$AD$432,27,FALSE)</f>
        <v>4.6800000000000001E-2</v>
      </c>
      <c r="M62" s="1172"/>
      <c r="N62" s="1173"/>
      <c r="O62" s="1173"/>
      <c r="P62" s="1173"/>
      <c r="Q62" s="1173"/>
    </row>
    <row r="63" spans="1:26">
      <c r="A63" s="844" t="str">
        <f>'Calcul ACV'!$C$17</f>
        <v>non-isolés</v>
      </c>
      <c r="B63" s="1164"/>
      <c r="C63" s="483" t="s">
        <v>525</v>
      </c>
      <c r="D63" s="483" t="str">
        <f>VLOOKUP(F63,'Baumaterialien Matériaux'!$A$10:$AD$432,30,FALSE)</f>
        <v>Lé d'étanchéité bitumineux, swissporBIKUTOP</v>
      </c>
      <c r="E63" s="483" t="str">
        <f>VLOOKUP(F63,'Baumaterialien Matériaux'!$A$10:$AD$432,6,FALSE)</f>
        <v>kg</v>
      </c>
      <c r="F63" s="483" t="s">
        <v>526</v>
      </c>
      <c r="G63" s="484">
        <v>5.9</v>
      </c>
      <c r="H63" s="483"/>
      <c r="I63" s="703">
        <f>$G63*VLOOKUP(F63,'Baumaterialien Matériaux'!$A$10:$AD$432,21,FALSE)</f>
        <v>59</v>
      </c>
      <c r="J63" s="703">
        <f>$G63*VLOOKUP(F63,'Baumaterialien Matériaux'!$A$10:$AD$432,24,FALSE)</f>
        <v>1.5812000000000002</v>
      </c>
      <c r="K63" s="703">
        <f>$G63*VLOOKUP(F63,'Baumaterialien Matériaux'!$A$10:$AD$432,26,FALSE)</f>
        <v>5.3513000000000002</v>
      </c>
      <c r="L63" s="703">
        <f>$G63*VLOOKUP(F63,'Baumaterialien Matériaux'!$A$10:$AD$432,27,FALSE)</f>
        <v>13.747000000000002</v>
      </c>
      <c r="M63" s="1172"/>
      <c r="N63" s="1173"/>
      <c r="O63" s="1173"/>
      <c r="P63" s="1173"/>
      <c r="Q63" s="1173"/>
    </row>
    <row r="64" spans="1:26">
      <c r="A64" s="844" t="str">
        <f>'Calcul ACV'!$C$17</f>
        <v>non-isolés</v>
      </c>
      <c r="B64" s="1164"/>
      <c r="C64" s="483" t="s">
        <v>527</v>
      </c>
      <c r="D64" s="483" t="str">
        <f>VLOOKUP(F64,'Baumaterialien Matériaux'!$A$10:$AD$432,30,FALSE)</f>
        <v>Voile de polyéthylène (PE)</v>
      </c>
      <c r="E64" s="483" t="str">
        <f>VLOOKUP(F64,'Baumaterialien Matériaux'!$A$10:$AD$432,6,FALSE)</f>
        <v>kg</v>
      </c>
      <c r="F64" s="483" t="s">
        <v>528</v>
      </c>
      <c r="G64" s="484">
        <v>0.4</v>
      </c>
      <c r="H64" s="483"/>
      <c r="I64" s="703">
        <f>$G64*VLOOKUP(F64,'Baumaterialien Matériaux'!$A$10:$AD$432,21,FALSE)</f>
        <v>10.280000000000001</v>
      </c>
      <c r="J64" s="703">
        <f>$G64*VLOOKUP(F64,'Baumaterialien Matériaux'!$A$10:$AD$432,24,FALSE)</f>
        <v>8.4000000000000005E-2</v>
      </c>
      <c r="K64" s="703">
        <f>$G64*VLOOKUP(F64,'Baumaterialien Matériaux'!$A$10:$AD$432,26,FALSE)</f>
        <v>1.1839999999999999</v>
      </c>
      <c r="L64" s="703">
        <f>$G64*VLOOKUP(F64,'Baumaterialien Matériaux'!$A$10:$AD$432,27,FALSE)</f>
        <v>1.0680000000000001</v>
      </c>
      <c r="M64" s="1172"/>
      <c r="N64" s="1173"/>
      <c r="O64" s="1173"/>
      <c r="P64" s="1173"/>
      <c r="Q64" s="1173"/>
    </row>
    <row r="65" spans="1:17">
      <c r="A65" s="844" t="str">
        <f>'Calcul ACV'!$C$17</f>
        <v>non-isolés</v>
      </c>
      <c r="B65" s="1165"/>
      <c r="C65" s="483" t="s">
        <v>529</v>
      </c>
      <c r="D65" s="483" t="str">
        <f>VLOOKUP(F65,'Baumaterialien Matériaux'!$A$10:$AD$432,30,FALSE)</f>
        <v>Gravier rond</v>
      </c>
      <c r="E65" s="483" t="str">
        <f>VLOOKUP(F65,'Baumaterialien Matériaux'!$A$10:$AD$432,6,FALSE)</f>
        <v>kg</v>
      </c>
      <c r="F65" s="853" t="s">
        <v>530</v>
      </c>
      <c r="G65" s="484">
        <f>0.03*2000</f>
        <v>60</v>
      </c>
      <c r="H65" s="483"/>
      <c r="I65" s="703">
        <f>$G65*VLOOKUP(F65,'Baumaterialien Matériaux'!$A$10:$AD$432,21,FALSE)</f>
        <v>0.94199999999999995</v>
      </c>
      <c r="J65" s="703">
        <f>$G65*VLOOKUP(F65,'Baumaterialien Matériaux'!$A$10:$AD$432,24,FALSE)</f>
        <v>3.1680000000000001</v>
      </c>
      <c r="K65" s="703">
        <f>$G65*VLOOKUP(F65,'Baumaterialien Matériaux'!$A$10:$AD$432,26,FALSE)</f>
        <v>0.18479999999999999</v>
      </c>
      <c r="L65" s="703">
        <f>$G65*VLOOKUP(F65,'Baumaterialien Matériaux'!$A$10:$AD$432,27,FALSE)</f>
        <v>0.76800000000000002</v>
      </c>
      <c r="M65" s="1175"/>
      <c r="N65" s="1176"/>
      <c r="O65" s="1176"/>
      <c r="P65" s="1176"/>
      <c r="Q65" s="1176"/>
    </row>
    <row r="66" spans="1:17" ht="15">
      <c r="I66" s="485">
        <f>SUM(I59:I65)</f>
        <v>332.94382165605089</v>
      </c>
      <c r="J66" s="485">
        <f>SUM(J59:J65)</f>
        <v>42.091141592356692</v>
      </c>
      <c r="K66" s="485">
        <f>SUM(K59:K65)</f>
        <v>119.82449808917197</v>
      </c>
      <c r="L66" s="485">
        <f>SUM(L59:L65)</f>
        <v>24.94656560509554</v>
      </c>
      <c r="M66" s="843">
        <v>60</v>
      </c>
      <c r="N66" s="485">
        <f>I66/$M66</f>
        <v>5.5490636942675149</v>
      </c>
      <c r="O66" s="485">
        <f t="shared" ref="O66:Q66" si="22">J66/$M66</f>
        <v>0.70151902653927822</v>
      </c>
      <c r="P66" s="485">
        <f t="shared" si="22"/>
        <v>1.9970749681528661</v>
      </c>
      <c r="Q66" s="485">
        <f t="shared" si="22"/>
        <v>0.415776093418259</v>
      </c>
    </row>
    <row r="67" spans="1:17" ht="15">
      <c r="I67" s="353"/>
      <c r="J67" s="353"/>
      <c r="K67" s="353"/>
      <c r="L67" s="353"/>
    </row>
    <row r="68" spans="1:17" ht="84" customHeight="1">
      <c r="A68" s="844" t="str">
        <f>'Calcul ACV'!$C$18</f>
        <v>isolés</v>
      </c>
      <c r="B68" s="1163" t="s">
        <v>532</v>
      </c>
      <c r="C68" s="483" t="s">
        <v>495</v>
      </c>
      <c r="D68" s="483" t="str">
        <f>VLOOKUP(F68,'Baumaterialien Matériaux'!$A$10:$AD$432,30,FALSE)</f>
        <v>Béton pour bâtiment (sans armature)</v>
      </c>
      <c r="E68" s="483" t="str">
        <f>VLOOKUP(F68,'Baumaterialien Matériaux'!$A$10:$AD$432,6,FALSE)</f>
        <v>kg</v>
      </c>
      <c r="F68" s="845">
        <v>1.0019999999999998</v>
      </c>
      <c r="G68" s="484">
        <f>(0.3-G69/7850)*2300</f>
        <v>680.11146496815275</v>
      </c>
      <c r="H68" s="484"/>
      <c r="I68" s="703">
        <f>$G68*VLOOKUP(F68,'Baumaterialien Matériaux'!$A$10:$AD$432,21,FALSE)</f>
        <v>84.333821656050944</v>
      </c>
      <c r="J68" s="703">
        <f>$G68*VLOOKUP(F68,'Baumaterialien Matériaux'!$A$10:$AD$432,24,FALSE)</f>
        <v>35.093751592356682</v>
      </c>
      <c r="K68" s="703">
        <f>$G68*VLOOKUP(F68,'Baumaterialien Matériaux'!$A$10:$AD$432,26,FALSE)</f>
        <v>60.393898089171969</v>
      </c>
      <c r="L68" s="703">
        <f>$G68*VLOOKUP(F68,'Baumaterialien Matériaux'!$A$10:$AD$432,27,FALSE)</f>
        <v>8.6374156050955389</v>
      </c>
      <c r="M68" s="1184"/>
      <c r="N68" s="1184"/>
      <c r="O68" s="1184"/>
      <c r="P68" s="1184"/>
      <c r="Q68" s="1184"/>
    </row>
    <row r="69" spans="1:17">
      <c r="A69" s="844" t="str">
        <f>'Calcul ACV'!$C$18</f>
        <v>isolés</v>
      </c>
      <c r="B69" s="1164"/>
      <c r="C69" s="483" t="s">
        <v>496</v>
      </c>
      <c r="D69" s="483" t="str">
        <f>VLOOKUP(F69,'Baumaterialien Matériaux'!$A$10:$AD$432,30,FALSE)</f>
        <v>Acier d'armature</v>
      </c>
      <c r="E69" s="483" t="str">
        <f>VLOOKUP(F69,'Baumaterialien Matériaux'!$A$10:$AD$432,6,FALSE)</f>
        <v>kg</v>
      </c>
      <c r="F69" s="483" t="s">
        <v>497</v>
      </c>
      <c r="G69" s="484">
        <f>112.5*0.3</f>
        <v>33.75</v>
      </c>
      <c r="H69" s="484"/>
      <c r="I69" s="703">
        <f>$G69*VLOOKUP(F69,'Baumaterialien Matériaux'!$A$10:$AD$432,21,FALSE)</f>
        <v>166.72500000000002</v>
      </c>
      <c r="J69" s="703">
        <f>$G69*VLOOKUP(F69,'Baumaterialien Matériaux'!$A$10:$AD$432,24,FALSE)</f>
        <v>1.7144999999999999</v>
      </c>
      <c r="K69" s="703">
        <f>$G69*VLOOKUP(F69,'Baumaterialien Matériaux'!$A$10:$AD$432,26,FALSE)</f>
        <v>50.625</v>
      </c>
      <c r="L69" s="703">
        <f>$G69*VLOOKUP(F69,'Baumaterialien Matériaux'!$A$10:$AD$432,27,FALSE)</f>
        <v>0.41849999999999998</v>
      </c>
      <c r="M69" s="1184"/>
      <c r="N69" s="1184"/>
      <c r="O69" s="1184"/>
      <c r="P69" s="1184"/>
      <c r="Q69" s="1184"/>
    </row>
    <row r="70" spans="1:17">
      <c r="A70" s="844" t="str">
        <f>'Calcul ACV'!$C$18</f>
        <v>isolés</v>
      </c>
      <c r="B70" s="1164"/>
      <c r="C70" s="483" t="s">
        <v>509</v>
      </c>
      <c r="D70" s="483" t="str">
        <f>VLOOKUP(F70,'Baumaterialien Matériaux'!$A$10:$AD$432,30,FALSE)</f>
        <v>Bois massif 3 et 5 plis</v>
      </c>
      <c r="E70" s="483" t="str">
        <f>VLOOKUP(F70,'Baumaterialien Matériaux'!$A$10:$AD$432,6,FALSE)</f>
        <v>kg</v>
      </c>
      <c r="F70" s="483" t="s">
        <v>510</v>
      </c>
      <c r="G70" s="484">
        <f>2/5*0.025*470</f>
        <v>4.7000000000000011</v>
      </c>
      <c r="H70" s="484"/>
      <c r="I70" s="703">
        <f>$G70*VLOOKUP(F70,'Baumaterialien Matériaux'!$A$10:$AD$432,21,FALSE)</f>
        <v>9.8230000000000022</v>
      </c>
      <c r="J70" s="703">
        <f>$G70*VLOOKUP(F70,'Baumaterialien Matériaux'!$A$10:$AD$432,24,FALSE)</f>
        <v>0.43569000000000013</v>
      </c>
      <c r="K70" s="703">
        <f>$G70*VLOOKUP(F70,'Baumaterialien Matériaux'!$A$10:$AD$432,26,FALSE)</f>
        <v>1.9505000000000003</v>
      </c>
      <c r="L70" s="703">
        <f>$G70*VLOOKUP(F70,'Baumaterialien Matériaux'!$A$10:$AD$432,27,FALSE)</f>
        <v>0.26085000000000008</v>
      </c>
      <c r="M70" s="1184"/>
      <c r="N70" s="1184"/>
      <c r="O70" s="1184"/>
      <c r="P70" s="1184"/>
      <c r="Q70" s="1184"/>
    </row>
    <row r="71" spans="1:17">
      <c r="A71" s="844" t="str">
        <f>'Calcul ACV'!$C$18</f>
        <v>isolés</v>
      </c>
      <c r="B71" s="1164"/>
      <c r="C71" s="483" t="s">
        <v>533</v>
      </c>
      <c r="D71" s="483" t="str">
        <f>VLOOKUP(F71,'Baumaterialien Matériaux'!$A$10:$AD$432,30,FALSE)</f>
        <v>Émulsion de bitume, 1 couche</v>
      </c>
      <c r="E71" s="483" t="str">
        <f>VLOOKUP(F71,'Baumaterialien Matériaux'!$A$10:$AD$432,6,FALSE)</f>
        <v>m2</v>
      </c>
      <c r="F71" s="173" t="s">
        <v>512</v>
      </c>
      <c r="G71" s="484">
        <v>1</v>
      </c>
      <c r="H71" s="483"/>
      <c r="I71" s="703">
        <f>$G71*VLOOKUP(F71,'Baumaterialien Matériaux'!$A$10:$AD$432,21,FALSE)</f>
        <v>1.84</v>
      </c>
      <c r="J71" s="703">
        <f>$G71*VLOOKUP(F71,'Baumaterialien Matériaux'!$A$10:$AD$432,24,FALSE)</f>
        <v>1.4E-2</v>
      </c>
      <c r="K71" s="703">
        <f>$G71*VLOOKUP(F71,'Baumaterialien Matériaux'!$A$10:$AD$432,26,FALSE)</f>
        <v>0.13500000000000001</v>
      </c>
      <c r="L71" s="703">
        <f>$G71*VLOOKUP(F71,'Baumaterialien Matériaux'!$A$10:$AD$432,27,FALSE)</f>
        <v>4.6800000000000001E-2</v>
      </c>
      <c r="M71" s="1184"/>
      <c r="N71" s="1184"/>
      <c r="O71" s="1184"/>
      <c r="P71" s="1184"/>
      <c r="Q71" s="1184"/>
    </row>
    <row r="72" spans="1:17">
      <c r="A72" s="844" t="str">
        <f>'Calcul ACV'!$C$18</f>
        <v>isolés</v>
      </c>
      <c r="B72" s="1164"/>
      <c r="C72" s="483" t="s">
        <v>534</v>
      </c>
      <c r="D72" s="483" t="str">
        <f>VLOOKUP(F72,'Baumaterialien Matériaux'!$A$10:$AD$432,30,FALSE)</f>
        <v>Lé d'étanchéité bitumineux, swissporBIKUTOP</v>
      </c>
      <c r="E72" s="483" t="str">
        <f>VLOOKUP(F72,'Baumaterialien Matériaux'!$A$10:$AD$432,6,FALSE)</f>
        <v>kg</v>
      </c>
      <c r="F72" s="483" t="s">
        <v>535</v>
      </c>
      <c r="G72" s="484">
        <v>4.7</v>
      </c>
      <c r="H72" s="483"/>
      <c r="I72" s="703">
        <f>$G72*VLOOKUP(F72,'Baumaterialien Matériaux'!$A$10:$AD$432,21,FALSE)</f>
        <v>47</v>
      </c>
      <c r="J72" s="703">
        <f>$G72*VLOOKUP(F72,'Baumaterialien Matériaux'!$A$10:$AD$432,24,FALSE)</f>
        <v>1.2596000000000001</v>
      </c>
      <c r="K72" s="703">
        <f>$G72*VLOOKUP(F72,'Baumaterialien Matériaux'!$A$10:$AD$432,26,FALSE)</f>
        <v>4.2629000000000001</v>
      </c>
      <c r="L72" s="703">
        <f>$G72*VLOOKUP(F72,'Baumaterialien Matériaux'!$A$10:$AD$432,27,FALSE)</f>
        <v>10.951000000000001</v>
      </c>
      <c r="M72" s="1184"/>
      <c r="N72" s="1184"/>
      <c r="O72" s="1184"/>
      <c r="P72" s="1184"/>
      <c r="Q72" s="1184"/>
    </row>
    <row r="73" spans="1:17">
      <c r="A73" s="844" t="str">
        <f>'Calcul ACV'!$C$18</f>
        <v>isolés</v>
      </c>
      <c r="B73" s="1164"/>
      <c r="C73" s="483" t="s">
        <v>500</v>
      </c>
      <c r="D73" s="483" t="str">
        <f>VLOOKUP(F73,'Baumaterialien Matériaux'!$A$10:$AD$432,30,FALSE)</f>
        <v>Polystyrène extrudé (XPS)</v>
      </c>
      <c r="E73" s="483" t="str">
        <f>VLOOKUP(F73,'Baumaterialien Matériaux'!$A$10:$AD$432,6,FALSE)</f>
        <v>kg</v>
      </c>
      <c r="F73" s="483" t="s">
        <v>110</v>
      </c>
      <c r="G73" s="484">
        <f>0.2*33</f>
        <v>6.6000000000000005</v>
      </c>
      <c r="H73" s="483"/>
      <c r="I73" s="703">
        <f>$G73*VLOOKUP(F73,'Baumaterialien Matériaux'!$A$10:$AD$432,21,FALSE)</f>
        <v>192.72</v>
      </c>
      <c r="J73" s="703">
        <f>$G73*VLOOKUP(F73,'Baumaterialien Matériaux'!$A$10:$AD$432,24,FALSE)</f>
        <v>1.3398000000000001</v>
      </c>
      <c r="K73" s="703">
        <f>$G73*VLOOKUP(F73,'Baumaterialien Matériaux'!$A$10:$AD$432,26,FALSE)</f>
        <v>74.580000000000013</v>
      </c>
      <c r="L73" s="703">
        <f>$G73*VLOOKUP(F73,'Baumaterialien Matériaux'!$A$10:$AD$432,27,FALSE)</f>
        <v>20.394000000000002</v>
      </c>
      <c r="M73" s="1184"/>
      <c r="N73" s="1184"/>
      <c r="O73" s="1184"/>
      <c r="P73" s="1184"/>
      <c r="Q73" s="1184"/>
    </row>
    <row r="74" spans="1:17">
      <c r="A74" s="844" t="str">
        <f>'Calcul ACV'!$C$18</f>
        <v>isolés</v>
      </c>
      <c r="B74" s="1164"/>
      <c r="C74" s="483" t="s">
        <v>536</v>
      </c>
      <c r="D74" s="483" t="str">
        <f>VLOOKUP(F74,'Baumaterialien Matériaux'!$A$10:$AD$432,30,FALSE)</f>
        <v>Lé d'étanchéité bitumineux, swissporBIKUTOP</v>
      </c>
      <c r="E74" s="483" t="str">
        <f>VLOOKUP(F74,'Baumaterialien Matériaux'!$A$10:$AD$432,6,FALSE)</f>
        <v>kg</v>
      </c>
      <c r="F74" s="483" t="s">
        <v>537</v>
      </c>
      <c r="G74" s="484">
        <f>2*3.6</f>
        <v>7.2</v>
      </c>
      <c r="H74" s="483"/>
      <c r="I74" s="703">
        <f>$G74*VLOOKUP(F74,'Baumaterialien Matériaux'!$A$10:$AD$432,21,FALSE)</f>
        <v>72</v>
      </c>
      <c r="J74" s="703">
        <f>$G74*VLOOKUP(F74,'Baumaterialien Matériaux'!$A$10:$AD$432,24,FALSE)</f>
        <v>1.9296000000000002</v>
      </c>
      <c r="K74" s="703">
        <f>$G74*VLOOKUP(F74,'Baumaterialien Matériaux'!$A$10:$AD$432,26,FALSE)</f>
        <v>6.5304000000000002</v>
      </c>
      <c r="L74" s="703">
        <f>$G74*VLOOKUP(F74,'Baumaterialien Matériaux'!$A$10:$AD$432,27,FALSE)</f>
        <v>16.776</v>
      </c>
      <c r="M74" s="1184"/>
      <c r="N74" s="1184"/>
      <c r="O74" s="1184"/>
      <c r="P74" s="1184"/>
      <c r="Q74" s="1184"/>
    </row>
    <row r="75" spans="1:17">
      <c r="A75" s="844" t="str">
        <f>'Calcul ACV'!$C$18</f>
        <v>isolés</v>
      </c>
      <c r="B75" s="1164"/>
      <c r="C75" s="483" t="s">
        <v>527</v>
      </c>
      <c r="D75" s="483" t="str">
        <f>VLOOKUP(F75,'Baumaterialien Matériaux'!$A$10:$AD$432,30,FALSE)</f>
        <v>Voile de polyéthylène (PE)</v>
      </c>
      <c r="E75" s="483" t="str">
        <f>VLOOKUP(F75,'Baumaterialien Matériaux'!$A$10:$AD$432,6,FALSE)</f>
        <v>kg</v>
      </c>
      <c r="F75" s="483" t="s">
        <v>528</v>
      </c>
      <c r="G75" s="484">
        <v>0.4</v>
      </c>
      <c r="H75" s="483"/>
      <c r="I75" s="703">
        <f>$G75*VLOOKUP(F75,'Baumaterialien Matériaux'!$A$10:$AD$432,21,FALSE)</f>
        <v>10.280000000000001</v>
      </c>
      <c r="J75" s="703">
        <f>$G75*VLOOKUP(F75,'Baumaterialien Matériaux'!$A$10:$AD$432,24,FALSE)</f>
        <v>8.4000000000000005E-2</v>
      </c>
      <c r="K75" s="703">
        <f>$G75*VLOOKUP(F75,'Baumaterialien Matériaux'!$A$10:$AD$432,26,FALSE)</f>
        <v>1.1839999999999999</v>
      </c>
      <c r="L75" s="703">
        <f>$G75*VLOOKUP(F75,'Baumaterialien Matériaux'!$A$10:$AD$432,27,FALSE)</f>
        <v>1.0680000000000001</v>
      </c>
      <c r="M75" s="1184"/>
      <c r="N75" s="1184"/>
      <c r="O75" s="1184"/>
      <c r="P75" s="1184"/>
      <c r="Q75" s="1184"/>
    </row>
    <row r="76" spans="1:17">
      <c r="A76" s="844" t="str">
        <f>'Calcul ACV'!$C$18</f>
        <v>isolés</v>
      </c>
      <c r="B76" s="1165"/>
      <c r="C76" s="483" t="s">
        <v>529</v>
      </c>
      <c r="D76" s="483" t="str">
        <f>VLOOKUP(F76,'Baumaterialien Matériaux'!$A$10:$AD$432,30,FALSE)</f>
        <v>Gravier rond</v>
      </c>
      <c r="E76" s="483" t="str">
        <f>VLOOKUP(F76,'Baumaterialien Matériaux'!$A$10:$AD$432,6,FALSE)</f>
        <v>kg</v>
      </c>
      <c r="F76" s="853" t="s">
        <v>530</v>
      </c>
      <c r="G76" s="484">
        <f>0.03*2000</f>
        <v>60</v>
      </c>
      <c r="H76" s="483"/>
      <c r="I76" s="703">
        <f>$G76*VLOOKUP(F76,'Baumaterialien Matériaux'!$A$10:$AD$432,21,FALSE)</f>
        <v>0.94199999999999995</v>
      </c>
      <c r="J76" s="703">
        <f>$G76*VLOOKUP(F76,'Baumaterialien Matériaux'!$A$10:$AD$432,24,FALSE)</f>
        <v>3.1680000000000001</v>
      </c>
      <c r="K76" s="703">
        <f>$G76*VLOOKUP(F76,'Baumaterialien Matériaux'!$A$10:$AD$432,26,FALSE)</f>
        <v>0.18479999999999999</v>
      </c>
      <c r="L76" s="703">
        <f>$G76*VLOOKUP(F76,'Baumaterialien Matériaux'!$A$10:$AD$432,27,FALSE)</f>
        <v>0.76800000000000002</v>
      </c>
      <c r="M76" s="1184"/>
      <c r="N76" s="1184"/>
      <c r="O76" s="1184"/>
      <c r="P76" s="1184"/>
      <c r="Q76" s="1184"/>
    </row>
    <row r="77" spans="1:17" ht="15">
      <c r="I77" s="485">
        <f>SUM(I68:I76)</f>
        <v>585.66382165605091</v>
      </c>
      <c r="J77" s="485">
        <f>SUM(J68:J76)</f>
        <v>45.038941592356686</v>
      </c>
      <c r="K77" s="485">
        <f>SUM(K68:K76)</f>
        <v>199.846498089172</v>
      </c>
      <c r="L77" s="485">
        <f>SUM(L68:L76)</f>
        <v>59.320565605095538</v>
      </c>
      <c r="M77" s="843">
        <v>60</v>
      </c>
      <c r="N77" s="485">
        <f>I77/$M77</f>
        <v>9.7610636942675146</v>
      </c>
      <c r="O77" s="485">
        <f t="shared" ref="O77:Q77" si="23">J77/$M77</f>
        <v>0.75064902653927812</v>
      </c>
      <c r="P77" s="485">
        <f t="shared" si="23"/>
        <v>3.3307749681528667</v>
      </c>
      <c r="Q77" s="485">
        <f t="shared" si="23"/>
        <v>0.98867609341825902</v>
      </c>
    </row>
    <row r="79" spans="1:17" ht="84" hidden="1" customHeight="1">
      <c r="A79" s="844" t="str">
        <f>'Calcul ACV'!$C$18</f>
        <v>isolés</v>
      </c>
      <c r="B79" s="1185" t="s">
        <v>538</v>
      </c>
      <c r="C79" s="483" t="s">
        <v>495</v>
      </c>
      <c r="D79" s="483" t="str">
        <f>VLOOKUP(F79,'Baumaterialien Matériaux'!$A$10:$AD$432,30,FALSE)</f>
        <v>Béton pour bâtiment (sans armature)</v>
      </c>
      <c r="E79" s="483" t="str">
        <f>VLOOKUP(F79,'Baumaterialien Matériaux'!$A$10:$AD$432,6,FALSE)</f>
        <v>kg</v>
      </c>
      <c r="F79" s="845">
        <v>1.0019999999999998</v>
      </c>
      <c r="G79" s="484">
        <f>(0.3-G80/7850)*2300</f>
        <v>680.11146496815275</v>
      </c>
      <c r="H79" s="484"/>
      <c r="I79" s="703">
        <f>$G79*VLOOKUP(F79,'Baumaterialien Matériaux'!$A$10:$AD$432,21,FALSE)</f>
        <v>84.333821656050944</v>
      </c>
      <c r="J79" s="703">
        <f>$G79*VLOOKUP(F79,'Baumaterialien Matériaux'!$A$10:$AD$432,24,FALSE)</f>
        <v>35.093751592356682</v>
      </c>
      <c r="K79" s="703">
        <f>$G79*VLOOKUP(F79,'Baumaterialien Matériaux'!$A$10:$AD$432,26,FALSE)</f>
        <v>60.393898089171969</v>
      </c>
      <c r="L79" s="703">
        <f>$G79*VLOOKUP(F79,'Baumaterialien Matériaux'!$A$10:$AD$432,27,FALSE)</f>
        <v>8.6374156050955389</v>
      </c>
      <c r="M79" s="1184"/>
      <c r="N79" s="1184"/>
      <c r="O79" s="1184"/>
      <c r="P79" s="1184"/>
      <c r="Q79" s="1184"/>
    </row>
    <row r="80" spans="1:17" hidden="1">
      <c r="A80" s="844" t="str">
        <f>'Calcul ACV'!$C$18</f>
        <v>isolés</v>
      </c>
      <c r="B80" s="1186"/>
      <c r="C80" s="483" t="s">
        <v>496</v>
      </c>
      <c r="D80" s="483" t="str">
        <f>VLOOKUP(F80,'Baumaterialien Matériaux'!$A$10:$AD$432,30,FALSE)</f>
        <v>Acier d'armature</v>
      </c>
      <c r="E80" s="483" t="str">
        <f>VLOOKUP(F80,'Baumaterialien Matériaux'!$A$10:$AD$432,6,FALSE)</f>
        <v>kg</v>
      </c>
      <c r="F80" s="483" t="s">
        <v>497</v>
      </c>
      <c r="G80" s="484">
        <f>112.5*0.3</f>
        <v>33.75</v>
      </c>
      <c r="H80" s="484"/>
      <c r="I80" s="703">
        <f>$G80*VLOOKUP(F80,'Baumaterialien Matériaux'!$A$10:$AD$432,21,FALSE)</f>
        <v>166.72500000000002</v>
      </c>
      <c r="J80" s="703">
        <f>$G80*VLOOKUP(F80,'Baumaterialien Matériaux'!$A$10:$AD$432,24,FALSE)</f>
        <v>1.7144999999999999</v>
      </c>
      <c r="K80" s="703">
        <f>$G80*VLOOKUP(F80,'Baumaterialien Matériaux'!$A$10:$AD$432,26,FALSE)</f>
        <v>50.625</v>
      </c>
      <c r="L80" s="703">
        <f>$G80*VLOOKUP(F80,'Baumaterialien Matériaux'!$A$10:$AD$432,27,FALSE)</f>
        <v>0.41849999999999998</v>
      </c>
      <c r="M80" s="1184"/>
      <c r="N80" s="1184"/>
      <c r="O80" s="1184"/>
      <c r="P80" s="1184"/>
      <c r="Q80" s="1184"/>
    </row>
    <row r="81" spans="1:17" hidden="1">
      <c r="A81" s="844" t="str">
        <f>'Calcul ACV'!$C$18</f>
        <v>isolés</v>
      </c>
      <c r="B81" s="1186"/>
      <c r="C81" s="483" t="s">
        <v>509</v>
      </c>
      <c r="D81" s="483" t="str">
        <f>VLOOKUP(F81,'Baumaterialien Matériaux'!$A$10:$AD$432,30,FALSE)</f>
        <v>Bois massif 3 et 5 plis</v>
      </c>
      <c r="E81" s="483" t="str">
        <f>VLOOKUP(F81,'Baumaterialien Matériaux'!$A$10:$AD$432,6,FALSE)</f>
        <v>kg</v>
      </c>
      <c r="F81" s="483" t="s">
        <v>510</v>
      </c>
      <c r="G81" s="484">
        <f>2/5*0.025*470</f>
        <v>4.7000000000000011</v>
      </c>
      <c r="H81" s="484"/>
      <c r="I81" s="703">
        <f>$G81*VLOOKUP(F81,'Baumaterialien Matériaux'!$A$10:$AD$432,21,FALSE)</f>
        <v>9.8230000000000022</v>
      </c>
      <c r="J81" s="703">
        <f>$G81*VLOOKUP(F81,'Baumaterialien Matériaux'!$A$10:$AD$432,24,FALSE)</f>
        <v>0.43569000000000013</v>
      </c>
      <c r="K81" s="703">
        <f>$G81*VLOOKUP(F81,'Baumaterialien Matériaux'!$A$10:$AD$432,26,FALSE)</f>
        <v>1.9505000000000003</v>
      </c>
      <c r="L81" s="703">
        <f>$G81*VLOOKUP(F81,'Baumaterialien Matériaux'!$A$10:$AD$432,27,FALSE)</f>
        <v>0.26085000000000008</v>
      </c>
      <c r="M81" s="1184"/>
      <c r="N81" s="1184"/>
      <c r="O81" s="1184"/>
      <c r="P81" s="1184"/>
      <c r="Q81" s="1184"/>
    </row>
    <row r="82" spans="1:17" hidden="1">
      <c r="A82" s="844" t="str">
        <f>'Calcul ACV'!$C$18</f>
        <v>isolés</v>
      </c>
      <c r="B82" s="1186"/>
      <c r="C82" s="483" t="s">
        <v>533</v>
      </c>
      <c r="D82" s="483" t="str">
        <f>VLOOKUP(F82,'Baumaterialien Matériaux'!$A$10:$AD$432,30,FALSE)</f>
        <v>Émulsion de bitume, 1 couche</v>
      </c>
      <c r="E82" s="483" t="str">
        <f>VLOOKUP(F82,'Baumaterialien Matériaux'!$A$10:$AD$432,6,FALSE)</f>
        <v>m2</v>
      </c>
      <c r="F82" s="173" t="s">
        <v>512</v>
      </c>
      <c r="G82" s="483">
        <v>1</v>
      </c>
      <c r="H82" s="483"/>
      <c r="I82" s="703">
        <f>$G82*VLOOKUP(F82,'Baumaterialien Matériaux'!$A$10:$AD$432,21,FALSE)</f>
        <v>1.84</v>
      </c>
      <c r="J82" s="703">
        <f>$G82*VLOOKUP(F82,'Baumaterialien Matériaux'!$A$10:$AD$432,24,FALSE)</f>
        <v>1.4E-2</v>
      </c>
      <c r="K82" s="703">
        <f>$G82*VLOOKUP(F82,'Baumaterialien Matériaux'!$A$10:$AD$432,26,FALSE)</f>
        <v>0.13500000000000001</v>
      </c>
      <c r="L82" s="703">
        <f>$G82*VLOOKUP(F82,'Baumaterialien Matériaux'!$A$10:$AD$432,27,FALSE)</f>
        <v>4.6800000000000001E-2</v>
      </c>
      <c r="M82" s="1184"/>
      <c r="N82" s="1184"/>
      <c r="O82" s="1184"/>
      <c r="P82" s="1184"/>
      <c r="Q82" s="1184"/>
    </row>
    <row r="83" spans="1:17" hidden="1">
      <c r="A83" s="844" t="str">
        <f>'Calcul ACV'!$C$18</f>
        <v>isolés</v>
      </c>
      <c r="B83" s="1186"/>
      <c r="C83" s="483" t="s">
        <v>534</v>
      </c>
      <c r="D83" s="483" t="str">
        <f>VLOOKUP(F83,'Baumaterialien Matériaux'!$A$10:$AD$432,30,FALSE)</f>
        <v>Lé d'étanchéité bitumineux, swissporBIKUTOP</v>
      </c>
      <c r="E83" s="483" t="str">
        <f>VLOOKUP(F83,'Baumaterialien Matériaux'!$A$10:$AD$432,6,FALSE)</f>
        <v>kg</v>
      </c>
      <c r="F83" s="483" t="s">
        <v>535</v>
      </c>
      <c r="G83" s="483">
        <v>4.7</v>
      </c>
      <c r="H83" s="483"/>
      <c r="I83" s="703">
        <f>$G83*VLOOKUP(F83,'Baumaterialien Matériaux'!$A$10:$AD$432,21,FALSE)</f>
        <v>47</v>
      </c>
      <c r="J83" s="703">
        <f>$G83*VLOOKUP(F83,'Baumaterialien Matériaux'!$A$10:$AD$432,24,FALSE)</f>
        <v>1.2596000000000001</v>
      </c>
      <c r="K83" s="703">
        <f>$G83*VLOOKUP(F83,'Baumaterialien Matériaux'!$A$10:$AD$432,26,FALSE)</f>
        <v>4.2629000000000001</v>
      </c>
      <c r="L83" s="703">
        <f>$G83*VLOOKUP(F83,'Baumaterialien Matériaux'!$A$10:$AD$432,27,FALSE)</f>
        <v>10.951000000000001</v>
      </c>
      <c r="M83" s="1184"/>
      <c r="N83" s="1184"/>
      <c r="O83" s="1184"/>
      <c r="P83" s="1184"/>
      <c r="Q83" s="1184"/>
    </row>
    <row r="84" spans="1:17" hidden="1">
      <c r="A84" s="844" t="str">
        <f>'Calcul ACV'!$C$18</f>
        <v>isolés</v>
      </c>
      <c r="B84" s="1186"/>
      <c r="C84" s="483" t="s">
        <v>502</v>
      </c>
      <c r="D84" s="483" t="str">
        <f>VLOOKUP(F84,'Baumaterialien Matériaux'!$A$10:$AD$432,30,FALSE)</f>
        <v>Verre cellulaire</v>
      </c>
      <c r="E84" s="483" t="str">
        <f>VLOOKUP(F84,'Baumaterialien Matériaux'!$A$10:$AD$432,6,FALSE)</f>
        <v>kg</v>
      </c>
      <c r="F84" s="483" t="s">
        <v>503</v>
      </c>
      <c r="G84" s="484">
        <f>0.25*115</f>
        <v>28.75</v>
      </c>
      <c r="H84" s="484"/>
      <c r="I84" s="703">
        <f>$G84*VLOOKUP(F84,'Baumaterialien Matériaux'!$A$10:$AD$432,21,FALSE)</f>
        <v>147.20000000000002</v>
      </c>
      <c r="J84" s="703">
        <f>$G84*VLOOKUP(F84,'Baumaterialien Matériaux'!$A$10:$AD$432,24,FALSE)</f>
        <v>1.520875</v>
      </c>
      <c r="K84" s="703">
        <f>$G84*VLOOKUP(F84,'Baumaterialien Matériaux'!$A$10:$AD$432,26,FALSE)</f>
        <v>33.924999999999997</v>
      </c>
      <c r="L84" s="703">
        <f>$G84*VLOOKUP(F84,'Baumaterialien Matériaux'!$A$10:$AD$432,27,FALSE)</f>
        <v>0.36799999999999999</v>
      </c>
      <c r="M84" s="1184"/>
      <c r="N84" s="1184"/>
      <c r="O84" s="1184"/>
      <c r="P84" s="1184"/>
      <c r="Q84" s="1184"/>
    </row>
    <row r="85" spans="1:17" hidden="1">
      <c r="A85" s="844" t="str">
        <f>'Calcul ACV'!$C$18</f>
        <v>isolés</v>
      </c>
      <c r="B85" s="1186"/>
      <c r="C85" s="483" t="s">
        <v>539</v>
      </c>
      <c r="D85" s="483" t="str">
        <f>VLOOKUP(F85,'Baumaterialien Matériaux'!$A$10:$AD$432,30,FALSE)</f>
        <v>Masse bitumeuse, chaude</v>
      </c>
      <c r="E85" s="483" t="str">
        <f>VLOOKUP(F85,'Baumaterialien Matériaux'!$A$10:$AD$432,6,FALSE)</f>
        <v>kg</v>
      </c>
      <c r="F85" s="483" t="s">
        <v>517</v>
      </c>
      <c r="G85" s="483">
        <f>13</f>
        <v>13</v>
      </c>
      <c r="H85" s="483"/>
      <c r="I85" s="703">
        <f>$G85*VLOOKUP(F85,'Baumaterialien Matériaux'!$A$10:$AD$432,21,FALSE)</f>
        <v>193.70000000000002</v>
      </c>
      <c r="J85" s="703">
        <f>$G85*VLOOKUP(F85,'Baumaterialien Matériaux'!$A$10:$AD$432,24,FALSE)</f>
        <v>0.72929999999999995</v>
      </c>
      <c r="K85" s="703">
        <f>$G85*VLOOKUP(F85,'Baumaterialien Matériaux'!$A$10:$AD$432,26,FALSE)</f>
        <v>11.843</v>
      </c>
      <c r="L85" s="703">
        <f>$G85*VLOOKUP(F85,'Baumaterialien Matériaux'!$A$10:$AD$432,27,FALSE)</f>
        <v>2.431</v>
      </c>
      <c r="M85" s="1184"/>
      <c r="N85" s="1184"/>
      <c r="O85" s="1184"/>
      <c r="P85" s="1184"/>
      <c r="Q85" s="1184"/>
    </row>
    <row r="86" spans="1:17" hidden="1">
      <c r="A86" s="844" t="str">
        <f>'Calcul ACV'!$C$18</f>
        <v>isolés</v>
      </c>
      <c r="B86" s="1186"/>
      <c r="C86" s="483" t="s">
        <v>536</v>
      </c>
      <c r="D86" s="483" t="str">
        <f>VLOOKUP(F86,'Baumaterialien Matériaux'!$A$10:$AD$432,30,FALSE)</f>
        <v>Lé d'étanchéité bitumineux, swissporBIKUTOP</v>
      </c>
      <c r="E86" s="483" t="str">
        <f>VLOOKUP(F86,'Baumaterialien Matériaux'!$A$10:$AD$432,6,FALSE)</f>
        <v>kg</v>
      </c>
      <c r="F86" s="483" t="s">
        <v>537</v>
      </c>
      <c r="G86" s="483">
        <f>2*3.6</f>
        <v>7.2</v>
      </c>
      <c r="H86" s="483"/>
      <c r="I86" s="703">
        <f>$G86*VLOOKUP(F86,'Baumaterialien Matériaux'!$A$10:$AD$432,21,FALSE)</f>
        <v>72</v>
      </c>
      <c r="J86" s="703">
        <f>$G86*VLOOKUP(F86,'Baumaterialien Matériaux'!$A$10:$AD$432,24,FALSE)</f>
        <v>1.9296000000000002</v>
      </c>
      <c r="K86" s="703">
        <f>$G86*VLOOKUP(F86,'Baumaterialien Matériaux'!$A$10:$AD$432,26,FALSE)</f>
        <v>6.5304000000000002</v>
      </c>
      <c r="L86" s="703">
        <f>$G86*VLOOKUP(F86,'Baumaterialien Matériaux'!$A$10:$AD$432,27,FALSE)</f>
        <v>16.776</v>
      </c>
      <c r="M86" s="1184"/>
      <c r="N86" s="1184"/>
      <c r="O86" s="1184"/>
      <c r="P86" s="1184"/>
      <c r="Q86" s="1184"/>
    </row>
    <row r="87" spans="1:17" hidden="1">
      <c r="A87" s="844" t="str">
        <f>'Calcul ACV'!$C$18</f>
        <v>isolés</v>
      </c>
      <c r="B87" s="1186"/>
      <c r="C87" s="483" t="s">
        <v>527</v>
      </c>
      <c r="D87" s="483" t="str">
        <f>VLOOKUP(F87,'Baumaterialien Matériaux'!$A$10:$AD$432,30,FALSE)</f>
        <v>Voile de polyéthylène (PE)</v>
      </c>
      <c r="E87" s="483" t="str">
        <f>VLOOKUP(F87,'Baumaterialien Matériaux'!$A$10:$AD$432,6,FALSE)</f>
        <v>kg</v>
      </c>
      <c r="F87" s="483" t="s">
        <v>528</v>
      </c>
      <c r="G87" s="483">
        <v>0.4</v>
      </c>
      <c r="H87" s="483"/>
      <c r="I87" s="703">
        <f>$G87*VLOOKUP(F87,'Baumaterialien Matériaux'!$A$10:$AD$432,21,FALSE)</f>
        <v>10.280000000000001</v>
      </c>
      <c r="J87" s="703">
        <f>$G87*VLOOKUP(F87,'Baumaterialien Matériaux'!$A$10:$AD$432,24,FALSE)</f>
        <v>8.4000000000000005E-2</v>
      </c>
      <c r="K87" s="703">
        <f>$G87*VLOOKUP(F87,'Baumaterialien Matériaux'!$A$10:$AD$432,26,FALSE)</f>
        <v>1.1839999999999999</v>
      </c>
      <c r="L87" s="703">
        <f>$G87*VLOOKUP(F87,'Baumaterialien Matériaux'!$A$10:$AD$432,27,FALSE)</f>
        <v>1.0680000000000001</v>
      </c>
      <c r="M87" s="1184"/>
      <c r="N87" s="1184"/>
      <c r="O87" s="1184"/>
      <c r="P87" s="1184"/>
      <c r="Q87" s="1184"/>
    </row>
    <row r="88" spans="1:17" hidden="1">
      <c r="A88" s="844" t="str">
        <f>'Calcul ACV'!$C$18</f>
        <v>isolés</v>
      </c>
      <c r="B88" s="1187"/>
      <c r="C88" s="483" t="s">
        <v>529</v>
      </c>
      <c r="D88" s="483" t="str">
        <f>VLOOKUP(F88,'Baumaterialien Matériaux'!$A$10:$AD$432,30,FALSE)</f>
        <v>Gravier rond</v>
      </c>
      <c r="E88" s="483" t="str">
        <f>VLOOKUP(F88,'Baumaterialien Matériaux'!$A$10:$AD$432,6,FALSE)</f>
        <v>kg</v>
      </c>
      <c r="F88" s="853" t="s">
        <v>530</v>
      </c>
      <c r="G88" s="483">
        <f>0.03*2000</f>
        <v>60</v>
      </c>
      <c r="H88" s="483"/>
      <c r="I88" s="703">
        <f>$G88*VLOOKUP(F88,'Baumaterialien Matériaux'!$A$10:$AD$432,21,FALSE)</f>
        <v>0.94199999999999995</v>
      </c>
      <c r="J88" s="703">
        <f>$G88*VLOOKUP(F88,'Baumaterialien Matériaux'!$A$10:$AD$432,24,FALSE)</f>
        <v>3.1680000000000001</v>
      </c>
      <c r="K88" s="703">
        <f>$G88*VLOOKUP(F88,'Baumaterialien Matériaux'!$A$10:$AD$432,26,FALSE)</f>
        <v>0.18479999999999999</v>
      </c>
      <c r="L88" s="703">
        <f>$G88*VLOOKUP(F88,'Baumaterialien Matériaux'!$A$10:$AD$432,27,FALSE)</f>
        <v>0.76800000000000002</v>
      </c>
      <c r="M88" s="1184"/>
      <c r="N88" s="1184"/>
      <c r="O88" s="1184"/>
      <c r="P88" s="1184"/>
      <c r="Q88" s="1184"/>
    </row>
    <row r="89" spans="1:17" ht="15" hidden="1">
      <c r="I89" s="485">
        <f>SUM(I79:I88)</f>
        <v>733.84382165605098</v>
      </c>
      <c r="J89" s="485">
        <f>SUM(J79:J88)</f>
        <v>45.949316592356688</v>
      </c>
      <c r="K89" s="485">
        <f>SUM(K79:K88)</f>
        <v>171.03449808917199</v>
      </c>
      <c r="L89" s="485">
        <f>SUM(L79:L88)</f>
        <v>41.725565605095539</v>
      </c>
      <c r="M89" s="843">
        <v>60</v>
      </c>
      <c r="N89" s="485">
        <f>I89/$M89</f>
        <v>12.230730360934183</v>
      </c>
      <c r="O89" s="485">
        <f t="shared" ref="O89:Q89" si="24">J89/$M89</f>
        <v>0.76582194320594477</v>
      </c>
      <c r="P89" s="485">
        <f t="shared" si="24"/>
        <v>2.8505749681528667</v>
      </c>
      <c r="Q89" s="485">
        <f t="shared" si="24"/>
        <v>0.69542609341825901</v>
      </c>
    </row>
    <row r="90" spans="1:17" hidden="1"/>
    <row r="91" spans="1:17" ht="15" hidden="1">
      <c r="A91" s="483" t="s">
        <v>520</v>
      </c>
      <c r="B91" s="483"/>
      <c r="C91" s="483"/>
      <c r="D91" s="483"/>
      <c r="E91" s="483"/>
      <c r="F91" s="483"/>
      <c r="G91" s="483"/>
      <c r="H91" s="483"/>
      <c r="I91" s="485">
        <f>AVERAGE(I77,I89)</f>
        <v>659.75382165605095</v>
      </c>
      <c r="J91" s="485">
        <f>AVERAGE(J77,J89)</f>
        <v>45.494129092356687</v>
      </c>
      <c r="K91" s="485">
        <f>AVERAGE(K77,K89)</f>
        <v>185.440498089172</v>
      </c>
      <c r="L91" s="485">
        <f>AVERAGE(L77,L89)</f>
        <v>50.523065605095539</v>
      </c>
      <c r="M91" s="843"/>
      <c r="N91" s="485">
        <f>AVERAGE(N77,N89)</f>
        <v>10.995897027600849</v>
      </c>
      <c r="O91" s="485">
        <f t="shared" ref="O91:Q91" si="25">AVERAGE(O77,O89)</f>
        <v>0.75823548487261139</v>
      </c>
      <c r="P91" s="485">
        <f t="shared" si="25"/>
        <v>3.0906749681528667</v>
      </c>
      <c r="Q91" s="485">
        <f t="shared" si="25"/>
        <v>0.84205109341825901</v>
      </c>
    </row>
  </sheetData>
  <customSheetViews>
    <customSheetView guid="{B32447E2-AB5B-4CBB-881B-FF11349CA4D6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1"/>
    </customSheetView>
    <customSheetView guid="{9FA74287-E657-475B-BF4B-3C8C757714AE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2"/>
    </customSheetView>
  </customSheetViews>
  <mergeCells count="33">
    <mergeCell ref="B43:B44"/>
    <mergeCell ref="B33:B37"/>
    <mergeCell ref="I33:I37"/>
    <mergeCell ref="M50:Q56"/>
    <mergeCell ref="B79:B88"/>
    <mergeCell ref="M59:Q65"/>
    <mergeCell ref="M68:Q76"/>
    <mergeCell ref="M79:Q88"/>
    <mergeCell ref="B68:B76"/>
    <mergeCell ref="B59:B65"/>
    <mergeCell ref="B50:B56"/>
    <mergeCell ref="B38:B39"/>
    <mergeCell ref="M9:Q12"/>
    <mergeCell ref="M16:Q19"/>
    <mergeCell ref="B47:G47"/>
    <mergeCell ref="B3:B5"/>
    <mergeCell ref="L9:L11"/>
    <mergeCell ref="H9:H11"/>
    <mergeCell ref="I9:I11"/>
    <mergeCell ref="J9:J11"/>
    <mergeCell ref="K9:K11"/>
    <mergeCell ref="M26:Q30"/>
    <mergeCell ref="M42:Q44"/>
    <mergeCell ref="B16:B18"/>
    <mergeCell ref="J33:J37"/>
    <mergeCell ref="K33:K37"/>
    <mergeCell ref="L33:L37"/>
    <mergeCell ref="B9:B11"/>
    <mergeCell ref="B26:B30"/>
    <mergeCell ref="I16:I18"/>
    <mergeCell ref="J16:J18"/>
    <mergeCell ref="K16:K18"/>
    <mergeCell ref="L16:L18"/>
  </mergeCells>
  <pageMargins left="0.7" right="0.7" top="0.75" bottom="0.75" header="0.3" footer="0.3"/>
  <pageSetup paperSize="9" orientation="portrait" r:id="rId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X256"/>
  <sheetViews>
    <sheetView zoomScale="85" zoomScaleNormal="85" workbookViewId="0">
      <pane ySplit="1" topLeftCell="A139" activePane="bottomLeft" state="frozen"/>
      <selection activeCell="J3" sqref="J3"/>
      <selection pane="bottomLeft" activeCell="G205" sqref="G205"/>
    </sheetView>
  </sheetViews>
  <sheetFormatPr baseColWidth="10" defaultColWidth="10.875" defaultRowHeight="14.25" outlineLevelCol="1"/>
  <cols>
    <col min="1" max="1" width="33.125" style="3" customWidth="1"/>
    <col min="2" max="2" width="30.625" style="3" customWidth="1"/>
    <col min="3" max="3" width="47.125" style="3" customWidth="1"/>
    <col min="4" max="4" width="39.375" style="3" customWidth="1"/>
    <col min="5" max="5" width="9.25" style="3" customWidth="1"/>
    <col min="6" max="6" width="12.125" style="3" customWidth="1"/>
    <col min="7" max="7" width="12.5" style="3" customWidth="1"/>
    <col min="8" max="8" width="2.125" style="3" customWidth="1"/>
    <col min="9" max="9" width="11" style="3" hidden="1" customWidth="1" outlineLevel="1"/>
    <col min="10" max="10" width="11.375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4" ht="60">
      <c r="B1" s="1" t="s">
        <v>444</v>
      </c>
      <c r="C1" s="1" t="s">
        <v>445</v>
      </c>
      <c r="D1" s="1" t="s">
        <v>488</v>
      </c>
      <c r="E1" s="1" t="s">
        <v>489</v>
      </c>
      <c r="F1" s="1" t="s">
        <v>446</v>
      </c>
      <c r="G1" s="1" t="s">
        <v>447</v>
      </c>
      <c r="I1" s="207" t="s">
        <v>448</v>
      </c>
      <c r="J1" s="207" t="s">
        <v>449</v>
      </c>
      <c r="K1" s="207" t="s">
        <v>450</v>
      </c>
      <c r="L1" s="207" t="s">
        <v>451</v>
      </c>
      <c r="M1" s="378" t="s">
        <v>551</v>
      </c>
      <c r="N1" s="207" t="s">
        <v>452</v>
      </c>
      <c r="O1" s="207" t="s">
        <v>453</v>
      </c>
      <c r="P1" s="207" t="s">
        <v>454</v>
      </c>
      <c r="Q1" s="207" t="s">
        <v>455</v>
      </c>
      <c r="R1" s="207" t="s">
        <v>456</v>
      </c>
      <c r="S1" s="378" t="s">
        <v>552</v>
      </c>
    </row>
    <row r="2" spans="1:24" ht="17.25">
      <c r="A2" s="350" t="s">
        <v>553</v>
      </c>
      <c r="B2" s="350"/>
      <c r="C2" s="350"/>
      <c r="D2" s="350"/>
      <c r="E2" s="350"/>
      <c r="F2" s="350"/>
      <c r="G2" s="351" t="s">
        <v>554</v>
      </c>
      <c r="H2" s="350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V2" s="3" t="s">
        <v>555</v>
      </c>
    </row>
    <row r="3" spans="1:24" ht="27.95" customHeight="1">
      <c r="A3" s="483" t="s">
        <v>352</v>
      </c>
      <c r="B3" s="1182" t="s">
        <v>556</v>
      </c>
      <c r="C3" s="483" t="s">
        <v>557</v>
      </c>
      <c r="D3" s="483" t="str">
        <f>VLOOKUP(F3,'Baumaterialien Matériaux'!$A$10:$AD$432,30,FALSE)</f>
        <v>Béton pour bâtiment (sans armature)</v>
      </c>
      <c r="E3" s="483" t="str">
        <f>VLOOKUP(F3,'Baumaterialien Matériaux'!$A$10:$AD$432,6,FALSE)</f>
        <v>kg</v>
      </c>
      <c r="F3" s="702">
        <v>1.0019999999999998</v>
      </c>
      <c r="G3" s="854">
        <f>(0.2-G4/7850)*2300</f>
        <v>454.2866242038217</v>
      </c>
      <c r="H3" s="703"/>
      <c r="I3" s="484">
        <f>$G3*VLOOKUP(F3,'Baumaterialien Matériaux'!$A$10:$AD$432,21,FALSE)</f>
        <v>56.331541401273888</v>
      </c>
      <c r="J3" s="484">
        <f>G3*VLOOKUP(F3,'Baumaterialien Matériaux'!$A$10:$AD$432,24,FALSE)</f>
        <v>23.441189808917201</v>
      </c>
      <c r="K3" s="484">
        <f>G3*VLOOKUP(F3,'Baumaterialien Matériaux'!$A$10:$AD$432,26,FALSE)</f>
        <v>40.340652229299366</v>
      </c>
      <c r="L3" s="484">
        <f>G3*VLOOKUP(F3,'Baumaterialien Matériaux'!$A$10:$AD$432,27,FALSE)</f>
        <v>5.7694401273885356</v>
      </c>
      <c r="M3" s="484">
        <f>G3*VLOOKUP(F3,'Baumaterialien Matériaux'!$A$10:$AD$432,29,FALSE)</f>
        <v>0</v>
      </c>
      <c r="N3" s="483">
        <v>60</v>
      </c>
      <c r="O3" s="1199">
        <f>SUM(I3:I5)/$N3</f>
        <v>2.7080756900212317</v>
      </c>
      <c r="P3" s="1199">
        <f>SUM(J3:J5)/$N3</f>
        <v>0.41445799681528672</v>
      </c>
      <c r="Q3" s="1199">
        <f>SUM(K3:K5)/$N3</f>
        <v>1.1923525371549895</v>
      </c>
      <c r="R3" s="1199">
        <f>SUM(L3:L5)/$N3</f>
        <v>0.1045348354564756</v>
      </c>
      <c r="S3" s="1199">
        <f>SUM(M3:M5)/$N3</f>
        <v>0</v>
      </c>
      <c r="T3" s="3" t="s">
        <v>558</v>
      </c>
      <c r="V3" s="3">
        <v>3</v>
      </c>
      <c r="W3" s="3">
        <f ca="1">MATCH(BillQuantities!$E$14, INDIRECT("A"&amp;'Enveloppe du bâtiment hors terr'!V3&amp;":A45"),0)</f>
        <v>1</v>
      </c>
      <c r="X3" s="3" t="str" cm="1">
        <f t="array" aca="1" ref="X3" ca="1">INDEX('Enveloppe du bâtiment hors terr'!C3:C45, 'Enveloppe du bâtiment hors terr'!W3)</f>
        <v>Hochbaubeton, 20 cm [kg]</v>
      </c>
    </row>
    <row r="4" spans="1:24">
      <c r="A4" s="483" t="s">
        <v>352</v>
      </c>
      <c r="B4" s="1182"/>
      <c r="C4" s="483" t="s">
        <v>559</v>
      </c>
      <c r="D4" s="483" t="str">
        <f>VLOOKUP(F4,'Baumaterialien Matériaux'!$A$10:$AD$432,30,FALSE)</f>
        <v>Acier d'armature</v>
      </c>
      <c r="E4" s="483" t="str">
        <f>VLOOKUP(F4,'Baumaterialien Matériaux'!$A$10:$AD$432,6,FALSE)</f>
        <v>kg</v>
      </c>
      <c r="F4" s="702" t="s">
        <v>497</v>
      </c>
      <c r="G4" s="854">
        <f>97.5*0.2</f>
        <v>19.5</v>
      </c>
      <c r="H4" s="703"/>
      <c r="I4" s="484">
        <f>$G4*VLOOKUP(F4,'Baumaterialien Matériaux'!$A$10:$AD$432,21,FALSE)</f>
        <v>96.330000000000013</v>
      </c>
      <c r="J4" s="484">
        <f>G4*VLOOKUP(F4,'Baumaterialien Matériaux'!$A$10:$AD$432,24,FALSE)</f>
        <v>0.99059999999999993</v>
      </c>
      <c r="K4" s="484">
        <f>G4*VLOOKUP(F4,'Baumaterialien Matériaux'!$A$10:$AD$432,26,FALSE)</f>
        <v>29.25</v>
      </c>
      <c r="L4" s="484">
        <f>G4*VLOOKUP(F4,'Baumaterialien Matériaux'!$A$10:$AD$432,27,FALSE)</f>
        <v>0.24179999999999999</v>
      </c>
      <c r="M4" s="484">
        <f>G4*VLOOKUP(F4,'Baumaterialien Matériaux'!$A$10:$AD$432,29,FALSE)</f>
        <v>0</v>
      </c>
      <c r="N4" s="483">
        <v>60</v>
      </c>
      <c r="O4" s="1199"/>
      <c r="P4" s="1199"/>
      <c r="Q4" s="1199"/>
      <c r="R4" s="1199"/>
      <c r="S4" s="1199"/>
      <c r="V4" s="3">
        <f ca="1">W3+V3</f>
        <v>4</v>
      </c>
      <c r="W4" s="3">
        <f ca="1">MATCH(BillQuantities!$E$14, INDIRECT("A"&amp;'Enveloppe du bâtiment hors terr'!V4 &amp;":A45"),0)+W3-1</f>
        <v>1</v>
      </c>
      <c r="X4" s="3" t="str" cm="1">
        <f t="array" aca="1" ref="X4" ca="1">INDEX('Enveloppe du bâtiment hors terr'!C4:C46, 'Enveloppe du bâtiment hors terr'!W4)</f>
        <v>Armierungsstahl [kg]</v>
      </c>
    </row>
    <row r="5" spans="1:24">
      <c r="A5" s="483" t="s">
        <v>352</v>
      </c>
      <c r="B5" s="1182"/>
      <c r="C5" s="483" t="s">
        <v>560</v>
      </c>
      <c r="D5" s="483" t="str">
        <f>VLOOKUP(F5,'Baumaterialien Matériaux'!$A$10:$AD$432,30,FALSE)</f>
        <v>Bois massif 3 et 5 plis</v>
      </c>
      <c r="E5" s="483" t="str">
        <f>VLOOKUP(F5,'Baumaterialien Matériaux'!$A$10:$AD$432,6,FALSE)</f>
        <v>kg</v>
      </c>
      <c r="F5" s="483" t="s">
        <v>510</v>
      </c>
      <c r="G5" s="484">
        <f>2/5*0.025*470</f>
        <v>4.7000000000000011</v>
      </c>
      <c r="H5" s="484"/>
      <c r="I5" s="484">
        <f>$G5*VLOOKUP(F5,'Baumaterialien Matériaux'!$A$10:$AD$432,21,FALSE)</f>
        <v>9.8230000000000022</v>
      </c>
      <c r="J5" s="484">
        <f>G5*VLOOKUP(F5,'Baumaterialien Matériaux'!$A$10:$AD$432,24,FALSE)</f>
        <v>0.43569000000000013</v>
      </c>
      <c r="K5" s="484">
        <f>G5*VLOOKUP(F5,'Baumaterialien Matériaux'!$A$10:$AD$432,26,FALSE)</f>
        <v>1.9505000000000003</v>
      </c>
      <c r="L5" s="484">
        <f>G5*VLOOKUP(F5,'Baumaterialien Matériaux'!$A$10:$AD$432,27,FALSE)</f>
        <v>0.26085000000000008</v>
      </c>
      <c r="M5" s="484"/>
      <c r="N5" s="483">
        <v>60</v>
      </c>
      <c r="O5" s="1199"/>
      <c r="P5" s="1199"/>
      <c r="Q5" s="1199"/>
      <c r="R5" s="1199"/>
      <c r="S5" s="1199"/>
      <c r="V5" s="3">
        <f ca="1">W4+V4-W3</f>
        <v>4</v>
      </c>
      <c r="W5" s="3">
        <f ca="1">MATCH(BillQuantities!$E$14, INDIRECT("A"&amp;'Enveloppe du bâtiment hors terr'!V5 &amp;":A45"),0)+W4-1</f>
        <v>1</v>
      </c>
      <c r="X5" s="3" t="str" cm="1">
        <f t="array" aca="1" ref="X5" ca="1">INDEX('Enveloppe du bâtiment hors terr'!C5:C47, 'Enveloppe du bâtiment hors terr'!W5)</f>
        <v>3-SP Schalung 2.5cm (Annahme 5xverwendet) [kg]</v>
      </c>
    </row>
    <row r="6" spans="1:24">
      <c r="A6" s="483" t="s">
        <v>352</v>
      </c>
      <c r="B6" s="1182" t="s">
        <v>561</v>
      </c>
      <c r="C6" s="483" t="s">
        <v>562</v>
      </c>
      <c r="D6" s="483" t="str">
        <f>VLOOKUP(F6,'Baumaterialien Matériaux'!$A$10:$AD$432,30,FALSE)</f>
        <v>Enduit en plâtre et en ciment</v>
      </c>
      <c r="E6" s="483" t="str">
        <f>VLOOKUP(F6,'Baumaterialien Matériaux'!$A$10:$AD$432,6,FALSE)</f>
        <v>kg</v>
      </c>
      <c r="F6" s="487" t="s">
        <v>563</v>
      </c>
      <c r="G6" s="484">
        <v>18</v>
      </c>
      <c r="H6" s="483"/>
      <c r="I6" s="484">
        <f>$G6*VLOOKUP(F6,'Baumaterialien Matériaux'!$A$10:$AD$432,21,FALSE)</f>
        <v>11.934000000000001</v>
      </c>
      <c r="J6" s="484">
        <f>G6*VLOOKUP(F6,'Baumaterialien Matériaux'!$A$10:$AD$432,24,FALSE)</f>
        <v>0.94859999999999989</v>
      </c>
      <c r="K6" s="484">
        <f>G6*VLOOKUP(F6,'Baumaterialien Matériaux'!$A$10:$AD$432,26,FALSE)</f>
        <v>4.5179999999999998</v>
      </c>
      <c r="L6" s="484">
        <f>G6*VLOOKUP(F6,'Baumaterialien Matériaux'!$A$10:$AD$432,27,FALSE)</f>
        <v>0.23219999999999999</v>
      </c>
      <c r="M6" s="484">
        <f>G6*VLOOKUP(F6,'Baumaterialien Matériaux'!$A$10:$AD$432,29,FALSE)</f>
        <v>0</v>
      </c>
      <c r="N6" s="483">
        <v>30</v>
      </c>
      <c r="O6" s="1203">
        <f>SUM(I6:I8)/$N6</f>
        <v>0.60940000000000016</v>
      </c>
      <c r="P6" s="1203">
        <f>SUM(J6:J8)/$N6</f>
        <v>3.8328333333333325E-2</v>
      </c>
      <c r="Q6" s="1203">
        <f>SUM(K6:K8)/$N6</f>
        <v>0.18823333333333331</v>
      </c>
      <c r="R6" s="1203">
        <f>SUM(L6:L8)/$N6</f>
        <v>1.1118333333333334E-2</v>
      </c>
      <c r="S6" s="1203">
        <f>SUM(M6:M8)/$N6</f>
        <v>0</v>
      </c>
      <c r="V6" s="3">
        <f ca="1">W5+V5-W4</f>
        <v>4</v>
      </c>
      <c r="W6" s="3">
        <f ca="1">MATCH(BillQuantities!$E$14, INDIRECT("A"&amp;'Enveloppe du bâtiment hors terr'!V6 &amp;":A45"),0)+W5-1</f>
        <v>1</v>
      </c>
      <c r="X6" s="3" t="str" cm="1">
        <f t="array" aca="1" ref="X6" ca="1">INDEX('Enveloppe du bâtiment hors terr'!C6:C48, 'Enveloppe du bâtiment hors terr'!W6)</f>
        <v>Kalk-Zementgrundputz [kg]</v>
      </c>
    </row>
    <row r="7" spans="1:24">
      <c r="A7" s="483" t="s">
        <v>352</v>
      </c>
      <c r="B7" s="1182"/>
      <c r="C7" s="483" t="s">
        <v>564</v>
      </c>
      <c r="D7" s="483" t="str">
        <f>VLOOKUP(F7,'Baumaterialien Matériaux'!$A$10:$AD$432,30,FALSE)</f>
        <v>Enduit minéral</v>
      </c>
      <c r="E7" s="483" t="str">
        <f>VLOOKUP(F7,'Baumaterialien Matériaux'!$A$10:$AD$432,6,FALSE)</f>
        <v>kg</v>
      </c>
      <c r="F7" s="486">
        <v>4.0010000000000003</v>
      </c>
      <c r="G7" s="484">
        <v>3.5</v>
      </c>
      <c r="H7" s="483"/>
      <c r="I7" s="484">
        <f>$G7*VLOOKUP(F7,'Baumaterialien Matériaux'!$A$10:$AD$432,21,FALSE)</f>
        <v>2.198</v>
      </c>
      <c r="J7" s="484">
        <f>G7*VLOOKUP(F7,'Baumaterialien Matériaux'!$A$10:$AD$432,24,FALSE)</f>
        <v>0.18445</v>
      </c>
      <c r="K7" s="484">
        <f>G7*VLOOKUP(F7,'Baumaterialien Matériaux'!$A$10:$AD$432,26,FALSE)</f>
        <v>0.48300000000000004</v>
      </c>
      <c r="L7" s="484">
        <f>G7*VLOOKUP(F7,'Baumaterialien Matériaux'!$A$10:$AD$432,27,FALSE)</f>
        <v>4.5150000000000003E-2</v>
      </c>
      <c r="M7" s="484">
        <f>G7*VLOOKUP(F7,'Baumaterialien Matériaux'!$A$10:$AD$432,29,FALSE)</f>
        <v>0</v>
      </c>
      <c r="N7" s="483">
        <v>30</v>
      </c>
      <c r="O7" s="1203"/>
      <c r="P7" s="1203"/>
      <c r="Q7" s="1203"/>
      <c r="R7" s="1203"/>
      <c r="S7" s="1203"/>
      <c r="V7" s="3">
        <f ca="1">W6+V6-W5</f>
        <v>4</v>
      </c>
      <c r="W7" s="3">
        <f ca="1">MATCH(BillQuantities!$E$14, INDIRECT("A"&amp;'Enveloppe du bâtiment hors terr'!V7 &amp;":A45"),0)+W6-1</f>
        <v>1</v>
      </c>
      <c r="X7" s="3" t="str" cm="1">
        <f t="array" aca="1" ref="X7" ca="1">INDEX('Enveloppe du bâtiment hors terr'!C7:C49, 'Enveloppe du bâtiment hors terr'!W7)</f>
        <v>Deckputz (Weissputz) [kg]</v>
      </c>
    </row>
    <row r="8" spans="1:24">
      <c r="A8" s="483" t="s">
        <v>352</v>
      </c>
      <c r="B8" s="1182"/>
      <c r="C8" s="483" t="s">
        <v>565</v>
      </c>
      <c r="D8" s="483" t="str">
        <f>VLOOKUP(F8,'Baumaterialien Matériaux'!$A$10:$AD$432,30,FALSE)</f>
        <v>Enduit, diluable à l'eau, 2 couches</v>
      </c>
      <c r="E8" s="483" t="str">
        <f>VLOOKUP(F8,'Baumaterialien Matériaux'!$A$10:$AD$432,6,FALSE)</f>
        <v>m2</v>
      </c>
      <c r="F8" s="488" t="s">
        <v>566</v>
      </c>
      <c r="G8" s="484">
        <v>1</v>
      </c>
      <c r="H8" s="483"/>
      <c r="I8" s="484">
        <f>$G8*VLOOKUP(F8,'Baumaterialien Matériaux'!$A$10:$AD$432,21,FALSE)</f>
        <v>4.1500000000000004</v>
      </c>
      <c r="J8" s="484">
        <f>G8*VLOOKUP(F8,'Baumaterialien Matériaux'!$A$10:$AD$432,24,FALSE)</f>
        <v>1.6799999999999999E-2</v>
      </c>
      <c r="K8" s="484">
        <f>G8*VLOOKUP(F8,'Baumaterialien Matériaux'!$A$10:$AD$432,26,FALSE)</f>
        <v>0.64600000000000002</v>
      </c>
      <c r="L8" s="484">
        <f>G8*VLOOKUP(F8,'Baumaterialien Matériaux'!$A$10:$AD$432,27,FALSE)</f>
        <v>5.62E-2</v>
      </c>
      <c r="M8" s="484">
        <f>G8*VLOOKUP(F8,'Baumaterialien Matériaux'!$A$10:$AD$432,29,FALSE)</f>
        <v>0</v>
      </c>
      <c r="N8" s="483">
        <v>30</v>
      </c>
      <c r="O8" s="1203"/>
      <c r="P8" s="1203"/>
      <c r="Q8" s="1203"/>
      <c r="R8" s="1203"/>
      <c r="S8" s="1203"/>
      <c r="V8" s="3">
        <f ca="1">W7+V7-W6</f>
        <v>4</v>
      </c>
      <c r="W8" s="3">
        <f ca="1">MATCH(BillQuantities!$E$14, INDIRECT("A"&amp;'Enveloppe du bâtiment hors terr'!V8 &amp;":A45"),0)+W7-1</f>
        <v>1</v>
      </c>
      <c r="X8" s="3" t="str" cm="1">
        <f t="array" aca="1" ref="X8" ca="1">INDEX('Enveloppe du bâtiment hors terr'!C8:C50, 'Enveloppe du bâtiment hors terr'!W8)</f>
        <v>Wanddispersion [m2]</v>
      </c>
    </row>
    <row r="9" spans="1:24" ht="15">
      <c r="A9" s="483"/>
      <c r="I9" s="855">
        <f>SUM(I3:I8)</f>
        <v>180.76654140127391</v>
      </c>
      <c r="J9" s="855">
        <f t="shared" ref="J9:M9" si="0">SUM(J3:J8)</f>
        <v>26.0173298089172</v>
      </c>
      <c r="K9" s="855">
        <f t="shared" si="0"/>
        <v>77.188152229299376</v>
      </c>
      <c r="L9" s="855">
        <f t="shared" si="0"/>
        <v>6.6056401273885346</v>
      </c>
      <c r="M9" s="855">
        <f t="shared" si="0"/>
        <v>0</v>
      </c>
      <c r="N9" s="483"/>
      <c r="O9" s="485">
        <f>SUM(O3:O8)</f>
        <v>3.3174756900212321</v>
      </c>
      <c r="P9" s="485">
        <f t="shared" ref="P9:S9" si="1">SUM(P3:P8)</f>
        <v>0.45278633014862002</v>
      </c>
      <c r="Q9" s="485">
        <f t="shared" si="1"/>
        <v>1.3805858704883227</v>
      </c>
      <c r="R9" s="485">
        <f t="shared" si="1"/>
        <v>0.11565316878980894</v>
      </c>
      <c r="S9" s="485">
        <f t="shared" si="1"/>
        <v>0</v>
      </c>
    </row>
    <row r="11" spans="1:24">
      <c r="A11" s="3" t="s">
        <v>354</v>
      </c>
      <c r="B11" s="1162" t="s">
        <v>567</v>
      </c>
      <c r="C11" s="483" t="s">
        <v>568</v>
      </c>
      <c r="D11" s="483" t="str">
        <f>VLOOKUP(F11,'Baumaterialien Matériaux'!$A$10:$AD$432,30,FALSE)</f>
        <v>Brique en terre cuite</v>
      </c>
      <c r="E11" s="483" t="str">
        <f>VLOOKUP(F11,'Baumaterialien Matériaux'!$A$10:$AD$432,6,FALSE)</f>
        <v>kg</v>
      </c>
      <c r="F11" s="483" t="s">
        <v>569</v>
      </c>
      <c r="G11" s="484">
        <f>16.7*9</f>
        <v>150.29999999999998</v>
      </c>
      <c r="H11" s="483"/>
      <c r="I11" s="484">
        <f>$G11*VLOOKUP(F11,'Baumaterialien Matériaux'!$A$10:$AD$432,21,FALSE)</f>
        <v>110.47049999999999</v>
      </c>
      <c r="J11" s="484">
        <f>G11*VLOOKUP(F11,'Baumaterialien Matériaux'!$A$10:$AD$432,24,FALSE)</f>
        <v>7.9508699999999992</v>
      </c>
      <c r="K11" s="484">
        <f>G11*VLOOKUP(F11,'Baumaterialien Matériaux'!$A$10:$AD$432,26,FALSE)</f>
        <v>38.176199999999994</v>
      </c>
      <c r="L11" s="484">
        <f>G11*VLOOKUP(F11,'Baumaterialien Matériaux'!$A$10:$AD$432,27,FALSE)</f>
        <v>1.9238399999999998</v>
      </c>
      <c r="M11" s="484">
        <f>G11*VLOOKUP(F11,'Baumaterialien Matériaux'!$A$10:$AD$432,29,FALSE)</f>
        <v>0</v>
      </c>
      <c r="N11" s="483">
        <v>60</v>
      </c>
      <c r="O11" s="1203">
        <f>SUM(I11:I12)/$N11</f>
        <v>2.3548816666666661</v>
      </c>
      <c r="P11" s="1203">
        <f>SUM(J11:J12)/$N11</f>
        <v>0.17748516666666667</v>
      </c>
      <c r="Q11" s="1203">
        <f>SUM(K11:K12)/$N11</f>
        <v>0.84875</v>
      </c>
      <c r="R11" s="1203">
        <f>SUM(L11:L12)/$N11</f>
        <v>4.3071999999999999E-2</v>
      </c>
      <c r="S11" s="1203">
        <f>SUM(M11:M12)/$N11</f>
        <v>0</v>
      </c>
      <c r="T11" s="3" t="s">
        <v>558</v>
      </c>
    </row>
    <row r="12" spans="1:24">
      <c r="A12" s="483" t="s">
        <v>354</v>
      </c>
      <c r="B12" s="1162"/>
      <c r="C12" s="483" t="s">
        <v>570</v>
      </c>
      <c r="D12" s="483" t="str">
        <f>VLOOKUP(F12,'Baumaterialien Matériaux'!$A$10:$AD$432,30,FALSE)</f>
        <v>Enduit de ciment</v>
      </c>
      <c r="E12" s="483" t="str">
        <f>VLOOKUP(F12,'Baumaterialien Matériaux'!$A$10:$AD$432,6,FALSE)</f>
        <v>kg</v>
      </c>
      <c r="F12" s="355">
        <v>4.0090000000000003</v>
      </c>
      <c r="G12" s="484">
        <f>32*1.6</f>
        <v>51.2</v>
      </c>
      <c r="H12" s="483"/>
      <c r="I12" s="484">
        <f>$G12*VLOOKUP(F12,'Baumaterialien Matériaux'!$A$10:$AD$432,21,FALSE)</f>
        <v>30.822400000000002</v>
      </c>
      <c r="J12" s="484">
        <f>G12*VLOOKUP(F12,'Baumaterialien Matériaux'!$A$10:$AD$432,24,FALSE)</f>
        <v>2.6982400000000002</v>
      </c>
      <c r="K12" s="484">
        <f>G12*VLOOKUP(F12,'Baumaterialien Matériaux'!$A$10:$AD$432,26,FALSE)</f>
        <v>12.748800000000001</v>
      </c>
      <c r="L12" s="484">
        <f>G12*VLOOKUP(F12,'Baumaterialien Matériaux'!$A$10:$AD$432,27,FALSE)</f>
        <v>0.66048000000000007</v>
      </c>
      <c r="M12" s="484">
        <f>G12*VLOOKUP(F12,'Baumaterialien Matériaux'!$A$10:$AD$432,29,FALSE)</f>
        <v>0</v>
      </c>
      <c r="N12" s="483">
        <v>60</v>
      </c>
      <c r="O12" s="1203"/>
      <c r="P12" s="1203"/>
      <c r="Q12" s="1203"/>
      <c r="R12" s="1203"/>
      <c r="S12" s="1203"/>
    </row>
    <row r="13" spans="1:24">
      <c r="A13" s="483" t="s">
        <v>354</v>
      </c>
      <c r="B13" s="1182" t="s">
        <v>561</v>
      </c>
      <c r="C13" s="483" t="s">
        <v>562</v>
      </c>
      <c r="D13" s="483" t="str">
        <f>VLOOKUP(F13,'Baumaterialien Matériaux'!$A$10:$AD$432,30,FALSE)</f>
        <v>Enduit en plâtre et en ciment</v>
      </c>
      <c r="E13" s="483" t="str">
        <f>VLOOKUP(F13,'Baumaterialien Matériaux'!$A$10:$AD$432,6,FALSE)</f>
        <v>kg</v>
      </c>
      <c r="F13" s="487" t="s">
        <v>563</v>
      </c>
      <c r="G13" s="484">
        <v>18</v>
      </c>
      <c r="H13" s="483"/>
      <c r="I13" s="484">
        <f>$G13*VLOOKUP(F13,'Baumaterialien Matériaux'!$A$10:$AD$432,21,FALSE)</f>
        <v>11.934000000000001</v>
      </c>
      <c r="J13" s="484">
        <f>G13*VLOOKUP(F13,'Baumaterialien Matériaux'!$A$10:$AD$432,24,FALSE)</f>
        <v>0.94859999999999989</v>
      </c>
      <c r="K13" s="484">
        <f>G13*VLOOKUP(F13,'Baumaterialien Matériaux'!$A$10:$AD$432,26,FALSE)</f>
        <v>4.5179999999999998</v>
      </c>
      <c r="L13" s="484">
        <f>G13*VLOOKUP(F13,'Baumaterialien Matériaux'!$A$10:$AD$432,27,FALSE)</f>
        <v>0.23219999999999999</v>
      </c>
      <c r="M13" s="484">
        <f>G13*VLOOKUP(F13,'Baumaterialien Matériaux'!$A$10:$AD$432,29,FALSE)</f>
        <v>0</v>
      </c>
      <c r="N13" s="483">
        <v>30</v>
      </c>
      <c r="O13" s="1199">
        <f>SUM(I13:I15)/$N13</f>
        <v>0.60940000000000016</v>
      </c>
      <c r="P13" s="1199">
        <f>SUM(J13:J15)/$N13</f>
        <v>3.8328333333333325E-2</v>
      </c>
      <c r="Q13" s="1199">
        <f>SUM(K13:K15)/$N13</f>
        <v>0.18823333333333331</v>
      </c>
      <c r="R13" s="1199">
        <f>SUM(L13:L15)/$N13</f>
        <v>1.1118333333333334E-2</v>
      </c>
      <c r="S13" s="1199">
        <f>SUM(M13:M15)/$N13</f>
        <v>0</v>
      </c>
    </row>
    <row r="14" spans="1:24">
      <c r="A14" s="483" t="s">
        <v>354</v>
      </c>
      <c r="B14" s="1182"/>
      <c r="C14" s="483" t="s">
        <v>564</v>
      </c>
      <c r="D14" s="483" t="str">
        <f>VLOOKUP(F14,'Baumaterialien Matériaux'!$A$10:$AD$432,30,FALSE)</f>
        <v>Enduit minéral</v>
      </c>
      <c r="E14" s="483" t="str">
        <f>VLOOKUP(F14,'Baumaterialien Matériaux'!$A$10:$AD$432,6,FALSE)</f>
        <v>kg</v>
      </c>
      <c r="F14" s="486">
        <v>4.0010000000000003</v>
      </c>
      <c r="G14" s="484">
        <v>3.5</v>
      </c>
      <c r="H14" s="483"/>
      <c r="I14" s="484">
        <f>$G14*VLOOKUP(F14,'Baumaterialien Matériaux'!$A$10:$AD$432,21,FALSE)</f>
        <v>2.198</v>
      </c>
      <c r="J14" s="484">
        <f>G14*VLOOKUP(F14,'Baumaterialien Matériaux'!$A$10:$AD$432,24,FALSE)</f>
        <v>0.18445</v>
      </c>
      <c r="K14" s="484">
        <f>G14*VLOOKUP(F14,'Baumaterialien Matériaux'!$A$10:$AD$432,26,FALSE)</f>
        <v>0.48300000000000004</v>
      </c>
      <c r="L14" s="484">
        <f>G14*VLOOKUP(F14,'Baumaterialien Matériaux'!$A$10:$AD$432,27,FALSE)</f>
        <v>4.5150000000000003E-2</v>
      </c>
      <c r="M14" s="484">
        <f>G14*VLOOKUP(F14,'Baumaterialien Matériaux'!$A$10:$AD$432,29,FALSE)</f>
        <v>0</v>
      </c>
      <c r="N14" s="483">
        <v>30</v>
      </c>
      <c r="O14" s="1199"/>
      <c r="P14" s="1199"/>
      <c r="Q14" s="1199"/>
      <c r="R14" s="1199"/>
      <c r="S14" s="1199"/>
    </row>
    <row r="15" spans="1:24">
      <c r="A15" s="483" t="s">
        <v>354</v>
      </c>
      <c r="B15" s="1182"/>
      <c r="C15" s="483" t="s">
        <v>565</v>
      </c>
      <c r="D15" s="483" t="str">
        <f>VLOOKUP(F15,'Baumaterialien Matériaux'!$A$10:$AD$432,30,FALSE)</f>
        <v>Enduit, diluable à l'eau, 2 couches</v>
      </c>
      <c r="E15" s="483" t="str">
        <f>VLOOKUP(F15,'Baumaterialien Matériaux'!$A$10:$AD$432,6,FALSE)</f>
        <v>m2</v>
      </c>
      <c r="F15" s="488" t="s">
        <v>566</v>
      </c>
      <c r="G15" s="484">
        <v>1</v>
      </c>
      <c r="H15" s="483"/>
      <c r="I15" s="484">
        <f>$G15*VLOOKUP(F15,'Baumaterialien Matériaux'!$A$10:$AD$432,21,FALSE)</f>
        <v>4.1500000000000004</v>
      </c>
      <c r="J15" s="484">
        <f>G15*VLOOKUP(F15,'Baumaterialien Matériaux'!$A$10:$AD$432,24,FALSE)</f>
        <v>1.6799999999999999E-2</v>
      </c>
      <c r="K15" s="484">
        <f>G15*VLOOKUP(F15,'Baumaterialien Matériaux'!$A$10:$AD$432,26,FALSE)</f>
        <v>0.64600000000000002</v>
      </c>
      <c r="L15" s="484">
        <f>G15*VLOOKUP(F15,'Baumaterialien Matériaux'!$A$10:$AD$432,27,FALSE)</f>
        <v>5.62E-2</v>
      </c>
      <c r="M15" s="484">
        <f>G15*VLOOKUP(F15,'Baumaterialien Matériaux'!$A$10:$AD$432,29,FALSE)</f>
        <v>0</v>
      </c>
      <c r="N15" s="483">
        <v>30</v>
      </c>
      <c r="O15" s="1199"/>
      <c r="P15" s="1199"/>
      <c r="Q15" s="1199"/>
      <c r="R15" s="1199"/>
      <c r="S15" s="1199"/>
    </row>
    <row r="16" spans="1:24" ht="15">
      <c r="A16" s="483"/>
      <c r="I16" s="485">
        <f>SUM(I11:I12)</f>
        <v>141.29289999999997</v>
      </c>
      <c r="J16" s="485">
        <f t="shared" ref="J16:M16" si="2">SUM(J11:J12)</f>
        <v>10.64911</v>
      </c>
      <c r="K16" s="485">
        <f t="shared" si="2"/>
        <v>50.924999999999997</v>
      </c>
      <c r="L16" s="485">
        <f t="shared" si="2"/>
        <v>2.58432</v>
      </c>
      <c r="M16" s="485">
        <f t="shared" si="2"/>
        <v>0</v>
      </c>
      <c r="N16" s="483"/>
      <c r="O16" s="855">
        <f>SUM(O11:O15)</f>
        <v>2.9642816666666665</v>
      </c>
      <c r="P16" s="855">
        <f t="shared" ref="P16:R16" si="3">SUM(P11:P15)</f>
        <v>0.21581349999999999</v>
      </c>
      <c r="Q16" s="855">
        <f t="shared" si="3"/>
        <v>1.0369833333333334</v>
      </c>
      <c r="R16" s="855">
        <f t="shared" si="3"/>
        <v>5.4190333333333333E-2</v>
      </c>
      <c r="S16" s="855">
        <f t="shared" ref="S16" si="4">SUM(S11:S15)</f>
        <v>0</v>
      </c>
    </row>
    <row r="17" spans="1:20" ht="15">
      <c r="I17" s="353"/>
      <c r="J17" s="353"/>
      <c r="K17" s="353"/>
      <c r="L17" s="353"/>
      <c r="M17" s="353"/>
      <c r="O17" s="387"/>
      <c r="P17" s="387"/>
      <c r="Q17" s="387"/>
      <c r="R17" s="387"/>
      <c r="S17" s="387"/>
    </row>
    <row r="18" spans="1:20">
      <c r="A18" s="3" t="s">
        <v>356</v>
      </c>
      <c r="B18" s="369" t="s">
        <v>571</v>
      </c>
      <c r="C18" s="483" t="s">
        <v>572</v>
      </c>
      <c r="D18" s="483" t="str">
        <f>VLOOKUP(F18,'Baumaterialien Matériaux'!$A$10:$AD$432,30,FALSE)</f>
        <v>Bois massif épicéa / sapin / mélèze, séché à l'air, brut</v>
      </c>
      <c r="E18" s="483" t="str">
        <f>VLOOKUP(F18,'Baumaterialien Matériaux'!$A$10:$AD$432,6,FALSE)</f>
        <v>kg</v>
      </c>
      <c r="F18" s="483" t="s">
        <v>573</v>
      </c>
      <c r="G18" s="484">
        <f>0.1*485</f>
        <v>48.5</v>
      </c>
      <c r="H18" s="483"/>
      <c r="I18" s="484">
        <f>$G18*VLOOKUP(F18,'Baumaterialien Matériaux'!$A$10:$AD$432,21,FALSE)</f>
        <v>20.418499999999998</v>
      </c>
      <c r="J18" s="484">
        <f>G18*VLOOKUP(F18,'Baumaterialien Matériaux'!$A$10:$AD$432,24,FALSE)</f>
        <v>4.3262</v>
      </c>
      <c r="K18" s="484">
        <f>G18*VLOOKUP(F18,'Baumaterialien Matériaux'!$A$10:$AD$432,26,FALSE)</f>
        <v>4.4086499999999997</v>
      </c>
      <c r="L18" s="484">
        <f>G18*VLOOKUP(F18,'Baumaterialien Matériaux'!$A$10:$AD$432,27,FALSE)</f>
        <v>1.9012</v>
      </c>
      <c r="M18" s="484">
        <f>G18*VLOOKUP(F18,'Baumaterialien Matériaux'!$A$10:$AD$432,29,FALSE)</f>
        <v>73.445166666666651</v>
      </c>
      <c r="N18" s="483">
        <v>60</v>
      </c>
      <c r="O18" s="484">
        <f>I18/$N18</f>
        <v>0.34030833333333332</v>
      </c>
      <c r="P18" s="484">
        <f>J18/$N18</f>
        <v>7.2103333333333339E-2</v>
      </c>
      <c r="Q18" s="484">
        <f>K18/$N18</f>
        <v>7.3477500000000001E-2</v>
      </c>
      <c r="R18" s="484">
        <f>L18/$N18</f>
        <v>3.1686666666666669E-2</v>
      </c>
      <c r="S18" s="484">
        <f>M18/$N18</f>
        <v>1.2240861111111108</v>
      </c>
      <c r="T18" s="3" t="s">
        <v>558</v>
      </c>
    </row>
    <row r="19" spans="1:20" ht="42" customHeight="1">
      <c r="A19" s="483" t="s">
        <v>356</v>
      </c>
      <c r="B19" s="1161" t="s">
        <v>574</v>
      </c>
      <c r="C19" s="361" t="s">
        <v>572</v>
      </c>
      <c r="D19" s="483" t="str">
        <f>VLOOKUP(F19,'Baumaterialien Matériaux'!$A$10:$AD$432,30,FALSE)</f>
        <v>Bois massif épicéa / sapin / mélèze, séché à l'air, brut</v>
      </c>
      <c r="E19" s="483" t="str">
        <f>VLOOKUP(F19,'Baumaterialien Matériaux'!$A$10:$AD$432,6,FALSE)</f>
        <v>kg</v>
      </c>
      <c r="F19" s="483" t="s">
        <v>573</v>
      </c>
      <c r="G19" s="484">
        <f>1/0.6*0.04*0.06*485</f>
        <v>1.94</v>
      </c>
      <c r="H19" s="483"/>
      <c r="I19" s="484">
        <f>$G19*VLOOKUP(F19,'Baumaterialien Matériaux'!$A$10:$AD$432,21,FALSE)</f>
        <v>0.81673999999999991</v>
      </c>
      <c r="J19" s="484">
        <f>G19*VLOOKUP(F19,'Baumaterialien Matériaux'!$A$10:$AD$432,24,FALSE)</f>
        <v>0.17304800000000001</v>
      </c>
      <c r="K19" s="484">
        <f>G19*VLOOKUP(F19,'Baumaterialien Matériaux'!$A$10:$AD$432,26,FALSE)</f>
        <v>0.17634599999999997</v>
      </c>
      <c r="L19" s="484">
        <f>G19*VLOOKUP(F19,'Baumaterialien Matériaux'!$A$10:$AD$432,27,FALSE)</f>
        <v>7.6047999999999991E-2</v>
      </c>
      <c r="M19" s="484">
        <f>G19*VLOOKUP(F19,'Baumaterialien Matériaux'!$A$10:$AD$432,29,FALSE)</f>
        <v>2.937806666666666</v>
      </c>
      <c r="N19" s="483">
        <v>30</v>
      </c>
      <c r="O19" s="1199">
        <f>SUM(I19:I22)/$N19</f>
        <v>0.72791466666666671</v>
      </c>
      <c r="P19" s="1199">
        <f>SUM(J19:J22)/$N19</f>
        <v>4.3861433333333338E-2</v>
      </c>
      <c r="Q19" s="1199">
        <f>SUM(K19:K22)/$N19</f>
        <v>0.15470736666666665</v>
      </c>
      <c r="R19" s="1199">
        <f>SUM(L19:L22)/$N19</f>
        <v>1.3510016666666669E-2</v>
      </c>
      <c r="S19" s="1199">
        <f>SUM(M19:M22)/$N19</f>
        <v>0.12130188888888886</v>
      </c>
    </row>
    <row r="20" spans="1:20">
      <c r="A20" s="483" t="s">
        <v>356</v>
      </c>
      <c r="B20" s="1161"/>
      <c r="C20" s="3" t="s">
        <v>575</v>
      </c>
      <c r="D20" s="483" t="str">
        <f>VLOOKUP(F20,'Baumaterialien Matériaux'!$A$10:$AD$432,30,FALSE)</f>
        <v>Plaque de plâtre cartonnée</v>
      </c>
      <c r="E20" s="483" t="str">
        <f>VLOOKUP(F20,'Baumaterialien Matériaux'!$A$10:$AD$432,6,FALSE)</f>
        <v>kg</v>
      </c>
      <c r="F20" s="853" t="s">
        <v>107</v>
      </c>
      <c r="G20" s="484">
        <f>850*0.0125</f>
        <v>10.625</v>
      </c>
      <c r="H20" s="483"/>
      <c r="I20" s="484">
        <f>$G20*VLOOKUP(F20,'Baumaterialien Matériaux'!$A$10:$AD$432,21,FALSE)</f>
        <v>13.387499999999999</v>
      </c>
      <c r="J20" s="484">
        <f>G20*VLOOKUP(F20,'Baumaterialien Matériaux'!$A$10:$AD$432,24,FALSE)</f>
        <v>0.83087500000000003</v>
      </c>
      <c r="K20" s="484">
        <f>G20*VLOOKUP(F20,'Baumaterialien Matériaux'!$A$10:$AD$432,26,FALSE)</f>
        <v>3.0068749999999995</v>
      </c>
      <c r="L20" s="484">
        <f>G20*VLOOKUP(F20,'Baumaterialien Matériaux'!$A$10:$AD$432,27,FALSE)</f>
        <v>0.2008125</v>
      </c>
      <c r="M20" s="484">
        <f>G20*VLOOKUP(F20,'Baumaterialien Matériaux'!$A$10:$AD$432,29,FALSE)</f>
        <v>0.70124999999999993</v>
      </c>
      <c r="N20" s="483">
        <v>30</v>
      </c>
      <c r="O20" s="1199"/>
      <c r="P20" s="1199"/>
      <c r="Q20" s="1199"/>
      <c r="R20" s="1199"/>
      <c r="S20" s="1199"/>
    </row>
    <row r="21" spans="1:20">
      <c r="A21" s="483" t="s">
        <v>356</v>
      </c>
      <c r="B21" s="1161"/>
      <c r="C21" s="361" t="s">
        <v>576</v>
      </c>
      <c r="D21" s="483" t="str">
        <f>VLOOKUP(F21,'Baumaterialien Matériaux'!$A$10:$AD$432,30,FALSE)</f>
        <v>Enduit en plâtre et chaux</v>
      </c>
      <c r="E21" s="483" t="str">
        <f>VLOOKUP(F21,'Baumaterialien Matériaux'!$A$10:$AD$432,6,FALSE)</f>
        <v>kg</v>
      </c>
      <c r="F21" s="487" t="s">
        <v>577</v>
      </c>
      <c r="G21" s="484">
        <f>1400*0.004</f>
        <v>5.6000000000000005</v>
      </c>
      <c r="H21" s="483"/>
      <c r="I21" s="484">
        <f>$G21*VLOOKUP(F21,'Baumaterialien Matériaux'!$A$10:$AD$432,21,FALSE)</f>
        <v>3.4832000000000005</v>
      </c>
      <c r="J21" s="484">
        <f>G21*VLOOKUP(F21,'Baumaterialien Matériaux'!$A$10:$AD$432,24,FALSE)</f>
        <v>0.29511999999999999</v>
      </c>
      <c r="K21" s="484">
        <f>G21*VLOOKUP(F21,'Baumaterialien Matériaux'!$A$10:$AD$432,26,FALSE)</f>
        <v>0.81200000000000006</v>
      </c>
      <c r="L21" s="484">
        <f>G21*VLOOKUP(F21,'Baumaterialien Matériaux'!$A$10:$AD$432,27,FALSE)</f>
        <v>7.2240000000000013E-2</v>
      </c>
      <c r="M21" s="484">
        <f>G21*VLOOKUP(F21,'Baumaterialien Matériaux'!$A$10:$AD$432,29,FALSE)</f>
        <v>0</v>
      </c>
      <c r="N21" s="483">
        <v>30</v>
      </c>
      <c r="O21" s="1199"/>
      <c r="P21" s="1199"/>
      <c r="Q21" s="1199"/>
      <c r="R21" s="1199"/>
      <c r="S21" s="1199"/>
    </row>
    <row r="22" spans="1:20">
      <c r="A22" s="483" t="s">
        <v>356</v>
      </c>
      <c r="B22" s="1161"/>
      <c r="C22" s="361" t="s">
        <v>565</v>
      </c>
      <c r="D22" s="483" t="str">
        <f>VLOOKUP(F22,'Baumaterialien Matériaux'!$A$10:$AD$432,30,FALSE)</f>
        <v>Enduit, diluable à l'eau, 2 couches</v>
      </c>
      <c r="E22" s="483" t="str">
        <f>VLOOKUP(F22,'Baumaterialien Matériaux'!$A$10:$AD$432,6,FALSE)</f>
        <v>m2</v>
      </c>
      <c r="F22" s="488" t="s">
        <v>566</v>
      </c>
      <c r="G22" s="484">
        <v>1</v>
      </c>
      <c r="H22" s="483"/>
      <c r="I22" s="484">
        <f>$G22*VLOOKUP(F22,'Baumaterialien Matériaux'!$A$10:$AD$432,21,FALSE)</f>
        <v>4.1500000000000004</v>
      </c>
      <c r="J22" s="484">
        <f>G22*VLOOKUP(F22,'Baumaterialien Matériaux'!$A$10:$AD$432,24,FALSE)</f>
        <v>1.6799999999999999E-2</v>
      </c>
      <c r="K22" s="484">
        <f>G22*VLOOKUP(F22,'Baumaterialien Matériaux'!$A$10:$AD$432,26,FALSE)</f>
        <v>0.64600000000000002</v>
      </c>
      <c r="L22" s="484">
        <f>G22*VLOOKUP(F22,'Baumaterialien Matériaux'!$A$10:$AD$432,27,FALSE)</f>
        <v>5.62E-2</v>
      </c>
      <c r="M22" s="484">
        <f>G22*VLOOKUP(F22,'Baumaterialien Matériaux'!$A$10:$AD$432,29,FALSE)</f>
        <v>0</v>
      </c>
      <c r="N22" s="483">
        <v>30</v>
      </c>
      <c r="O22" s="1199"/>
      <c r="P22" s="1199"/>
      <c r="Q22" s="1199"/>
      <c r="R22" s="1199"/>
      <c r="S22" s="1199"/>
    </row>
    <row r="23" spans="1:20" ht="15">
      <c r="A23" s="483"/>
      <c r="I23" s="485">
        <f>SUM(I18:I22)</f>
        <v>42.255939999999995</v>
      </c>
      <c r="J23" s="485">
        <f t="shared" ref="J23:M23" si="5">SUM(J18:J22)</f>
        <v>5.6420429999999993</v>
      </c>
      <c r="K23" s="485">
        <f t="shared" si="5"/>
        <v>9.0498709999999996</v>
      </c>
      <c r="L23" s="485">
        <f t="shared" si="5"/>
        <v>2.3065004999999998</v>
      </c>
      <c r="M23" s="485">
        <f t="shared" si="5"/>
        <v>77.084223333333313</v>
      </c>
      <c r="N23" s="483"/>
      <c r="O23" s="485">
        <f>SUM(O18:O22)</f>
        <v>1.0682230000000001</v>
      </c>
      <c r="P23" s="485">
        <f t="shared" ref="P23:R23" si="6">SUM(P18:P22)</f>
        <v>0.11596476666666668</v>
      </c>
      <c r="Q23" s="485">
        <f t="shared" si="6"/>
        <v>0.22818486666666665</v>
      </c>
      <c r="R23" s="485">
        <f t="shared" si="6"/>
        <v>4.5196683333333335E-2</v>
      </c>
      <c r="S23" s="485">
        <f t="shared" ref="S23" si="7">SUM(S18:S22)</f>
        <v>1.3453879999999996</v>
      </c>
    </row>
    <row r="24" spans="1:20" ht="15">
      <c r="I24" s="353"/>
      <c r="J24" s="353"/>
      <c r="K24" s="353"/>
      <c r="L24" s="353"/>
      <c r="M24" s="353"/>
      <c r="O24" s="353"/>
      <c r="P24" s="353"/>
      <c r="Q24" s="353"/>
      <c r="R24" s="353"/>
      <c r="S24" s="353"/>
    </row>
    <row r="25" spans="1:20" ht="30">
      <c r="G25" s="825" t="s">
        <v>578</v>
      </c>
    </row>
    <row r="26" spans="1:20">
      <c r="A26" s="733" t="s">
        <v>579</v>
      </c>
      <c r="B26" s="1182" t="s">
        <v>580</v>
      </c>
      <c r="C26" s="483" t="s">
        <v>581</v>
      </c>
      <c r="D26" s="483" t="str">
        <f>VLOOKUP(F26,'Baumaterialien Matériaux'!$A$10:$AD$432,30,FALSE)</f>
        <v>Béton pour bâtiment (sans armature)</v>
      </c>
      <c r="E26" s="483" t="str">
        <f>VLOOKUP(F26,'Baumaterialien Matériaux'!$A$10:$AD$432,6,FALSE)</f>
        <v>kg</v>
      </c>
      <c r="F26" s="702">
        <v>1.0019999999999998</v>
      </c>
      <c r="G26" s="484">
        <f>1/3*0.2^2*1*(1-300/7850)*2300</f>
        <v>29.49469214437368</v>
      </c>
      <c r="H26" s="483"/>
      <c r="I26" s="484">
        <f>$G26*VLOOKUP(F26,'Baumaterialien Matériaux'!$A$10:$AD$432,21,FALSE)</f>
        <v>3.6573418259023365</v>
      </c>
      <c r="J26" s="484">
        <f>G26*VLOOKUP(F26,'Baumaterialien Matériaux'!$A$10:$AD$432,24,FALSE)</f>
        <v>1.5219261146496819</v>
      </c>
      <c r="K26" s="484">
        <f>G26*VLOOKUP(F26,'Baumaterialien Matériaux'!$A$10:$AD$432,26,FALSE)</f>
        <v>2.6191286624203829</v>
      </c>
      <c r="L26" s="484">
        <f>G26*VLOOKUP(F26,'Baumaterialien Matériaux'!$A$10:$AD$432,27,FALSE)</f>
        <v>0.37458259023354573</v>
      </c>
      <c r="M26" s="484">
        <f>G26*VLOOKUP(F26,'Baumaterialien Matériaux'!$A$10:$AD$432,29,FALSE)</f>
        <v>0</v>
      </c>
      <c r="N26" s="1184"/>
      <c r="O26" s="1184"/>
      <c r="P26" s="1184"/>
      <c r="Q26" s="1184"/>
      <c r="R26" s="1184"/>
      <c r="S26" s="383"/>
      <c r="T26" s="3" t="s">
        <v>558</v>
      </c>
    </row>
    <row r="27" spans="1:20">
      <c r="A27" s="733"/>
      <c r="B27" s="1182"/>
      <c r="C27" s="483" t="s">
        <v>559</v>
      </c>
      <c r="D27" s="483" t="str">
        <f>VLOOKUP(F27,'Baumaterialien Matériaux'!$A$10:$AD$432,30,FALSE)</f>
        <v>Acier d'armature</v>
      </c>
      <c r="E27" s="483" t="str">
        <f>VLOOKUP(F27,'Baumaterialien Matériaux'!$A$10:$AD$432,6,FALSE)</f>
        <v>kg</v>
      </c>
      <c r="F27" s="702" t="s">
        <v>497</v>
      </c>
      <c r="G27" s="484">
        <f>1/3*0.2^2*1*300</f>
        <v>4.0000000000000009</v>
      </c>
      <c r="H27" s="483"/>
      <c r="I27" s="484">
        <f>$G27*VLOOKUP(F27,'Baumaterialien Matériaux'!$A$10:$AD$432,21,FALSE)</f>
        <v>19.760000000000005</v>
      </c>
      <c r="J27" s="484">
        <f>G27*VLOOKUP(F27,'Baumaterialien Matériaux'!$A$10:$AD$432,24,FALSE)</f>
        <v>0.20320000000000005</v>
      </c>
      <c r="K27" s="484">
        <f>G27*VLOOKUP(F27,'Baumaterialien Matériaux'!$A$10:$AD$432,26,FALSE)</f>
        <v>6.0000000000000018</v>
      </c>
      <c r="L27" s="484">
        <f>G27*VLOOKUP(F27,'Baumaterialien Matériaux'!$A$10:$AD$432,27,FALSE)</f>
        <v>4.9600000000000012E-2</v>
      </c>
      <c r="M27" s="484">
        <f>G27*VLOOKUP(F27,'Baumaterialien Matériaux'!$A$10:$AD$432,29,FALSE)</f>
        <v>0</v>
      </c>
      <c r="N27" s="1184"/>
      <c r="O27" s="1184"/>
      <c r="P27" s="1184"/>
      <c r="Q27" s="1184"/>
      <c r="R27" s="1184"/>
      <c r="S27" s="383"/>
    </row>
    <row r="28" spans="1:20">
      <c r="A28" s="733"/>
      <c r="B28" s="1182"/>
      <c r="C28" s="483" t="s">
        <v>582</v>
      </c>
      <c r="D28" s="483" t="str">
        <f>VLOOKUP(F28,'Baumaterialien Matériaux'!$A$10:$AD$432,30,FALSE)</f>
        <v>Bois massif 3 et 5 plis</v>
      </c>
      <c r="E28" s="483" t="str">
        <f>VLOOKUP(F28,'Baumaterialien Matériaux'!$A$10:$AD$432,6,FALSE)</f>
        <v>kg</v>
      </c>
      <c r="F28" s="483" t="s">
        <v>510</v>
      </c>
      <c r="G28" s="484">
        <f>4*0.2*1/3/5*0.025*470</f>
        <v>0.62666666666666659</v>
      </c>
      <c r="H28" s="483"/>
      <c r="I28" s="484">
        <f>$G28*VLOOKUP(F28,'Baumaterialien Matériaux'!$A$10:$AD$432,21,FALSE)</f>
        <v>1.3097333333333332</v>
      </c>
      <c r="J28" s="484">
        <f>G28*VLOOKUP(F28,'Baumaterialien Matériaux'!$A$10:$AD$432,24,FALSE)</f>
        <v>5.8091999999999998E-2</v>
      </c>
      <c r="K28" s="484">
        <f>G28*VLOOKUP(F28,'Baumaterialien Matériaux'!$A$10:$AD$432,26,FALSE)</f>
        <v>0.26006666666666661</v>
      </c>
      <c r="L28" s="484">
        <f>G28*VLOOKUP(F28,'Baumaterialien Matériaux'!$A$10:$AD$432,27,FALSE)</f>
        <v>3.4779999999999998E-2</v>
      </c>
      <c r="M28" s="484"/>
      <c r="N28" s="1184"/>
      <c r="O28" s="1184"/>
      <c r="P28" s="1184"/>
      <c r="Q28" s="1184"/>
      <c r="R28" s="1184"/>
      <c r="S28" s="383"/>
    </row>
    <row r="29" spans="1:20" ht="15">
      <c r="I29" s="485">
        <f>SUM(I26:I28)</f>
        <v>24.727075159235675</v>
      </c>
      <c r="J29" s="485">
        <f t="shared" ref="J29:M29" si="8">SUM(J26:J28)</f>
        <v>1.7832181146496819</v>
      </c>
      <c r="K29" s="485">
        <f t="shared" si="8"/>
        <v>8.879195329087052</v>
      </c>
      <c r="L29" s="485">
        <f t="shared" si="8"/>
        <v>0.45896259023354574</v>
      </c>
      <c r="M29" s="485">
        <f t="shared" si="8"/>
        <v>0</v>
      </c>
      <c r="N29" s="843">
        <v>60</v>
      </c>
      <c r="O29" s="485">
        <f>I29/$N29</f>
        <v>0.41211791932059455</v>
      </c>
      <c r="P29" s="485">
        <f>J29/$N29</f>
        <v>2.9720301910828032E-2</v>
      </c>
      <c r="Q29" s="485">
        <f>K29/$N29</f>
        <v>0.14798658881811752</v>
      </c>
      <c r="R29" s="485">
        <f>L29/$N29</f>
        <v>7.6493765038924289E-3</v>
      </c>
      <c r="S29" s="485">
        <f>M29/$N29</f>
        <v>0</v>
      </c>
    </row>
    <row r="31" spans="1:20">
      <c r="A31" s="733" t="s">
        <v>583</v>
      </c>
      <c r="B31" s="1182" t="s">
        <v>584</v>
      </c>
      <c r="C31" s="483" t="s">
        <v>585</v>
      </c>
      <c r="D31" s="483" t="str">
        <f>VLOOKUP(F31,'Baumaterialien Matériaux'!$A$10:$AD$432,30,FALSE)</f>
        <v>Élément préfabriqué en béton, béton normal, sortie d'usine</v>
      </c>
      <c r="E31" s="483" t="str">
        <f>VLOOKUP(F31,'Baumaterialien Matériaux'!$A$10:$AD$432,6,FALSE)</f>
        <v>kg</v>
      </c>
      <c r="F31" s="483" t="s">
        <v>586</v>
      </c>
      <c r="G31" s="484">
        <f>1/3*0.2^2*1*(1-250/7850)*2500</f>
        <v>32.271762208067948</v>
      </c>
      <c r="H31" s="483"/>
      <c r="I31" s="484">
        <f>$G31*VLOOKUP(F31,'Baumaterialien Matériaux'!$A$10:$AD$432,21,FALSE)</f>
        <v>14.167303609341829</v>
      </c>
      <c r="J31" s="484">
        <f>G31*VLOOKUP(F31,'Baumaterialien Matériaux'!$A$10:$AD$432,24,FALSE)</f>
        <v>1.6071337579617837</v>
      </c>
      <c r="K31" s="484">
        <f>G31*VLOOKUP(F31,'Baumaterialien Matériaux'!$A$10:$AD$432,26,FALSE)</f>
        <v>6.1639065817409779</v>
      </c>
      <c r="L31" s="484">
        <f>G31*VLOOKUP(F31,'Baumaterialien Matériaux'!$A$10:$AD$432,27,FALSE)</f>
        <v>0.393715498938429</v>
      </c>
      <c r="M31" s="484">
        <f>G31*VLOOKUP(F31,'Baumaterialien Matériaux'!$A$10:$AD$432,29,FALSE)</f>
        <v>0</v>
      </c>
      <c r="N31" s="1184"/>
      <c r="O31" s="1184"/>
      <c r="P31" s="1184"/>
      <c r="Q31" s="1184"/>
      <c r="R31" s="1184"/>
      <c r="S31" s="383"/>
      <c r="T31" s="3" t="s">
        <v>558</v>
      </c>
    </row>
    <row r="32" spans="1:20">
      <c r="A32" s="733"/>
      <c r="B32" s="1182"/>
      <c r="C32" s="483" t="s">
        <v>559</v>
      </c>
      <c r="D32" s="483" t="str">
        <f>VLOOKUP(F32,'Baumaterialien Matériaux'!$A$10:$AD$432,30,FALSE)</f>
        <v>Acier d'armature</v>
      </c>
      <c r="E32" s="483" t="str">
        <f>VLOOKUP(F32,'Baumaterialien Matériaux'!$A$10:$AD$432,6,FALSE)</f>
        <v>kg</v>
      </c>
      <c r="F32" s="702" t="s">
        <v>497</v>
      </c>
      <c r="G32" s="484">
        <f>1/3*0.3^2*1*250</f>
        <v>7.5</v>
      </c>
      <c r="H32" s="483"/>
      <c r="I32" s="484">
        <f>$G32*VLOOKUP(F32,'Baumaterialien Matériaux'!$A$10:$AD$432,21,FALSE)</f>
        <v>37.050000000000004</v>
      </c>
      <c r="J32" s="484">
        <f>G32*VLOOKUP(F32,'Baumaterialien Matériaux'!$A$10:$AD$432,24,FALSE)</f>
        <v>0.38100000000000001</v>
      </c>
      <c r="K32" s="484">
        <f>G32*VLOOKUP(F32,'Baumaterialien Matériaux'!$A$10:$AD$432,26,FALSE)</f>
        <v>11.25</v>
      </c>
      <c r="L32" s="484">
        <f>G32*VLOOKUP(F32,'Baumaterialien Matériaux'!$A$10:$AD$432,27,FALSE)</f>
        <v>9.2999999999999999E-2</v>
      </c>
      <c r="M32" s="484">
        <f>G32*VLOOKUP(F32,'Baumaterialien Matériaux'!$A$10:$AD$432,29,FALSE)</f>
        <v>0</v>
      </c>
      <c r="N32" s="1184"/>
      <c r="O32" s="1184"/>
      <c r="P32" s="1184"/>
      <c r="Q32" s="1184"/>
      <c r="R32" s="1184"/>
      <c r="S32" s="383"/>
    </row>
    <row r="33" spans="1:23">
      <c r="A33" s="733"/>
      <c r="B33" s="1182"/>
      <c r="C33" s="483" t="s">
        <v>582</v>
      </c>
      <c r="D33" s="483" t="str">
        <f>VLOOKUP(F33,'Baumaterialien Matériaux'!$A$10:$AD$432,30,FALSE)</f>
        <v>Bois massif 3 et 5 plis</v>
      </c>
      <c r="E33" s="483" t="str">
        <f>VLOOKUP(F33,'Baumaterialien Matériaux'!$A$10:$AD$432,6,FALSE)</f>
        <v>kg</v>
      </c>
      <c r="F33" s="483" t="s">
        <v>510</v>
      </c>
      <c r="G33" s="484">
        <f>4*0.2*1/3/5*0.025*470</f>
        <v>0.62666666666666659</v>
      </c>
      <c r="H33" s="483"/>
      <c r="I33" s="484">
        <f>$G33*VLOOKUP(F33,'Baumaterialien Matériaux'!$A$10:$AD$432,21,FALSE)</f>
        <v>1.3097333333333332</v>
      </c>
      <c r="J33" s="484">
        <f>G33*VLOOKUP(F33,'Baumaterialien Matériaux'!$A$10:$AD$432,24,FALSE)</f>
        <v>5.8091999999999998E-2</v>
      </c>
      <c r="K33" s="484">
        <f>G33*VLOOKUP(F33,'Baumaterialien Matériaux'!$A$10:$AD$432,26,FALSE)</f>
        <v>0.26006666666666661</v>
      </c>
      <c r="L33" s="484">
        <f>G33*VLOOKUP(F33,'Baumaterialien Matériaux'!$A$10:$AD$432,27,FALSE)</f>
        <v>3.4779999999999998E-2</v>
      </c>
      <c r="M33" s="484"/>
      <c r="N33" s="1184"/>
      <c r="O33" s="1184"/>
      <c r="P33" s="1184"/>
      <c r="Q33" s="1184"/>
      <c r="R33" s="1184"/>
      <c r="S33" s="383"/>
    </row>
    <row r="34" spans="1:23" ht="15">
      <c r="I34" s="485">
        <f>SUM(I31:I33)</f>
        <v>52.527036942675167</v>
      </c>
      <c r="J34" s="485">
        <f t="shared" ref="J34:M34" si="9">SUM(J31:J33)</f>
        <v>2.0462257579617837</v>
      </c>
      <c r="K34" s="485">
        <f t="shared" si="9"/>
        <v>17.673973248407645</v>
      </c>
      <c r="L34" s="485">
        <f t="shared" si="9"/>
        <v>0.52149549893842906</v>
      </c>
      <c r="M34" s="485">
        <f t="shared" si="9"/>
        <v>0</v>
      </c>
      <c r="N34" s="843">
        <v>60</v>
      </c>
      <c r="O34" s="485">
        <f>I34/$N34</f>
        <v>0.87545061571125282</v>
      </c>
      <c r="P34" s="485">
        <f>J34/$N34</f>
        <v>3.4103762632696398E-2</v>
      </c>
      <c r="Q34" s="485">
        <f>K34/$N34</f>
        <v>0.29456622080679407</v>
      </c>
      <c r="R34" s="485">
        <f>L34/$N34</f>
        <v>8.6915916489738176E-3</v>
      </c>
      <c r="S34" s="485">
        <f>M34/$N34</f>
        <v>0</v>
      </c>
    </row>
    <row r="36" spans="1:23" ht="15">
      <c r="A36" s="483" t="s">
        <v>587</v>
      </c>
      <c r="B36" s="1178"/>
      <c r="C36" s="1179"/>
      <c r="D36" s="1179"/>
      <c r="E36" s="1179"/>
      <c r="F36" s="1179"/>
      <c r="G36" s="1180"/>
      <c r="H36" s="483"/>
      <c r="I36" s="485">
        <f>AVERAGE(I29,I34)</f>
        <v>38.627056050955417</v>
      </c>
      <c r="J36" s="485">
        <f t="shared" ref="J36:M36" si="10">AVERAGE(J29,J34)</f>
        <v>1.9147219363057328</v>
      </c>
      <c r="K36" s="485">
        <f t="shared" si="10"/>
        <v>13.276584288747348</v>
      </c>
      <c r="L36" s="485">
        <f t="shared" si="10"/>
        <v>0.49022904458598737</v>
      </c>
      <c r="M36" s="485">
        <f t="shared" si="10"/>
        <v>0</v>
      </c>
      <c r="N36" s="483"/>
      <c r="O36" s="485">
        <f>AVERAGE(O29,O34)</f>
        <v>0.64378426751592366</v>
      </c>
      <c r="P36" s="485">
        <f t="shared" ref="P36:S36" si="11">AVERAGE(P29,P34)</f>
        <v>3.1912032271762217E-2</v>
      </c>
      <c r="Q36" s="485">
        <f t="shared" si="11"/>
        <v>0.22127640481245581</v>
      </c>
      <c r="R36" s="485">
        <f t="shared" si="11"/>
        <v>8.1704840764331224E-3</v>
      </c>
      <c r="S36" s="485">
        <f t="shared" si="11"/>
        <v>0</v>
      </c>
      <c r="T36" s="3" t="s">
        <v>558</v>
      </c>
    </row>
    <row r="39" spans="1:23" ht="13.9" customHeight="1">
      <c r="A39" s="482" t="s">
        <v>358</v>
      </c>
      <c r="B39" s="1163" t="s">
        <v>588</v>
      </c>
      <c r="C39" s="483" t="s">
        <v>589</v>
      </c>
      <c r="D39" s="483" t="str">
        <f>VLOOKUP(F39,'Baumaterialien Matériaux'!$A$10:$AD$432,30,FALSE)</f>
        <v>Perlite expansée</v>
      </c>
      <c r="E39" s="483" t="str">
        <f>VLOOKUP(F39,'Baumaterialien Matériaux'!$A$10:$AD$432,6,FALSE)</f>
        <v>kg</v>
      </c>
      <c r="F39" s="483" t="s">
        <v>590</v>
      </c>
      <c r="G39" s="483">
        <f>0.49*0.78*100</f>
        <v>38.22</v>
      </c>
      <c r="H39" s="483"/>
      <c r="I39" s="484">
        <f>$G39*VLOOKUP(F39,'Baumaterialien Matériaux'!$A$10:$AD$432,21,FALSE)</f>
        <v>168.55019999999999</v>
      </c>
      <c r="J39" s="484">
        <f>G39*VLOOKUP(F39,'Baumaterialien Matériaux'!$A$10:$AD$432,24,FALSE)</f>
        <v>2.0218380000000002</v>
      </c>
      <c r="K39" s="484">
        <f>G39*VLOOKUP(F39,'Baumaterialien Matériaux'!$A$10:$AD$432,26,FALSE)</f>
        <v>39.748800000000003</v>
      </c>
      <c r="L39" s="484">
        <f>G39*VLOOKUP(F39,'Baumaterialien Matériaux'!$A$10:$AD$432,27,FALSE)</f>
        <v>0.48921599999999998</v>
      </c>
      <c r="M39" s="484">
        <f>G39*VLOOKUP(F39,'Baumaterialien Matériaux'!$A$10:$AD$432,29,FALSE)</f>
        <v>0</v>
      </c>
      <c r="N39" s="483">
        <v>60</v>
      </c>
      <c r="O39" s="1199">
        <f>SUM(I39:I41)/$N39</f>
        <v>6.03484</v>
      </c>
      <c r="P39" s="1199">
        <f>SUM(J39:J41)/$N39</f>
        <v>0.26269831666666665</v>
      </c>
      <c r="Q39" s="1199">
        <f>SUM(K39:K41)/$N39</f>
        <v>1.7703588333333331</v>
      </c>
      <c r="R39" s="1199">
        <f>SUM(L39:L41)/$N39</f>
        <v>6.3572883333333316E-2</v>
      </c>
      <c r="S39" s="1199">
        <f>SUM(M39:M41)/$N39</f>
        <v>0</v>
      </c>
      <c r="T39" s="3" t="s">
        <v>558</v>
      </c>
    </row>
    <row r="40" spans="1:23" ht="28.5">
      <c r="A40" s="482" t="s">
        <v>358</v>
      </c>
      <c r="B40" s="1164"/>
      <c r="C40" s="483" t="s">
        <v>568</v>
      </c>
      <c r="D40" s="483" t="str">
        <f>VLOOKUP(F40,'Baumaterialien Matériaux'!$A$10:$AD$432,30,FALSE)</f>
        <v>Brique en terre cuite</v>
      </c>
      <c r="E40" s="483" t="str">
        <f>VLOOKUP(F40,'Baumaterialien Matériaux'!$A$10:$AD$432,6,FALSE)</f>
        <v>kg</v>
      </c>
      <c r="F40" s="483" t="s">
        <v>569</v>
      </c>
      <c r="G40" s="483">
        <f>16*18.4-G39</f>
        <v>256.17999999999995</v>
      </c>
      <c r="H40" s="483"/>
      <c r="I40" s="484">
        <f>$G40*VLOOKUP(F40,'Baumaterialien Matériaux'!$A$10:$AD$432,21,FALSE)</f>
        <v>188.29229999999995</v>
      </c>
      <c r="J40" s="484">
        <f>G40*VLOOKUP(F40,'Baumaterialien Matériaux'!$A$10:$AD$432,24,FALSE)</f>
        <v>13.551921999999998</v>
      </c>
      <c r="K40" s="484">
        <f>G40*VLOOKUP(F40,'Baumaterialien Matériaux'!$A$10:$AD$432,26,FALSE)</f>
        <v>65.06971999999999</v>
      </c>
      <c r="L40" s="484">
        <f>G40*VLOOKUP(F40,'Baumaterialien Matériaux'!$A$10:$AD$432,27,FALSE)</f>
        <v>3.2791039999999994</v>
      </c>
      <c r="M40" s="484">
        <f>G40*VLOOKUP(F40,'Baumaterialien Matériaux'!$A$10:$AD$432,29,FALSE)</f>
        <v>0</v>
      </c>
      <c r="N40" s="483">
        <v>60</v>
      </c>
      <c r="O40" s="1199"/>
      <c r="P40" s="1199"/>
      <c r="Q40" s="1199"/>
      <c r="R40" s="1199"/>
      <c r="S40" s="1199"/>
    </row>
    <row r="41" spans="1:23" ht="28.5">
      <c r="A41" s="482" t="s">
        <v>358</v>
      </c>
      <c r="B41" s="1165"/>
      <c r="C41" s="483" t="s">
        <v>591</v>
      </c>
      <c r="D41" s="483" t="str">
        <f>VLOOKUP(F41,'Baumaterialien Matériaux'!$A$10:$AD$432,30,FALSE)</f>
        <v xml:space="preserve">Colle de construction/mortier d'enrobage minéral(e) </v>
      </c>
      <c r="E41" s="483" t="str">
        <f>VLOOKUP(F41,'Baumaterialien Matériaux'!$A$10:$AD$432,6,FALSE)</f>
        <v>kg</v>
      </c>
      <c r="F41" s="483" t="s">
        <v>592</v>
      </c>
      <c r="G41" s="483">
        <f>0.0051*700</f>
        <v>3.5700000000000003</v>
      </c>
      <c r="H41" s="483"/>
      <c r="I41" s="484">
        <f>$G41*VLOOKUP(F41,'Baumaterialien Matériaux'!$A$10:$AD$432,21,FALSE)</f>
        <v>5.2479000000000005</v>
      </c>
      <c r="J41" s="484">
        <f>G41*VLOOKUP(F41,'Baumaterialien Matériaux'!$A$10:$AD$432,24,FALSE)</f>
        <v>0.188139</v>
      </c>
      <c r="K41" s="484">
        <f>G41*VLOOKUP(F41,'Baumaterialien Matériaux'!$A$10:$AD$432,26,FALSE)</f>
        <v>1.4030100000000001</v>
      </c>
      <c r="L41" s="484">
        <f>G41*VLOOKUP(F41,'Baumaterialien Matériaux'!$A$10:$AD$432,27,FALSE)</f>
        <v>4.6053000000000004E-2</v>
      </c>
      <c r="M41" s="484">
        <f>G41*VLOOKUP(F41,'Baumaterialien Matériaux'!$A$10:$AD$432,29,FALSE)</f>
        <v>0</v>
      </c>
      <c r="N41" s="483">
        <v>60</v>
      </c>
      <c r="O41" s="1199"/>
      <c r="P41" s="1199"/>
      <c r="Q41" s="1199"/>
      <c r="R41" s="1199"/>
      <c r="S41" s="1199"/>
    </row>
    <row r="42" spans="1:23" ht="28.5">
      <c r="A42" s="482" t="s">
        <v>358</v>
      </c>
      <c r="B42" s="1182" t="s">
        <v>561</v>
      </c>
      <c r="C42" s="483" t="s">
        <v>562</v>
      </c>
      <c r="D42" s="483" t="str">
        <f>VLOOKUP(F42,'Baumaterialien Matériaux'!$A$10:$AD$432,30,FALSE)</f>
        <v>Enduit en plâtre et en ciment</v>
      </c>
      <c r="E42" s="483" t="str">
        <f>VLOOKUP(F42,'Baumaterialien Matériaux'!$A$10:$AD$432,6,FALSE)</f>
        <v>kg</v>
      </c>
      <c r="F42" s="487" t="s">
        <v>563</v>
      </c>
      <c r="G42" s="484">
        <v>18</v>
      </c>
      <c r="H42" s="483"/>
      <c r="I42" s="484">
        <f>$G42*VLOOKUP(F42,'Baumaterialien Matériaux'!$A$10:$AD$432,21,FALSE)</f>
        <v>11.934000000000001</v>
      </c>
      <c r="J42" s="484">
        <f>G42*VLOOKUP(F42,'Baumaterialien Matériaux'!$A$10:$AD$432,24,FALSE)</f>
        <v>0.94859999999999989</v>
      </c>
      <c r="K42" s="484">
        <f>G42*VLOOKUP(F42,'Baumaterialien Matériaux'!$A$10:$AD$432,26,FALSE)</f>
        <v>4.5179999999999998</v>
      </c>
      <c r="L42" s="484">
        <f>G42*VLOOKUP(F42,'Baumaterialien Matériaux'!$A$10:$AD$432,27,FALSE)</f>
        <v>0.23219999999999999</v>
      </c>
      <c r="M42" s="484">
        <f>G42*VLOOKUP(F42,'Baumaterialien Matériaux'!$A$10:$AD$432,29,FALSE)</f>
        <v>0</v>
      </c>
      <c r="N42" s="483">
        <v>30</v>
      </c>
      <c r="O42" s="1199">
        <f>SUM(I42:I44)/$N42</f>
        <v>0.60940000000000016</v>
      </c>
      <c r="P42" s="1199">
        <f>SUM(J42:J44)/$N42</f>
        <v>3.8328333333333325E-2</v>
      </c>
      <c r="Q42" s="1199">
        <f>SUM(K42:K44)/$N42</f>
        <v>0.18823333333333331</v>
      </c>
      <c r="R42" s="1199">
        <f>SUM(L42:L44)/$N42</f>
        <v>1.1118333333333334E-2</v>
      </c>
      <c r="S42" s="1199">
        <f>SUM(M42:M44)/$N42</f>
        <v>0</v>
      </c>
    </row>
    <row r="43" spans="1:23" ht="28.5">
      <c r="A43" s="482" t="s">
        <v>358</v>
      </c>
      <c r="B43" s="1182"/>
      <c r="C43" s="483" t="s">
        <v>564</v>
      </c>
      <c r="D43" s="483" t="str">
        <f>VLOOKUP(F43,'Baumaterialien Matériaux'!$A$10:$AD$432,30,FALSE)</f>
        <v>Enduit minéral</v>
      </c>
      <c r="E43" s="483" t="str">
        <f>VLOOKUP(F43,'Baumaterialien Matériaux'!$A$10:$AD$432,6,FALSE)</f>
        <v>kg</v>
      </c>
      <c r="F43" s="486">
        <v>4.0010000000000003</v>
      </c>
      <c r="G43" s="484">
        <v>3.5</v>
      </c>
      <c r="H43" s="483"/>
      <c r="I43" s="484">
        <f>$G43*VLOOKUP(F43,'Baumaterialien Matériaux'!$A$10:$AD$432,21,FALSE)</f>
        <v>2.198</v>
      </c>
      <c r="J43" s="484">
        <f>G43*VLOOKUP(F43,'Baumaterialien Matériaux'!$A$10:$AD$432,24,FALSE)</f>
        <v>0.18445</v>
      </c>
      <c r="K43" s="484">
        <f>G43*VLOOKUP(F43,'Baumaterialien Matériaux'!$A$10:$AD$432,26,FALSE)</f>
        <v>0.48300000000000004</v>
      </c>
      <c r="L43" s="484">
        <f>G43*VLOOKUP(F43,'Baumaterialien Matériaux'!$A$10:$AD$432,27,FALSE)</f>
        <v>4.5150000000000003E-2</v>
      </c>
      <c r="M43" s="484">
        <f>G43*VLOOKUP(F43,'Baumaterialien Matériaux'!$A$10:$AD$432,29,FALSE)</f>
        <v>0</v>
      </c>
      <c r="N43" s="483">
        <v>30</v>
      </c>
      <c r="O43" s="1199"/>
      <c r="P43" s="1199"/>
      <c r="Q43" s="1199"/>
      <c r="R43" s="1199"/>
      <c r="S43" s="1199"/>
    </row>
    <row r="44" spans="1:23" ht="28.5">
      <c r="A44" s="482" t="s">
        <v>358</v>
      </c>
      <c r="B44" s="1182"/>
      <c r="C44" s="483" t="s">
        <v>565</v>
      </c>
      <c r="D44" s="483" t="str">
        <f>VLOOKUP(F44,'Baumaterialien Matériaux'!$A$10:$AD$432,30,FALSE)</f>
        <v>Enduit, diluable à l'eau, 2 couches</v>
      </c>
      <c r="E44" s="483" t="str">
        <f>VLOOKUP(F44,'Baumaterialien Matériaux'!$A$10:$AD$432,6,FALSE)</f>
        <v>m2</v>
      </c>
      <c r="F44" s="488" t="s">
        <v>566</v>
      </c>
      <c r="G44" s="484">
        <v>1</v>
      </c>
      <c r="H44" s="483"/>
      <c r="I44" s="484">
        <f>$G44*VLOOKUP(F44,'Baumaterialien Matériaux'!$A$10:$AD$432,21,FALSE)</f>
        <v>4.1500000000000004</v>
      </c>
      <c r="J44" s="484">
        <f>G44*VLOOKUP(F44,'Baumaterialien Matériaux'!$A$10:$AD$432,24,FALSE)</f>
        <v>1.6799999999999999E-2</v>
      </c>
      <c r="K44" s="484">
        <f>G44*VLOOKUP(F44,'Baumaterialien Matériaux'!$A$10:$AD$432,26,FALSE)</f>
        <v>0.64600000000000002</v>
      </c>
      <c r="L44" s="484">
        <f>G44*VLOOKUP(F44,'Baumaterialien Matériaux'!$A$10:$AD$432,27,FALSE)</f>
        <v>5.62E-2</v>
      </c>
      <c r="M44" s="484">
        <f>G44*VLOOKUP(F44,'Baumaterialien Matériaux'!$A$10:$AD$432,29,FALSE)</f>
        <v>0</v>
      </c>
      <c r="N44" s="483">
        <v>30</v>
      </c>
      <c r="O44" s="1199"/>
      <c r="P44" s="1199"/>
      <c r="Q44" s="1199"/>
      <c r="R44" s="1199"/>
      <c r="S44" s="1199"/>
    </row>
    <row r="45" spans="1:23" ht="15.75">
      <c r="A45"/>
      <c r="B45"/>
      <c r="C45"/>
      <c r="D45"/>
      <c r="E45"/>
      <c r="F45"/>
      <c r="G45"/>
      <c r="H45"/>
      <c r="I45" s="485">
        <f>SUM(I39:I44)</f>
        <v>380.37239999999997</v>
      </c>
      <c r="J45" s="485">
        <f t="shared" ref="J45:M45" si="12">SUM(J39:J44)</f>
        <v>16.911748999999997</v>
      </c>
      <c r="K45" s="485">
        <f t="shared" si="12"/>
        <v>111.86852999999999</v>
      </c>
      <c r="L45" s="485">
        <f t="shared" si="12"/>
        <v>4.1479229999999987</v>
      </c>
      <c r="M45" s="485">
        <f t="shared" si="12"/>
        <v>0</v>
      </c>
      <c r="N45" s="483"/>
      <c r="O45" s="485">
        <f>O39+O42</f>
        <v>6.6442399999999999</v>
      </c>
      <c r="P45" s="485">
        <f t="shared" ref="P45:S45" si="13">P39+P42</f>
        <v>0.30102664999999995</v>
      </c>
      <c r="Q45" s="485">
        <f t="shared" si="13"/>
        <v>1.9585921666666664</v>
      </c>
      <c r="R45" s="485">
        <f t="shared" si="13"/>
        <v>7.4691216666666643E-2</v>
      </c>
      <c r="S45" s="485">
        <f t="shared" si="13"/>
        <v>0</v>
      </c>
    </row>
    <row r="47" spans="1:23" ht="17.25">
      <c r="A47" s="350" t="s">
        <v>593</v>
      </c>
      <c r="B47" s="350"/>
      <c r="C47" s="350"/>
      <c r="D47" s="350"/>
      <c r="E47" s="350"/>
      <c r="F47" s="350"/>
      <c r="G47" s="350" t="s">
        <v>554</v>
      </c>
      <c r="H47" s="350"/>
      <c r="I47" s="350"/>
      <c r="J47" s="350"/>
      <c r="K47" s="350"/>
      <c r="L47" s="350"/>
      <c r="M47" s="350"/>
      <c r="N47" s="352"/>
      <c r="O47" s="352"/>
      <c r="P47" s="352"/>
      <c r="Q47" s="352"/>
      <c r="R47" s="352"/>
      <c r="S47" s="352"/>
      <c r="V47" s="3" t="s">
        <v>594</v>
      </c>
    </row>
    <row r="48" spans="1:23">
      <c r="S48" s="3" t="s">
        <v>558</v>
      </c>
      <c r="V48" s="3">
        <v>49</v>
      </c>
      <c r="W48" s="3">
        <f ca="1">MATCH(BillQuantities!$E$16, INDIRECT("A"&amp;'Enveloppe du bâtiment hors terr'!V48&amp;":A143"),0)</f>
        <v>6</v>
      </c>
    </row>
    <row r="49" spans="1:24">
      <c r="A49" s="483" t="str">
        <f>'Calcul ACV'!$C$31</f>
        <v>Crépis extérieur</v>
      </c>
      <c r="B49" s="1182" t="s">
        <v>365</v>
      </c>
      <c r="C49" s="483" t="s">
        <v>595</v>
      </c>
      <c r="D49" s="483" t="str">
        <f>VLOOKUP(F49,'Baumaterialien Matériaux'!$A$10:$AD$432,30,FALSE)</f>
        <v>Enduit de ciment</v>
      </c>
      <c r="E49" s="483" t="str">
        <f>VLOOKUP(F49,'Baumaterialien Matériaux'!$A$10:$AD$432,6,FALSE)</f>
        <v>kg</v>
      </c>
      <c r="F49" s="845">
        <v>4.0090000000000003</v>
      </c>
      <c r="G49" s="484">
        <f>1550*0.01</f>
        <v>15.5</v>
      </c>
      <c r="H49" s="483"/>
      <c r="I49" s="484">
        <f>$G49*VLOOKUP(F49,'Baumaterialien Matériaux'!$A$10:$AD$432,21,FALSE)</f>
        <v>9.3309999999999995</v>
      </c>
      <c r="J49" s="484">
        <f>G49*VLOOKUP(F49,'Baumaterialien Matériaux'!$A$10:$AD$432,24,FALSE)</f>
        <v>0.81684999999999997</v>
      </c>
      <c r="K49" s="484">
        <f>G49*VLOOKUP(F49,'Baumaterialien Matériaux'!$A$10:$AD$432,26,FALSE)</f>
        <v>3.8595000000000002</v>
      </c>
      <c r="L49" s="484">
        <f>G49*VLOOKUP(F49,'Baumaterialien Matériaux'!$A$10:$AD$432,27,FALSE)</f>
        <v>0.19994999999999999</v>
      </c>
      <c r="M49" s="484">
        <f>G49*VLOOKUP(F49,'Baumaterialien Matériaux'!$A$10:$AD$432,29,FALSE)</f>
        <v>0</v>
      </c>
      <c r="N49" s="1169"/>
      <c r="O49" s="1170"/>
      <c r="P49" s="1170"/>
      <c r="Q49" s="1170"/>
      <c r="R49" s="1171"/>
      <c r="S49" s="383"/>
      <c r="T49" s="3">
        <v>1</v>
      </c>
      <c r="V49" s="3">
        <f ca="1">W48+V48</f>
        <v>55</v>
      </c>
      <c r="W49" s="3">
        <f ca="1">MATCH(BillQuantities!$E$16, INDIRECT("A"&amp;'Enveloppe du bâtiment hors terr'!V49 &amp;":A143"),0)+W48-1</f>
        <v>6</v>
      </c>
    </row>
    <row r="50" spans="1:24">
      <c r="A50" s="483" t="str">
        <f>'Calcul ACV'!$C$31</f>
        <v>Crépis extérieur</v>
      </c>
      <c r="B50" s="1182"/>
      <c r="C50" s="483" t="s">
        <v>596</v>
      </c>
      <c r="D50" s="483" t="str">
        <f>VLOOKUP(F50,'Baumaterialien Matériaux'!$A$10:$AD$432,30,FALSE)</f>
        <v>Enduit en plâtre et en ciment</v>
      </c>
      <c r="E50" s="483" t="str">
        <f>VLOOKUP(F50,'Baumaterialien Matériaux'!$A$10:$AD$432,6,FALSE)</f>
        <v>kg</v>
      </c>
      <c r="F50" s="483" t="s">
        <v>563</v>
      </c>
      <c r="G50" s="484">
        <f>1550*0.0015</f>
        <v>2.3250000000000002</v>
      </c>
      <c r="H50" s="483"/>
      <c r="I50" s="484">
        <f>$G50*VLOOKUP(F50,'Baumaterialien Matériaux'!$A$10:$AD$432,21,FALSE)</f>
        <v>1.5414750000000002</v>
      </c>
      <c r="J50" s="484">
        <f>G50*VLOOKUP(F50,'Baumaterialien Matériaux'!$A$10:$AD$432,24,FALSE)</f>
        <v>0.1225275</v>
      </c>
      <c r="K50" s="484">
        <f>G50*VLOOKUP(F50,'Baumaterialien Matériaux'!$A$10:$AD$432,26,FALSE)</f>
        <v>0.58357500000000007</v>
      </c>
      <c r="L50" s="484">
        <f>G50*VLOOKUP(F50,'Baumaterialien Matériaux'!$A$10:$AD$432,27,FALSE)</f>
        <v>2.9992500000000002E-2</v>
      </c>
      <c r="M50" s="484">
        <f>G50*VLOOKUP(F50,'Baumaterialien Matériaux'!$A$10:$AD$432,29,FALSE)</f>
        <v>0</v>
      </c>
      <c r="N50" s="1172"/>
      <c r="O50" s="1173"/>
      <c r="P50" s="1173"/>
      <c r="Q50" s="1173"/>
      <c r="R50" s="1174"/>
      <c r="S50" s="383"/>
      <c r="T50" s="3">
        <v>2</v>
      </c>
      <c r="V50" s="3">
        <f t="shared" ref="V50:V56" ca="1" si="14">W49+V49-W48</f>
        <v>55</v>
      </c>
      <c r="W50" s="3">
        <f ca="1">MATCH(BillQuantities!$E$16, INDIRECT("A"&amp;'Enveloppe du bâtiment hors terr'!V50 &amp;":A143"),0)+W49-1</f>
        <v>6</v>
      </c>
    </row>
    <row r="51" spans="1:24">
      <c r="A51" s="483" t="str">
        <f>'Calcul ACV'!$C$31</f>
        <v>Crépis extérieur</v>
      </c>
      <c r="B51" s="1182"/>
      <c r="C51" s="483" t="s">
        <v>597</v>
      </c>
      <c r="D51" s="483" t="str">
        <f>VLOOKUP(F51,'Baumaterialien Matériaux'!$A$10:$AD$432,30,FALSE)</f>
        <v>Enduit, diluable à l'eau, 2 couches</v>
      </c>
      <c r="E51" s="483" t="str">
        <f>VLOOKUP(F51,'Baumaterialien Matériaux'!$A$10:$AD$432,6,FALSE)</f>
        <v>m2</v>
      </c>
      <c r="F51" s="483" t="s">
        <v>566</v>
      </c>
      <c r="G51" s="484">
        <v>1</v>
      </c>
      <c r="H51" s="483"/>
      <c r="I51" s="484">
        <f>$G51*VLOOKUP(F51,'Baumaterialien Matériaux'!$A$10:$AD$432,21,FALSE)</f>
        <v>4.1500000000000004</v>
      </c>
      <c r="J51" s="484">
        <f>G51*VLOOKUP(F51,'Baumaterialien Matériaux'!$A$10:$AD$432,24,FALSE)</f>
        <v>1.6799999999999999E-2</v>
      </c>
      <c r="K51" s="484">
        <f>G51*VLOOKUP(F51,'Baumaterialien Matériaux'!$A$10:$AD$432,26,FALSE)</f>
        <v>0.64600000000000002</v>
      </c>
      <c r="L51" s="484">
        <f>G51*VLOOKUP(F51,'Baumaterialien Matériaux'!$A$10:$AD$432,27,FALSE)</f>
        <v>5.62E-2</v>
      </c>
      <c r="M51" s="484">
        <f>G51*VLOOKUP(F51,'Baumaterialien Matériaux'!$A$10:$AD$432,29,FALSE)</f>
        <v>0</v>
      </c>
      <c r="N51" s="1175"/>
      <c r="O51" s="1176"/>
      <c r="P51" s="1176"/>
      <c r="Q51" s="1176"/>
      <c r="R51" s="1177"/>
      <c r="S51" s="383"/>
      <c r="T51" s="3">
        <v>3</v>
      </c>
      <c r="V51" s="3">
        <f t="shared" ca="1" si="14"/>
        <v>55</v>
      </c>
      <c r="W51" s="3">
        <f ca="1">MATCH(BillQuantities!$E$16, INDIRECT("A"&amp;'Enveloppe du bâtiment hors terr'!V51 &amp;":A143"),0)+W50-1</f>
        <v>6</v>
      </c>
    </row>
    <row r="52" spans="1:24" ht="15">
      <c r="I52" s="485">
        <f>SUM(I49:I51)</f>
        <v>15.022475</v>
      </c>
      <c r="J52" s="485">
        <f t="shared" ref="J52:M52" si="15">SUM(J49:J51)</f>
        <v>0.95617750000000001</v>
      </c>
      <c r="K52" s="485">
        <f t="shared" si="15"/>
        <v>5.0890750000000002</v>
      </c>
      <c r="L52" s="485">
        <f t="shared" si="15"/>
        <v>0.28614249999999997</v>
      </c>
      <c r="M52" s="485">
        <f t="shared" si="15"/>
        <v>0</v>
      </c>
      <c r="N52" s="843">
        <v>30</v>
      </c>
      <c r="O52" s="485">
        <f>I52/$N52</f>
        <v>0.50074916666666669</v>
      </c>
      <c r="P52" s="485">
        <f>J52/$N52</f>
        <v>3.1872583333333336E-2</v>
      </c>
      <c r="Q52" s="485">
        <f>K52/$N52</f>
        <v>0.16963583333333335</v>
      </c>
      <c r="R52" s="485">
        <f>L52/$N52</f>
        <v>9.5380833333333324E-3</v>
      </c>
      <c r="S52" s="485">
        <f>M52/$N52</f>
        <v>0</v>
      </c>
      <c r="T52" s="3">
        <v>4</v>
      </c>
      <c r="V52" s="3">
        <f t="shared" ca="1" si="14"/>
        <v>55</v>
      </c>
      <c r="W52" s="3">
        <f ca="1">MATCH(BillQuantities!$E$16, INDIRECT("A"&amp;'Enveloppe du bâtiment hors terr'!V52 &amp;":A143"),0)+W51-1</f>
        <v>6</v>
      </c>
    </row>
    <row r="53" spans="1:24">
      <c r="C53" s="3" t="s">
        <v>598</v>
      </c>
      <c r="S53" s="3" t="s">
        <v>558</v>
      </c>
      <c r="T53" s="3">
        <v>5</v>
      </c>
      <c r="V53" s="3">
        <f t="shared" ca="1" si="14"/>
        <v>55</v>
      </c>
      <c r="W53" s="3">
        <f ca="1">MATCH(BillQuantities!$E$16, INDIRECT("A"&amp;'Enveloppe du bâtiment hors terr'!V53 &amp;":A143"),0)+W52-1</f>
        <v>6</v>
      </c>
    </row>
    <row r="54" spans="1:24">
      <c r="A54" s="483" t="str">
        <f>'Calcul ACV'!$C$32</f>
        <v>Isolation thermique extérieure, enduit</v>
      </c>
      <c r="B54" s="1182" t="s">
        <v>599</v>
      </c>
      <c r="C54" s="483" t="s">
        <v>600</v>
      </c>
      <c r="D54" s="483" t="str">
        <f>VLOOKUP(F54,'Baumaterialien Matériaux'!$A$10:$AD$432,30,FALSE)</f>
        <v xml:space="preserve">Colle de construction/mortier d'enrobage minéral(e) </v>
      </c>
      <c r="E54" s="483" t="str">
        <f>VLOOKUP(F54,'Baumaterialien Matériaux'!$A$10:$AD$432,6,FALSE)</f>
        <v>kg</v>
      </c>
      <c r="F54" s="483" t="s">
        <v>592</v>
      </c>
      <c r="G54" s="484">
        <v>5.5</v>
      </c>
      <c r="H54" s="483"/>
      <c r="I54" s="484">
        <f>$G54*VLOOKUP(F54,'Baumaterialien Matériaux'!$A$10:$AD$432,21,FALSE)</f>
        <v>8.0849999999999991</v>
      </c>
      <c r="J54" s="484">
        <f>G54*VLOOKUP(F54,'Baumaterialien Matériaux'!$A$10:$AD$432,24,FALSE)</f>
        <v>0.28985</v>
      </c>
      <c r="K54" s="484">
        <f>G54*VLOOKUP(F54,'Baumaterialien Matériaux'!$A$10:$AD$432,26,FALSE)</f>
        <v>2.1615000000000002</v>
      </c>
      <c r="L54" s="484">
        <f>G54*VLOOKUP(F54,'Baumaterialien Matériaux'!$A$10:$AD$432,27,FALSE)</f>
        <v>7.0949999999999999E-2</v>
      </c>
      <c r="M54" s="484">
        <f>G54*VLOOKUP(F54,'Baumaterialien Matériaux'!$A$10:$AD$432,29,FALSE)</f>
        <v>0</v>
      </c>
      <c r="N54" s="856">
        <v>30</v>
      </c>
      <c r="O54" s="856"/>
      <c r="P54" s="856"/>
      <c r="Q54" s="856"/>
      <c r="R54" s="856"/>
      <c r="S54" s="383"/>
      <c r="T54" s="3">
        <v>6</v>
      </c>
      <c r="V54" s="3">
        <f t="shared" ca="1" si="14"/>
        <v>55</v>
      </c>
      <c r="W54" s="3">
        <f ca="1">MATCH(BillQuantities!$E$16, INDIRECT("A"&amp;'Enveloppe du bâtiment hors terr'!V54 &amp;":A143"),0)+W53-1</f>
        <v>6</v>
      </c>
    </row>
    <row r="55" spans="1:24">
      <c r="A55" s="483" t="str">
        <f>'Calcul ACV'!$C$32</f>
        <v>Isolation thermique extérieure, enduit</v>
      </c>
      <c r="B55" s="1182"/>
      <c r="C55" s="733" t="s">
        <v>601</v>
      </c>
      <c r="D55" s="483" t="str">
        <f>VLOOKUP(F55,'Baumaterialien Matériaux'!$A$10:$AD$432,30,FALSE)</f>
        <v>Polystyrène expansé (EPS)</v>
      </c>
      <c r="E55" s="483" t="str">
        <f>VLOOKUP(F55,'Baumaterialien Matériaux'!$A$10:$AD$432,6,FALSE)</f>
        <v>kg</v>
      </c>
      <c r="F55" s="853" t="s">
        <v>118</v>
      </c>
      <c r="G55" s="484">
        <f>0.2*16</f>
        <v>3.2</v>
      </c>
      <c r="H55" s="483"/>
      <c r="I55" s="484">
        <f>$G55*VLOOKUP(F55,'Baumaterialien Matériaux'!$A$10:$AD$432,21,FALSE)</f>
        <v>95.360000000000014</v>
      </c>
      <c r="J55" s="484">
        <f>G55*VLOOKUP(F55,'Baumaterialien Matériaux'!$A$10:$AD$432,24,FALSE)</f>
        <v>0.64960000000000007</v>
      </c>
      <c r="K55" s="484">
        <f>G55*VLOOKUP(F55,'Baumaterialien Matériaux'!$A$10:$AD$432,26,FALSE)</f>
        <v>14.432</v>
      </c>
      <c r="L55" s="484">
        <f>G55*VLOOKUP(F55,'Baumaterialien Matériaux'!$A$10:$AD$432,27,FALSE)</f>
        <v>9.8879999999999999</v>
      </c>
      <c r="M55" s="484">
        <f>G55*VLOOKUP(F55,'Baumaterialien Matériaux'!$A$10:$AD$432,29,FALSE)</f>
        <v>0</v>
      </c>
      <c r="N55" s="856">
        <v>30</v>
      </c>
      <c r="O55" s="856"/>
      <c r="P55" s="856"/>
      <c r="Q55" s="856"/>
      <c r="R55" s="856"/>
      <c r="S55" s="383"/>
      <c r="T55" s="3">
        <v>7</v>
      </c>
      <c r="V55" s="3">
        <f t="shared" ca="1" si="14"/>
        <v>55</v>
      </c>
      <c r="W55" s="3">
        <f ca="1">MATCH(BillQuantities!$E$16, INDIRECT("A"&amp;'Enveloppe du bâtiment hors terr'!V55 &amp;":A143"),0)+W54-1</f>
        <v>6</v>
      </c>
    </row>
    <row r="56" spans="1:24">
      <c r="A56" s="483" t="str">
        <f>'Calcul ACV'!$C$32</f>
        <v>Isolation thermique extérieure, enduit</v>
      </c>
      <c r="B56" s="1182"/>
      <c r="C56" s="483" t="s">
        <v>602</v>
      </c>
      <c r="D56" s="483" t="str">
        <f>VLOOKUP(F56,'Baumaterialien Matériaux'!$A$10:$AD$432,30,FALSE)</f>
        <v xml:space="preserve">Polyamide (PA) renforcé par des fibres de verre </v>
      </c>
      <c r="E56" s="483" t="str">
        <f>VLOOKUP(F56,'Baumaterialien Matériaux'!$A$10:$AD$432,6,FALSE)</f>
        <v>kg</v>
      </c>
      <c r="F56" s="483" t="s">
        <v>603</v>
      </c>
      <c r="G56" s="484">
        <v>0.12</v>
      </c>
      <c r="H56" s="483"/>
      <c r="I56" s="484">
        <f>$G56*VLOOKUP(F56,'Baumaterialien Matériaux'!$A$10:$AD$432,21,FALSE)</f>
        <v>4.7519999999999998</v>
      </c>
      <c r="J56" s="484">
        <f>G56*VLOOKUP(F56,'Baumaterialien Matériaux'!$A$10:$AD$432,24,FALSE)</f>
        <v>8.2559999999999995E-2</v>
      </c>
      <c r="K56" s="484">
        <f>G56*VLOOKUP(F56,'Baumaterialien Matériaux'!$A$10:$AD$432,26,FALSE)</f>
        <v>1.0668</v>
      </c>
      <c r="L56" s="484">
        <f>G56*VLOOKUP(F56,'Baumaterialien Matériaux'!$A$10:$AD$432,27,FALSE)</f>
        <v>0.31440000000000001</v>
      </c>
      <c r="M56" s="484">
        <f>G56*VLOOKUP(F56,'Baumaterialien Matériaux'!$A$10:$AD$432,29,FALSE)</f>
        <v>0</v>
      </c>
      <c r="N56" s="856">
        <v>30</v>
      </c>
      <c r="O56" s="856"/>
      <c r="P56" s="856"/>
      <c r="Q56" s="856"/>
      <c r="R56" s="856"/>
      <c r="S56" s="383"/>
      <c r="T56" s="3">
        <v>8</v>
      </c>
      <c r="V56" s="3">
        <f t="shared" ca="1" si="14"/>
        <v>55</v>
      </c>
      <c r="W56" s="3">
        <f ca="1">MATCH(BillQuantities!$E$16, INDIRECT("A"&amp;'Enveloppe du bâtiment hors terr'!V56 &amp;":A143"),0)+W55-1</f>
        <v>6</v>
      </c>
      <c r="X56" s="3" cm="1">
        <f t="array" aca="1" ref="X56" ca="1">INDEX('Enveloppe du bâtiment hors terr'!C57:C157, 'Enveloppe du bâtiment hors terr'!W56)</f>
        <v>0</v>
      </c>
    </row>
    <row r="57" spans="1:24">
      <c r="A57" s="483" t="str">
        <f>'Calcul ACV'!$C$32</f>
        <v>Isolation thermique extérieure, enduit</v>
      </c>
      <c r="B57" s="1182"/>
      <c r="C57" s="483" t="s">
        <v>604</v>
      </c>
      <c r="D57" s="483" t="str">
        <f>VLOOKUP(F57,'Baumaterialien Matériaux'!$A$10:$AD$432,30,FALSE)</f>
        <v>Colle de construction/mortier d'enrobage minéral(e) avec agrégats légers</v>
      </c>
      <c r="E57" s="483" t="str">
        <f>VLOOKUP(F57,'Baumaterialien Matériaux'!$A$10:$AD$432,6,FALSE)</f>
        <v>kg</v>
      </c>
      <c r="F57" s="483" t="s">
        <v>605</v>
      </c>
      <c r="G57" s="484">
        <v>12</v>
      </c>
      <c r="H57" s="483"/>
      <c r="I57" s="484">
        <f>$G57*VLOOKUP(F57,'Baumaterialien Matériaux'!$A$10:$AD$432,21,FALSE)</f>
        <v>18.72</v>
      </c>
      <c r="J57" s="484">
        <f>G57*VLOOKUP(F57,'Baumaterialien Matériaux'!$A$10:$AD$432,24,FALSE)</f>
        <v>0.63239999999999996</v>
      </c>
      <c r="K57" s="484">
        <f>G57*VLOOKUP(F57,'Baumaterialien Matériaux'!$A$10:$AD$432,26,FALSE)</f>
        <v>4.968</v>
      </c>
      <c r="L57" s="484">
        <f>G57*VLOOKUP(F57,'Baumaterialien Matériaux'!$A$10:$AD$432,27,FALSE)</f>
        <v>0.15479999999999999</v>
      </c>
      <c r="M57" s="484">
        <f>G57*VLOOKUP(F57,'Baumaterialien Matériaux'!$A$10:$AD$432,29,FALSE)</f>
        <v>0</v>
      </c>
      <c r="N57" s="856">
        <v>30</v>
      </c>
      <c r="O57" s="856"/>
      <c r="P57" s="856"/>
      <c r="Q57" s="856"/>
      <c r="R57" s="856"/>
      <c r="S57" s="383"/>
      <c r="T57" s="3">
        <v>9</v>
      </c>
    </row>
    <row r="58" spans="1:24">
      <c r="A58" s="483" t="str">
        <f>'Calcul ACV'!$C$32</f>
        <v>Isolation thermique extérieure, enduit</v>
      </c>
      <c r="B58" s="1182"/>
      <c r="C58" s="483" t="s">
        <v>606</v>
      </c>
      <c r="D58" s="483" t="str">
        <f>VLOOKUP(F58,'Baumaterialien Matériaux'!$A$10:$AD$432,30,FALSE)</f>
        <v xml:space="preserve">Polyamide (PA) renforcé par des fibres de verre </v>
      </c>
      <c r="E58" s="483" t="str">
        <f>VLOOKUP(F58,'Baumaterialien Matériaux'!$A$10:$AD$432,6,FALSE)</f>
        <v>kg</v>
      </c>
      <c r="F58" s="483" t="s">
        <v>603</v>
      </c>
      <c r="G58" s="484">
        <v>0.16</v>
      </c>
      <c r="H58" s="483"/>
      <c r="I58" s="484">
        <f>$G58*VLOOKUP(F58,'Baumaterialien Matériaux'!$A$10:$AD$432,21,FALSE)</f>
        <v>6.3360000000000003</v>
      </c>
      <c r="J58" s="484">
        <f>G58*VLOOKUP(F58,'Baumaterialien Matériaux'!$A$10:$AD$432,24,FALSE)</f>
        <v>0.11008</v>
      </c>
      <c r="K58" s="484">
        <f>G58*VLOOKUP(F58,'Baumaterialien Matériaux'!$A$10:$AD$432,26,FALSE)</f>
        <v>1.4224000000000001</v>
      </c>
      <c r="L58" s="484">
        <f>G58*VLOOKUP(F58,'Baumaterialien Matériaux'!$A$10:$AD$432,27,FALSE)</f>
        <v>0.41920000000000002</v>
      </c>
      <c r="M58" s="484">
        <f>G58*VLOOKUP(F58,'Baumaterialien Matériaux'!$A$10:$AD$432,29,FALSE)</f>
        <v>0</v>
      </c>
      <c r="N58" s="856">
        <v>30</v>
      </c>
      <c r="O58" s="856"/>
      <c r="P58" s="856"/>
      <c r="Q58" s="856"/>
      <c r="R58" s="856"/>
      <c r="S58" s="383"/>
      <c r="T58" s="3">
        <v>10</v>
      </c>
    </row>
    <row r="59" spans="1:24">
      <c r="A59" s="483" t="str">
        <f>'Calcul ACV'!$C$32</f>
        <v>Isolation thermique extérieure, enduit</v>
      </c>
      <c r="B59" s="1182"/>
      <c r="C59" s="483" t="s">
        <v>607</v>
      </c>
      <c r="D59" s="483" t="str">
        <f>VLOOKUP(F59,'Baumaterialien Matériaux'!$A$10:$AD$432,30,FALSE)</f>
        <v>Enduit en plâtre et en ciment</v>
      </c>
      <c r="E59" s="483" t="str">
        <f>VLOOKUP(F59,'Baumaterialien Matériaux'!$A$10:$AD$432,6,FALSE)</f>
        <v>kg</v>
      </c>
      <c r="F59" s="483" t="s">
        <v>563</v>
      </c>
      <c r="G59" s="484">
        <f>1550*0.0015</f>
        <v>2.3250000000000002</v>
      </c>
      <c r="H59" s="483"/>
      <c r="I59" s="484">
        <f>$G59*VLOOKUP(F59,'Baumaterialien Matériaux'!$A$10:$AD$432,21,FALSE)</f>
        <v>1.5414750000000002</v>
      </c>
      <c r="J59" s="484">
        <f>G59*VLOOKUP(F59,'Baumaterialien Matériaux'!$A$10:$AD$432,24,FALSE)</f>
        <v>0.1225275</v>
      </c>
      <c r="K59" s="484">
        <f>G59*VLOOKUP(F59,'Baumaterialien Matériaux'!$A$10:$AD$432,26,FALSE)</f>
        <v>0.58357500000000007</v>
      </c>
      <c r="L59" s="484">
        <f>G59*VLOOKUP(F59,'Baumaterialien Matériaux'!$A$10:$AD$432,27,FALSE)</f>
        <v>2.9992500000000002E-2</v>
      </c>
      <c r="M59" s="484">
        <f>G59*VLOOKUP(F59,'Baumaterialien Matériaux'!$A$10:$AD$432,29,FALSE)</f>
        <v>0</v>
      </c>
      <c r="N59" s="856">
        <v>30</v>
      </c>
      <c r="O59" s="856"/>
      <c r="P59" s="856"/>
      <c r="Q59" s="856"/>
      <c r="R59" s="856"/>
      <c r="S59" s="383"/>
      <c r="T59" s="3">
        <v>11</v>
      </c>
    </row>
    <row r="60" spans="1:24">
      <c r="A60" s="483" t="str">
        <f>'Calcul ACV'!$C$32</f>
        <v>Isolation thermique extérieure, enduit</v>
      </c>
      <c r="B60" s="1182"/>
      <c r="C60" s="483" t="s">
        <v>597</v>
      </c>
      <c r="D60" s="483" t="str">
        <f>VLOOKUP(F60,'Baumaterialien Matériaux'!$A$10:$AD$432,30,FALSE)</f>
        <v>Enduit, diluable à l'eau, 2 couches</v>
      </c>
      <c r="E60" s="483" t="str">
        <f>VLOOKUP(F60,'Baumaterialien Matériaux'!$A$10:$AD$432,6,FALSE)</f>
        <v>m2</v>
      </c>
      <c r="F60" s="483" t="s">
        <v>566</v>
      </c>
      <c r="G60" s="484">
        <v>1</v>
      </c>
      <c r="H60" s="483"/>
      <c r="I60" s="484">
        <f>$G60*VLOOKUP(F60,'Baumaterialien Matériaux'!$A$10:$AD$432,21,FALSE)</f>
        <v>4.1500000000000004</v>
      </c>
      <c r="J60" s="484">
        <f>G60*VLOOKUP(F60,'Baumaterialien Matériaux'!$A$10:$AD$432,24,FALSE)</f>
        <v>1.6799999999999999E-2</v>
      </c>
      <c r="K60" s="484">
        <f>G60*VLOOKUP(F60,'Baumaterialien Matériaux'!$A$10:$AD$432,26,FALSE)</f>
        <v>0.64600000000000002</v>
      </c>
      <c r="L60" s="484">
        <f>G60*VLOOKUP(F60,'Baumaterialien Matériaux'!$A$10:$AD$432,27,FALSE)</f>
        <v>5.62E-2</v>
      </c>
      <c r="M60" s="484">
        <f>G60*VLOOKUP(F60,'Baumaterialien Matériaux'!$A$10:$AD$432,29,FALSE)</f>
        <v>0</v>
      </c>
      <c r="N60" s="856">
        <v>30</v>
      </c>
      <c r="O60" s="856"/>
      <c r="P60" s="856"/>
      <c r="Q60" s="856"/>
      <c r="R60" s="856"/>
      <c r="S60" s="383"/>
      <c r="T60" s="3">
        <v>12</v>
      </c>
    </row>
    <row r="61" spans="1:24" ht="15">
      <c r="I61" s="485">
        <f>SUM(I54:I60)</f>
        <v>138.94447500000001</v>
      </c>
      <c r="J61" s="485">
        <f t="shared" ref="J61:M61" si="16">SUM(J54:J60)</f>
        <v>1.9038174999999997</v>
      </c>
      <c r="K61" s="485">
        <f t="shared" si="16"/>
        <v>25.280275</v>
      </c>
      <c r="L61" s="485">
        <f t="shared" si="16"/>
        <v>10.933542500000001</v>
      </c>
      <c r="M61" s="485">
        <f t="shared" si="16"/>
        <v>0</v>
      </c>
      <c r="N61" s="843">
        <v>30</v>
      </c>
      <c r="O61" s="485">
        <f>I61/$N61</f>
        <v>4.6314825000000006</v>
      </c>
      <c r="P61" s="485">
        <f>J61/$N61</f>
        <v>6.346058333333332E-2</v>
      </c>
      <c r="Q61" s="485">
        <f>K61/$N61</f>
        <v>0.84267583333333329</v>
      </c>
      <c r="R61" s="485">
        <f>L61/$N61</f>
        <v>0.36445141666666669</v>
      </c>
      <c r="S61" s="485">
        <f>M61/$N61</f>
        <v>0</v>
      </c>
      <c r="T61" s="3">
        <v>13</v>
      </c>
    </row>
    <row r="62" spans="1:24" ht="15">
      <c r="C62" s="483"/>
      <c r="D62" s="483"/>
      <c r="E62" s="483"/>
      <c r="F62" s="483"/>
      <c r="G62" s="484"/>
      <c r="I62" s="353"/>
      <c r="J62" s="353"/>
      <c r="K62" s="353"/>
      <c r="L62" s="353"/>
      <c r="M62" s="353"/>
      <c r="S62" s="3" t="s">
        <v>558</v>
      </c>
      <c r="T62" s="3">
        <v>14</v>
      </c>
    </row>
    <row r="63" spans="1:24">
      <c r="A63" s="483" t="str">
        <f>'Calcul ACV'!$C$32</f>
        <v>Isolation thermique extérieure, enduit</v>
      </c>
      <c r="B63" s="1182" t="s">
        <v>608</v>
      </c>
      <c r="C63" s="483" t="s">
        <v>600</v>
      </c>
      <c r="D63" s="483" t="str">
        <f>VLOOKUP(F63,'Baumaterialien Matériaux'!$A$10:$AD$432,30,FALSE)</f>
        <v xml:space="preserve">Colle de construction/mortier d'enrobage minéral(e) </v>
      </c>
      <c r="E63" s="483" t="str">
        <f>VLOOKUP(F63,'Baumaterialien Matériaux'!$A$10:$AD$432,6,FALSE)</f>
        <v>kg</v>
      </c>
      <c r="F63" s="483" t="s">
        <v>592</v>
      </c>
      <c r="G63" s="484">
        <v>5.5</v>
      </c>
      <c r="I63" s="484">
        <f>$G63*VLOOKUP(F63,'Baumaterialien Matériaux'!$A$10:$AD$432,21,FALSE)</f>
        <v>8.0849999999999991</v>
      </c>
      <c r="J63" s="484">
        <f>G63*VLOOKUP(F63,'Baumaterialien Matériaux'!$A$10:$AD$432,24,FALSE)</f>
        <v>0.28985</v>
      </c>
      <c r="K63" s="484">
        <f>G63*VLOOKUP(F63,'Baumaterialien Matériaux'!$A$10:$AD$432,26,FALSE)</f>
        <v>2.1615000000000002</v>
      </c>
      <c r="L63" s="484">
        <f>G63*VLOOKUP(F63,'Baumaterialien Matériaux'!$A$10:$AD$432,27,FALSE)</f>
        <v>7.0949999999999999E-2</v>
      </c>
      <c r="M63" s="484">
        <f>G63*VLOOKUP(F63,'Baumaterialien Matériaux'!$A$10:$AD$432,29,FALSE)</f>
        <v>0</v>
      </c>
      <c r="N63" s="1184"/>
      <c r="O63" s="1184"/>
      <c r="P63" s="1184"/>
      <c r="Q63" s="1184"/>
      <c r="R63" s="1184"/>
      <c r="S63" s="383"/>
      <c r="T63" s="3">
        <v>15</v>
      </c>
    </row>
    <row r="64" spans="1:24">
      <c r="A64" s="483" t="str">
        <f>'Calcul ACV'!$C$32</f>
        <v>Isolation thermique extérieure, enduit</v>
      </c>
      <c r="B64" s="1182"/>
      <c r="C64" s="733" t="s">
        <v>609</v>
      </c>
      <c r="D64" s="483" t="str">
        <f>VLOOKUP(F64,'Baumaterialien Matériaux'!$A$10:$AD$432,30,FALSE)</f>
        <v>Laine de roche</v>
      </c>
      <c r="E64" s="483" t="str">
        <f>VLOOKUP(F64,'Baumaterialien Matériaux'!$A$10:$AD$432,6,FALSE)</f>
        <v>kg</v>
      </c>
      <c r="F64" s="483" t="s">
        <v>106</v>
      </c>
      <c r="G64" s="484">
        <f>0.22*80</f>
        <v>17.600000000000001</v>
      </c>
      <c r="I64" s="484">
        <f>$G64*VLOOKUP(F64,'Baumaterialien Matériaux'!$A$10:$AD$432,21,FALSE)</f>
        <v>76.032000000000011</v>
      </c>
      <c r="J64" s="484">
        <f>G64*VLOOKUP(F64,'Baumaterialien Matériaux'!$A$10:$AD$432,24,FALSE)</f>
        <v>2.3408000000000002</v>
      </c>
      <c r="K64" s="484">
        <f>G64*VLOOKUP(F64,'Baumaterialien Matériaux'!$A$10:$AD$432,26,FALSE)</f>
        <v>19.887999999999998</v>
      </c>
      <c r="L64" s="484">
        <f>G64*VLOOKUP(F64,'Baumaterialien Matériaux'!$A$10:$AD$432,27,FALSE)</f>
        <v>1.0489600000000001</v>
      </c>
      <c r="M64" s="484">
        <f>G64*VLOOKUP(F64,'Baumaterialien Matériaux'!$A$10:$AD$432,29,FALSE)</f>
        <v>0</v>
      </c>
      <c r="N64" s="1184"/>
      <c r="O64" s="1184"/>
      <c r="P64" s="1184"/>
      <c r="Q64" s="1184"/>
      <c r="R64" s="1184"/>
      <c r="S64" s="383"/>
      <c r="T64" s="3">
        <v>16</v>
      </c>
    </row>
    <row r="65" spans="1:20">
      <c r="A65" s="483" t="str">
        <f>'Calcul ACV'!$C$32</f>
        <v>Isolation thermique extérieure, enduit</v>
      </c>
      <c r="B65" s="1182"/>
      <c r="C65" s="483" t="s">
        <v>602</v>
      </c>
      <c r="D65" s="483" t="str">
        <f>VLOOKUP(F65,'Baumaterialien Matériaux'!$A$10:$AD$432,30,FALSE)</f>
        <v xml:space="preserve">Polyamide (PA) renforcé par des fibres de verre </v>
      </c>
      <c r="E65" s="483" t="str">
        <f>VLOOKUP(F65,'Baumaterialien Matériaux'!$A$10:$AD$432,6,FALSE)</f>
        <v>kg</v>
      </c>
      <c r="F65" s="483" t="s">
        <v>603</v>
      </c>
      <c r="G65" s="484">
        <v>0.12</v>
      </c>
      <c r="I65" s="484">
        <f>$G65*VLOOKUP(F65,'Baumaterialien Matériaux'!$A$10:$AD$432,21,FALSE)</f>
        <v>4.7519999999999998</v>
      </c>
      <c r="J65" s="484">
        <f>G65*VLOOKUP(F65,'Baumaterialien Matériaux'!$A$10:$AD$432,24,FALSE)</f>
        <v>8.2559999999999995E-2</v>
      </c>
      <c r="K65" s="484">
        <f>G65*VLOOKUP(F65,'Baumaterialien Matériaux'!$A$10:$AD$432,26,FALSE)</f>
        <v>1.0668</v>
      </c>
      <c r="L65" s="484">
        <f>G65*VLOOKUP(F65,'Baumaterialien Matériaux'!$A$10:$AD$432,27,FALSE)</f>
        <v>0.31440000000000001</v>
      </c>
      <c r="M65" s="484">
        <f>G65*VLOOKUP(F65,'Baumaterialien Matériaux'!$A$10:$AD$432,29,FALSE)</f>
        <v>0</v>
      </c>
      <c r="N65" s="1184"/>
      <c r="O65" s="1184"/>
      <c r="P65" s="1184"/>
      <c r="Q65" s="1184"/>
      <c r="R65" s="1184"/>
      <c r="S65" s="383"/>
      <c r="T65" s="3">
        <v>17</v>
      </c>
    </row>
    <row r="66" spans="1:20">
      <c r="A66" s="483" t="str">
        <f>'Calcul ACV'!$C$32</f>
        <v>Isolation thermique extérieure, enduit</v>
      </c>
      <c r="B66" s="1182"/>
      <c r="C66" s="483" t="s">
        <v>604</v>
      </c>
      <c r="D66" s="483" t="str">
        <f>VLOOKUP(F66,'Baumaterialien Matériaux'!$A$10:$AD$432,30,FALSE)</f>
        <v>Colle de construction/mortier d'enrobage minéral(e) avec agrégats légers</v>
      </c>
      <c r="E66" s="483" t="str">
        <f>VLOOKUP(F66,'Baumaterialien Matériaux'!$A$10:$AD$432,6,FALSE)</f>
        <v>kg</v>
      </c>
      <c r="F66" s="483" t="s">
        <v>605</v>
      </c>
      <c r="G66" s="484">
        <v>12</v>
      </c>
      <c r="I66" s="484">
        <f>$G66*VLOOKUP(F66,'Baumaterialien Matériaux'!$A$10:$AD$432,21,FALSE)</f>
        <v>18.72</v>
      </c>
      <c r="J66" s="484">
        <f>G66*VLOOKUP(F66,'Baumaterialien Matériaux'!$A$10:$AD$432,24,FALSE)</f>
        <v>0.63239999999999996</v>
      </c>
      <c r="K66" s="484">
        <f>G66*VLOOKUP(F66,'Baumaterialien Matériaux'!$A$10:$AD$432,26,FALSE)</f>
        <v>4.968</v>
      </c>
      <c r="L66" s="484">
        <f>G66*VLOOKUP(F66,'Baumaterialien Matériaux'!$A$10:$AD$432,27,FALSE)</f>
        <v>0.15479999999999999</v>
      </c>
      <c r="M66" s="484">
        <f>G66*VLOOKUP(F66,'Baumaterialien Matériaux'!$A$10:$AD$432,29,FALSE)</f>
        <v>0</v>
      </c>
      <c r="N66" s="1184"/>
      <c r="O66" s="1184"/>
      <c r="P66" s="1184"/>
      <c r="Q66" s="1184"/>
      <c r="R66" s="1184"/>
      <c r="S66" s="383"/>
      <c r="T66" s="3">
        <v>18</v>
      </c>
    </row>
    <row r="67" spans="1:20">
      <c r="A67" s="483" t="str">
        <f>'Calcul ACV'!$C$32</f>
        <v>Isolation thermique extérieure, enduit</v>
      </c>
      <c r="B67" s="1182"/>
      <c r="C67" s="483" t="s">
        <v>606</v>
      </c>
      <c r="D67" s="483" t="str">
        <f>VLOOKUP(F67,'Baumaterialien Matériaux'!$A$10:$AD$432,30,FALSE)</f>
        <v xml:space="preserve">Polyamide (PA) renforcé par des fibres de verre </v>
      </c>
      <c r="E67" s="483" t="str">
        <f>VLOOKUP(F67,'Baumaterialien Matériaux'!$A$10:$AD$432,6,FALSE)</f>
        <v>kg</v>
      </c>
      <c r="F67" s="483" t="s">
        <v>603</v>
      </c>
      <c r="G67" s="484">
        <v>0.16</v>
      </c>
      <c r="I67" s="484">
        <f>$G67*VLOOKUP(F67,'Baumaterialien Matériaux'!$A$10:$AD$432,21,FALSE)</f>
        <v>6.3360000000000003</v>
      </c>
      <c r="J67" s="484">
        <f>G67*VLOOKUP(F67,'Baumaterialien Matériaux'!$A$10:$AD$432,24,FALSE)</f>
        <v>0.11008</v>
      </c>
      <c r="K67" s="484">
        <f>G67*VLOOKUP(F67,'Baumaterialien Matériaux'!$A$10:$AD$432,26,FALSE)</f>
        <v>1.4224000000000001</v>
      </c>
      <c r="L67" s="484">
        <f>G67*VLOOKUP(F67,'Baumaterialien Matériaux'!$A$10:$AD$432,27,FALSE)</f>
        <v>0.41920000000000002</v>
      </c>
      <c r="M67" s="484">
        <f>G67*VLOOKUP(F67,'Baumaterialien Matériaux'!$A$10:$AD$432,29,FALSE)</f>
        <v>0</v>
      </c>
      <c r="N67" s="1184"/>
      <c r="O67" s="1184"/>
      <c r="P67" s="1184"/>
      <c r="Q67" s="1184"/>
      <c r="R67" s="1184"/>
      <c r="S67" s="383"/>
      <c r="T67" s="3">
        <v>19</v>
      </c>
    </row>
    <row r="68" spans="1:20">
      <c r="A68" s="483" t="str">
        <f>'Calcul ACV'!$C$32</f>
        <v>Isolation thermique extérieure, enduit</v>
      </c>
      <c r="B68" s="1182"/>
      <c r="C68" s="483" t="s">
        <v>607</v>
      </c>
      <c r="D68" s="483" t="str">
        <f>VLOOKUP(F68,'Baumaterialien Matériaux'!$A$10:$AD$432,30,FALSE)</f>
        <v>Enduit en plâtre et en ciment</v>
      </c>
      <c r="E68" s="483" t="str">
        <f>VLOOKUP(F68,'Baumaterialien Matériaux'!$A$10:$AD$432,6,FALSE)</f>
        <v>kg</v>
      </c>
      <c r="F68" s="483" t="s">
        <v>563</v>
      </c>
      <c r="G68" s="484">
        <f>1550*0.0015</f>
        <v>2.3250000000000002</v>
      </c>
      <c r="I68" s="484">
        <f>$G68*VLOOKUP(F68,'Baumaterialien Matériaux'!$A$10:$AD$432,21,FALSE)</f>
        <v>1.5414750000000002</v>
      </c>
      <c r="J68" s="484">
        <f>G68*VLOOKUP(F68,'Baumaterialien Matériaux'!$A$10:$AD$432,24,FALSE)</f>
        <v>0.1225275</v>
      </c>
      <c r="K68" s="484">
        <f>G68*VLOOKUP(F68,'Baumaterialien Matériaux'!$A$10:$AD$432,26,FALSE)</f>
        <v>0.58357500000000007</v>
      </c>
      <c r="L68" s="484">
        <f>G68*VLOOKUP(F68,'Baumaterialien Matériaux'!$A$10:$AD$432,27,FALSE)</f>
        <v>2.9992500000000002E-2</v>
      </c>
      <c r="M68" s="484">
        <f>G68*VLOOKUP(F68,'Baumaterialien Matériaux'!$A$10:$AD$432,29,FALSE)</f>
        <v>0</v>
      </c>
      <c r="N68" s="1184"/>
      <c r="O68" s="1184"/>
      <c r="P68" s="1184"/>
      <c r="Q68" s="1184"/>
      <c r="R68" s="1184"/>
      <c r="S68" s="383"/>
      <c r="T68" s="3">
        <v>20</v>
      </c>
    </row>
    <row r="69" spans="1:20">
      <c r="A69" s="483" t="str">
        <f>'Calcul ACV'!$C$32</f>
        <v>Isolation thermique extérieure, enduit</v>
      </c>
      <c r="B69" s="1182"/>
      <c r="C69" s="483" t="s">
        <v>597</v>
      </c>
      <c r="D69" s="483" t="str">
        <f>VLOOKUP(F69,'Baumaterialien Matériaux'!$A$10:$AD$432,30,FALSE)</f>
        <v>Enduit, diluable à l'eau, 2 couches</v>
      </c>
      <c r="E69" s="483" t="str">
        <f>VLOOKUP(F69,'Baumaterialien Matériaux'!$A$10:$AD$432,6,FALSE)</f>
        <v>m2</v>
      </c>
      <c r="F69" s="483" t="s">
        <v>566</v>
      </c>
      <c r="G69" s="484">
        <v>1</v>
      </c>
      <c r="I69" s="484">
        <f>$G69*VLOOKUP(F69,'Baumaterialien Matériaux'!$A$10:$AD$432,21,FALSE)</f>
        <v>4.1500000000000004</v>
      </c>
      <c r="J69" s="484">
        <f>G69*VLOOKUP(F69,'Baumaterialien Matériaux'!$A$10:$AD$432,24,FALSE)</f>
        <v>1.6799999999999999E-2</v>
      </c>
      <c r="K69" s="484">
        <f>G69*VLOOKUP(F69,'Baumaterialien Matériaux'!$A$10:$AD$432,26,FALSE)</f>
        <v>0.64600000000000002</v>
      </c>
      <c r="L69" s="484">
        <f>G69*VLOOKUP(F69,'Baumaterialien Matériaux'!$A$10:$AD$432,27,FALSE)</f>
        <v>5.62E-2</v>
      </c>
      <c r="M69" s="484">
        <f>G69*VLOOKUP(F69,'Baumaterialien Matériaux'!$A$10:$AD$432,29,FALSE)</f>
        <v>0</v>
      </c>
      <c r="N69" s="1184"/>
      <c r="O69" s="1184"/>
      <c r="P69" s="1184"/>
      <c r="Q69" s="1184"/>
      <c r="R69" s="1184"/>
      <c r="S69" s="383"/>
      <c r="T69" s="3">
        <v>21</v>
      </c>
    </row>
    <row r="70" spans="1:20" ht="15">
      <c r="I70" s="485">
        <f>SUM(I63:I69)</f>
        <v>119.61647500000001</v>
      </c>
      <c r="J70" s="485">
        <f t="shared" ref="J70:M70" si="17">SUM(J63:J69)</f>
        <v>3.5950175</v>
      </c>
      <c r="K70" s="485">
        <f t="shared" si="17"/>
        <v>30.736274999999999</v>
      </c>
      <c r="L70" s="485">
        <f t="shared" si="17"/>
        <v>2.0945025000000004</v>
      </c>
      <c r="M70" s="485">
        <f t="shared" si="17"/>
        <v>0</v>
      </c>
      <c r="N70" s="843">
        <v>30</v>
      </c>
      <c r="O70" s="485">
        <f>I70/$N70</f>
        <v>3.9872158333333334</v>
      </c>
      <c r="P70" s="485">
        <f>J70/$N70</f>
        <v>0.11983391666666666</v>
      </c>
      <c r="Q70" s="485">
        <f>K70/$N70</f>
        <v>1.0245424999999999</v>
      </c>
      <c r="R70" s="485">
        <f>L70/$N70</f>
        <v>6.9816750000000011E-2</v>
      </c>
      <c r="S70" s="485">
        <f>M70/$N70</f>
        <v>0</v>
      </c>
      <c r="T70" s="3">
        <v>22</v>
      </c>
    </row>
    <row r="71" spans="1:20" ht="15">
      <c r="I71" s="353"/>
      <c r="J71" s="353"/>
      <c r="K71" s="353"/>
      <c r="L71" s="353"/>
      <c r="M71" s="353"/>
      <c r="T71" s="3">
        <v>23</v>
      </c>
    </row>
    <row r="72" spans="1:20" ht="15">
      <c r="A72" s="483" t="s">
        <v>610</v>
      </c>
      <c r="B72" s="1162"/>
      <c r="C72" s="1162"/>
      <c r="D72" s="1162"/>
      <c r="E72" s="1162"/>
      <c r="F72" s="1162"/>
      <c r="G72" s="1162"/>
      <c r="H72" s="483"/>
      <c r="I72" s="485">
        <f>AVERAGE(I61,I70)</f>
        <v>129.28047500000002</v>
      </c>
      <c r="J72" s="485">
        <f t="shared" ref="J72:M72" si="18">AVERAGE(J61,J70)</f>
        <v>2.7494174999999998</v>
      </c>
      <c r="K72" s="485">
        <f t="shared" si="18"/>
        <v>28.008274999999998</v>
      </c>
      <c r="L72" s="485">
        <f t="shared" si="18"/>
        <v>6.5140225000000012</v>
      </c>
      <c r="M72" s="485">
        <f t="shared" si="18"/>
        <v>0</v>
      </c>
      <c r="N72" s="483"/>
      <c r="O72" s="485">
        <f>AVERAGE(O61,O70)</f>
        <v>4.3093491666666672</v>
      </c>
      <c r="P72" s="485">
        <f t="shared" ref="P72:S72" si="19">AVERAGE(P61,P70)</f>
        <v>9.1647249999999986E-2</v>
      </c>
      <c r="Q72" s="485">
        <f t="shared" si="19"/>
        <v>0.9336091666666666</v>
      </c>
      <c r="R72" s="485">
        <f t="shared" si="19"/>
        <v>0.21713408333333334</v>
      </c>
      <c r="S72" s="485">
        <f t="shared" si="19"/>
        <v>0</v>
      </c>
      <c r="T72" s="3">
        <v>24</v>
      </c>
    </row>
    <row r="73" spans="1:20" ht="15">
      <c r="I73" s="353"/>
      <c r="J73" s="353"/>
      <c r="K73" s="353"/>
      <c r="L73" s="353"/>
      <c r="M73" s="353"/>
      <c r="T73" s="3">
        <v>25</v>
      </c>
    </row>
    <row r="74" spans="1:20">
      <c r="S74" s="3" t="s">
        <v>558</v>
      </c>
      <c r="T74" s="3">
        <v>26</v>
      </c>
    </row>
    <row r="75" spans="1:20">
      <c r="A75" s="483" t="str">
        <f>'Calcul ACV'!$C$33</f>
        <v>Revêtement bois, ventilé</v>
      </c>
      <c r="B75" s="1182" t="s">
        <v>611</v>
      </c>
      <c r="C75" s="483" t="s">
        <v>612</v>
      </c>
      <c r="D75" s="483" t="str">
        <f>VLOOKUP(F75,'Baumaterialien Matériaux'!$A$10:$AD$432,30,FALSE)</f>
        <v>Bois massif épicéa / sapin / mélèze, séché en cellule, raboté</v>
      </c>
      <c r="E75" s="483" t="str">
        <f>VLOOKUP(F75,'Baumaterialien Matériaux'!$A$10:$AD$432,6,FALSE)</f>
        <v>kg</v>
      </c>
      <c r="F75" s="483" t="s">
        <v>129</v>
      </c>
      <c r="G75" s="484">
        <f>0.0285*465</f>
        <v>13.252500000000001</v>
      </c>
      <c r="H75" s="483"/>
      <c r="I75" s="484">
        <f>$G75*VLOOKUP(F75,'Baumaterialien Matériaux'!$A$10:$AD$432,21,FALSE)</f>
        <v>9.1442250000000005</v>
      </c>
      <c r="J75" s="484">
        <f>G75*VLOOKUP(F75,'Baumaterialien Matériaux'!$A$10:$AD$432,24,FALSE)</f>
        <v>1.182123</v>
      </c>
      <c r="K75" s="484">
        <f>G75*VLOOKUP(F75,'Baumaterialien Matériaux'!$A$10:$AD$432,26,FALSE)</f>
        <v>1.7890875000000004</v>
      </c>
      <c r="L75" s="484">
        <f>G75*VLOOKUP(F75,'Baumaterialien Matériaux'!$A$10:$AD$432,27,FALSE)</f>
        <v>0.51949800000000002</v>
      </c>
      <c r="M75" s="484">
        <f>G75*VLOOKUP(F75,'Baumaterialien Matériaux'!$A$10:$AD$432,29,FALSE)</f>
        <v>21.915217500000001</v>
      </c>
      <c r="N75" s="711">
        <v>40</v>
      </c>
      <c r="O75" s="712"/>
      <c r="P75" s="712"/>
      <c r="Q75" s="712"/>
      <c r="R75" s="712"/>
      <c r="S75" s="383"/>
      <c r="T75" s="3">
        <v>27</v>
      </c>
    </row>
    <row r="76" spans="1:20">
      <c r="A76" s="483" t="str">
        <f>'Calcul ACV'!$C$33</f>
        <v>Revêtement bois, ventilé</v>
      </c>
      <c r="B76" s="1182"/>
      <c r="C76" s="483" t="s">
        <v>613</v>
      </c>
      <c r="D76" s="483" t="str">
        <f>VLOOKUP(F76,'Baumaterialien Matériaux'!$A$10:$AD$432,30,FALSE)</f>
        <v>Enduit, diluable à l'eau, 2 couches</v>
      </c>
      <c r="E76" s="483" t="str">
        <f>VLOOKUP(F76,'Baumaterialien Matériaux'!$A$10:$AD$432,6,FALSE)</f>
        <v>m2</v>
      </c>
      <c r="F76" s="483" t="s">
        <v>566</v>
      </c>
      <c r="G76" s="484">
        <v>1</v>
      </c>
      <c r="H76" s="483"/>
      <c r="I76" s="484">
        <f>$G76*VLOOKUP(F76,'Baumaterialien Matériaux'!$A$10:$AD$432,21,FALSE)</f>
        <v>4.1500000000000004</v>
      </c>
      <c r="J76" s="484">
        <f>G76*VLOOKUP(F76,'Baumaterialien Matériaux'!$A$10:$AD$432,24,FALSE)</f>
        <v>1.6799999999999999E-2</v>
      </c>
      <c r="K76" s="484">
        <f>G76*VLOOKUP(F76,'Baumaterialien Matériaux'!$A$10:$AD$432,26,FALSE)</f>
        <v>0.64600000000000002</v>
      </c>
      <c r="L76" s="484">
        <f>G76*VLOOKUP(F76,'Baumaterialien Matériaux'!$A$10:$AD$432,27,FALSE)</f>
        <v>5.62E-2</v>
      </c>
      <c r="M76" s="484">
        <f>G76*VLOOKUP(F76,'Baumaterialien Matériaux'!$A$10:$AD$432,29,FALSE)</f>
        <v>0</v>
      </c>
      <c r="N76" s="711">
        <v>40</v>
      </c>
      <c r="O76" s="712"/>
      <c r="P76" s="712"/>
      <c r="Q76" s="712"/>
      <c r="R76" s="712"/>
      <c r="S76" s="383"/>
      <c r="T76" s="3">
        <v>28</v>
      </c>
    </row>
    <row r="77" spans="1:20">
      <c r="A77" s="483" t="str">
        <f>'Calcul ACV'!$C$33</f>
        <v>Revêtement bois, ventilé</v>
      </c>
      <c r="B77" s="1182"/>
      <c r="C77" s="483" t="s">
        <v>614</v>
      </c>
      <c r="D77" s="483" t="str">
        <f>VLOOKUP(F77,'Baumaterialien Matériaux'!$A$10:$AD$432,30,FALSE)</f>
        <v>Tôle d'acier nickel-chrome 18/8, nue</v>
      </c>
      <c r="E77" s="483" t="str">
        <f>VLOOKUP(F77,'Baumaterialien Matériaux'!$A$10:$AD$432,6,FALSE)</f>
        <v>kg</v>
      </c>
      <c r="F77" s="483" t="s">
        <v>615</v>
      </c>
      <c r="G77" s="484">
        <v>0.37064999999999998</v>
      </c>
      <c r="H77" s="483"/>
      <c r="I77" s="484">
        <f>$G77*VLOOKUP(F77,'Baumaterialien Matériaux'!$A$10:$AD$432,21,FALSE)</f>
        <v>5.3744249999999996</v>
      </c>
      <c r="J77" s="484">
        <f>G77*VLOOKUP(F77,'Baumaterialien Matériaux'!$A$10:$AD$432,24,FALSE)</f>
        <v>1.0118745E-2</v>
      </c>
      <c r="K77" s="484">
        <f>G77*VLOOKUP(F77,'Baumaterialien Matériaux'!$A$10:$AD$432,26,FALSE)</f>
        <v>1.5270779999999999</v>
      </c>
      <c r="L77" s="484">
        <f>G77*VLOOKUP(F77,'Baumaterialien Matériaux'!$A$10:$AD$432,27,FALSE)</f>
        <v>2.5908434999999995E-3</v>
      </c>
      <c r="M77" s="484">
        <f>G77*VLOOKUP(F77,'Baumaterialien Matériaux'!$A$10:$AD$432,29,FALSE)</f>
        <v>0</v>
      </c>
      <c r="N77" s="711">
        <v>40</v>
      </c>
      <c r="O77" s="712"/>
      <c r="P77" s="712"/>
      <c r="Q77" s="712"/>
      <c r="R77" s="712"/>
      <c r="S77" s="383"/>
      <c r="T77" s="3">
        <v>29</v>
      </c>
    </row>
    <row r="78" spans="1:20">
      <c r="A78" s="483" t="str">
        <f>'Calcul ACV'!$C$33</f>
        <v>Revêtement bois, ventilé</v>
      </c>
      <c r="B78" s="1182"/>
      <c r="C78" s="483" t="s">
        <v>616</v>
      </c>
      <c r="D78" s="483" t="str">
        <f>VLOOKUP(F78,'Baumaterialien Matériaux'!$A$10:$AD$432,30,FALSE)</f>
        <v xml:space="preserve">Polyamide (PA) renforcé par des fibres de verre </v>
      </c>
      <c r="E78" s="483" t="str">
        <f>VLOOKUP(F78,'Baumaterialien Matériaux'!$A$10:$AD$432,6,FALSE)</f>
        <v>kg</v>
      </c>
      <c r="F78" s="483" t="s">
        <v>603</v>
      </c>
      <c r="G78" s="484">
        <v>8.4400000000000003E-2</v>
      </c>
      <c r="H78" s="483"/>
      <c r="I78" s="484">
        <f>$G78*VLOOKUP(F78,'Baumaterialien Matériaux'!$A$10:$AD$432,21,FALSE)</f>
        <v>3.3422400000000003</v>
      </c>
      <c r="J78" s="484">
        <f>G78*VLOOKUP(F78,'Baumaterialien Matériaux'!$A$10:$AD$432,24,FALSE)</f>
        <v>5.8067199999999999E-2</v>
      </c>
      <c r="K78" s="484">
        <f>G78*VLOOKUP(F78,'Baumaterialien Matériaux'!$A$10:$AD$432,26,FALSE)</f>
        <v>0.75031600000000009</v>
      </c>
      <c r="L78" s="484">
        <f>G78*VLOOKUP(F78,'Baumaterialien Matériaux'!$A$10:$AD$432,27,FALSE)</f>
        <v>0.22112800000000002</v>
      </c>
      <c r="M78" s="484">
        <f>G78*VLOOKUP(F78,'Baumaterialien Matériaux'!$A$10:$AD$432,29,FALSE)</f>
        <v>0</v>
      </c>
      <c r="N78" s="711">
        <v>40</v>
      </c>
      <c r="O78" s="712"/>
      <c r="P78" s="712"/>
      <c r="Q78" s="712"/>
      <c r="R78" s="712"/>
      <c r="S78" s="383"/>
      <c r="T78" s="3">
        <v>30</v>
      </c>
    </row>
    <row r="79" spans="1:20">
      <c r="A79" s="483" t="str">
        <f>'Calcul ACV'!$C$33</f>
        <v>Revêtement bois, ventilé</v>
      </c>
      <c r="B79" s="1182"/>
      <c r="C79" s="483" t="s">
        <v>617</v>
      </c>
      <c r="D79" s="483" t="str">
        <f>VLOOKUP(F79,'Baumaterialien Matériaux'!$A$10:$AD$432,30,FALSE)</f>
        <v>Tôle d'acier, zinguée</v>
      </c>
      <c r="E79" s="483" t="str">
        <f>VLOOKUP(F79,'Baumaterialien Matériaux'!$A$10:$AD$432,6,FALSE)</f>
        <v>kg</v>
      </c>
      <c r="F79" s="483" t="s">
        <v>618</v>
      </c>
      <c r="G79" s="484">
        <v>0.54</v>
      </c>
      <c r="H79" s="483"/>
      <c r="I79" s="484">
        <f>$G79*VLOOKUP(F79,'Baumaterialien Matériaux'!$A$10:$AD$432,21,FALSE)</f>
        <v>8.4239999999999995</v>
      </c>
      <c r="J79" s="484">
        <f>G79*VLOOKUP(F79,'Baumaterialien Matériaux'!$A$10:$AD$432,24,FALSE)</f>
        <v>1.4742000000000002E-2</v>
      </c>
      <c r="K79" s="484">
        <f>G79*VLOOKUP(F79,'Baumaterialien Matériaux'!$A$10:$AD$432,26,FALSE)</f>
        <v>2.4246000000000003</v>
      </c>
      <c r="L79" s="484">
        <f>G79*VLOOKUP(F79,'Baumaterialien Matériaux'!$A$10:$AD$432,27,FALSE)</f>
        <v>3.7745999999999999E-3</v>
      </c>
      <c r="M79" s="484">
        <f>G79*VLOOKUP(F79,'Baumaterialien Matériaux'!$A$10:$AD$432,29,FALSE)</f>
        <v>0</v>
      </c>
      <c r="N79" s="711">
        <v>40</v>
      </c>
      <c r="O79" s="712"/>
      <c r="P79" s="712"/>
      <c r="Q79" s="712"/>
      <c r="R79" s="712"/>
      <c r="S79" s="383"/>
      <c r="T79" s="3">
        <v>31</v>
      </c>
    </row>
    <row r="80" spans="1:20">
      <c r="A80" s="483" t="str">
        <f>'Calcul ACV'!$C$33</f>
        <v>Revêtement bois, ventilé</v>
      </c>
      <c r="B80" s="1182"/>
      <c r="C80" s="483" t="s">
        <v>619</v>
      </c>
      <c r="D80" s="483" t="str">
        <f>VLOOKUP(F80,'Baumaterialien Matériaux'!$A$10:$AD$432,30,FALSE)</f>
        <v xml:space="preserve">Polyamide (PA) renforcé par des fibres de verre </v>
      </c>
      <c r="E80" s="483" t="str">
        <f>VLOOKUP(F80,'Baumaterialien Matériaux'!$A$10:$AD$432,6,FALSE)</f>
        <v>kg</v>
      </c>
      <c r="F80" s="483" t="s">
        <v>603</v>
      </c>
      <c r="G80" s="484">
        <v>0.12</v>
      </c>
      <c r="H80" s="483"/>
      <c r="I80" s="484">
        <f>$G80*VLOOKUP(F80,'Baumaterialien Matériaux'!$A$10:$AD$432,21,FALSE)</f>
        <v>4.7519999999999998</v>
      </c>
      <c r="J80" s="484">
        <f>G80*VLOOKUP(F80,'Baumaterialien Matériaux'!$A$10:$AD$432,24,FALSE)</f>
        <v>8.2559999999999995E-2</v>
      </c>
      <c r="K80" s="484">
        <f>G80*VLOOKUP(F80,'Baumaterialien Matériaux'!$A$10:$AD$432,26,FALSE)</f>
        <v>1.0668</v>
      </c>
      <c r="L80" s="484">
        <f>G80*VLOOKUP(F80,'Baumaterialien Matériaux'!$A$10:$AD$432,27,FALSE)</f>
        <v>0.31440000000000001</v>
      </c>
      <c r="M80" s="484">
        <f>G80*VLOOKUP(F80,'Baumaterialien Matériaux'!$A$10:$AD$432,29,FALSE)</f>
        <v>0</v>
      </c>
      <c r="N80" s="711">
        <v>40</v>
      </c>
      <c r="O80" s="712"/>
      <c r="P80" s="712"/>
      <c r="Q80" s="712"/>
      <c r="R80" s="712"/>
      <c r="S80" s="383"/>
      <c r="T80" s="3">
        <v>32</v>
      </c>
    </row>
    <row r="81" spans="1:20">
      <c r="A81" s="483" t="str">
        <f>'Calcul ACV'!$C$33</f>
        <v>Revêtement bois, ventilé</v>
      </c>
      <c r="B81" s="1182"/>
      <c r="C81" s="483" t="s">
        <v>620</v>
      </c>
      <c r="D81" s="483" t="str">
        <f>VLOOKUP(F81,'Baumaterialien Matériaux'!$A$10:$AD$432,30,FALSE)</f>
        <v>Fibres de cellulose (soufflées)</v>
      </c>
      <c r="E81" s="483" t="str">
        <f>VLOOKUP(F81,'Baumaterialien Matériaux'!$A$10:$AD$432,6,FALSE)</f>
        <v>kg</v>
      </c>
      <c r="F81" s="857" t="s">
        <v>621</v>
      </c>
      <c r="G81" s="484">
        <f>0.2*60</f>
        <v>12</v>
      </c>
      <c r="H81" s="483"/>
      <c r="I81" s="484">
        <f>$G81*VLOOKUP(F81,'Baumaterialien Matériaux'!$A$10:$AD$432,21,FALSE)</f>
        <v>10.596</v>
      </c>
      <c r="J81" s="484">
        <f>G81*VLOOKUP(F81,'Baumaterialien Matériaux'!$A$10:$AD$432,24,FALSE)</f>
        <v>1.992</v>
      </c>
      <c r="K81" s="484">
        <f>G81*VLOOKUP(F81,'Baumaterialien Matériaux'!$A$10:$AD$432,26,FALSE)</f>
        <v>2.52</v>
      </c>
      <c r="L81" s="484">
        <f>G81*VLOOKUP(F81,'Baumaterialien Matériaux'!$A$10:$AD$432,27,FALSE)</f>
        <v>0.85799999999999987</v>
      </c>
      <c r="M81" s="484">
        <f>G81*VLOOKUP(F81,'Baumaterialien Matériaux'!$A$10:$AD$432,29,FALSE)</f>
        <v>17.776</v>
      </c>
      <c r="N81" s="711">
        <v>40</v>
      </c>
      <c r="O81" s="712"/>
      <c r="P81" s="712"/>
      <c r="Q81" s="712"/>
      <c r="R81" s="712"/>
      <c r="S81" s="383"/>
      <c r="T81" s="3">
        <v>33</v>
      </c>
    </row>
    <row r="82" spans="1:20">
      <c r="A82" s="483" t="str">
        <f>'Calcul ACV'!$C$33</f>
        <v>Revêtement bois, ventilé</v>
      </c>
      <c r="B82" s="1182"/>
      <c r="C82" s="483" t="s">
        <v>622</v>
      </c>
      <c r="D82" s="483" t="str">
        <f>VLOOKUP(F82,'Baumaterialien Matériaux'!$A$10:$AD$432,30,FALSE)</f>
        <v>Voile de polyéthylène (PE)</v>
      </c>
      <c r="E82" s="483" t="str">
        <f>VLOOKUP(F82,'Baumaterialien Matériaux'!$A$10:$AD$432,6,FALSE)</f>
        <v>kg</v>
      </c>
      <c r="F82" s="483" t="s">
        <v>528</v>
      </c>
      <c r="G82" s="484">
        <v>0.22</v>
      </c>
      <c r="H82" s="483"/>
      <c r="I82" s="484">
        <f>$G82*VLOOKUP(F82,'Baumaterialien Matériaux'!$A$10:$AD$432,21,FALSE)</f>
        <v>5.6539999999999999</v>
      </c>
      <c r="J82" s="484">
        <f>G82*VLOOKUP(F82,'Baumaterialien Matériaux'!$A$10:$AD$432,24,FALSE)</f>
        <v>4.6199999999999998E-2</v>
      </c>
      <c r="K82" s="484">
        <f>G82*VLOOKUP(F82,'Baumaterialien Matériaux'!$A$10:$AD$432,26,FALSE)</f>
        <v>0.6512</v>
      </c>
      <c r="L82" s="484">
        <f>G82*VLOOKUP(F82,'Baumaterialien Matériaux'!$A$10:$AD$432,27,FALSE)</f>
        <v>0.58740000000000003</v>
      </c>
      <c r="M82" s="484">
        <f>G82*VLOOKUP(F82,'Baumaterialien Matériaux'!$A$10:$AD$432,29,FALSE)</f>
        <v>0</v>
      </c>
      <c r="N82" s="717">
        <v>40</v>
      </c>
      <c r="O82" s="718"/>
      <c r="P82" s="718"/>
      <c r="Q82" s="718"/>
      <c r="R82" s="718"/>
      <c r="S82" s="383"/>
      <c r="T82" s="3">
        <v>34</v>
      </c>
    </row>
    <row r="83" spans="1:20" ht="15">
      <c r="I83" s="485">
        <f>SUM(I75:I82)</f>
        <v>51.436889999999991</v>
      </c>
      <c r="J83" s="485">
        <f t="shared" ref="J83:M83" si="20">SUM(J75:J82)</f>
        <v>3.4026109449999997</v>
      </c>
      <c r="K83" s="485">
        <f t="shared" si="20"/>
        <v>11.3750815</v>
      </c>
      <c r="L83" s="485">
        <f t="shared" si="20"/>
        <v>2.5629914435000001</v>
      </c>
      <c r="M83" s="485">
        <f t="shared" si="20"/>
        <v>39.6912175</v>
      </c>
      <c r="N83" s="843">
        <v>40</v>
      </c>
      <c r="O83" s="485">
        <f>I83/$N83</f>
        <v>1.2859222499999998</v>
      </c>
      <c r="P83" s="485">
        <f>J83/$N83</f>
        <v>8.5065273624999993E-2</v>
      </c>
      <c r="Q83" s="485">
        <f>K83/$N83</f>
        <v>0.28437703749999999</v>
      </c>
      <c r="R83" s="485">
        <f>L83/$N83</f>
        <v>6.4074786087500002E-2</v>
      </c>
      <c r="S83" s="485">
        <f>M83/$N83</f>
        <v>0.99228043750000006</v>
      </c>
      <c r="T83" s="3">
        <v>35</v>
      </c>
    </row>
    <row r="84" spans="1:20" ht="15">
      <c r="I84" s="353"/>
      <c r="J84" s="353"/>
      <c r="K84" s="353"/>
      <c r="L84" s="353"/>
      <c r="M84" s="353"/>
      <c r="N84" s="1"/>
      <c r="O84" s="353"/>
      <c r="P84" s="353"/>
      <c r="Q84" s="353"/>
      <c r="R84" s="353"/>
      <c r="S84" s="353"/>
      <c r="T84" s="3">
        <v>36</v>
      </c>
    </row>
    <row r="85" spans="1:20">
      <c r="S85" s="3" t="s">
        <v>558</v>
      </c>
      <c r="T85" s="3">
        <v>37</v>
      </c>
    </row>
    <row r="86" spans="1:20">
      <c r="A86" s="844" t="s">
        <v>623</v>
      </c>
      <c r="B86" s="1163" t="s">
        <v>624</v>
      </c>
      <c r="C86" s="483" t="s">
        <v>625</v>
      </c>
      <c r="D86" s="483" t="str">
        <f>VLOOKUP(F86,'Baumaterialien Matériaux'!$A$10:$AD$432,30,FALSE)</f>
        <v>Dalle de fibrociment, grande</v>
      </c>
      <c r="E86" s="483" t="str">
        <f>VLOOKUP(F86,'Baumaterialien Matériaux'!$A$10:$AD$432,6,FALSE)</f>
        <v>kg</v>
      </c>
      <c r="F86" s="483" t="s">
        <v>626</v>
      </c>
      <c r="G86" s="484">
        <v>15.7</v>
      </c>
      <c r="H86" s="483"/>
      <c r="I86" s="484">
        <f>$G86*VLOOKUP(F86,'Baumaterialien Matériaux'!$A$10:$AD$432,21,FALSE)</f>
        <v>45.058999999999997</v>
      </c>
      <c r="J86" s="484">
        <f>G86*VLOOKUP(F86,'Baumaterialien Matériaux'!$A$10:$AD$432,24,FALSE)</f>
        <v>0.83209999999999995</v>
      </c>
      <c r="K86" s="484">
        <f>G86*VLOOKUP(F86,'Baumaterialien Matériaux'!$A$10:$AD$432,26,FALSE)</f>
        <v>16.013999999999999</v>
      </c>
      <c r="L86" s="484">
        <f>G86*VLOOKUP(F86,'Baumaterialien Matériaux'!$A$10:$AD$432,27,FALSE)</f>
        <v>0.20880999999999997</v>
      </c>
      <c r="M86" s="484">
        <f>G86*VLOOKUP(F86,'Baumaterialien Matériaux'!$A$10:$AD$432,29,FALSE)</f>
        <v>0</v>
      </c>
      <c r="N86" s="1169"/>
      <c r="O86" s="1170"/>
      <c r="P86" s="1170"/>
      <c r="Q86" s="1170"/>
      <c r="R86" s="1171"/>
      <c r="S86" s="383"/>
      <c r="T86" s="3">
        <v>38</v>
      </c>
    </row>
    <row r="87" spans="1:20">
      <c r="A87" s="492"/>
      <c r="B87" s="1164"/>
      <c r="C87" s="483" t="s">
        <v>627</v>
      </c>
      <c r="D87" s="483" t="str">
        <f>VLOOKUP(F87,'Baumaterialien Matériaux'!$A$10:$AD$432,30,FALSE)</f>
        <v>Profil d'aluminium, nu</v>
      </c>
      <c r="E87" s="483" t="str">
        <f>VLOOKUP(F87,'Baumaterialien Matériaux'!$A$10:$AD$432,6,FALSE)</f>
        <v>kg</v>
      </c>
      <c r="F87" s="483" t="s">
        <v>104</v>
      </c>
      <c r="G87" s="484">
        <v>2.2076923076923078</v>
      </c>
      <c r="H87" s="483"/>
      <c r="I87" s="484">
        <f>$G87*VLOOKUP(F87,'Baumaterialien Matériaux'!$A$10:$AD$432,21,FALSE)</f>
        <v>56.516923076923085</v>
      </c>
      <c r="J87" s="484">
        <f>G87*VLOOKUP(F87,'Baumaterialien Matériaux'!$A$10:$AD$432,24,FALSE)</f>
        <v>6.9542307692307695E-2</v>
      </c>
      <c r="K87" s="484">
        <f>G87*VLOOKUP(F87,'Baumaterialien Matériaux'!$A$10:$AD$432,26,FALSE)</f>
        <v>12.561769230769233</v>
      </c>
      <c r="L87" s="484">
        <f>G87*VLOOKUP(F87,'Baumaterialien Matériaux'!$A$10:$AD$432,27,FALSE)</f>
        <v>1.7617384615384615E-2</v>
      </c>
      <c r="M87" s="484">
        <f>G87*VLOOKUP(F87,'Baumaterialien Matériaux'!$A$10:$AD$432,29,FALSE)</f>
        <v>0</v>
      </c>
      <c r="N87" s="1172"/>
      <c r="O87" s="1173"/>
      <c r="P87" s="1173"/>
      <c r="Q87" s="1173"/>
      <c r="R87" s="1174"/>
      <c r="S87" s="383"/>
      <c r="T87" s="3">
        <v>39</v>
      </c>
    </row>
    <row r="88" spans="1:20">
      <c r="A88" s="492"/>
      <c r="B88" s="1164"/>
      <c r="C88" s="483" t="s">
        <v>628</v>
      </c>
      <c r="D88" s="483" t="str">
        <f>VLOOKUP(F88,'Baumaterialien Matériaux'!$A$10:$AD$432,30,FALSE)</f>
        <v>Tôle d'acier nickel-chrome 18/8, nue</v>
      </c>
      <c r="E88" s="483" t="str">
        <f>VLOOKUP(F88,'Baumaterialien Matériaux'!$A$10:$AD$432,6,FALSE)</f>
        <v>kg</v>
      </c>
      <c r="F88" s="483" t="s">
        <v>615</v>
      </c>
      <c r="G88" s="484">
        <v>4.9000000000000002E-2</v>
      </c>
      <c r="H88" s="483"/>
      <c r="I88" s="484">
        <f>$G88*VLOOKUP(F88,'Baumaterialien Matériaux'!$A$10:$AD$432,21,FALSE)</f>
        <v>0.71050000000000002</v>
      </c>
      <c r="J88" s="484">
        <f>G88*VLOOKUP(F88,'Baumaterialien Matériaux'!$A$10:$AD$432,24,FALSE)</f>
        <v>1.3377E-3</v>
      </c>
      <c r="K88" s="484">
        <f>G88*VLOOKUP(F88,'Baumaterialien Matériaux'!$A$10:$AD$432,26,FALSE)</f>
        <v>0.20188</v>
      </c>
      <c r="L88" s="484">
        <f>G88*VLOOKUP(F88,'Baumaterialien Matériaux'!$A$10:$AD$432,27,FALSE)</f>
        <v>3.4250999999999997E-4</v>
      </c>
      <c r="M88" s="484">
        <f>G88*VLOOKUP(F88,'Baumaterialien Matériaux'!$A$10:$AD$432,29,FALSE)</f>
        <v>0</v>
      </c>
      <c r="N88" s="1172"/>
      <c r="O88" s="1173"/>
      <c r="P88" s="1173"/>
      <c r="Q88" s="1173"/>
      <c r="R88" s="1174"/>
      <c r="S88" s="383"/>
      <c r="T88" s="3">
        <v>40</v>
      </c>
    </row>
    <row r="89" spans="1:20">
      <c r="A89" s="492"/>
      <c r="B89" s="1164"/>
      <c r="C89" s="483" t="s">
        <v>629</v>
      </c>
      <c r="D89" s="483" t="str">
        <f>VLOOKUP(F89,'Baumaterialien Matériaux'!$A$10:$AD$432,30,FALSE)</f>
        <v>Chlorure de polyvinyle (PVC)</v>
      </c>
      <c r="E89" s="483" t="str">
        <f>VLOOKUP(F89,'Baumaterialien Matériaux'!$A$10:$AD$432,6,FALSE)</f>
        <v>kg</v>
      </c>
      <c r="F89" s="483" t="s">
        <v>630</v>
      </c>
      <c r="G89" s="484">
        <v>1.2E-2</v>
      </c>
      <c r="H89" s="483"/>
      <c r="I89" s="484">
        <f>$G89*VLOOKUP(F89,'Baumaterialien Matériaux'!$A$10:$AD$432,21,FALSE)</f>
        <v>0.2208</v>
      </c>
      <c r="J89" s="484">
        <f>G89*VLOOKUP(F89,'Baumaterialien Matériaux'!$A$10:$AD$432,24,FALSE)</f>
        <v>1.3200000000000002E-2</v>
      </c>
      <c r="K89" s="484">
        <f>G89*VLOOKUP(F89,'Baumaterialien Matériaux'!$A$10:$AD$432,26,FALSE)</f>
        <v>2.8559999999999999E-2</v>
      </c>
      <c r="L89" s="484">
        <f>G89*VLOOKUP(F89,'Baumaterialien Matériaux'!$A$10:$AD$432,27,FALSE)</f>
        <v>2.52E-2</v>
      </c>
      <c r="M89" s="484">
        <f>G89*VLOOKUP(F89,'Baumaterialien Matériaux'!$A$10:$AD$432,29,FALSE)</f>
        <v>0</v>
      </c>
      <c r="N89" s="1172"/>
      <c r="O89" s="1173"/>
      <c r="P89" s="1173"/>
      <c r="Q89" s="1173"/>
      <c r="R89" s="1174"/>
      <c r="S89" s="383"/>
      <c r="T89" s="3">
        <v>41</v>
      </c>
    </row>
    <row r="90" spans="1:20">
      <c r="A90" s="492"/>
      <c r="B90" s="1164"/>
      <c r="C90" s="483" t="s">
        <v>602</v>
      </c>
      <c r="D90" s="483" t="str">
        <f>VLOOKUP(F90,'Baumaterialien Matériaux'!$A$10:$AD$432,30,FALSE)</f>
        <v xml:space="preserve">Polyamide (PA) renforcé par des fibres de verre </v>
      </c>
      <c r="E90" s="483" t="str">
        <f>VLOOKUP(F90,'Baumaterialien Matériaux'!$A$10:$AD$432,6,FALSE)</f>
        <v>kg</v>
      </c>
      <c r="F90" s="483" t="s">
        <v>603</v>
      </c>
      <c r="G90" s="484">
        <v>0.12</v>
      </c>
      <c r="H90" s="483"/>
      <c r="I90" s="484">
        <f>$G90*VLOOKUP(F90,'Baumaterialien Matériaux'!$A$10:$AD$432,21,FALSE)</f>
        <v>4.7519999999999998</v>
      </c>
      <c r="J90" s="484">
        <f>G90*VLOOKUP(F90,'Baumaterialien Matériaux'!$A$10:$AD$432,24,FALSE)</f>
        <v>8.2559999999999995E-2</v>
      </c>
      <c r="K90" s="484">
        <f>G90*VLOOKUP(F90,'Baumaterialien Matériaux'!$A$10:$AD$432,26,FALSE)</f>
        <v>1.0668</v>
      </c>
      <c r="L90" s="484">
        <f>G90*VLOOKUP(F90,'Baumaterialien Matériaux'!$A$10:$AD$432,27,FALSE)</f>
        <v>0.31440000000000001</v>
      </c>
      <c r="M90" s="484">
        <f>G90*VLOOKUP(F90,'Baumaterialien Matériaux'!$A$10:$AD$432,29,FALSE)</f>
        <v>0</v>
      </c>
      <c r="N90" s="1172"/>
      <c r="O90" s="1173"/>
      <c r="P90" s="1173"/>
      <c r="Q90" s="1173"/>
      <c r="R90" s="1174"/>
      <c r="S90" s="383"/>
      <c r="T90" s="3">
        <v>42</v>
      </c>
    </row>
    <row r="91" spans="1:20">
      <c r="A91" s="492"/>
      <c r="B91" s="1164"/>
      <c r="C91" s="483" t="s">
        <v>620</v>
      </c>
      <c r="D91" s="483" t="str">
        <f>VLOOKUP(F91,'Baumaterialien Matériaux'!$A$10:$AD$432,30,FALSE)</f>
        <v>Laine de verre</v>
      </c>
      <c r="E91" s="483" t="str">
        <f>VLOOKUP(F91,'Baumaterialien Matériaux'!$A$10:$AD$432,6,FALSE)</f>
        <v>kg</v>
      </c>
      <c r="F91" s="483" t="s">
        <v>130</v>
      </c>
      <c r="G91" s="484">
        <f>0.2*38</f>
        <v>7.6000000000000005</v>
      </c>
      <c r="H91" s="483"/>
      <c r="I91" s="484">
        <f>$G91*VLOOKUP(F91,'Baumaterialien Matériaux'!$A$10:$AD$432,21,FALSE)</f>
        <v>40.508000000000003</v>
      </c>
      <c r="J91" s="484">
        <f>G91*VLOOKUP(F91,'Baumaterialien Matériaux'!$A$10:$AD$432,24,FALSE)</f>
        <v>1.0108000000000001</v>
      </c>
      <c r="K91" s="484">
        <f>G91*VLOOKUP(F91,'Baumaterialien Matériaux'!$A$10:$AD$432,26,FALSE)</f>
        <v>7.9040000000000008</v>
      </c>
      <c r="L91" s="484">
        <f>G91*VLOOKUP(F91,'Baumaterialien Matériaux'!$A$10:$AD$432,27,FALSE)</f>
        <v>0.45296000000000003</v>
      </c>
      <c r="M91" s="484">
        <f>G91*VLOOKUP(F91,'Baumaterialien Matériaux'!$A$10:$AD$432,29,FALSE)</f>
        <v>0</v>
      </c>
      <c r="N91" s="1172"/>
      <c r="O91" s="1173"/>
      <c r="P91" s="1173"/>
      <c r="Q91" s="1173"/>
      <c r="R91" s="1174"/>
      <c r="S91" s="383"/>
      <c r="T91" s="3">
        <v>43</v>
      </c>
    </row>
    <row r="92" spans="1:20">
      <c r="A92" s="493"/>
      <c r="B92" s="1165"/>
      <c r="C92" s="483" t="s">
        <v>622</v>
      </c>
      <c r="D92" s="483" t="str">
        <f>VLOOKUP(F92,'Baumaterialien Matériaux'!$A$10:$AD$432,30,FALSE)</f>
        <v>Voile de polyéthylène (PE)</v>
      </c>
      <c r="E92" s="483" t="str">
        <f>VLOOKUP(F92,'Baumaterialien Matériaux'!$A$10:$AD$432,6,FALSE)</f>
        <v>kg</v>
      </c>
      <c r="F92" s="483" t="s">
        <v>528</v>
      </c>
      <c r="G92" s="484">
        <v>0.22</v>
      </c>
      <c r="H92" s="483"/>
      <c r="I92" s="484">
        <f>$G92*VLOOKUP(F92,'Baumaterialien Matériaux'!$A$10:$AD$432,21,FALSE)</f>
        <v>5.6539999999999999</v>
      </c>
      <c r="J92" s="484">
        <f>G92*VLOOKUP(F92,'Baumaterialien Matériaux'!$A$10:$AD$432,24,FALSE)</f>
        <v>4.6199999999999998E-2</v>
      </c>
      <c r="K92" s="484">
        <f>G92*VLOOKUP(F92,'Baumaterialien Matériaux'!$A$10:$AD$432,26,FALSE)</f>
        <v>0.6512</v>
      </c>
      <c r="L92" s="484">
        <f>G92*VLOOKUP(F92,'Baumaterialien Matériaux'!$A$10:$AD$432,27,FALSE)</f>
        <v>0.58740000000000003</v>
      </c>
      <c r="M92" s="484">
        <f>G92*VLOOKUP(F92,'Baumaterialien Matériaux'!$A$10:$AD$432,29,FALSE)</f>
        <v>0</v>
      </c>
      <c r="N92" s="1175"/>
      <c r="O92" s="1176"/>
      <c r="P92" s="1176"/>
      <c r="Q92" s="1176"/>
      <c r="R92" s="1177"/>
      <c r="S92" s="383"/>
      <c r="T92" s="3">
        <v>44</v>
      </c>
    </row>
    <row r="93" spans="1:20" ht="15">
      <c r="I93" s="485">
        <f>SUM(I86:I92)</f>
        <v>153.42122307692307</v>
      </c>
      <c r="J93" s="485">
        <f t="shared" ref="J93:M93" si="21">SUM(J86:J92)</f>
        <v>2.0557400076923074</v>
      </c>
      <c r="K93" s="485">
        <f t="shared" si="21"/>
        <v>38.428209230769234</v>
      </c>
      <c r="L93" s="485">
        <f t="shared" si="21"/>
        <v>1.6067298946153845</v>
      </c>
      <c r="M93" s="485">
        <f t="shared" si="21"/>
        <v>0</v>
      </c>
      <c r="N93" s="843">
        <v>40</v>
      </c>
      <c r="O93" s="485">
        <f>I93/$N93</f>
        <v>3.8355305769230768</v>
      </c>
      <c r="P93" s="485">
        <f>J93/$N93</f>
        <v>5.1393500192307685E-2</v>
      </c>
      <c r="Q93" s="485">
        <f>K93/$N93</f>
        <v>0.96070523076923087</v>
      </c>
      <c r="R93" s="485">
        <f>L93/$N93</f>
        <v>4.0168247365384616E-2</v>
      </c>
      <c r="S93" s="485">
        <f>M93/$N93</f>
        <v>0</v>
      </c>
      <c r="T93" s="3">
        <v>45</v>
      </c>
    </row>
    <row r="94" spans="1:20">
      <c r="S94" s="3" t="s">
        <v>558</v>
      </c>
      <c r="T94" s="3">
        <v>46</v>
      </c>
    </row>
    <row r="95" spans="1:20">
      <c r="A95" s="483" t="s">
        <v>631</v>
      </c>
      <c r="B95" s="1182" t="s">
        <v>632</v>
      </c>
      <c r="C95" s="483" t="s">
        <v>633</v>
      </c>
      <c r="D95" s="483" t="str">
        <f>VLOOKUP(F95,'Baumaterialien Matériaux'!$A$10:$AD$432,30,FALSE)</f>
        <v>Plaque de grès dur</v>
      </c>
      <c r="E95" s="483" t="str">
        <f>VLOOKUP(F95,'Baumaterialien Matériaux'!$A$10:$AD$432,6,FALSE)</f>
        <v>kg</v>
      </c>
      <c r="F95" s="483" t="s">
        <v>634</v>
      </c>
      <c r="G95" s="484">
        <f>0.03*2500</f>
        <v>75</v>
      </c>
      <c r="I95" s="484">
        <f>$G95*VLOOKUP(F95,'Baumaterialien Matériaux'!$A$10:$AD$432,21,FALSE)</f>
        <v>16.725000000000001</v>
      </c>
      <c r="J95" s="484">
        <f>G95*VLOOKUP(F95,'Baumaterialien Matériaux'!$A$10:$AD$432,24,FALSE)</f>
        <v>3.9675000000000002</v>
      </c>
      <c r="K95" s="484">
        <f>G95*VLOOKUP(F95,'Baumaterialien Matériaux'!$A$10:$AD$432,26,FALSE)</f>
        <v>2.1225000000000001</v>
      </c>
      <c r="L95" s="484">
        <f>G95*VLOOKUP(F95,'Baumaterialien Matériaux'!$A$10:$AD$432,27,FALSE)</f>
        <v>0.96000000000000008</v>
      </c>
      <c r="M95" s="484">
        <f>G95*VLOOKUP(F95,'Baumaterialien Matériaux'!$A$10:$AD$432,29,FALSE)</f>
        <v>0</v>
      </c>
      <c r="N95" s="1184"/>
      <c r="O95" s="1184"/>
      <c r="P95" s="1184"/>
      <c r="Q95" s="1184"/>
      <c r="R95" s="1184"/>
      <c r="S95" s="383"/>
      <c r="T95" s="3">
        <v>47</v>
      </c>
    </row>
    <row r="96" spans="1:20">
      <c r="A96" s="483"/>
      <c r="B96" s="1182"/>
      <c r="C96" s="483" t="s">
        <v>635</v>
      </c>
      <c r="D96" s="483" t="str">
        <f>VLOOKUP(F96,'Baumaterialien Matériaux'!$A$10:$AD$432,30,FALSE)</f>
        <v>Profil d'aluminium, nu</v>
      </c>
      <c r="E96" s="483" t="str">
        <f>VLOOKUP(F96,'Baumaterialien Matériaux'!$A$10:$AD$432,6,FALSE)</f>
        <v>kg</v>
      </c>
      <c r="F96" s="483" t="s">
        <v>104</v>
      </c>
      <c r="G96" s="484">
        <v>4.443194444444444</v>
      </c>
      <c r="I96" s="484">
        <f>$G96*VLOOKUP(F96,'Baumaterialien Matériaux'!$A$10:$AD$432,21,FALSE)</f>
        <v>113.74577777777777</v>
      </c>
      <c r="J96" s="484">
        <f>G96*VLOOKUP(F96,'Baumaterialien Matériaux'!$A$10:$AD$432,24,FALSE)</f>
        <v>0.13996062499999998</v>
      </c>
      <c r="K96" s="484">
        <f>G96*VLOOKUP(F96,'Baumaterialien Matériaux'!$A$10:$AD$432,26,FALSE)</f>
        <v>25.28177638888889</v>
      </c>
      <c r="L96" s="484">
        <f>G96*VLOOKUP(F96,'Baumaterialien Matériaux'!$A$10:$AD$432,27,FALSE)</f>
        <v>3.5456691666666658E-2</v>
      </c>
      <c r="M96" s="484">
        <f>G96*VLOOKUP(F96,'Baumaterialien Matériaux'!$A$10:$AD$432,29,FALSE)</f>
        <v>0</v>
      </c>
      <c r="N96" s="1184"/>
      <c r="O96" s="1184"/>
      <c r="P96" s="1184"/>
      <c r="Q96" s="1184"/>
      <c r="R96" s="1184"/>
      <c r="S96" s="383"/>
      <c r="T96" s="3">
        <v>48</v>
      </c>
    </row>
    <row r="97" spans="1:20" ht="21" customHeight="1">
      <c r="A97" s="483"/>
      <c r="B97" s="1182"/>
      <c r="C97" s="483" t="s">
        <v>602</v>
      </c>
      <c r="D97" s="483" t="str">
        <f>VLOOKUP(F97,'Baumaterialien Matériaux'!$A$10:$AD$432,30,FALSE)</f>
        <v xml:space="preserve">Polyamide (PA) renforcé par des fibres de verre </v>
      </c>
      <c r="E97" s="483" t="str">
        <f>VLOOKUP(F97,'Baumaterialien Matériaux'!$A$10:$AD$432,6,FALSE)</f>
        <v>kg</v>
      </c>
      <c r="F97" s="483" t="s">
        <v>603</v>
      </c>
      <c r="G97" s="484">
        <v>0.12</v>
      </c>
      <c r="I97" s="484">
        <f>$G97*VLOOKUP(F97,'Baumaterialien Matériaux'!$A$10:$AD$432,21,FALSE)</f>
        <v>4.7519999999999998</v>
      </c>
      <c r="J97" s="484">
        <f>G97*VLOOKUP(F97,'Baumaterialien Matériaux'!$A$10:$AD$432,24,FALSE)</f>
        <v>8.2559999999999995E-2</v>
      </c>
      <c r="K97" s="484">
        <f>G97*VLOOKUP(F97,'Baumaterialien Matériaux'!$A$10:$AD$432,26,FALSE)</f>
        <v>1.0668</v>
      </c>
      <c r="L97" s="484">
        <f>G97*VLOOKUP(F97,'Baumaterialien Matériaux'!$A$10:$AD$432,27,FALSE)</f>
        <v>0.31440000000000001</v>
      </c>
      <c r="M97" s="484">
        <f>G97*VLOOKUP(F97,'Baumaterialien Matériaux'!$A$10:$AD$432,29,FALSE)</f>
        <v>0</v>
      </c>
      <c r="N97" s="1184"/>
      <c r="O97" s="1184"/>
      <c r="P97" s="1184"/>
      <c r="Q97" s="1184"/>
      <c r="R97" s="1184"/>
      <c r="S97" s="383"/>
      <c r="T97" s="3">
        <v>49</v>
      </c>
    </row>
    <row r="98" spans="1:20" ht="20.100000000000001" customHeight="1">
      <c r="A98" s="483"/>
      <c r="B98" s="1182"/>
      <c r="C98" s="483" t="s">
        <v>636</v>
      </c>
      <c r="D98" s="483" t="str">
        <f>VLOOKUP(F98,'Baumaterialien Matériaux'!$A$10:$AD$432,30,FALSE)</f>
        <v>Laine de roche</v>
      </c>
      <c r="E98" s="483" t="str">
        <f>VLOOKUP(F98,'Baumaterialien Matériaux'!$A$10:$AD$432,6,FALSE)</f>
        <v>kg</v>
      </c>
      <c r="F98" s="483" t="s">
        <v>106</v>
      </c>
      <c r="G98" s="484">
        <f>0.22*48</f>
        <v>10.56</v>
      </c>
      <c r="I98" s="484">
        <f>$G98*VLOOKUP(F98,'Baumaterialien Matériaux'!$A$10:$AD$432,21,FALSE)</f>
        <v>45.619200000000006</v>
      </c>
      <c r="J98" s="484">
        <f>G98*VLOOKUP(F98,'Baumaterialien Matériaux'!$A$10:$AD$432,24,FALSE)</f>
        <v>1.4044800000000002</v>
      </c>
      <c r="K98" s="484">
        <f>G98*VLOOKUP(F98,'Baumaterialien Matériaux'!$A$10:$AD$432,26,FALSE)</f>
        <v>11.9328</v>
      </c>
      <c r="L98" s="484">
        <f>G98*VLOOKUP(F98,'Baumaterialien Matériaux'!$A$10:$AD$432,27,FALSE)</f>
        <v>0.62937600000000005</v>
      </c>
      <c r="M98" s="484">
        <f>G98*VLOOKUP(F98,'Baumaterialien Matériaux'!$A$10:$AD$432,29,FALSE)</f>
        <v>0</v>
      </c>
      <c r="N98" s="1184"/>
      <c r="O98" s="1184"/>
      <c r="P98" s="1184"/>
      <c r="Q98" s="1184"/>
      <c r="R98" s="1184"/>
      <c r="S98" s="383"/>
      <c r="T98" s="3">
        <v>50</v>
      </c>
    </row>
    <row r="99" spans="1:20" ht="29.1" customHeight="1">
      <c r="A99" s="483"/>
      <c r="B99" s="1182"/>
      <c r="C99" s="483" t="s">
        <v>637</v>
      </c>
      <c r="D99" s="483" t="str">
        <f>VLOOKUP(F99,'Baumaterialien Matériaux'!$A$10:$AD$432,30,FALSE)</f>
        <v>Voile de polyéthylène (PE)</v>
      </c>
      <c r="E99" s="483" t="str">
        <f>VLOOKUP(F99,'Baumaterialien Matériaux'!$A$10:$AD$432,6,FALSE)</f>
        <v>kg</v>
      </c>
      <c r="F99" s="483" t="s">
        <v>528</v>
      </c>
      <c r="G99" s="484">
        <v>0.22</v>
      </c>
      <c r="I99" s="484">
        <f>$G99*VLOOKUP(F99,'Baumaterialien Matériaux'!$A$10:$AD$432,21,FALSE)</f>
        <v>5.6539999999999999</v>
      </c>
      <c r="J99" s="484">
        <f>G99*VLOOKUP(F99,'Baumaterialien Matériaux'!$A$10:$AD$432,24,FALSE)</f>
        <v>4.6199999999999998E-2</v>
      </c>
      <c r="K99" s="484">
        <f>G99*VLOOKUP(F99,'Baumaterialien Matériaux'!$A$10:$AD$432,26,FALSE)</f>
        <v>0.6512</v>
      </c>
      <c r="L99" s="484">
        <f>G99*VLOOKUP(F99,'Baumaterialien Matériaux'!$A$10:$AD$432,27,FALSE)</f>
        <v>0.58740000000000003</v>
      </c>
      <c r="M99" s="484">
        <f>G99*VLOOKUP(F99,'Baumaterialien Matériaux'!$A$10:$AD$432,29,FALSE)</f>
        <v>0</v>
      </c>
      <c r="N99" s="1184"/>
      <c r="O99" s="1184"/>
      <c r="P99" s="1184"/>
      <c r="Q99" s="1184"/>
      <c r="R99" s="1184"/>
      <c r="S99" s="383"/>
      <c r="T99" s="3">
        <v>51</v>
      </c>
    </row>
    <row r="100" spans="1:20" ht="15">
      <c r="G100" s="208"/>
      <c r="I100" s="485">
        <f>SUM(I95:I99)</f>
        <v>186.4959777777778</v>
      </c>
      <c r="J100" s="485">
        <f t="shared" ref="J100:M100" si="22">SUM(J95:J99)</f>
        <v>5.640700625</v>
      </c>
      <c r="K100" s="485">
        <f t="shared" si="22"/>
        <v>41.055076388888892</v>
      </c>
      <c r="L100" s="485">
        <f t="shared" si="22"/>
        <v>2.5266326916666668</v>
      </c>
      <c r="M100" s="485">
        <f t="shared" si="22"/>
        <v>0</v>
      </c>
      <c r="N100" s="843">
        <v>40</v>
      </c>
      <c r="O100" s="485">
        <f>I100/$N100</f>
        <v>4.6623994444444445</v>
      </c>
      <c r="P100" s="485">
        <f>J100/$N100</f>
        <v>0.14101751562500001</v>
      </c>
      <c r="Q100" s="485">
        <f>K100/$N100</f>
        <v>1.0263769097222224</v>
      </c>
      <c r="R100" s="485">
        <f>L100/$N100</f>
        <v>6.3165817291666676E-2</v>
      </c>
      <c r="S100" s="485">
        <f>M100/$N100</f>
        <v>0</v>
      </c>
      <c r="T100" s="3">
        <v>52</v>
      </c>
    </row>
    <row r="101" spans="1:20">
      <c r="T101" s="3">
        <v>53</v>
      </c>
    </row>
    <row r="102" spans="1:20" ht="15">
      <c r="A102" s="483" t="s">
        <v>638</v>
      </c>
      <c r="B102" s="1202"/>
      <c r="C102" s="1202"/>
      <c r="D102" s="1202"/>
      <c r="E102" s="1202"/>
      <c r="F102" s="1202"/>
      <c r="G102" s="1202"/>
      <c r="H102" s="483"/>
      <c r="I102" s="485">
        <f>AVERAGE(I93,I100)</f>
        <v>169.95860042735043</v>
      </c>
      <c r="J102" s="485">
        <f t="shared" ref="J102:M102" si="23">AVERAGE(J93,J100)</f>
        <v>3.8482203163461537</v>
      </c>
      <c r="K102" s="485">
        <f t="shared" si="23"/>
        <v>39.74164280982906</v>
      </c>
      <c r="L102" s="485">
        <f t="shared" si="23"/>
        <v>2.0666812931410257</v>
      </c>
      <c r="M102" s="485">
        <f t="shared" si="23"/>
        <v>0</v>
      </c>
      <c r="N102" s="843"/>
      <c r="O102" s="485">
        <f>AVERAGE(O93,O100)</f>
        <v>4.2489650106837606</v>
      </c>
      <c r="P102" s="485">
        <f t="shared" ref="P102:S102" si="24">AVERAGE(P93,P100)</f>
        <v>9.6205507908653842E-2</v>
      </c>
      <c r="Q102" s="485">
        <f t="shared" si="24"/>
        <v>0.99354107024572658</v>
      </c>
      <c r="R102" s="485">
        <f t="shared" si="24"/>
        <v>5.1667032328525646E-2</v>
      </c>
      <c r="S102" s="485">
        <f t="shared" si="24"/>
        <v>0</v>
      </c>
      <c r="T102" s="3">
        <v>54</v>
      </c>
    </row>
    <row r="103" spans="1:20" ht="15">
      <c r="I103" s="353"/>
      <c r="J103" s="353"/>
      <c r="K103" s="353"/>
      <c r="L103" s="353"/>
      <c r="M103" s="353"/>
      <c r="T103" s="3">
        <v>55</v>
      </c>
    </row>
    <row r="104" spans="1:20">
      <c r="S104" s="3" t="s">
        <v>558</v>
      </c>
      <c r="T104" s="3">
        <v>56</v>
      </c>
    </row>
    <row r="105" spans="1:20">
      <c r="A105" s="483" t="s">
        <v>639</v>
      </c>
      <c r="B105" s="1182" t="s">
        <v>640</v>
      </c>
      <c r="C105" s="483" t="s">
        <v>641</v>
      </c>
      <c r="D105" s="483" t="str">
        <f>VLOOKUP(F105,'Baumaterialien Matériaux'!$A$10:$AD$432,30,FALSE)</f>
        <v>Panneau de façade, en aluminium, 4 mm</v>
      </c>
      <c r="E105" s="483" t="str">
        <f>VLOOKUP(F105,'Baumaterialien Matériaux'!$A$10:$AD$432,6,FALSE)</f>
        <v>m2</v>
      </c>
      <c r="F105" s="483" t="s">
        <v>642</v>
      </c>
      <c r="G105" s="484">
        <v>1</v>
      </c>
      <c r="H105" s="483"/>
      <c r="I105" s="484">
        <f>$G105*VLOOKUP(F105,'Baumaterialien Matériaux'!$A$10:$AD$432,21,FALSE)</f>
        <v>192</v>
      </c>
      <c r="J105" s="484">
        <f>G105*VLOOKUP(F105,'Baumaterialien Matériaux'!$A$10:$AD$432,24,FALSE)</f>
        <v>0.874</v>
      </c>
      <c r="K105" s="484">
        <f>G105*VLOOKUP(F105,'Baumaterialien Matériaux'!$A$10:$AD$432,26,FALSE)</f>
        <v>35.700000000000003</v>
      </c>
      <c r="L105" s="484">
        <f>G105*VLOOKUP(F105,'Baumaterialien Matériaux'!$A$10:$AD$432,27,FALSE)</f>
        <v>7.65</v>
      </c>
      <c r="M105" s="484">
        <f>G105*VLOOKUP(F105,'Baumaterialien Matériaux'!$A$10:$AD$432,29,FALSE)</f>
        <v>0</v>
      </c>
      <c r="N105" s="1184"/>
      <c r="O105" s="1184"/>
      <c r="P105" s="1184"/>
      <c r="Q105" s="1184"/>
      <c r="R105" s="1184"/>
      <c r="S105" s="383"/>
      <c r="T105" s="3">
        <v>57</v>
      </c>
    </row>
    <row r="106" spans="1:20">
      <c r="A106" s="483"/>
      <c r="B106" s="1182"/>
      <c r="C106" s="483" t="s">
        <v>635</v>
      </c>
      <c r="D106" s="483" t="str">
        <f>VLOOKUP(F106,'Baumaterialien Matériaux'!$A$10:$AD$432,30,FALSE)</f>
        <v>Profil d'aluminium, nu</v>
      </c>
      <c r="E106" s="483" t="str">
        <f>VLOOKUP(F106,'Baumaterialien Matériaux'!$A$10:$AD$432,6,FALSE)</f>
        <v>kg</v>
      </c>
      <c r="F106" s="483" t="s">
        <v>104</v>
      </c>
      <c r="G106" s="484">
        <v>3.3583333333333298</v>
      </c>
      <c r="H106" s="483"/>
      <c r="I106" s="484">
        <f>$G106*VLOOKUP(F106,'Baumaterialien Matériaux'!$A$10:$AD$432,21,FALSE)</f>
        <v>85.973333333333244</v>
      </c>
      <c r="J106" s="484">
        <f>G106*VLOOKUP(F106,'Baumaterialien Matériaux'!$A$10:$AD$432,24,FALSE)</f>
        <v>0.1057874999999999</v>
      </c>
      <c r="K106" s="484">
        <f>G106*VLOOKUP(F106,'Baumaterialien Matériaux'!$A$10:$AD$432,26,FALSE)</f>
        <v>19.108916666666648</v>
      </c>
      <c r="L106" s="484">
        <f>G106*VLOOKUP(F106,'Baumaterialien Matériaux'!$A$10:$AD$432,27,FALSE)</f>
        <v>2.6799499999999969E-2</v>
      </c>
      <c r="M106" s="484">
        <f>G106*VLOOKUP(F106,'Baumaterialien Matériaux'!$A$10:$AD$432,29,FALSE)</f>
        <v>0</v>
      </c>
      <c r="N106" s="1184"/>
      <c r="O106" s="1184"/>
      <c r="P106" s="1184"/>
      <c r="Q106" s="1184"/>
      <c r="R106" s="1184"/>
      <c r="S106" s="383"/>
      <c r="T106" s="3">
        <v>58</v>
      </c>
    </row>
    <row r="107" spans="1:20">
      <c r="A107" s="483"/>
      <c r="B107" s="1182"/>
      <c r="C107" s="483" t="s">
        <v>643</v>
      </c>
      <c r="D107" s="483" t="str">
        <f>VLOOKUP(F107,'Baumaterialien Matériaux'!$A$10:$AD$432,30,FALSE)</f>
        <v xml:space="preserve">Polyamide (PA) renforcé par des fibres de verre </v>
      </c>
      <c r="E107" s="483" t="str">
        <f>VLOOKUP(F107,'Baumaterialien Matériaux'!$A$10:$AD$432,6,FALSE)</f>
        <v>kg</v>
      </c>
      <c r="F107" s="483" t="s">
        <v>603</v>
      </c>
      <c r="G107" s="484">
        <v>0.12</v>
      </c>
      <c r="H107" s="483"/>
      <c r="I107" s="484">
        <f>$G107*VLOOKUP(F107,'Baumaterialien Matériaux'!$A$10:$AD$432,21,FALSE)</f>
        <v>4.7519999999999998</v>
      </c>
      <c r="J107" s="484">
        <f>G107*VLOOKUP(F107,'Baumaterialien Matériaux'!$A$10:$AD$432,24,FALSE)</f>
        <v>8.2559999999999995E-2</v>
      </c>
      <c r="K107" s="484">
        <f>G107*VLOOKUP(F107,'Baumaterialien Matériaux'!$A$10:$AD$432,26,FALSE)</f>
        <v>1.0668</v>
      </c>
      <c r="L107" s="484">
        <f>G107*VLOOKUP(F107,'Baumaterialien Matériaux'!$A$10:$AD$432,27,FALSE)</f>
        <v>0.31440000000000001</v>
      </c>
      <c r="M107" s="484">
        <f>G107*VLOOKUP(F107,'Baumaterialien Matériaux'!$A$10:$AD$432,29,FALSE)</f>
        <v>0</v>
      </c>
      <c r="N107" s="1184"/>
      <c r="O107" s="1184"/>
      <c r="P107" s="1184"/>
      <c r="Q107" s="1184"/>
      <c r="R107" s="1184"/>
      <c r="S107" s="383"/>
      <c r="T107" s="3">
        <v>59</v>
      </c>
    </row>
    <row r="108" spans="1:20">
      <c r="A108" s="483"/>
      <c r="B108" s="1182"/>
      <c r="C108" s="483" t="s">
        <v>636</v>
      </c>
      <c r="D108" s="483" t="str">
        <f>VLOOKUP(F108,'Baumaterialien Matériaux'!$A$10:$AD$432,30,FALSE)</f>
        <v>Laine de roche</v>
      </c>
      <c r="E108" s="483" t="str">
        <f>VLOOKUP(F108,'Baumaterialien Matériaux'!$A$10:$AD$432,6,FALSE)</f>
        <v>kg</v>
      </c>
      <c r="F108" s="483" t="s">
        <v>106</v>
      </c>
      <c r="G108" s="484">
        <f>0.22*48</f>
        <v>10.56</v>
      </c>
      <c r="H108" s="483"/>
      <c r="I108" s="484">
        <f>$G108*VLOOKUP(F108,'Baumaterialien Matériaux'!$A$10:$AD$432,21,FALSE)</f>
        <v>45.619200000000006</v>
      </c>
      <c r="J108" s="484">
        <f>G108*VLOOKUP(F108,'Baumaterialien Matériaux'!$A$10:$AD$432,24,FALSE)</f>
        <v>1.4044800000000002</v>
      </c>
      <c r="K108" s="484">
        <f>G108*VLOOKUP(F108,'Baumaterialien Matériaux'!$A$10:$AD$432,26,FALSE)</f>
        <v>11.9328</v>
      </c>
      <c r="L108" s="484">
        <f>G108*VLOOKUP(F108,'Baumaterialien Matériaux'!$A$10:$AD$432,27,FALSE)</f>
        <v>0.62937600000000005</v>
      </c>
      <c r="M108" s="484">
        <f>G108*VLOOKUP(F108,'Baumaterialien Matériaux'!$A$10:$AD$432,29,FALSE)</f>
        <v>0</v>
      </c>
      <c r="N108" s="1184"/>
      <c r="O108" s="1184"/>
      <c r="P108" s="1184"/>
      <c r="Q108" s="1184"/>
      <c r="R108" s="1184"/>
      <c r="S108" s="383"/>
      <c r="T108" s="3">
        <v>60</v>
      </c>
    </row>
    <row r="109" spans="1:20">
      <c r="A109" s="483"/>
      <c r="B109" s="1182"/>
      <c r="C109" s="483" t="s">
        <v>622</v>
      </c>
      <c r="D109" s="483" t="str">
        <f>VLOOKUP(F109,'Baumaterialien Matériaux'!$A$10:$AD$432,30,FALSE)</f>
        <v>Voile de polyéthylène (PE)</v>
      </c>
      <c r="E109" s="483" t="str">
        <f>VLOOKUP(F109,'Baumaterialien Matériaux'!$A$10:$AD$432,6,FALSE)</f>
        <v>kg</v>
      </c>
      <c r="F109" s="483" t="s">
        <v>528</v>
      </c>
      <c r="G109" s="484">
        <v>0.22</v>
      </c>
      <c r="H109" s="483"/>
      <c r="I109" s="484">
        <f>$G109*VLOOKUP(F109,'Baumaterialien Matériaux'!$A$10:$AD$432,21,FALSE)</f>
        <v>5.6539999999999999</v>
      </c>
      <c r="J109" s="484">
        <f>G109*VLOOKUP(F109,'Baumaterialien Matériaux'!$A$10:$AD$432,24,FALSE)</f>
        <v>4.6199999999999998E-2</v>
      </c>
      <c r="K109" s="484">
        <f>G109*VLOOKUP(F109,'Baumaterialien Matériaux'!$A$10:$AD$432,26,FALSE)</f>
        <v>0.6512</v>
      </c>
      <c r="L109" s="484">
        <f>G109*VLOOKUP(F109,'Baumaterialien Matériaux'!$A$10:$AD$432,27,FALSE)</f>
        <v>0.58740000000000003</v>
      </c>
      <c r="M109" s="484">
        <f>G109*VLOOKUP(F109,'Baumaterialien Matériaux'!$A$10:$AD$432,29,FALSE)</f>
        <v>0</v>
      </c>
      <c r="N109" s="1184"/>
      <c r="O109" s="1184"/>
      <c r="P109" s="1184"/>
      <c r="Q109" s="1184"/>
      <c r="R109" s="1184"/>
      <c r="S109" s="383"/>
      <c r="T109" s="3">
        <v>61</v>
      </c>
    </row>
    <row r="110" spans="1:20" ht="15">
      <c r="I110" s="485">
        <f>SUM(I105:I109)</f>
        <v>333.99853333333328</v>
      </c>
      <c r="J110" s="485">
        <f t="shared" ref="J110:M110" si="25">SUM(J105:J109)</f>
        <v>2.5130274999999997</v>
      </c>
      <c r="K110" s="485">
        <f t="shared" si="25"/>
        <v>68.459716666666651</v>
      </c>
      <c r="L110" s="485">
        <f t="shared" si="25"/>
        <v>9.2079755000000016</v>
      </c>
      <c r="M110" s="485">
        <f t="shared" si="25"/>
        <v>0</v>
      </c>
      <c r="N110" s="843">
        <v>40</v>
      </c>
      <c r="O110" s="485">
        <f>I110/$N110</f>
        <v>8.3499633333333314</v>
      </c>
      <c r="P110" s="485">
        <f>J110/$N110</f>
        <v>6.2825687499999991E-2</v>
      </c>
      <c r="Q110" s="485">
        <f>K110/$N110</f>
        <v>1.7114929166666664</v>
      </c>
      <c r="R110" s="485">
        <f>L110/$N110</f>
        <v>0.23019938750000005</v>
      </c>
      <c r="S110" s="485">
        <f>M110/$N110</f>
        <v>0</v>
      </c>
      <c r="T110" s="3">
        <v>62</v>
      </c>
    </row>
    <row r="111" spans="1:20">
      <c r="T111" s="3">
        <v>63</v>
      </c>
    </row>
    <row r="112" spans="1:20">
      <c r="S112" s="3" t="s">
        <v>558</v>
      </c>
      <c r="T112" s="3">
        <v>64</v>
      </c>
    </row>
    <row r="113" spans="1:20">
      <c r="A113" s="483" t="s">
        <v>644</v>
      </c>
      <c r="B113" s="1182" t="s">
        <v>645</v>
      </c>
      <c r="C113" s="483" t="s">
        <v>646</v>
      </c>
      <c r="D113" s="483" t="str">
        <f>VLOOKUP(F113,'Baumaterialien Matériaux'!$A$10:$AD$432,30,FALSE)</f>
        <v>Verre plat, enduit</v>
      </c>
      <c r="E113" s="483" t="str">
        <f>VLOOKUP(F113,'Baumaterialien Matériaux'!$A$10:$AD$432,6,FALSE)</f>
        <v>kg</v>
      </c>
      <c r="F113" s="483" t="s">
        <v>647</v>
      </c>
      <c r="G113" s="484">
        <v>25</v>
      </c>
      <c r="H113" s="483"/>
      <c r="I113" s="484">
        <f>$G113*VLOOKUP(F113,'Baumaterialien Matériaux'!$A$10:$AD$432,21,FALSE)</f>
        <v>113.25</v>
      </c>
      <c r="J113" s="484">
        <f>G113*VLOOKUP(F113,'Baumaterialien Matériaux'!$A$10:$AD$432,24,FALSE)</f>
        <v>2.7250000000000001</v>
      </c>
      <c r="K113" s="484">
        <f>G113*VLOOKUP(F113,'Baumaterialien Matériaux'!$A$10:$AD$432,26,FALSE)</f>
        <v>29.75</v>
      </c>
      <c r="L113" s="484">
        <f>G113*VLOOKUP(F113,'Baumaterialien Matériaux'!$A$10:$AD$432,27,FALSE)</f>
        <v>0.48250000000000004</v>
      </c>
      <c r="M113" s="484">
        <f>G113*VLOOKUP(F113,'Baumaterialien Matériaux'!$A$10:$AD$432,29,FALSE)</f>
        <v>0</v>
      </c>
      <c r="N113" s="1184"/>
      <c r="O113" s="1184"/>
      <c r="P113" s="1184"/>
      <c r="Q113" s="1184"/>
      <c r="R113" s="1184"/>
      <c r="S113" s="383"/>
      <c r="T113" s="3">
        <v>65</v>
      </c>
    </row>
    <row r="114" spans="1:20">
      <c r="A114" s="483"/>
      <c r="B114" s="1182"/>
      <c r="C114" s="483" t="s">
        <v>635</v>
      </c>
      <c r="D114" s="483" t="str">
        <f>VLOOKUP(F114,'Baumaterialien Matériaux'!$A$10:$AD$432,30,FALSE)</f>
        <v>Profil d'aluminium, nu</v>
      </c>
      <c r="E114" s="483" t="str">
        <f>VLOOKUP(F114,'Baumaterialien Matériaux'!$A$10:$AD$432,6,FALSE)</f>
        <v>kg</v>
      </c>
      <c r="F114" s="483" t="s">
        <v>104</v>
      </c>
      <c r="G114" s="484">
        <v>4.443194444444444</v>
      </c>
      <c r="H114" s="483"/>
      <c r="I114" s="484">
        <f>$G114*VLOOKUP(F114,'Baumaterialien Matériaux'!$A$10:$AD$432,21,FALSE)</f>
        <v>113.74577777777777</v>
      </c>
      <c r="J114" s="484">
        <f>G114*VLOOKUP(F114,'Baumaterialien Matériaux'!$A$10:$AD$432,24,FALSE)</f>
        <v>0.13996062499999998</v>
      </c>
      <c r="K114" s="484">
        <f>G114*VLOOKUP(F114,'Baumaterialien Matériaux'!$A$10:$AD$432,26,FALSE)</f>
        <v>25.28177638888889</v>
      </c>
      <c r="L114" s="484">
        <f>G114*VLOOKUP(F114,'Baumaterialien Matériaux'!$A$10:$AD$432,27,FALSE)</f>
        <v>3.5456691666666658E-2</v>
      </c>
      <c r="M114" s="484">
        <f>G114*VLOOKUP(F114,'Baumaterialien Matériaux'!$A$10:$AD$432,29,FALSE)</f>
        <v>0</v>
      </c>
      <c r="N114" s="1184"/>
      <c r="O114" s="1184"/>
      <c r="P114" s="1184"/>
      <c r="Q114" s="1184"/>
      <c r="R114" s="1184"/>
      <c r="S114" s="383"/>
      <c r="T114" s="3">
        <v>66</v>
      </c>
    </row>
    <row r="115" spans="1:20">
      <c r="A115" s="483"/>
      <c r="B115" s="1182"/>
      <c r="C115" s="483" t="s">
        <v>602</v>
      </c>
      <c r="D115" s="483" t="str">
        <f>VLOOKUP(F115,'Baumaterialien Matériaux'!$A$10:$AD$432,30,FALSE)</f>
        <v xml:space="preserve">Polyamide (PA) renforcé par des fibres de verre </v>
      </c>
      <c r="E115" s="483" t="str">
        <f>VLOOKUP(F115,'Baumaterialien Matériaux'!$A$10:$AD$432,6,FALSE)</f>
        <v>kg</v>
      </c>
      <c r="F115" s="483" t="s">
        <v>603</v>
      </c>
      <c r="G115" s="484">
        <v>0.12</v>
      </c>
      <c r="H115" s="483"/>
      <c r="I115" s="484">
        <f>$G115*VLOOKUP(F115,'Baumaterialien Matériaux'!$A$10:$AD$432,21,FALSE)</f>
        <v>4.7519999999999998</v>
      </c>
      <c r="J115" s="484">
        <f>G115*VLOOKUP(F115,'Baumaterialien Matériaux'!$A$10:$AD$432,24,FALSE)</f>
        <v>8.2559999999999995E-2</v>
      </c>
      <c r="K115" s="484">
        <f>G115*VLOOKUP(F115,'Baumaterialien Matériaux'!$A$10:$AD$432,26,FALSE)</f>
        <v>1.0668</v>
      </c>
      <c r="L115" s="484">
        <f>G115*VLOOKUP(F115,'Baumaterialien Matériaux'!$A$10:$AD$432,27,FALSE)</f>
        <v>0.31440000000000001</v>
      </c>
      <c r="M115" s="484">
        <f>G115*VLOOKUP(F115,'Baumaterialien Matériaux'!$A$10:$AD$432,29,FALSE)</f>
        <v>0</v>
      </c>
      <c r="N115" s="1184"/>
      <c r="O115" s="1184"/>
      <c r="P115" s="1184"/>
      <c r="Q115" s="1184"/>
      <c r="R115" s="1184"/>
      <c r="S115" s="383"/>
      <c r="T115" s="3">
        <v>67</v>
      </c>
    </row>
    <row r="116" spans="1:20">
      <c r="A116" s="483"/>
      <c r="B116" s="1182"/>
      <c r="C116" s="483" t="s">
        <v>620</v>
      </c>
      <c r="D116" s="483" t="str">
        <f>VLOOKUP(F116,'Baumaterialien Matériaux'!$A$10:$AD$432,30,FALSE)</f>
        <v>Laine de verre</v>
      </c>
      <c r="E116" s="483" t="str">
        <f>VLOOKUP(F116,'Baumaterialien Matériaux'!$A$10:$AD$432,6,FALSE)</f>
        <v>kg</v>
      </c>
      <c r="F116" s="483" t="s">
        <v>130</v>
      </c>
      <c r="G116" s="484">
        <f>0.2*38</f>
        <v>7.6000000000000005</v>
      </c>
      <c r="H116" s="483"/>
      <c r="I116" s="484">
        <f>$G116*VLOOKUP(F116,'Baumaterialien Matériaux'!$A$10:$AD$432,21,FALSE)</f>
        <v>40.508000000000003</v>
      </c>
      <c r="J116" s="484">
        <f>G116*VLOOKUP(F116,'Baumaterialien Matériaux'!$A$10:$AD$432,24,FALSE)</f>
        <v>1.0108000000000001</v>
      </c>
      <c r="K116" s="484">
        <f>G116*VLOOKUP(F116,'Baumaterialien Matériaux'!$A$10:$AD$432,26,FALSE)</f>
        <v>7.9040000000000008</v>
      </c>
      <c r="L116" s="484">
        <f>G116*VLOOKUP(F116,'Baumaterialien Matériaux'!$A$10:$AD$432,27,FALSE)</f>
        <v>0.45296000000000003</v>
      </c>
      <c r="M116" s="484">
        <f>G116*VLOOKUP(F116,'Baumaterialien Matériaux'!$A$10:$AD$432,29,FALSE)</f>
        <v>0</v>
      </c>
      <c r="N116" s="1184"/>
      <c r="O116" s="1184"/>
      <c r="P116" s="1184"/>
      <c r="Q116" s="1184"/>
      <c r="R116" s="1184"/>
      <c r="S116" s="383"/>
      <c r="T116" s="3">
        <v>68</v>
      </c>
    </row>
    <row r="117" spans="1:20">
      <c r="A117" s="483"/>
      <c r="B117" s="1182"/>
      <c r="C117" s="483" t="s">
        <v>637</v>
      </c>
      <c r="D117" s="483" t="str">
        <f>VLOOKUP(F117,'Baumaterialien Matériaux'!$A$10:$AD$432,30,FALSE)</f>
        <v>Voile de polyéthylène (PE)</v>
      </c>
      <c r="E117" s="483" t="str">
        <f>VLOOKUP(F117,'Baumaterialien Matériaux'!$A$10:$AD$432,6,FALSE)</f>
        <v>kg</v>
      </c>
      <c r="F117" s="483" t="s">
        <v>528</v>
      </c>
      <c r="G117" s="484">
        <v>0.22</v>
      </c>
      <c r="H117" s="483"/>
      <c r="I117" s="484">
        <f>$G117*VLOOKUP(F117,'Baumaterialien Matériaux'!$A$10:$AD$432,21,FALSE)</f>
        <v>5.6539999999999999</v>
      </c>
      <c r="J117" s="484">
        <f>G117*VLOOKUP(F117,'Baumaterialien Matériaux'!$A$10:$AD$432,24,FALSE)</f>
        <v>4.6199999999999998E-2</v>
      </c>
      <c r="K117" s="484">
        <f>G117*VLOOKUP(F117,'Baumaterialien Matériaux'!$A$10:$AD$432,26,FALSE)</f>
        <v>0.6512</v>
      </c>
      <c r="L117" s="484">
        <f>G117*VLOOKUP(F117,'Baumaterialien Matériaux'!$A$10:$AD$432,27,FALSE)</f>
        <v>0.58740000000000003</v>
      </c>
      <c r="M117" s="484">
        <f>G117*VLOOKUP(F117,'Baumaterialien Matériaux'!$A$10:$AD$432,29,FALSE)</f>
        <v>0</v>
      </c>
      <c r="N117" s="1184"/>
      <c r="O117" s="1184"/>
      <c r="P117" s="1184"/>
      <c r="Q117" s="1184"/>
      <c r="R117" s="1184"/>
      <c r="S117" s="383"/>
      <c r="T117" s="3">
        <v>69</v>
      </c>
    </row>
    <row r="118" spans="1:20" ht="15">
      <c r="I118" s="485">
        <f>SUM(I113:I117)</f>
        <v>277.90977777777778</v>
      </c>
      <c r="J118" s="485">
        <f t="shared" ref="J118:M118" si="26">SUM(J113:J117)</f>
        <v>4.0045206250000005</v>
      </c>
      <c r="K118" s="485">
        <f t="shared" si="26"/>
        <v>64.653776388888886</v>
      </c>
      <c r="L118" s="485">
        <f t="shared" si="26"/>
        <v>1.8727166916666667</v>
      </c>
      <c r="M118" s="485">
        <f t="shared" si="26"/>
        <v>0</v>
      </c>
      <c r="N118" s="843">
        <v>40</v>
      </c>
      <c r="O118" s="485">
        <f>I118/$N118</f>
        <v>6.9477444444444441</v>
      </c>
      <c r="P118" s="485">
        <f>J118/$N118</f>
        <v>0.10011301562500001</v>
      </c>
      <c r="Q118" s="485">
        <f>K118/$N118</f>
        <v>1.6163444097222222</v>
      </c>
      <c r="R118" s="485">
        <f>L118/$N118</f>
        <v>4.6817917291666664E-2</v>
      </c>
      <c r="S118" s="485">
        <f>M118/$N118</f>
        <v>0</v>
      </c>
      <c r="T118" s="3">
        <v>70</v>
      </c>
    </row>
    <row r="119" spans="1:20" ht="15">
      <c r="I119" s="353"/>
      <c r="J119" s="353"/>
      <c r="K119" s="353"/>
      <c r="L119" s="353"/>
      <c r="M119" s="353"/>
      <c r="T119" s="3">
        <v>71</v>
      </c>
    </row>
    <row r="120" spans="1:20" ht="15">
      <c r="A120" s="483" t="s">
        <v>648</v>
      </c>
      <c r="B120" s="1162"/>
      <c r="C120" s="1162"/>
      <c r="D120" s="1162"/>
      <c r="E120" s="1162"/>
      <c r="F120" s="1162"/>
      <c r="G120" s="1162"/>
      <c r="H120" s="483"/>
      <c r="I120" s="485">
        <f>AVERAGE(I110,I118)</f>
        <v>305.95415555555553</v>
      </c>
      <c r="J120" s="485">
        <f t="shared" ref="J120:M120" si="27">AVERAGE(J110,J118)</f>
        <v>3.2587740625000001</v>
      </c>
      <c r="K120" s="485">
        <f t="shared" si="27"/>
        <v>66.556746527777761</v>
      </c>
      <c r="L120" s="485">
        <f t="shared" si="27"/>
        <v>5.5403460958333337</v>
      </c>
      <c r="M120" s="485">
        <f t="shared" si="27"/>
        <v>0</v>
      </c>
      <c r="N120" s="843"/>
      <c r="O120" s="485">
        <f>AVERAGE(O110,O118)</f>
        <v>7.6488538888888877</v>
      </c>
      <c r="P120" s="485">
        <f t="shared" ref="P120:S120" si="28">AVERAGE(P110,P118)</f>
        <v>8.14693515625E-2</v>
      </c>
      <c r="Q120" s="485">
        <f t="shared" si="28"/>
        <v>1.6639186631944443</v>
      </c>
      <c r="R120" s="485">
        <f t="shared" si="28"/>
        <v>0.13850865239583335</v>
      </c>
      <c r="S120" s="485">
        <f t="shared" si="28"/>
        <v>0</v>
      </c>
      <c r="T120" s="3">
        <v>72</v>
      </c>
    </row>
    <row r="121" spans="1:20" ht="15">
      <c r="I121" s="353"/>
      <c r="J121" s="353"/>
      <c r="K121" s="353"/>
      <c r="L121" s="353"/>
      <c r="M121" s="353"/>
      <c r="T121" s="3">
        <v>73</v>
      </c>
    </row>
    <row r="122" spans="1:20">
      <c r="S122" s="3" t="s">
        <v>558</v>
      </c>
      <c r="T122" s="3">
        <v>74</v>
      </c>
    </row>
    <row r="123" spans="1:20">
      <c r="A123" s="483" t="str">
        <f>'Calcul ACV'!$C$36</f>
        <v>Mur double paroi, paroi extérieure</v>
      </c>
      <c r="B123" s="1161" t="s">
        <v>649</v>
      </c>
      <c r="C123" s="483" t="s">
        <v>650</v>
      </c>
      <c r="D123" s="483" t="str">
        <f>VLOOKUP(F123,'Baumaterialien Matériaux'!$A$10:$AD$432,30,FALSE)</f>
        <v>Tuile en terre cuite</v>
      </c>
      <c r="E123" s="483" t="str">
        <f>VLOOKUP(F123,'Baumaterialien Matériaux'!$A$10:$AD$432,6,FALSE)</f>
        <v>kg</v>
      </c>
      <c r="F123" s="362" t="s">
        <v>651</v>
      </c>
      <c r="G123" s="484">
        <f>48*3.5</f>
        <v>168</v>
      </c>
      <c r="H123" s="483"/>
      <c r="I123" s="484">
        <f>$G123*VLOOKUP(F123,'Baumaterialien Matériaux'!$A$10:$AD$432,21,FALSE)</f>
        <v>178.08</v>
      </c>
      <c r="J123" s="484">
        <f>G123*VLOOKUP(F123,'Baumaterialien Matériaux'!$A$10:$AD$432,24,FALSE)</f>
        <v>8.7696000000000005</v>
      </c>
      <c r="K123" s="484">
        <f>G123*VLOOKUP(F123,'Baumaterialien Matériaux'!$A$10:$AD$432,26,FALSE)</f>
        <v>62.664000000000001</v>
      </c>
      <c r="L123" s="484">
        <f>G123*VLOOKUP(F123,'Baumaterialien Matériaux'!$A$10:$AD$432,27,FALSE)</f>
        <v>2.1504000000000003</v>
      </c>
      <c r="M123" s="484">
        <f>G123*VLOOKUP(F123,'Baumaterialien Matériaux'!$A$10:$AD$432,29,FALSE)</f>
        <v>0</v>
      </c>
      <c r="N123" s="1184"/>
      <c r="O123" s="1184"/>
      <c r="P123" s="1184"/>
      <c r="Q123" s="1184"/>
      <c r="R123" s="1184"/>
      <c r="S123" s="383"/>
      <c r="T123" s="3">
        <v>75</v>
      </c>
    </row>
    <row r="124" spans="1:20">
      <c r="A124" s="483" t="str">
        <f>'Calcul ACV'!$C$36</f>
        <v>Mur double paroi, paroi extérieure</v>
      </c>
      <c r="B124" s="1161"/>
      <c r="C124" s="483" t="s">
        <v>570</v>
      </c>
      <c r="D124" s="483" t="str">
        <f>VLOOKUP(F124,'Baumaterialien Matériaux'!$A$10:$AD$432,30,FALSE)</f>
        <v>Enduit de ciment</v>
      </c>
      <c r="E124" s="483" t="str">
        <f>VLOOKUP(F124,'Baumaterialien Matériaux'!$A$10:$AD$432,6,FALSE)</f>
        <v>kg</v>
      </c>
      <c r="F124" s="355">
        <v>4.0090000000000003</v>
      </c>
      <c r="G124" s="484">
        <f>39*1.6</f>
        <v>62.400000000000006</v>
      </c>
      <c r="H124" s="483"/>
      <c r="I124" s="484">
        <f>$G124*VLOOKUP(F124,'Baumaterialien Matériaux'!$A$10:$AD$432,21,FALSE)</f>
        <v>37.564800000000005</v>
      </c>
      <c r="J124" s="484">
        <f>G124*VLOOKUP(F124,'Baumaterialien Matériaux'!$A$10:$AD$432,24,FALSE)</f>
        <v>3.2884800000000003</v>
      </c>
      <c r="K124" s="484">
        <f>G124*VLOOKUP(F124,'Baumaterialien Matériaux'!$A$10:$AD$432,26,FALSE)</f>
        <v>15.537600000000001</v>
      </c>
      <c r="L124" s="484">
        <f>G124*VLOOKUP(F124,'Baumaterialien Matériaux'!$A$10:$AD$432,27,FALSE)</f>
        <v>0.80496000000000012</v>
      </c>
      <c r="M124" s="484">
        <f>G124*VLOOKUP(F124,'Baumaterialien Matériaux'!$A$10:$AD$432,29,FALSE)</f>
        <v>0</v>
      </c>
      <c r="N124" s="1184"/>
      <c r="O124" s="1184"/>
      <c r="P124" s="1184"/>
      <c r="Q124" s="1184"/>
      <c r="R124" s="1184"/>
      <c r="S124" s="383"/>
      <c r="T124" s="3">
        <v>76</v>
      </c>
    </row>
    <row r="125" spans="1:20">
      <c r="A125" s="483" t="str">
        <f>'Calcul ACV'!$C$36</f>
        <v>Mur double paroi, paroi extérieure</v>
      </c>
      <c r="B125" s="1161"/>
      <c r="C125" s="483" t="s">
        <v>652</v>
      </c>
      <c r="D125" s="483" t="str">
        <f>VLOOKUP(F125,'Baumaterialien Matériaux'!$A$10:$AD$432,30,FALSE)</f>
        <v>Tôle d'acier nickel-chrome 18/8, nue</v>
      </c>
      <c r="E125" s="483" t="str">
        <f>VLOOKUP(F125,'Baumaterialien Matériaux'!$A$10:$AD$432,6,FALSE)</f>
        <v>kg</v>
      </c>
      <c r="F125" s="363" t="s">
        <v>615</v>
      </c>
      <c r="G125" s="484">
        <v>2</v>
      </c>
      <c r="H125" s="483"/>
      <c r="I125" s="484">
        <f>$G125*VLOOKUP(F125,'Baumaterialien Matériaux'!$A$10:$AD$432,21,FALSE)</f>
        <v>29</v>
      </c>
      <c r="J125" s="484">
        <f>G125*VLOOKUP(F125,'Baumaterialien Matériaux'!$A$10:$AD$432,24,FALSE)</f>
        <v>5.4600000000000003E-2</v>
      </c>
      <c r="K125" s="484">
        <f>G125*VLOOKUP(F125,'Baumaterialien Matériaux'!$A$10:$AD$432,26,FALSE)</f>
        <v>8.24</v>
      </c>
      <c r="L125" s="484">
        <f>G125*VLOOKUP(F125,'Baumaterialien Matériaux'!$A$10:$AD$432,27,FALSE)</f>
        <v>1.3979999999999999E-2</v>
      </c>
      <c r="M125" s="484">
        <f>G125*VLOOKUP(F125,'Baumaterialien Matériaux'!$A$10:$AD$432,29,FALSE)</f>
        <v>0</v>
      </c>
      <c r="N125" s="1184"/>
      <c r="O125" s="1184"/>
      <c r="P125" s="1184"/>
      <c r="Q125" s="1184"/>
      <c r="R125" s="1184"/>
      <c r="S125" s="383"/>
      <c r="T125" s="3">
        <v>77</v>
      </c>
    </row>
    <row r="126" spans="1:20">
      <c r="A126" s="483" t="str">
        <f>'Calcul ACV'!$C$36</f>
        <v>Mur double paroi, paroi extérieure</v>
      </c>
      <c r="B126" s="1161"/>
      <c r="C126" s="483" t="s">
        <v>602</v>
      </c>
      <c r="D126" s="483" t="str">
        <f>VLOOKUP(F126,'Baumaterialien Matériaux'!$A$10:$AD$432,30,FALSE)</f>
        <v xml:space="preserve">Polyamide (PA) renforcé par des fibres de verre </v>
      </c>
      <c r="E126" s="483" t="str">
        <f>VLOOKUP(F126,'Baumaterialien Matériaux'!$A$10:$AD$432,6,FALSE)</f>
        <v>kg</v>
      </c>
      <c r="F126" s="494" t="s">
        <v>603</v>
      </c>
      <c r="G126" s="484">
        <v>0.12</v>
      </c>
      <c r="H126" s="483"/>
      <c r="I126" s="484">
        <f>$G126*VLOOKUP(F126,'Baumaterialien Matériaux'!$A$10:$AD$432,21,FALSE)</f>
        <v>4.7519999999999998</v>
      </c>
      <c r="J126" s="484">
        <f>G126*VLOOKUP(F126,'Baumaterialien Matériaux'!$A$10:$AD$432,24,FALSE)</f>
        <v>8.2559999999999995E-2</v>
      </c>
      <c r="K126" s="484">
        <f>G126*VLOOKUP(F126,'Baumaterialien Matériaux'!$A$10:$AD$432,26,FALSE)</f>
        <v>1.0668</v>
      </c>
      <c r="L126" s="484">
        <f>G126*VLOOKUP(F126,'Baumaterialien Matériaux'!$A$10:$AD$432,27,FALSE)</f>
        <v>0.31440000000000001</v>
      </c>
      <c r="M126" s="484">
        <f>G126*VLOOKUP(F126,'Baumaterialien Matériaux'!$A$10:$AD$432,29,FALSE)</f>
        <v>0</v>
      </c>
      <c r="N126" s="1184"/>
      <c r="O126" s="1184"/>
      <c r="P126" s="1184"/>
      <c r="Q126" s="1184"/>
      <c r="R126" s="1184"/>
      <c r="S126" s="383"/>
      <c r="T126" s="3">
        <v>78</v>
      </c>
    </row>
    <row r="127" spans="1:20">
      <c r="A127" s="483" t="str">
        <f>'Calcul ACV'!$C$36</f>
        <v>Mur double paroi, paroi extérieure</v>
      </c>
      <c r="B127" s="1161"/>
      <c r="C127" s="483" t="s">
        <v>636</v>
      </c>
      <c r="D127" s="483" t="str">
        <f>VLOOKUP(F127,'Baumaterialien Matériaux'!$A$10:$AD$432,30,FALSE)</f>
        <v>Laine de roche</v>
      </c>
      <c r="E127" s="483" t="str">
        <f>VLOOKUP(F127,'Baumaterialien Matériaux'!$A$10:$AD$432,6,FALSE)</f>
        <v>kg</v>
      </c>
      <c r="F127" s="361" t="s">
        <v>106</v>
      </c>
      <c r="G127" s="484">
        <f>0.22*48</f>
        <v>10.56</v>
      </c>
      <c r="H127" s="483"/>
      <c r="I127" s="484">
        <f>$G127*VLOOKUP(F127,'Baumaterialien Matériaux'!$A$10:$AD$432,21,FALSE)</f>
        <v>45.619200000000006</v>
      </c>
      <c r="J127" s="484">
        <f>G127*VLOOKUP(F127,'Baumaterialien Matériaux'!$A$10:$AD$432,24,FALSE)</f>
        <v>1.4044800000000002</v>
      </c>
      <c r="K127" s="484">
        <f>G127*VLOOKUP(F127,'Baumaterialien Matériaux'!$A$10:$AD$432,26,FALSE)</f>
        <v>11.9328</v>
      </c>
      <c r="L127" s="484">
        <f>G127*VLOOKUP(F127,'Baumaterialien Matériaux'!$A$10:$AD$432,27,FALSE)</f>
        <v>0.62937600000000005</v>
      </c>
      <c r="M127" s="484">
        <f>G127*VLOOKUP(F127,'Baumaterialien Matériaux'!$A$10:$AD$432,29,FALSE)</f>
        <v>0</v>
      </c>
      <c r="N127" s="1184"/>
      <c r="O127" s="1184"/>
      <c r="P127" s="1184"/>
      <c r="Q127" s="1184"/>
      <c r="R127" s="1184"/>
      <c r="S127" s="383"/>
      <c r="T127" s="3">
        <v>79</v>
      </c>
    </row>
    <row r="128" spans="1:20" ht="27.95" customHeight="1">
      <c r="A128" s="483" t="str">
        <f>'Calcul ACV'!$C$36</f>
        <v>Mur double paroi, paroi extérieure</v>
      </c>
      <c r="B128" s="1161"/>
      <c r="C128" s="483" t="s">
        <v>637</v>
      </c>
      <c r="D128" s="483" t="str">
        <f>VLOOKUP(F128,'Baumaterialien Matériaux'!$A$10:$AD$432,30,FALSE)</f>
        <v>Voile de polyéthylène (PE)</v>
      </c>
      <c r="E128" s="483" t="str">
        <f>VLOOKUP(F128,'Baumaterialien Matériaux'!$A$10:$AD$432,6,FALSE)</f>
        <v>kg</v>
      </c>
      <c r="F128" s="361" t="s">
        <v>528</v>
      </c>
      <c r="G128" s="484">
        <v>0.22</v>
      </c>
      <c r="H128" s="483"/>
      <c r="I128" s="484">
        <f>$G128*VLOOKUP(F128,'Baumaterialien Matériaux'!$A$10:$AD$432,21,FALSE)</f>
        <v>5.6539999999999999</v>
      </c>
      <c r="J128" s="484">
        <f>G128*VLOOKUP(F128,'Baumaterialien Matériaux'!$A$10:$AD$432,24,FALSE)</f>
        <v>4.6199999999999998E-2</v>
      </c>
      <c r="K128" s="484">
        <f>G128*VLOOKUP(F128,'Baumaterialien Matériaux'!$A$10:$AD$432,26,FALSE)</f>
        <v>0.6512</v>
      </c>
      <c r="L128" s="484">
        <f>G128*VLOOKUP(F128,'Baumaterialien Matériaux'!$A$10:$AD$432,27,FALSE)</f>
        <v>0.58740000000000003</v>
      </c>
      <c r="M128" s="484">
        <f>G128*VLOOKUP(F128,'Baumaterialien Matériaux'!$A$10:$AD$432,29,FALSE)</f>
        <v>0</v>
      </c>
      <c r="N128" s="1184"/>
      <c r="O128" s="1184"/>
      <c r="P128" s="1184"/>
      <c r="Q128" s="1184"/>
      <c r="R128" s="1184"/>
      <c r="S128" s="383"/>
      <c r="T128" s="3">
        <v>80</v>
      </c>
    </row>
    <row r="129" spans="1:20" ht="15">
      <c r="A129" s="364"/>
      <c r="B129" s="354"/>
      <c r="G129" s="208"/>
      <c r="I129" s="485">
        <f>SUM(I123:I128)</f>
        <v>300.67000000000007</v>
      </c>
      <c r="J129" s="485">
        <f t="shared" ref="J129:M129" si="29">SUM(J123:J128)</f>
        <v>13.645920000000002</v>
      </c>
      <c r="K129" s="485">
        <f t="shared" si="29"/>
        <v>100.0924</v>
      </c>
      <c r="L129" s="485">
        <f t="shared" si="29"/>
        <v>4.5005160000000011</v>
      </c>
      <c r="M129" s="485">
        <f t="shared" si="29"/>
        <v>0</v>
      </c>
      <c r="N129" s="843">
        <v>40</v>
      </c>
      <c r="O129" s="485">
        <f>I129/$N129</f>
        <v>7.5167500000000018</v>
      </c>
      <c r="P129" s="485">
        <f>J129/$N129</f>
        <v>0.34114800000000006</v>
      </c>
      <c r="Q129" s="485">
        <f>K129/$N129</f>
        <v>2.50231</v>
      </c>
      <c r="R129" s="485">
        <f>L129/$N129</f>
        <v>0.11251290000000003</v>
      </c>
      <c r="S129" s="485">
        <f>M129/$N129</f>
        <v>0</v>
      </c>
      <c r="T129" s="3">
        <v>81</v>
      </c>
    </row>
    <row r="130" spans="1:20" ht="15">
      <c r="A130" s="364"/>
      <c r="B130" s="354"/>
      <c r="G130" s="208"/>
      <c r="I130" s="353"/>
      <c r="J130" s="353"/>
      <c r="K130" s="353"/>
      <c r="L130" s="353"/>
      <c r="M130" s="353"/>
      <c r="N130" s="1"/>
      <c r="O130" s="353"/>
      <c r="P130" s="353"/>
      <c r="Q130" s="353"/>
      <c r="R130" s="353"/>
      <c r="S130" s="353"/>
      <c r="T130" s="3">
        <v>82</v>
      </c>
    </row>
    <row r="131" spans="1:20">
      <c r="A131" s="728" t="s">
        <v>653</v>
      </c>
      <c r="B131" s="1204" t="s">
        <v>654</v>
      </c>
      <c r="C131" s="858" t="s">
        <v>655</v>
      </c>
      <c r="D131" s="728" t="str">
        <f>VLOOKUP(F131,'Baumaterialien Matériaux'!$A$10:$AD$432,30,FALSE)</f>
        <v>Tuile en terre cuite</v>
      </c>
      <c r="E131" s="728" t="str">
        <f>VLOOKUP(F131,'Baumaterialien Matériaux'!$A$10:$AD$432,6,FALSE)</f>
        <v>kg</v>
      </c>
      <c r="F131" s="729" t="s">
        <v>651</v>
      </c>
      <c r="G131" s="859">
        <f>48*5.5</f>
        <v>264</v>
      </c>
      <c r="H131" s="483"/>
      <c r="I131" s="484">
        <f>$G131*VLOOKUP(F131,'Baumaterialien Matériaux'!$A$10:$AD$432,21,FALSE)</f>
        <v>279.84000000000003</v>
      </c>
      <c r="J131" s="484">
        <f>G131*VLOOKUP(F131,'Baumaterialien Matériaux'!$A$10:$AD$432,24,FALSE)</f>
        <v>13.780800000000001</v>
      </c>
      <c r="K131" s="484">
        <f>G131*VLOOKUP(F131,'Baumaterialien Matériaux'!$A$10:$AD$432,26,FALSE)</f>
        <v>98.471999999999994</v>
      </c>
      <c r="L131" s="484">
        <f>G131*VLOOKUP(F131,'Baumaterialien Matériaux'!$A$10:$AD$432,27,FALSE)</f>
        <v>3.3792</v>
      </c>
      <c r="M131" s="484">
        <f>G131*VLOOKUP(F131,'Baumaterialien Matériaux'!$A$10:$AD$432,29,FALSE)</f>
        <v>0</v>
      </c>
      <c r="N131" s="1184"/>
      <c r="O131" s="1184"/>
      <c r="P131" s="1184"/>
      <c r="Q131" s="1184"/>
      <c r="R131" s="1184"/>
      <c r="S131" s="383"/>
      <c r="T131" s="3">
        <v>83</v>
      </c>
    </row>
    <row r="132" spans="1:20">
      <c r="A132" s="728"/>
      <c r="B132" s="1204"/>
      <c r="C132" s="728" t="s">
        <v>570</v>
      </c>
      <c r="D132" s="728" t="str">
        <f>VLOOKUP(F132,'Baumaterialien Matériaux'!$A$10:$AD$432,30,FALSE)</f>
        <v>Enduit de ciment</v>
      </c>
      <c r="E132" s="728" t="str">
        <f>VLOOKUP(F132,'Baumaterialien Matériaux'!$A$10:$AD$432,6,FALSE)</f>
        <v>kg</v>
      </c>
      <c r="F132" s="730">
        <v>4.0090000000000003</v>
      </c>
      <c r="G132" s="859">
        <f>39*1.6</f>
        <v>62.400000000000006</v>
      </c>
      <c r="H132" s="483"/>
      <c r="I132" s="484">
        <f>$G132*VLOOKUP(F132,'Baumaterialien Matériaux'!$A$10:$AD$432,21,FALSE)</f>
        <v>37.564800000000005</v>
      </c>
      <c r="J132" s="484">
        <f>G132*VLOOKUP(F132,'Baumaterialien Matériaux'!$A$10:$AD$432,24,FALSE)</f>
        <v>3.2884800000000003</v>
      </c>
      <c r="K132" s="484">
        <f>G132*VLOOKUP(F132,'Baumaterialien Matériaux'!$A$10:$AD$432,26,FALSE)</f>
        <v>15.537600000000001</v>
      </c>
      <c r="L132" s="484">
        <f>G132*VLOOKUP(F132,'Baumaterialien Matériaux'!$A$10:$AD$432,27,FALSE)</f>
        <v>0.80496000000000012</v>
      </c>
      <c r="M132" s="484">
        <f>G132*VLOOKUP(F132,'Baumaterialien Matériaux'!$A$10:$AD$432,29,FALSE)</f>
        <v>0</v>
      </c>
      <c r="N132" s="1184"/>
      <c r="O132" s="1184"/>
      <c r="P132" s="1184"/>
      <c r="Q132" s="1184"/>
      <c r="R132" s="1184"/>
      <c r="S132" s="383"/>
      <c r="T132" s="3">
        <v>84</v>
      </c>
    </row>
    <row r="133" spans="1:20">
      <c r="A133" s="728"/>
      <c r="B133" s="1204"/>
      <c r="C133" s="728" t="s">
        <v>652</v>
      </c>
      <c r="D133" s="728" t="str">
        <f>VLOOKUP(F133,'Baumaterialien Matériaux'!$A$10:$AD$432,30,FALSE)</f>
        <v>Tôle d'acier nickel-chrome 18/8, nue</v>
      </c>
      <c r="E133" s="728" t="str">
        <f>VLOOKUP(F133,'Baumaterialien Matériaux'!$A$10:$AD$432,6,FALSE)</f>
        <v>kg</v>
      </c>
      <c r="F133" s="731" t="s">
        <v>615</v>
      </c>
      <c r="G133" s="860">
        <v>2</v>
      </c>
      <c r="H133" s="483"/>
      <c r="I133" s="484">
        <f>$G133*VLOOKUP(F133,'Baumaterialien Matériaux'!$A$10:$AD$432,21,FALSE)</f>
        <v>29</v>
      </c>
      <c r="J133" s="484">
        <f>G133*VLOOKUP(F133,'Baumaterialien Matériaux'!$A$10:$AD$432,24,FALSE)</f>
        <v>5.4600000000000003E-2</v>
      </c>
      <c r="K133" s="484">
        <f>G133*VLOOKUP(F133,'Baumaterialien Matériaux'!$A$10:$AD$432,26,FALSE)</f>
        <v>8.24</v>
      </c>
      <c r="L133" s="484">
        <f>G133*VLOOKUP(F133,'Baumaterialien Matériaux'!$A$10:$AD$432,27,FALSE)</f>
        <v>1.3979999999999999E-2</v>
      </c>
      <c r="M133" s="484">
        <f>G133*VLOOKUP(F133,'Baumaterialien Matériaux'!$A$10:$AD$432,29,FALSE)</f>
        <v>0</v>
      </c>
      <c r="N133" s="1184"/>
      <c r="O133" s="1184"/>
      <c r="P133" s="1184"/>
      <c r="Q133" s="1184"/>
      <c r="R133" s="1184"/>
      <c r="S133" s="383"/>
      <c r="T133" s="3">
        <v>85</v>
      </c>
    </row>
    <row r="134" spans="1:20">
      <c r="A134" s="728"/>
      <c r="B134" s="1204"/>
      <c r="C134" s="728" t="s">
        <v>602</v>
      </c>
      <c r="D134" s="728" t="str">
        <f>VLOOKUP(F134,'Baumaterialien Matériaux'!$A$10:$AD$432,30,FALSE)</f>
        <v xml:space="preserve">Polyamide (PA) renforcé par des fibres de verre </v>
      </c>
      <c r="E134" s="728" t="str">
        <f>VLOOKUP(F134,'Baumaterialien Matériaux'!$A$10:$AD$432,6,FALSE)</f>
        <v>kg</v>
      </c>
      <c r="F134" s="861" t="s">
        <v>603</v>
      </c>
      <c r="G134" s="860">
        <v>0.12</v>
      </c>
      <c r="H134" s="483"/>
      <c r="I134" s="484">
        <f>$G134*VLOOKUP(F134,'Baumaterialien Matériaux'!$A$10:$AD$432,21,FALSE)</f>
        <v>4.7519999999999998</v>
      </c>
      <c r="J134" s="484">
        <f>G134*VLOOKUP(F134,'Baumaterialien Matériaux'!$A$10:$AD$432,24,FALSE)</f>
        <v>8.2559999999999995E-2</v>
      </c>
      <c r="K134" s="484">
        <f>G134*VLOOKUP(F134,'Baumaterialien Matériaux'!$A$10:$AD$432,26,FALSE)</f>
        <v>1.0668</v>
      </c>
      <c r="L134" s="484">
        <f>G134*VLOOKUP(F134,'Baumaterialien Matériaux'!$A$10:$AD$432,27,FALSE)</f>
        <v>0.31440000000000001</v>
      </c>
      <c r="M134" s="484">
        <f>G134*VLOOKUP(F134,'Baumaterialien Matériaux'!$A$10:$AD$432,29,FALSE)</f>
        <v>0</v>
      </c>
      <c r="N134" s="1184"/>
      <c r="O134" s="1184"/>
      <c r="P134" s="1184"/>
      <c r="Q134" s="1184"/>
      <c r="R134" s="1184"/>
      <c r="S134" s="383"/>
      <c r="T134" s="3">
        <v>86</v>
      </c>
    </row>
    <row r="135" spans="1:20">
      <c r="A135" s="728"/>
      <c r="B135" s="1204"/>
      <c r="C135" s="728" t="s">
        <v>636</v>
      </c>
      <c r="D135" s="728" t="str">
        <f>VLOOKUP(F135,'Baumaterialien Matériaux'!$A$10:$AD$432,30,FALSE)</f>
        <v>Laine de roche</v>
      </c>
      <c r="E135" s="728" t="str">
        <f>VLOOKUP(F135,'Baumaterialien Matériaux'!$A$10:$AD$432,6,FALSE)</f>
        <v>kg</v>
      </c>
      <c r="F135" s="732" t="s">
        <v>106</v>
      </c>
      <c r="G135" s="860">
        <f>0.22*48</f>
        <v>10.56</v>
      </c>
      <c r="H135" s="483"/>
      <c r="I135" s="484">
        <f>$G135*VLOOKUP(F135,'Baumaterialien Matériaux'!$A$10:$AD$432,21,FALSE)</f>
        <v>45.619200000000006</v>
      </c>
      <c r="J135" s="484">
        <f>G135*VLOOKUP(F135,'Baumaterialien Matériaux'!$A$10:$AD$432,24,FALSE)</f>
        <v>1.4044800000000002</v>
      </c>
      <c r="K135" s="484">
        <f>G135*VLOOKUP(F135,'Baumaterialien Matériaux'!$A$10:$AD$432,26,FALSE)</f>
        <v>11.9328</v>
      </c>
      <c r="L135" s="484">
        <f>G135*VLOOKUP(F135,'Baumaterialien Matériaux'!$A$10:$AD$432,27,FALSE)</f>
        <v>0.62937600000000005</v>
      </c>
      <c r="M135" s="484">
        <f>G135*VLOOKUP(F135,'Baumaterialien Matériaux'!$A$10:$AD$432,29,FALSE)</f>
        <v>0</v>
      </c>
      <c r="N135" s="1184"/>
      <c r="O135" s="1184"/>
      <c r="P135" s="1184"/>
      <c r="Q135" s="1184"/>
      <c r="R135" s="1184"/>
      <c r="S135" s="383"/>
      <c r="T135" s="3">
        <v>87</v>
      </c>
    </row>
    <row r="136" spans="1:20">
      <c r="A136" s="728"/>
      <c r="B136" s="1204"/>
      <c r="C136" s="728" t="s">
        <v>637</v>
      </c>
      <c r="D136" s="728" t="str">
        <f>VLOOKUP(F136,'Baumaterialien Matériaux'!$A$10:$AD$432,30,FALSE)</f>
        <v>Voile de polyéthylène (PE)</v>
      </c>
      <c r="E136" s="728" t="str">
        <f>VLOOKUP(F136,'Baumaterialien Matériaux'!$A$10:$AD$432,6,FALSE)</f>
        <v>kg</v>
      </c>
      <c r="F136" s="732" t="s">
        <v>528</v>
      </c>
      <c r="G136" s="860">
        <v>0.22</v>
      </c>
      <c r="H136" s="483"/>
      <c r="I136" s="484">
        <f>$G136*VLOOKUP(F136,'Baumaterialien Matériaux'!$A$10:$AD$432,21,FALSE)</f>
        <v>5.6539999999999999</v>
      </c>
      <c r="J136" s="484">
        <f>G136*VLOOKUP(F136,'Baumaterialien Matériaux'!$A$10:$AD$432,24,FALSE)</f>
        <v>4.6199999999999998E-2</v>
      </c>
      <c r="K136" s="484">
        <f>G136*VLOOKUP(F136,'Baumaterialien Matériaux'!$A$10:$AD$432,26,FALSE)</f>
        <v>0.6512</v>
      </c>
      <c r="L136" s="484">
        <f>G136*VLOOKUP(F136,'Baumaterialien Matériaux'!$A$10:$AD$432,27,FALSE)</f>
        <v>0.58740000000000003</v>
      </c>
      <c r="M136" s="484">
        <f>G136*VLOOKUP(F136,'Baumaterialien Matériaux'!$A$10:$AD$432,29,FALSE)</f>
        <v>0</v>
      </c>
      <c r="N136" s="1184"/>
      <c r="O136" s="1184"/>
      <c r="P136" s="1184"/>
      <c r="Q136" s="1184"/>
      <c r="R136" s="1184"/>
      <c r="S136" s="383"/>
      <c r="T136" s="3">
        <v>88</v>
      </c>
    </row>
    <row r="137" spans="1:20" ht="15">
      <c r="A137" s="364"/>
      <c r="B137" s="354"/>
      <c r="G137" s="208"/>
      <c r="I137" s="485">
        <f>SUM(I131:I136)</f>
        <v>402.43000000000006</v>
      </c>
      <c r="J137" s="485">
        <f t="shared" ref="J137:M137" si="30">SUM(J131:J136)</f>
        <v>18.657120000000003</v>
      </c>
      <c r="K137" s="485">
        <f t="shared" si="30"/>
        <v>135.90039999999996</v>
      </c>
      <c r="L137" s="485">
        <f t="shared" si="30"/>
        <v>5.7293159999999999</v>
      </c>
      <c r="M137" s="485">
        <f t="shared" si="30"/>
        <v>0</v>
      </c>
      <c r="N137" s="843">
        <v>40</v>
      </c>
      <c r="O137" s="485">
        <f>I137/$N137</f>
        <v>10.060750000000002</v>
      </c>
      <c r="P137" s="485">
        <f t="shared" ref="P137" si="31">J137/$N137</f>
        <v>0.46642800000000006</v>
      </c>
      <c r="Q137" s="485">
        <f t="shared" ref="Q137" si="32">K137/$N137</f>
        <v>3.3975099999999991</v>
      </c>
      <c r="R137" s="485">
        <f t="shared" ref="R137:S137" si="33">L137/$N137</f>
        <v>0.1432329</v>
      </c>
      <c r="S137" s="485">
        <f t="shared" si="33"/>
        <v>0</v>
      </c>
      <c r="T137" s="3">
        <v>89</v>
      </c>
    </row>
    <row r="138" spans="1:20" ht="15">
      <c r="A138" s="364"/>
      <c r="B138" s="354"/>
      <c r="G138" s="208"/>
      <c r="I138" s="353"/>
      <c r="J138" s="353"/>
      <c r="K138" s="353"/>
      <c r="L138" s="353"/>
      <c r="M138" s="353"/>
      <c r="N138" s="1"/>
      <c r="O138" s="353"/>
      <c r="P138" s="353"/>
      <c r="Q138" s="353"/>
      <c r="R138" s="353"/>
      <c r="S138" s="353"/>
      <c r="T138" s="3">
        <v>90</v>
      </c>
    </row>
    <row r="139" spans="1:20" ht="14.1" customHeight="1">
      <c r="S139" s="3" t="s">
        <v>558</v>
      </c>
      <c r="T139" s="3">
        <v>91</v>
      </c>
    </row>
    <row r="140" spans="1:20" ht="14.1" customHeight="1">
      <c r="A140" s="1162" t="s">
        <v>656</v>
      </c>
      <c r="B140" s="1182" t="s">
        <v>377</v>
      </c>
      <c r="C140" s="483" t="s">
        <v>657</v>
      </c>
      <c r="D140" s="483" t="str">
        <f>VLOOKUP(F140,'Baumaterialien Matériaux'!$A$10:$AD$432,30,FALSE)</f>
        <v>Façade, à montants et traverses, Alu/Glas</v>
      </c>
      <c r="E140" s="483" t="str">
        <f>VLOOKUP(F140,'Baumaterialien Matériaux'!$A$10:$AD$432,6,FALSE)</f>
        <v>m2</v>
      </c>
      <c r="F140" s="483" t="s">
        <v>658</v>
      </c>
      <c r="G140" s="484">
        <v>1</v>
      </c>
      <c r="H140" s="483"/>
      <c r="I140" s="484">
        <f>$G140*VLOOKUP(F140,'Baumaterialien Matériaux'!$A$10:$AD$432,21,FALSE)</f>
        <v>718</v>
      </c>
      <c r="J140" s="484">
        <f>G140*VLOOKUP(F140,'Baumaterialien Matériaux'!$A$10:$AD$432,24,FALSE)</f>
        <v>5.24</v>
      </c>
      <c r="K140" s="484">
        <f>G140*VLOOKUP(F140,'Baumaterialien Matériaux'!$A$10:$AD$432,26,FALSE)</f>
        <v>180</v>
      </c>
      <c r="L140" s="484">
        <f>G140*VLOOKUP(F140,'Baumaterialien Matériaux'!$A$10:$AD$432,27,FALSE)</f>
        <v>13.1</v>
      </c>
      <c r="M140" s="484">
        <f>G140*VLOOKUP(F140,'Baumaterialien Matériaux'!$A$10:$AD$432,29,FALSE)</f>
        <v>0</v>
      </c>
      <c r="N140" s="1184"/>
      <c r="O140" s="1184"/>
      <c r="P140" s="1184"/>
      <c r="Q140" s="1184"/>
      <c r="R140" s="1184"/>
      <c r="S140" s="383"/>
      <c r="T140" s="3">
        <v>92</v>
      </c>
    </row>
    <row r="141" spans="1:20">
      <c r="A141" s="1162"/>
      <c r="B141" s="1182"/>
      <c r="C141" s="483" t="s">
        <v>659</v>
      </c>
      <c r="D141" s="483" t="str">
        <f>VLOOKUP(F141,'Baumaterialien Matériaux'!$A$10:$AD$432,30,FALSE)</f>
        <v>Protection solaire, stores vénitiens avec moteur 4</v>
      </c>
      <c r="E141" s="483" t="str">
        <f>VLOOKUP(F141,'Baumaterialien Matériaux'!$A$10:$AD$432,6,FALSE)</f>
        <v>m2</v>
      </c>
      <c r="F141" s="483" t="s">
        <v>660</v>
      </c>
      <c r="G141" s="484">
        <v>0.5</v>
      </c>
      <c r="H141" s="483"/>
      <c r="I141" s="484">
        <f>$G141*VLOOKUP(F141,'Baumaterialien Matériaux'!$A$10:$AD$432,21,FALSE)</f>
        <v>124.5</v>
      </c>
      <c r="J141" s="484">
        <f>G141*VLOOKUP(F141,'Baumaterialien Matériaux'!$A$10:$AD$432,24,FALSE)</f>
        <v>0.2175</v>
      </c>
      <c r="K141" s="484">
        <f>G141*VLOOKUP(F141,'Baumaterialien Matériaux'!$A$10:$AD$432,26,FALSE)</f>
        <v>29.3</v>
      </c>
      <c r="L141" s="484">
        <f>G141*VLOOKUP(F141,'Baumaterialien Matériaux'!$A$10:$AD$432,27,FALSE)</f>
        <v>0.73499999999999999</v>
      </c>
      <c r="M141" s="484">
        <f>G141*VLOOKUP(F141,'Baumaterialien Matériaux'!$A$10:$AD$432,29,FALSE)</f>
        <v>0</v>
      </c>
      <c r="N141" s="1184"/>
      <c r="O141" s="1184"/>
      <c r="P141" s="1184"/>
      <c r="Q141" s="1184"/>
      <c r="R141" s="1184"/>
      <c r="S141" s="383"/>
      <c r="T141" s="3">
        <v>93</v>
      </c>
    </row>
    <row r="142" spans="1:20">
      <c r="A142" s="1162"/>
      <c r="B142" s="1182"/>
      <c r="C142" s="483" t="s">
        <v>661</v>
      </c>
      <c r="D142" s="483" t="str">
        <f>VLOOKUP(F142,'Baumaterialien Matériaux'!$A$10:$AD$432,30,FALSE)</f>
        <v>Protection solaire, stores à projection avec moteur 4</v>
      </c>
      <c r="E142" s="483" t="str">
        <f>VLOOKUP(F142,'Baumaterialien Matériaux'!$A$10:$AD$432,6,FALSE)</f>
        <v>m2</v>
      </c>
      <c r="F142" s="483" t="s">
        <v>662</v>
      </c>
      <c r="G142" s="484">
        <v>0.5</v>
      </c>
      <c r="H142" s="483"/>
      <c r="I142" s="484">
        <f>$G142*VLOOKUP(F142,'Baumaterialien Matériaux'!$A$10:$AD$432,21,FALSE)</f>
        <v>141</v>
      </c>
      <c r="J142" s="484">
        <f>G142*VLOOKUP(F142,'Baumaterialien Matériaux'!$A$10:$AD$432,24,FALSE)</f>
        <v>0.27200000000000002</v>
      </c>
      <c r="K142" s="484">
        <f>G142*VLOOKUP(F142,'Baumaterialien Matériaux'!$A$10:$AD$432,26,FALSE)</f>
        <v>33</v>
      </c>
      <c r="L142" s="484">
        <f>G142*VLOOKUP(F142,'Baumaterialien Matériaux'!$A$10:$AD$432,27,FALSE)</f>
        <v>0.95499999999999996</v>
      </c>
      <c r="M142" s="484">
        <f>G142*VLOOKUP(F142,'Baumaterialien Matériaux'!$A$10:$AD$432,29,FALSE)</f>
        <v>0</v>
      </c>
      <c r="N142" s="1184"/>
      <c r="O142" s="1184"/>
      <c r="P142" s="1184"/>
      <c r="Q142" s="1184"/>
      <c r="R142" s="1184"/>
      <c r="S142" s="383"/>
      <c r="T142" s="3">
        <v>94</v>
      </c>
    </row>
    <row r="143" spans="1:20" ht="15">
      <c r="I143" s="485">
        <f>SUM(I140:I142)</f>
        <v>983.5</v>
      </c>
      <c r="J143" s="485">
        <f t="shared" ref="J143:M143" si="34">SUM(J140:J142)</f>
        <v>5.7295000000000007</v>
      </c>
      <c r="K143" s="485">
        <f t="shared" si="34"/>
        <v>242.3</v>
      </c>
      <c r="L143" s="485">
        <f t="shared" si="34"/>
        <v>14.79</v>
      </c>
      <c r="M143" s="485">
        <f t="shared" si="34"/>
        <v>0</v>
      </c>
      <c r="N143" s="843">
        <v>40</v>
      </c>
      <c r="O143" s="485">
        <f>I143/$N143</f>
        <v>24.587499999999999</v>
      </c>
      <c r="P143" s="485">
        <f>J143/$N143</f>
        <v>0.14323750000000002</v>
      </c>
      <c r="Q143" s="485">
        <f>K143/$N143</f>
        <v>6.0575000000000001</v>
      </c>
      <c r="R143" s="485">
        <f>L143/$N143</f>
        <v>0.36974999999999997</v>
      </c>
      <c r="S143" s="485">
        <f>M143/$N143</f>
        <v>0</v>
      </c>
      <c r="T143" s="3">
        <v>95</v>
      </c>
    </row>
    <row r="144" spans="1:20">
      <c r="T144" s="3">
        <v>96</v>
      </c>
    </row>
    <row r="145" spans="1:23" ht="17.25">
      <c r="A145" s="350" t="s">
        <v>663</v>
      </c>
      <c r="B145" s="350"/>
      <c r="C145" s="350"/>
      <c r="D145" s="350"/>
      <c r="E145" s="350"/>
      <c r="F145" s="350"/>
      <c r="G145" s="350" t="s">
        <v>554</v>
      </c>
      <c r="H145" s="350"/>
      <c r="I145" s="350"/>
      <c r="J145" s="350"/>
      <c r="K145" s="350"/>
      <c r="L145" s="350"/>
      <c r="M145" s="350"/>
      <c r="N145" s="352"/>
      <c r="O145" s="352"/>
      <c r="P145" s="352"/>
      <c r="Q145" s="352"/>
      <c r="R145" s="352"/>
      <c r="S145" s="352"/>
      <c r="T145" s="3">
        <v>97</v>
      </c>
      <c r="V145" s="3" t="s">
        <v>664</v>
      </c>
    </row>
    <row r="146" spans="1:23">
      <c r="S146" s="3" t="s">
        <v>558</v>
      </c>
      <c r="T146" s="3">
        <v>98</v>
      </c>
      <c r="V146" s="3">
        <v>147</v>
      </c>
      <c r="W146" s="3">
        <f ca="1">MATCH(BillQuantities!$E$18, INDIRECT("A"&amp;'Enveloppe du bâtiment hors terr'!V146&amp;":A150"),0)</f>
        <v>1</v>
      </c>
    </row>
    <row r="147" spans="1:23">
      <c r="A147" s="483" t="str">
        <f>'Calcul ACV'!$C$39</f>
        <v>Valeur moyenne triple vitrage isolant, y c. protection solaire</v>
      </c>
      <c r="B147" s="1182" t="s">
        <v>665</v>
      </c>
      <c r="C147" s="483" t="s">
        <v>666</v>
      </c>
      <c r="D147" s="483" t="str">
        <f>VLOOKUP(F147,'Baumaterialien Matériaux'!$A$10:$AD$432,30,FALSE)</f>
        <v>Cadre de fenêtre bois-métal</v>
      </c>
      <c r="E147" s="483" t="str">
        <f>VLOOKUP(F147,'Baumaterialien Matériaux'!$A$10:$AD$432,6,FALSE)</f>
        <v>m2</v>
      </c>
      <c r="F147" s="862" t="s">
        <v>543</v>
      </c>
      <c r="G147" s="484">
        <v>0.22</v>
      </c>
      <c r="H147" s="483"/>
      <c r="I147" s="484">
        <f>$G147*VLOOKUP(F147,'Baumaterialien Matériaux'!$A$10:$AD$432,21,FALSE)</f>
        <v>65.56</v>
      </c>
      <c r="J147" s="484">
        <f>G147*VLOOKUP(F147,'Baumaterialien Matériaux'!$A$10:$AD$432,24,FALSE)</f>
        <v>0.42019999999999996</v>
      </c>
      <c r="K147" s="484">
        <f>G147*VLOOKUP(F147,'Baumaterialien Matériaux'!$A$10:$AD$432,26,FALSE)</f>
        <v>12.936</v>
      </c>
      <c r="L147" s="484">
        <f>G147*VLOOKUP(F147,'Baumaterialien Matériaux'!$A$10:$AD$432,27,FALSE)</f>
        <v>1.5664</v>
      </c>
      <c r="M147" s="484">
        <f>G147*VLOOKUP(F147,'Baumaterialien Matériaux'!$A$10:$AD$432,29,FALSE)</f>
        <v>5.0416666666666661</v>
      </c>
      <c r="N147" s="856">
        <v>30</v>
      </c>
      <c r="O147" s="856"/>
      <c r="P147" s="856"/>
      <c r="Q147" s="856"/>
      <c r="R147" s="856"/>
      <c r="S147" s="383"/>
      <c r="T147" s="3">
        <v>99</v>
      </c>
      <c r="V147" s="3">
        <f ca="1">W146+V146</f>
        <v>148</v>
      </c>
      <c r="W147" s="3">
        <f ca="1">MATCH(BillQuantities!$E$18, INDIRECT("A"&amp;'Enveloppe du bâtiment hors terr'!V147 &amp;":A150"),0)+W146-1</f>
        <v>1</v>
      </c>
    </row>
    <row r="148" spans="1:23">
      <c r="A148" s="483" t="str">
        <f>'Calcul ACV'!$C$39</f>
        <v>Valeur moyenne triple vitrage isolant, y c. protection solaire</v>
      </c>
      <c r="B148" s="1182"/>
      <c r="C148" s="483" t="s">
        <v>667</v>
      </c>
      <c r="D148" s="483" t="str">
        <f>VLOOKUP(F148,'Baumaterialien Matériaux'!$A$10:$AD$432,30,FALSE)</f>
        <v>Triple vitrage, U&lt;0.6 W/m2K, épaisseur 40 mm 3</v>
      </c>
      <c r="E148" s="483" t="str">
        <f>VLOOKUP(F148,'Baumaterialien Matériaux'!$A$10:$AD$432,6,FALSE)</f>
        <v>m2</v>
      </c>
      <c r="F148" s="486" t="s">
        <v>668</v>
      </c>
      <c r="G148" s="484">
        <v>0.78</v>
      </c>
      <c r="H148" s="483"/>
      <c r="I148" s="484">
        <f>$G148*VLOOKUP(F148,'Baumaterialien Matériaux'!$A$10:$AD$432,21,FALSE)</f>
        <v>195.78</v>
      </c>
      <c r="J148" s="484">
        <f>G148*VLOOKUP(F148,'Baumaterialien Matériaux'!$A$10:$AD$432,24,FALSE)</f>
        <v>3.1434000000000002</v>
      </c>
      <c r="K148" s="484">
        <f>G148*VLOOKUP(F148,'Baumaterialien Matériaux'!$A$10:$AD$432,26,FALSE)</f>
        <v>48.516000000000005</v>
      </c>
      <c r="L148" s="484">
        <f>G148*VLOOKUP(F148,'Baumaterialien Matériaux'!$A$10:$AD$432,27,FALSE)</f>
        <v>4.4538000000000002</v>
      </c>
      <c r="M148" s="484">
        <f>G148*VLOOKUP(F148,'Baumaterialien Matériaux'!$A$10:$AD$432,29,FALSE)</f>
        <v>0</v>
      </c>
      <c r="N148" s="856">
        <v>30</v>
      </c>
      <c r="O148" s="856"/>
      <c r="P148" s="856"/>
      <c r="Q148" s="856"/>
      <c r="R148" s="856"/>
      <c r="S148" s="383"/>
      <c r="T148" s="3">
        <v>100</v>
      </c>
      <c r="V148" s="3">
        <f ca="1">W147+V147-W146</f>
        <v>148</v>
      </c>
      <c r="W148" s="3">
        <f ca="1">MATCH(BillQuantities!$E$18, INDIRECT("A"&amp;'Enveloppe du bâtiment hors terr'!V148 &amp;":A150"),0)+W147-1</f>
        <v>1</v>
      </c>
    </row>
    <row r="149" spans="1:23">
      <c r="A149" s="483" t="str">
        <f>'Calcul ACV'!$C$39</f>
        <v>Valeur moyenne triple vitrage isolant, y c. protection solaire</v>
      </c>
      <c r="B149" s="1182"/>
      <c r="C149" s="483" t="s">
        <v>659</v>
      </c>
      <c r="D149" s="483" t="str">
        <f>VLOOKUP(F149,'Baumaterialien Matériaux'!$A$10:$AD$432,30,FALSE)</f>
        <v>Protection solaire, stores vénitiens avec moteur 4</v>
      </c>
      <c r="E149" s="483" t="str">
        <f>VLOOKUP(F149,'Baumaterialien Matériaux'!$A$10:$AD$432,6,FALSE)</f>
        <v>m2</v>
      </c>
      <c r="F149" s="486" t="s">
        <v>660</v>
      </c>
      <c r="G149" s="484">
        <v>1</v>
      </c>
      <c r="H149" s="483"/>
      <c r="I149" s="484">
        <f>$G149*VLOOKUP(F149,'Baumaterialien Matériaux'!$A$10:$AD$432,21,FALSE)</f>
        <v>249</v>
      </c>
      <c r="J149" s="484">
        <f>G149*VLOOKUP(F149,'Baumaterialien Matériaux'!$A$10:$AD$432,24,FALSE)</f>
        <v>0.435</v>
      </c>
      <c r="K149" s="484">
        <f>G149*VLOOKUP(F149,'Baumaterialien Matériaux'!$A$10:$AD$432,26,FALSE)</f>
        <v>58.6</v>
      </c>
      <c r="L149" s="484">
        <f>G149*VLOOKUP(F149,'Baumaterialien Matériaux'!$A$10:$AD$432,27,FALSE)</f>
        <v>1.47</v>
      </c>
      <c r="M149" s="484">
        <f>G149*VLOOKUP(F149,'Baumaterialien Matériaux'!$A$10:$AD$432,29,FALSE)</f>
        <v>0</v>
      </c>
      <c r="N149" s="856">
        <v>30</v>
      </c>
      <c r="O149" s="856"/>
      <c r="P149" s="856"/>
      <c r="Q149" s="856"/>
      <c r="R149" s="856"/>
      <c r="S149" s="383"/>
      <c r="T149" s="3">
        <v>101</v>
      </c>
      <c r="V149" s="3">
        <f ca="1">W148+V148-W147</f>
        <v>148</v>
      </c>
      <c r="W149" s="3">
        <f ca="1">MATCH(BillQuantities!$E$18, INDIRECT("A"&amp;'Enveloppe du bâtiment hors terr'!V149 &amp;":A150"),0)+W148-1</f>
        <v>1</v>
      </c>
    </row>
    <row r="150" spans="1:23" ht="15">
      <c r="I150" s="485">
        <f>SUM(I147:I149)</f>
        <v>510.34000000000003</v>
      </c>
      <c r="J150" s="485">
        <f t="shared" ref="J150:M150" si="35">SUM(J147:J149)</f>
        <v>3.9986000000000002</v>
      </c>
      <c r="K150" s="485">
        <f t="shared" si="35"/>
        <v>120.05200000000001</v>
      </c>
      <c r="L150" s="485">
        <f t="shared" si="35"/>
        <v>7.4901999999999997</v>
      </c>
      <c r="M150" s="485">
        <f t="shared" si="35"/>
        <v>5.0416666666666661</v>
      </c>
      <c r="N150" s="843">
        <v>30</v>
      </c>
      <c r="O150" s="485">
        <f>I150/$N150</f>
        <v>17.011333333333333</v>
      </c>
      <c r="P150" s="485">
        <f>J150/$N150</f>
        <v>0.13328666666666666</v>
      </c>
      <c r="Q150" s="485">
        <f>K150/$N150</f>
        <v>4.0017333333333331</v>
      </c>
      <c r="R150" s="485">
        <f>L150/$N150</f>
        <v>0.24967333333333333</v>
      </c>
      <c r="S150" s="485">
        <f>M150/$N150</f>
        <v>0.16805555555555554</v>
      </c>
      <c r="T150" s="3">
        <v>102</v>
      </c>
      <c r="V150" s="3">
        <f ca="1">W149+V149-W148</f>
        <v>148</v>
      </c>
      <c r="W150" s="3">
        <f ca="1">MATCH(BillQuantities!$E$18, INDIRECT("A"&amp;'Enveloppe du bâtiment hors terr'!V150 &amp;":A150"),0)+W149-1</f>
        <v>1</v>
      </c>
    </row>
    <row r="152" spans="1:23" ht="17.25">
      <c r="A152" s="350" t="s">
        <v>669</v>
      </c>
      <c r="B152" s="350"/>
      <c r="C152" s="350"/>
      <c r="D152" s="350"/>
      <c r="E152" s="350"/>
      <c r="F152" s="350"/>
      <c r="G152" s="350" t="s">
        <v>554</v>
      </c>
      <c r="H152" s="350"/>
      <c r="I152" s="350"/>
      <c r="J152" s="350"/>
      <c r="K152" s="350"/>
      <c r="L152" s="350"/>
      <c r="M152" s="350"/>
      <c r="N152" s="352"/>
      <c r="O152" s="352"/>
      <c r="P152" s="352"/>
      <c r="Q152" s="352"/>
      <c r="R152" s="352"/>
      <c r="S152" s="352"/>
    </row>
    <row r="153" spans="1:23">
      <c r="S153" s="3" t="s">
        <v>558</v>
      </c>
      <c r="V153" s="3" t="s">
        <v>670</v>
      </c>
    </row>
    <row r="154" spans="1:23" ht="15">
      <c r="A154" s="483" t="str">
        <f>'Calcul ACV'!$C$41</f>
        <v>Dalle en béton 25cm (avec enduit intérieur)</v>
      </c>
      <c r="B154" s="1182" t="s">
        <v>671</v>
      </c>
      <c r="C154" s="483" t="s">
        <v>672</v>
      </c>
      <c r="D154" s="483" t="str">
        <f>VLOOKUP(F154,'Baumaterialien Matériaux'!$A$10:$AD$432,30,FALSE)</f>
        <v>Béton pour bâtiment (sans armature)</v>
      </c>
      <c r="E154" s="483" t="str">
        <f>VLOOKUP(F154,'Baumaterialien Matériaux'!$A$10:$AD$432,6,FALSE)</f>
        <v>kg</v>
      </c>
      <c r="F154" s="845">
        <v>1.0019999999999998</v>
      </c>
      <c r="G154" s="484">
        <f>(0.25-G155/7850)*2300</f>
        <v>568.40764331210187</v>
      </c>
      <c r="I154" s="484">
        <f>$G154*VLOOKUP(F154,'Baumaterialien Matériaux'!$A$10:$AD$432,21,FALSE)</f>
        <v>70.482547770700634</v>
      </c>
      <c r="J154" s="484">
        <f>G154*VLOOKUP(F154,'Baumaterialien Matériaux'!$A$10:$AD$432,24,FALSE)</f>
        <v>29.329834394904456</v>
      </c>
      <c r="K154" s="484">
        <f>G154*VLOOKUP(F154,'Baumaterialien Matériaux'!$A$10:$AD$432,26,FALSE)</f>
        <v>50.47459872611465</v>
      </c>
      <c r="L154" s="484">
        <f>G154*VLOOKUP(F154,'Baumaterialien Matériaux'!$A$10:$AD$432,27,FALSE)</f>
        <v>7.2187770700636937</v>
      </c>
      <c r="M154" s="484">
        <f>G154*VLOOKUP(F154,'Baumaterialien Matériaux'!$A$10:$AD$432,29,FALSE)</f>
        <v>0</v>
      </c>
      <c r="N154" s="843">
        <v>60</v>
      </c>
      <c r="O154" s="1199">
        <f>SUM(I154:I156)/$N154</f>
        <v>3.1909257961783437</v>
      </c>
      <c r="P154" s="1199">
        <f>SUM(J154:J156)/$N154</f>
        <v>0.51514207324840766</v>
      </c>
      <c r="Q154" s="1199">
        <f>SUM(K154:K156)/$N154</f>
        <v>1.4362516454352443</v>
      </c>
      <c r="R154" s="1199">
        <f>SUM(L154:L156)/$N154</f>
        <v>0.12931045116772824</v>
      </c>
      <c r="S154" s="1199">
        <f>SUM(M154:M156)/$N154</f>
        <v>0.12436722222222224</v>
      </c>
      <c r="V154" s="3">
        <v>154</v>
      </c>
      <c r="W154" s="3">
        <f ca="1">MATCH(BillQuantities!$E$20, INDIRECT("A"&amp;'Enveloppe du bâtiment hors terr'!V154&amp;":A191"),0)</f>
        <v>1</v>
      </c>
    </row>
    <row r="155" spans="1:23" ht="15">
      <c r="A155" s="483" t="str">
        <f>'Calcul ACV'!$C$41</f>
        <v>Dalle en béton 25cm (avec enduit intérieur)</v>
      </c>
      <c r="B155" s="1182"/>
      <c r="C155" s="483" t="s">
        <v>673</v>
      </c>
      <c r="D155" s="483" t="str">
        <f>VLOOKUP(F155,'Baumaterialien Matériaux'!$A$10:$AD$432,30,FALSE)</f>
        <v>Acier d'armature</v>
      </c>
      <c r="E155" s="483" t="str">
        <f>VLOOKUP(F155,'Baumaterialien Matériaux'!$A$10:$AD$432,6,FALSE)</f>
        <v>kg</v>
      </c>
      <c r="F155" s="483" t="s">
        <v>497</v>
      </c>
      <c r="G155" s="484">
        <f>90*0.25</f>
        <v>22.5</v>
      </c>
      <c r="I155" s="484">
        <f>$G155*VLOOKUP(F155,'Baumaterialien Matériaux'!$A$10:$AD$432,21,FALSE)</f>
        <v>111.15</v>
      </c>
      <c r="J155" s="484">
        <f>G155*VLOOKUP(F155,'Baumaterialien Matériaux'!$A$10:$AD$432,24,FALSE)</f>
        <v>1.143</v>
      </c>
      <c r="K155" s="484">
        <f>G155*VLOOKUP(F155,'Baumaterialien Matériaux'!$A$10:$AD$432,26,FALSE)</f>
        <v>33.75</v>
      </c>
      <c r="L155" s="484">
        <f>G155*VLOOKUP(F155,'Baumaterialien Matériaux'!$A$10:$AD$432,27,FALSE)</f>
        <v>0.27899999999999997</v>
      </c>
      <c r="M155" s="484">
        <f>G155*VLOOKUP(F155,'Baumaterialien Matériaux'!$A$10:$AD$432,29,FALSE)</f>
        <v>0</v>
      </c>
      <c r="N155" s="843">
        <v>60</v>
      </c>
      <c r="O155" s="1199"/>
      <c r="P155" s="1199"/>
      <c r="Q155" s="1199"/>
      <c r="R155" s="1199"/>
      <c r="S155" s="1199"/>
      <c r="V155" s="3">
        <f ca="1">W154+V154</f>
        <v>155</v>
      </c>
      <c r="W155" s="3">
        <f ca="1">MATCH(BillQuantities!$E$20, INDIRECT("A"&amp;'Enveloppe du bâtiment hors terr'!V155 &amp;":A191"),0)+W154-1</f>
        <v>1</v>
      </c>
    </row>
    <row r="156" spans="1:23" ht="15">
      <c r="A156" s="483" t="str">
        <f>'Calcul ACV'!$C$41</f>
        <v>Dalle en béton 25cm (avec enduit intérieur)</v>
      </c>
      <c r="B156" s="1182"/>
      <c r="C156" s="483" t="s">
        <v>560</v>
      </c>
      <c r="D156" s="483" t="str">
        <f>VLOOKUP(F156,'Baumaterialien Matériaux'!$A$10:$AD$432,30,FALSE)</f>
        <v>Bois massif 3 et 5 plis</v>
      </c>
      <c r="E156" s="483" t="str">
        <f>VLOOKUP(F156,'Baumaterialien Matériaux'!$A$10:$AD$432,6,FALSE)</f>
        <v>kg</v>
      </c>
      <c r="F156" s="483" t="s">
        <v>510</v>
      </c>
      <c r="G156" s="484">
        <f>2/5*0.025*470</f>
        <v>4.7000000000000011</v>
      </c>
      <c r="I156" s="484">
        <f>$G156*VLOOKUP(F156,'Baumaterialien Matériaux'!$A$10:$AD$432,21,FALSE)</f>
        <v>9.8230000000000022</v>
      </c>
      <c r="J156" s="484">
        <f>G156*VLOOKUP(F156,'Baumaterialien Matériaux'!$A$10:$AD$432,24,FALSE)</f>
        <v>0.43569000000000013</v>
      </c>
      <c r="K156" s="484">
        <f>G156*VLOOKUP(F156,'Baumaterialien Matériaux'!$A$10:$AD$432,26,FALSE)</f>
        <v>1.9505000000000003</v>
      </c>
      <c r="L156" s="484">
        <f>G156*VLOOKUP(F156,'Baumaterialien Matériaux'!$A$10:$AD$432,27,FALSE)</f>
        <v>0.26085000000000008</v>
      </c>
      <c r="M156" s="484">
        <f>G156*VLOOKUP(F156,'Baumaterialien Matériaux'!$A$10:$AD$432,29,FALSE)</f>
        <v>7.4620333333333342</v>
      </c>
      <c r="N156" s="843">
        <v>60</v>
      </c>
      <c r="O156" s="1199"/>
      <c r="P156" s="1199"/>
      <c r="Q156" s="1199"/>
      <c r="R156" s="1199"/>
      <c r="S156" s="1199"/>
      <c r="V156" s="3">
        <f ca="1">W155+V155-W154</f>
        <v>155</v>
      </c>
      <c r="W156" s="3">
        <f ca="1">MATCH(BillQuantities!$E$20, INDIRECT("A"&amp;'Enveloppe du bâtiment hors terr'!V156 &amp;":A191"),0)+W155-1</f>
        <v>1</v>
      </c>
    </row>
    <row r="157" spans="1:23" ht="15">
      <c r="A157" s="483" t="str">
        <f>'Calcul ACV'!$C$41</f>
        <v>Dalle en béton 25cm (avec enduit intérieur)</v>
      </c>
      <c r="B157" s="1182" t="s">
        <v>561</v>
      </c>
      <c r="C157" s="483" t="s">
        <v>562</v>
      </c>
      <c r="D157" s="483" t="str">
        <f>VLOOKUP(F157,'Baumaterialien Matériaux'!$A$10:$AD$432,30,FALSE)</f>
        <v>Enduit en plâtre et en ciment</v>
      </c>
      <c r="E157" s="483" t="str">
        <f>VLOOKUP(F157,'Baumaterialien Matériaux'!$A$10:$AD$432,6,FALSE)</f>
        <v>kg</v>
      </c>
      <c r="F157" s="487" t="s">
        <v>563</v>
      </c>
      <c r="G157" s="484">
        <v>18</v>
      </c>
      <c r="I157" s="484">
        <f>$G157*VLOOKUP(F157,'Baumaterialien Matériaux'!$A$10:$AD$432,21,FALSE)</f>
        <v>11.934000000000001</v>
      </c>
      <c r="J157" s="484">
        <f>G157*VLOOKUP(F157,'Baumaterialien Matériaux'!$A$10:$AD$432,24,FALSE)</f>
        <v>0.94859999999999989</v>
      </c>
      <c r="K157" s="484">
        <f>G157*VLOOKUP(F157,'Baumaterialien Matériaux'!$A$10:$AD$432,26,FALSE)</f>
        <v>4.5179999999999998</v>
      </c>
      <c r="L157" s="484">
        <f>G157*VLOOKUP(F157,'Baumaterialien Matériaux'!$A$10:$AD$432,27,FALSE)</f>
        <v>0.23219999999999999</v>
      </c>
      <c r="M157" s="484">
        <f>G157*VLOOKUP(F157,'Baumaterialien Matériaux'!$A$10:$AD$432,29,FALSE)</f>
        <v>0</v>
      </c>
      <c r="N157" s="843">
        <v>30</v>
      </c>
      <c r="O157" s="1199">
        <f>SUM(I157:I159)/$N157</f>
        <v>0.60940000000000016</v>
      </c>
      <c r="P157" s="1199">
        <f>SUM(J157:J159)/$N157</f>
        <v>3.8328333333333325E-2</v>
      </c>
      <c r="Q157" s="1199">
        <f>SUM(K157:K159)/$N157</f>
        <v>0.18823333333333331</v>
      </c>
      <c r="R157" s="1199">
        <f>SUM(L157:L159)/$N157</f>
        <v>1.1118333333333334E-2</v>
      </c>
      <c r="S157" s="1199">
        <f>SUM(M157:M159)/$N157</f>
        <v>0</v>
      </c>
      <c r="V157" s="3">
        <f ca="1">W156+V156-W155</f>
        <v>155</v>
      </c>
      <c r="W157" s="3">
        <f ca="1">MATCH(BillQuantities!$E$20, INDIRECT("A"&amp;'Enveloppe du bâtiment hors terr'!V157 &amp;":A191"),0)+W156-1</f>
        <v>1</v>
      </c>
    </row>
    <row r="158" spans="1:23" ht="15">
      <c r="A158" s="483" t="str">
        <f>'Calcul ACV'!$C$41</f>
        <v>Dalle en béton 25cm (avec enduit intérieur)</v>
      </c>
      <c r="B158" s="1182"/>
      <c r="C158" s="483" t="s">
        <v>564</v>
      </c>
      <c r="D158" s="483" t="str">
        <f>VLOOKUP(F158,'Baumaterialien Matériaux'!$A$10:$AD$432,30,FALSE)</f>
        <v>Enduit minéral</v>
      </c>
      <c r="E158" s="483" t="str">
        <f>VLOOKUP(F158,'Baumaterialien Matériaux'!$A$10:$AD$432,6,FALSE)</f>
        <v>kg</v>
      </c>
      <c r="F158" s="486">
        <v>4.0010000000000003</v>
      </c>
      <c r="G158" s="484">
        <v>3.5</v>
      </c>
      <c r="I158" s="484">
        <f>$G158*VLOOKUP(F158,'Baumaterialien Matériaux'!$A$10:$AD$432,21,FALSE)</f>
        <v>2.198</v>
      </c>
      <c r="J158" s="484">
        <f>G158*VLOOKUP(F158,'Baumaterialien Matériaux'!$A$10:$AD$432,24,FALSE)</f>
        <v>0.18445</v>
      </c>
      <c r="K158" s="484">
        <f>G158*VLOOKUP(F158,'Baumaterialien Matériaux'!$A$10:$AD$432,26,FALSE)</f>
        <v>0.48300000000000004</v>
      </c>
      <c r="L158" s="484">
        <f>G158*VLOOKUP(F158,'Baumaterialien Matériaux'!$A$10:$AD$432,27,FALSE)</f>
        <v>4.5150000000000003E-2</v>
      </c>
      <c r="M158" s="484">
        <f>G158*VLOOKUP(F158,'Baumaterialien Matériaux'!$A$10:$AD$432,29,FALSE)</f>
        <v>0</v>
      </c>
      <c r="N158" s="843">
        <v>30</v>
      </c>
      <c r="O158" s="1199"/>
      <c r="P158" s="1199"/>
      <c r="Q158" s="1199"/>
      <c r="R158" s="1199"/>
      <c r="S158" s="1199"/>
      <c r="V158" s="3">
        <f ca="1">W157+V157-W156</f>
        <v>155</v>
      </c>
      <c r="W158" s="3">
        <f ca="1">MATCH(BillQuantities!$E$20, INDIRECT("A"&amp;'Enveloppe du bâtiment hors terr'!V158 &amp;":A191"),0)+W157-1</f>
        <v>1</v>
      </c>
    </row>
    <row r="159" spans="1:23" ht="15">
      <c r="A159" s="483" t="str">
        <f>'Calcul ACV'!$C$41</f>
        <v>Dalle en béton 25cm (avec enduit intérieur)</v>
      </c>
      <c r="B159" s="1182"/>
      <c r="C159" s="483" t="s">
        <v>565</v>
      </c>
      <c r="D159" s="483" t="str">
        <f>VLOOKUP(F159,'Baumaterialien Matériaux'!$A$10:$AD$432,30,FALSE)</f>
        <v>Enduit, diluable à l'eau, 2 couches</v>
      </c>
      <c r="E159" s="483" t="str">
        <f>VLOOKUP(F159,'Baumaterialien Matériaux'!$A$10:$AD$432,6,FALSE)</f>
        <v>m2</v>
      </c>
      <c r="F159" s="488" t="s">
        <v>566</v>
      </c>
      <c r="G159" s="484">
        <v>1</v>
      </c>
      <c r="I159" s="484">
        <f>$G159*VLOOKUP(F159,'Baumaterialien Matériaux'!$A$10:$AD$432,21,FALSE)</f>
        <v>4.1500000000000004</v>
      </c>
      <c r="J159" s="484">
        <f>G159*VLOOKUP(F159,'Baumaterialien Matériaux'!$A$10:$AD$432,24,FALSE)</f>
        <v>1.6799999999999999E-2</v>
      </c>
      <c r="K159" s="484">
        <f>G159*VLOOKUP(F159,'Baumaterialien Matériaux'!$A$10:$AD$432,26,FALSE)</f>
        <v>0.64600000000000002</v>
      </c>
      <c r="L159" s="484">
        <f>G159*VLOOKUP(F159,'Baumaterialien Matériaux'!$A$10:$AD$432,27,FALSE)</f>
        <v>5.62E-2</v>
      </c>
      <c r="M159" s="484">
        <f>G159*VLOOKUP(F159,'Baumaterialien Matériaux'!$A$10:$AD$432,29,FALSE)</f>
        <v>0</v>
      </c>
      <c r="N159" s="843">
        <v>30</v>
      </c>
      <c r="O159" s="1199"/>
      <c r="P159" s="1199"/>
      <c r="Q159" s="1199"/>
      <c r="R159" s="1199"/>
      <c r="S159" s="1199"/>
      <c r="V159" s="3">
        <f ca="1">W158+V158-W157</f>
        <v>155</v>
      </c>
      <c r="W159" s="3">
        <f ca="1">MATCH(BillQuantities!$E$20, INDIRECT("A"&amp;'Enveloppe du bâtiment hors terr'!V159 &amp;":A191"),0)+W158-1</f>
        <v>1</v>
      </c>
    </row>
    <row r="160" spans="1:23" ht="15">
      <c r="I160" s="485">
        <f>SUM(I154:I159)</f>
        <v>209.73754777070064</v>
      </c>
      <c r="J160" s="485">
        <f t="shared" ref="J160:M160" si="36">SUM(J154:J159)</f>
        <v>32.058374394904462</v>
      </c>
      <c r="K160" s="485">
        <f t="shared" si="36"/>
        <v>91.82209872611466</v>
      </c>
      <c r="L160" s="485">
        <f t="shared" si="36"/>
        <v>8.0921770700636948</v>
      </c>
      <c r="M160" s="485">
        <f t="shared" si="36"/>
        <v>7.4620333333333342</v>
      </c>
      <c r="N160" s="843"/>
      <c r="O160" s="485">
        <f>SUM(O154:O159)</f>
        <v>3.8003257961783437</v>
      </c>
      <c r="P160" s="485">
        <f t="shared" ref="P160:R160" si="37">SUM(P154:P159)</f>
        <v>0.55347040658174096</v>
      </c>
      <c r="Q160" s="485">
        <f t="shared" si="37"/>
        <v>1.6244849787685776</v>
      </c>
      <c r="R160" s="485">
        <f t="shared" si="37"/>
        <v>0.14042878450106158</v>
      </c>
      <c r="S160" s="485">
        <f t="shared" ref="S160" si="38">SUM(S154:S159)</f>
        <v>0.12436722222222224</v>
      </c>
      <c r="V160" s="3">
        <f ca="1">W159+V159-W158</f>
        <v>155</v>
      </c>
      <c r="W160" s="3">
        <f ca="1">MATCH(BillQuantities!$E$20, INDIRECT("A"&amp;'Enveloppe du bâtiment hors terr'!V160 &amp;":A191"),0)+W159-1</f>
        <v>1</v>
      </c>
    </row>
    <row r="161" spans="1:19">
      <c r="S161" s="3" t="s">
        <v>558</v>
      </c>
    </row>
    <row r="162" spans="1:19">
      <c r="A162" s="483" t="str">
        <f>'Calcul ACV'!$C$42</f>
        <v>Dalle en béton 40cm (avec enduit intérieur)</v>
      </c>
      <c r="B162" s="1201" t="s">
        <v>674</v>
      </c>
      <c r="C162" s="483" t="s">
        <v>675</v>
      </c>
      <c r="D162" s="483" t="str">
        <f>VLOOKUP(F162,'Baumaterialien Matériaux'!$A$10:$AD$432,30,FALSE)</f>
        <v>Béton pour bâtiment (sans armature)</v>
      </c>
      <c r="E162" s="483" t="str">
        <f>VLOOKUP(F162,'Baumaterialien Matériaux'!$A$10:$AD$432,6,FALSE)</f>
        <v>kg</v>
      </c>
      <c r="F162" s="845">
        <v>1.0019999999999998</v>
      </c>
      <c r="G162" s="484">
        <f>(0.4-G163/7850)*2300</f>
        <v>902.71337579617841</v>
      </c>
      <c r="I162" s="484">
        <f>$G162*VLOOKUP(F162,'Baumaterialien Matériaux'!$A$10:$AD$432,21,FALSE)</f>
        <v>111.93645859872612</v>
      </c>
      <c r="J162" s="484">
        <f>G162*VLOOKUP(F162,'Baumaterialien Matériaux'!$A$10:$AD$432,24,FALSE)</f>
        <v>46.580010191082806</v>
      </c>
      <c r="K162" s="484">
        <f>G162*VLOOKUP(F162,'Baumaterialien Matériaux'!$A$10:$AD$432,26,FALSE)</f>
        <v>80.160947770700645</v>
      </c>
      <c r="L162" s="484">
        <f>G162*VLOOKUP(F162,'Baumaterialien Matériaux'!$A$10:$AD$432,27,FALSE)</f>
        <v>11.464459872611465</v>
      </c>
      <c r="M162" s="484">
        <f>G162*VLOOKUP(F162,'Baumaterialien Matériaux'!$A$10:$AD$432,29,FALSE)</f>
        <v>0</v>
      </c>
      <c r="N162" s="1200">
        <v>60</v>
      </c>
      <c r="O162" s="1199">
        <f>SUM(I162:I164)/$N162</f>
        <v>6.8869909766454356</v>
      </c>
      <c r="P162" s="1199">
        <f>SUM(J162:J164)/$N162</f>
        <v>0.83354833651804683</v>
      </c>
      <c r="Q162" s="1199">
        <f>SUM(K162:K164)/$N162</f>
        <v>2.8435241295116778</v>
      </c>
      <c r="R162" s="1199">
        <f>SUM(L162:L164)/$N162</f>
        <v>0.20761516454352441</v>
      </c>
      <c r="S162" s="1199">
        <f>SUM(M162:M164)/$N162</f>
        <v>0.12436722222222224</v>
      </c>
    </row>
    <row r="163" spans="1:19">
      <c r="A163" s="483" t="str">
        <f>'Calcul ACV'!$C$42</f>
        <v>Dalle en béton 40cm (avec enduit intérieur)</v>
      </c>
      <c r="B163" s="1201"/>
      <c r="C163" s="483" t="s">
        <v>676</v>
      </c>
      <c r="D163" s="483" t="str">
        <f>VLOOKUP(F163,'Baumaterialien Matériaux'!$A$10:$AD$432,30,FALSE)</f>
        <v>Acier d'armature</v>
      </c>
      <c r="E163" s="483" t="str">
        <f>VLOOKUP(F163,'Baumaterialien Matériaux'!$A$10:$AD$432,6,FALSE)</f>
        <v>kg</v>
      </c>
      <c r="F163" s="483" t="s">
        <v>497</v>
      </c>
      <c r="G163" s="484">
        <f>147.5*0.4</f>
        <v>59</v>
      </c>
      <c r="I163" s="484">
        <f>$G163*VLOOKUP(F163,'Baumaterialien Matériaux'!$A$10:$AD$432,21,FALSE)</f>
        <v>291.46000000000004</v>
      </c>
      <c r="J163" s="484">
        <f>G163*VLOOKUP(F163,'Baumaterialien Matériaux'!$A$10:$AD$432,24,FALSE)</f>
        <v>2.9971999999999999</v>
      </c>
      <c r="K163" s="484">
        <f>G163*VLOOKUP(F163,'Baumaterialien Matériaux'!$A$10:$AD$432,26,FALSE)</f>
        <v>88.5</v>
      </c>
      <c r="L163" s="484">
        <f>G163*VLOOKUP(F163,'Baumaterialien Matériaux'!$A$10:$AD$432,27,FALSE)</f>
        <v>0.73160000000000003</v>
      </c>
      <c r="M163" s="484">
        <f>G163*VLOOKUP(F163,'Baumaterialien Matériaux'!$A$10:$AD$432,29,FALSE)</f>
        <v>0</v>
      </c>
      <c r="N163" s="1200"/>
      <c r="O163" s="1199"/>
      <c r="P163" s="1199"/>
      <c r="Q163" s="1199"/>
      <c r="R163" s="1199"/>
      <c r="S163" s="1199"/>
    </row>
    <row r="164" spans="1:19">
      <c r="A164" s="483" t="str">
        <f>'Calcul ACV'!$C$42</f>
        <v>Dalle en béton 40cm (avec enduit intérieur)</v>
      </c>
      <c r="B164" s="1201"/>
      <c r="C164" s="483" t="s">
        <v>582</v>
      </c>
      <c r="D164" s="483" t="str">
        <f>VLOOKUP(F164,'Baumaterialien Matériaux'!$A$10:$AD$432,30,FALSE)</f>
        <v>Bois massif 3 et 5 plis</v>
      </c>
      <c r="E164" s="483" t="str">
        <f>VLOOKUP(F164,'Baumaterialien Matériaux'!$A$10:$AD$432,6,FALSE)</f>
        <v>kg</v>
      </c>
      <c r="F164" s="483" t="s">
        <v>510</v>
      </c>
      <c r="G164" s="484">
        <f>2/5*0.025*470</f>
        <v>4.7000000000000011</v>
      </c>
      <c r="I164" s="484">
        <f>$G164*VLOOKUP(F164,'Baumaterialien Matériaux'!$A$10:$AD$432,21,FALSE)</f>
        <v>9.8230000000000022</v>
      </c>
      <c r="J164" s="484">
        <f>G164*VLOOKUP(F164,'Baumaterialien Matériaux'!$A$10:$AD$432,24,FALSE)</f>
        <v>0.43569000000000013</v>
      </c>
      <c r="K164" s="484">
        <f>G164*VLOOKUP(F164,'Baumaterialien Matériaux'!$A$10:$AD$432,26,FALSE)</f>
        <v>1.9505000000000003</v>
      </c>
      <c r="L164" s="484">
        <f>G164*VLOOKUP(F164,'Baumaterialien Matériaux'!$A$10:$AD$432,27,FALSE)</f>
        <v>0.26085000000000008</v>
      </c>
      <c r="M164" s="484">
        <f>G164*VLOOKUP(F164,'Baumaterialien Matériaux'!$A$10:$AD$432,29,FALSE)</f>
        <v>7.4620333333333342</v>
      </c>
      <c r="N164" s="1200"/>
      <c r="O164" s="1199"/>
      <c r="P164" s="1199"/>
      <c r="Q164" s="1199"/>
      <c r="R164" s="1199"/>
      <c r="S164" s="1199"/>
    </row>
    <row r="165" spans="1:19">
      <c r="A165" s="483" t="str">
        <f>'Calcul ACV'!$C$42</f>
        <v>Dalle en béton 40cm (avec enduit intérieur)</v>
      </c>
      <c r="B165" s="1182" t="s">
        <v>561</v>
      </c>
      <c r="C165" s="483" t="s">
        <v>562</v>
      </c>
      <c r="D165" s="483" t="str">
        <f>VLOOKUP(F165,'Baumaterialien Matériaux'!$A$10:$AD$432,30,FALSE)</f>
        <v>Enduit en plâtre et en ciment</v>
      </c>
      <c r="E165" s="483" t="str">
        <f>VLOOKUP(F165,'Baumaterialien Matériaux'!$A$10:$AD$432,6,FALSE)</f>
        <v>kg</v>
      </c>
      <c r="F165" s="487" t="s">
        <v>563</v>
      </c>
      <c r="G165" s="484">
        <v>18</v>
      </c>
      <c r="I165" s="484">
        <f>$G165*VLOOKUP(F165,'Baumaterialien Matériaux'!$A$10:$AD$432,21,FALSE)</f>
        <v>11.934000000000001</v>
      </c>
      <c r="J165" s="484">
        <f>G165*VLOOKUP(F165,'Baumaterialien Matériaux'!$A$10:$AD$432,24,FALSE)</f>
        <v>0.94859999999999989</v>
      </c>
      <c r="K165" s="484">
        <f>G165*VLOOKUP(F165,'Baumaterialien Matériaux'!$A$10:$AD$432,26,FALSE)</f>
        <v>4.5179999999999998</v>
      </c>
      <c r="L165" s="484">
        <f>G165*VLOOKUP(F165,'Baumaterialien Matériaux'!$A$10:$AD$432,27,FALSE)</f>
        <v>0.23219999999999999</v>
      </c>
      <c r="M165" s="484">
        <f>G165*VLOOKUP(F165,'Baumaterialien Matériaux'!$A$10:$AD$432,29,FALSE)</f>
        <v>0</v>
      </c>
      <c r="N165" s="1200">
        <v>30</v>
      </c>
      <c r="O165" s="1199">
        <f>SUM(I165:I167)/$N165</f>
        <v>0.60940000000000016</v>
      </c>
      <c r="P165" s="1199">
        <f t="shared" ref="P165" si="39">SUM(J165:J167)/$N165</f>
        <v>3.8328333333333325E-2</v>
      </c>
      <c r="Q165" s="1199">
        <f t="shared" ref="Q165" si="40">SUM(K165:K167)/$N165</f>
        <v>0.18823333333333331</v>
      </c>
      <c r="R165" s="1199">
        <f t="shared" ref="R165:S165" si="41">SUM(L165:L167)/$N165</f>
        <v>1.1118333333333334E-2</v>
      </c>
      <c r="S165" s="1199">
        <f t="shared" si="41"/>
        <v>0</v>
      </c>
    </row>
    <row r="166" spans="1:19">
      <c r="A166" s="483" t="str">
        <f>'Calcul ACV'!$C$42</f>
        <v>Dalle en béton 40cm (avec enduit intérieur)</v>
      </c>
      <c r="B166" s="1182"/>
      <c r="C166" s="483" t="s">
        <v>564</v>
      </c>
      <c r="D166" s="483" t="str">
        <f>VLOOKUP(F166,'Baumaterialien Matériaux'!$A$10:$AD$432,30,FALSE)</f>
        <v>Enduit minéral</v>
      </c>
      <c r="E166" s="483" t="str">
        <f>VLOOKUP(F166,'Baumaterialien Matériaux'!$A$10:$AD$432,6,FALSE)</f>
        <v>kg</v>
      </c>
      <c r="F166" s="486">
        <v>4.0010000000000003</v>
      </c>
      <c r="G166" s="484">
        <v>3.5</v>
      </c>
      <c r="I166" s="484">
        <f>$G166*VLOOKUP(F166,'Baumaterialien Matériaux'!$A$10:$AD$432,21,FALSE)</f>
        <v>2.198</v>
      </c>
      <c r="J166" s="484">
        <f>G166*VLOOKUP(F166,'Baumaterialien Matériaux'!$A$10:$AD$432,24,FALSE)</f>
        <v>0.18445</v>
      </c>
      <c r="K166" s="484">
        <f>G166*VLOOKUP(F166,'Baumaterialien Matériaux'!$A$10:$AD$432,26,FALSE)</f>
        <v>0.48300000000000004</v>
      </c>
      <c r="L166" s="484">
        <f>G166*VLOOKUP(F166,'Baumaterialien Matériaux'!$A$10:$AD$432,27,FALSE)</f>
        <v>4.5150000000000003E-2</v>
      </c>
      <c r="M166" s="484">
        <f>G166*VLOOKUP(F166,'Baumaterialien Matériaux'!$A$10:$AD$432,29,FALSE)</f>
        <v>0</v>
      </c>
      <c r="N166" s="1200"/>
      <c r="O166" s="1199"/>
      <c r="P166" s="1199"/>
      <c r="Q166" s="1199"/>
      <c r="R166" s="1199"/>
      <c r="S166" s="1199"/>
    </row>
    <row r="167" spans="1:19">
      <c r="A167" s="483" t="str">
        <f>'Calcul ACV'!$C$42</f>
        <v>Dalle en béton 40cm (avec enduit intérieur)</v>
      </c>
      <c r="B167" s="1182"/>
      <c r="C167" s="483" t="s">
        <v>565</v>
      </c>
      <c r="D167" s="483" t="str">
        <f>VLOOKUP(F167,'Baumaterialien Matériaux'!$A$10:$AD$432,30,FALSE)</f>
        <v>Enduit, diluable à l'eau, 2 couches</v>
      </c>
      <c r="E167" s="483" t="str">
        <f>VLOOKUP(F167,'Baumaterialien Matériaux'!$A$10:$AD$432,6,FALSE)</f>
        <v>m2</v>
      </c>
      <c r="F167" s="488" t="s">
        <v>566</v>
      </c>
      <c r="G167" s="484">
        <v>1</v>
      </c>
      <c r="I167" s="484">
        <f>$G167*VLOOKUP(F167,'Baumaterialien Matériaux'!$A$10:$AD$432,21,FALSE)</f>
        <v>4.1500000000000004</v>
      </c>
      <c r="J167" s="484">
        <f>G167*VLOOKUP(F167,'Baumaterialien Matériaux'!$A$10:$AD$432,24,FALSE)</f>
        <v>1.6799999999999999E-2</v>
      </c>
      <c r="K167" s="484">
        <f>G167*VLOOKUP(F167,'Baumaterialien Matériaux'!$A$10:$AD$432,26,FALSE)</f>
        <v>0.64600000000000002</v>
      </c>
      <c r="L167" s="484">
        <f>G167*VLOOKUP(F167,'Baumaterialien Matériaux'!$A$10:$AD$432,27,FALSE)</f>
        <v>5.62E-2</v>
      </c>
      <c r="M167" s="484">
        <f>G167*VLOOKUP(F167,'Baumaterialien Matériaux'!$A$10:$AD$432,29,FALSE)</f>
        <v>0</v>
      </c>
      <c r="N167" s="1200"/>
      <c r="O167" s="1199"/>
      <c r="P167" s="1199"/>
      <c r="Q167" s="1199"/>
      <c r="R167" s="1199"/>
      <c r="S167" s="1199"/>
    </row>
    <row r="168" spans="1:19" ht="15">
      <c r="I168" s="485">
        <f>SUM(I162:I167)</f>
        <v>431.50145859872612</v>
      </c>
      <c r="J168" s="485">
        <f t="shared" ref="J168:M168" si="42">SUM(J162:J167)</f>
        <v>51.162750191082807</v>
      </c>
      <c r="K168" s="485">
        <f t="shared" si="42"/>
        <v>176.25844777070066</v>
      </c>
      <c r="L168" s="485">
        <f t="shared" si="42"/>
        <v>12.790459872611466</v>
      </c>
      <c r="M168" s="485">
        <f t="shared" si="42"/>
        <v>7.4620333333333342</v>
      </c>
      <c r="N168" s="843"/>
      <c r="O168" s="485">
        <f>SUM(O162:O167)</f>
        <v>7.4963909766454355</v>
      </c>
      <c r="P168" s="485">
        <f t="shared" ref="P168" si="43">SUM(P162:P167)</f>
        <v>0.87187666985138013</v>
      </c>
      <c r="Q168" s="485">
        <f t="shared" ref="Q168" si="44">SUM(Q162:Q167)</f>
        <v>3.031757462845011</v>
      </c>
      <c r="R168" s="485">
        <f t="shared" ref="R168:S168" si="45">SUM(R162:R167)</f>
        <v>0.21873349787685775</v>
      </c>
      <c r="S168" s="485">
        <f t="shared" si="45"/>
        <v>0.12436722222222224</v>
      </c>
    </row>
    <row r="169" spans="1:19">
      <c r="S169" s="3" t="s">
        <v>558</v>
      </c>
    </row>
    <row r="170" spans="1:19">
      <c r="A170" s="483" t="str">
        <f>'Calcul ACV'!$C$43</f>
        <v>Tôle ondulée-béton</v>
      </c>
      <c r="B170" s="1182" t="s">
        <v>677</v>
      </c>
      <c r="C170" s="483" t="s">
        <v>672</v>
      </c>
      <c r="D170" s="483" t="str">
        <f>VLOOKUP(F170,'Baumaterialien Matériaux'!$A$10:$AD$432,30,FALSE)</f>
        <v>Béton pour bâtiment (sans armature)</v>
      </c>
      <c r="E170" s="483" t="str">
        <f>VLOOKUP(F170,'Baumaterialien Matériaux'!$A$10:$AD$432,6,FALSE)</f>
        <v>kg</v>
      </c>
      <c r="F170" s="845">
        <v>1.0019999999999998</v>
      </c>
      <c r="G170" s="484">
        <f>(0.11-G171/7850)*2300</f>
        <v>250.42165605095539</v>
      </c>
      <c r="I170" s="484">
        <f>$G170*VLOOKUP(F170,'Baumaterialien Matériaux'!$A$10:$AD$432,21,FALSE)</f>
        <v>31.052285350318467</v>
      </c>
      <c r="J170" s="484">
        <f>G170*VLOOKUP(F170,'Baumaterialien Matériaux'!$A$10:$AD$432,24,FALSE)</f>
        <v>12.921757452229299</v>
      </c>
      <c r="K170" s="484">
        <f>G170*VLOOKUP(F170,'Baumaterialien Matériaux'!$A$10:$AD$432,26,FALSE)</f>
        <v>22.237443057324839</v>
      </c>
      <c r="L170" s="484">
        <f>G170*VLOOKUP(F170,'Baumaterialien Matériaux'!$A$10:$AD$432,27,FALSE)</f>
        <v>3.1803550318471334</v>
      </c>
      <c r="M170" s="484">
        <f>G170*VLOOKUP(F170,'Baumaterialien Matériaux'!$A$10:$AD$432,29,FALSE)</f>
        <v>0</v>
      </c>
      <c r="N170" s="1184"/>
      <c r="O170" s="1184"/>
      <c r="P170" s="1184"/>
      <c r="Q170" s="1184"/>
      <c r="R170" s="1184"/>
      <c r="S170" s="383"/>
    </row>
    <row r="171" spans="1:19">
      <c r="A171" s="483" t="str">
        <f>'Calcul ACV'!$C$43</f>
        <v>Tôle ondulée-béton</v>
      </c>
      <c r="B171" s="1182"/>
      <c r="C171" s="483" t="s">
        <v>678</v>
      </c>
      <c r="D171" s="483" t="str">
        <f>VLOOKUP(F171,'Baumaterialien Matériaux'!$A$10:$AD$432,30,FALSE)</f>
        <v>Acier d'armature</v>
      </c>
      <c r="E171" s="483" t="str">
        <f>VLOOKUP(F171,'Baumaterialien Matériaux'!$A$10:$AD$432,6,FALSE)</f>
        <v>kg</v>
      </c>
      <c r="F171" s="483" t="s">
        <v>497</v>
      </c>
      <c r="G171" s="484">
        <f>80*0.11</f>
        <v>8.8000000000000007</v>
      </c>
      <c r="I171" s="484">
        <f>$G171*VLOOKUP(F171,'Baumaterialien Matériaux'!$A$10:$AD$432,21,FALSE)</f>
        <v>43.472000000000008</v>
      </c>
      <c r="J171" s="484">
        <f>G171*VLOOKUP(F171,'Baumaterialien Matériaux'!$A$10:$AD$432,24,FALSE)</f>
        <v>0.44703999999999999</v>
      </c>
      <c r="K171" s="484">
        <f>G171*VLOOKUP(F171,'Baumaterialien Matériaux'!$A$10:$AD$432,26,FALSE)</f>
        <v>13.200000000000001</v>
      </c>
      <c r="L171" s="484">
        <f>G171*VLOOKUP(F171,'Baumaterialien Matériaux'!$A$10:$AD$432,27,FALSE)</f>
        <v>0.10912000000000001</v>
      </c>
      <c r="M171" s="484">
        <f>G171*VLOOKUP(F171,'Baumaterialien Matériaux'!$A$10:$AD$432,29,FALSE)</f>
        <v>0</v>
      </c>
      <c r="N171" s="1184"/>
      <c r="O171" s="1184"/>
      <c r="P171" s="1184"/>
      <c r="Q171" s="1184"/>
      <c r="R171" s="1184"/>
      <c r="S171" s="383"/>
    </row>
    <row r="172" spans="1:19">
      <c r="A172" s="483" t="str">
        <f>'Calcul ACV'!$C$43</f>
        <v>Tôle ondulée-béton</v>
      </c>
      <c r="B172" s="1182"/>
      <c r="C172" s="483" t="s">
        <v>679</v>
      </c>
      <c r="D172" s="483" t="str">
        <f>VLOOKUP(F172,'Baumaterialien Matériaux'!$A$10:$AD$432,30,FALSE)</f>
        <v>Tôle d'acier, zinguée</v>
      </c>
      <c r="E172" s="483" t="str">
        <f>VLOOKUP(F172,'Baumaterialien Matériaux'!$A$10:$AD$432,6,FALSE)</f>
        <v>kg</v>
      </c>
      <c r="F172" s="486" t="s">
        <v>618</v>
      </c>
      <c r="G172" s="484">
        <v>13</v>
      </c>
      <c r="I172" s="484">
        <f>$G172*VLOOKUP(F172,'Baumaterialien Matériaux'!$A$10:$AD$432,21,FALSE)</f>
        <v>202.79999999999998</v>
      </c>
      <c r="J172" s="484">
        <f>G172*VLOOKUP(F172,'Baumaterialien Matériaux'!$A$10:$AD$432,24,FALSE)</f>
        <v>0.35489999999999999</v>
      </c>
      <c r="K172" s="484">
        <f>G172*VLOOKUP(F172,'Baumaterialien Matériaux'!$A$10:$AD$432,26,FALSE)</f>
        <v>58.370000000000005</v>
      </c>
      <c r="L172" s="484">
        <f>G172*VLOOKUP(F172,'Baumaterialien Matériaux'!$A$10:$AD$432,27,FALSE)</f>
        <v>9.0869999999999992E-2</v>
      </c>
      <c r="M172" s="484">
        <f>G172*VLOOKUP(F172,'Baumaterialien Matériaux'!$A$10:$AD$432,29,FALSE)</f>
        <v>0</v>
      </c>
      <c r="N172" s="1184"/>
      <c r="O172" s="1184"/>
      <c r="P172" s="1184"/>
      <c r="Q172" s="1184"/>
      <c r="R172" s="1184"/>
      <c r="S172" s="383"/>
    </row>
    <row r="173" spans="1:19">
      <c r="A173" s="483" t="str">
        <f>'Calcul ACV'!$C$43</f>
        <v>Tôle ondulée-béton</v>
      </c>
      <c r="B173" s="1182"/>
      <c r="C173" s="483" t="s">
        <v>680</v>
      </c>
      <c r="D173" s="483" t="str">
        <f>VLOOKUP(F173,'Baumaterialien Matériaux'!$A$10:$AD$432,30,FALSE)</f>
        <v>Profil en acier, nu</v>
      </c>
      <c r="E173" s="483" t="str">
        <f>VLOOKUP(F173,'Baumaterialien Matériaux'!$A$10:$AD$432,6,FALSE)</f>
        <v>kg</v>
      </c>
      <c r="F173" s="486" t="s">
        <v>681</v>
      </c>
      <c r="G173" s="484">
        <v>10</v>
      </c>
      <c r="I173" s="484">
        <f>$G173*VLOOKUP(F173,'Baumaterialien Matériaux'!$A$10:$AD$432,21,FALSE)</f>
        <v>33.5</v>
      </c>
      <c r="J173" s="484">
        <f>G173*VLOOKUP(F173,'Baumaterialien Matériaux'!$A$10:$AD$432,24,FALSE)</f>
        <v>0.27300000000000002</v>
      </c>
      <c r="K173" s="484">
        <f>G173*VLOOKUP(F173,'Baumaterialien Matériaux'!$A$10:$AD$432,26,FALSE)</f>
        <v>7.31</v>
      </c>
      <c r="L173" s="484">
        <f>G173*VLOOKUP(F173,'Baumaterialien Matériaux'!$A$10:$AD$432,27,FALSE)</f>
        <v>6.989999999999999E-2</v>
      </c>
      <c r="M173" s="484">
        <f>G173*VLOOKUP(F173,'Baumaterialien Matériaux'!$A$10:$AD$432,29,FALSE)</f>
        <v>0</v>
      </c>
      <c r="N173" s="1184"/>
      <c r="O173" s="1184"/>
      <c r="P173" s="1184"/>
      <c r="Q173" s="1184"/>
      <c r="R173" s="1184"/>
      <c r="S173" s="383"/>
    </row>
    <row r="174" spans="1:19" ht="15">
      <c r="I174" s="485">
        <f>SUM(I170:I173)</f>
        <v>310.82428535031846</v>
      </c>
      <c r="J174" s="485">
        <f t="shared" ref="J174:M174" si="46">SUM(J170:J173)</f>
        <v>13.996697452229299</v>
      </c>
      <c r="K174" s="485">
        <f t="shared" si="46"/>
        <v>101.11744305732485</v>
      </c>
      <c r="L174" s="485">
        <f t="shared" si="46"/>
        <v>3.4502450318471332</v>
      </c>
      <c r="M174" s="485">
        <f t="shared" si="46"/>
        <v>0</v>
      </c>
      <c r="N174" s="843">
        <v>60</v>
      </c>
      <c r="O174" s="485">
        <f>I174/$N174</f>
        <v>5.1804047558386408</v>
      </c>
      <c r="P174" s="485">
        <f>J174/$N174</f>
        <v>0.23327829087048832</v>
      </c>
      <c r="Q174" s="485">
        <f>K174/$N174</f>
        <v>1.6852907176220808</v>
      </c>
      <c r="R174" s="485">
        <f>L174/$N174</f>
        <v>5.7504083864118885E-2</v>
      </c>
      <c r="S174" s="485">
        <f>M174/$N174</f>
        <v>0</v>
      </c>
    </row>
    <row r="175" spans="1:19">
      <c r="S175" s="3" t="s">
        <v>558</v>
      </c>
    </row>
    <row r="176" spans="1:19">
      <c r="A176" s="483" t="str">
        <f>'Calcul ACV'!$C$44</f>
        <v>Plancher en bois massif (avec revêtement en plâtre en sous-face)</v>
      </c>
      <c r="B176" s="1182" t="s">
        <v>682</v>
      </c>
      <c r="C176" s="483" t="s">
        <v>683</v>
      </c>
      <c r="D176" s="483" t="str">
        <f>VLOOKUP(F176,'Baumaterialien Matériaux'!$A$10:$AD$432,30,FALSE)</f>
        <v>Bois massif 3 et 5 plis</v>
      </c>
      <c r="E176" s="483" t="str">
        <f>VLOOKUP(F176,'Baumaterialien Matériaux'!$A$10:$AD$432,6,FALSE)</f>
        <v>kg</v>
      </c>
      <c r="F176" s="845" t="s">
        <v>510</v>
      </c>
      <c r="G176" s="484">
        <f>0.02*470</f>
        <v>9.4</v>
      </c>
      <c r="H176" s="483"/>
      <c r="I176" s="484">
        <f>$G176*VLOOKUP(F176,'Baumaterialien Matériaux'!$A$10:$AD$432,21,FALSE)</f>
        <v>19.646000000000001</v>
      </c>
      <c r="J176" s="484">
        <f>G176*VLOOKUP(F176,'Baumaterialien Matériaux'!$A$10:$AD$432,24,FALSE)</f>
        <v>0.87138000000000004</v>
      </c>
      <c r="K176" s="484">
        <f>G176*VLOOKUP(F176,'Baumaterialien Matériaux'!$A$10:$AD$432,26,FALSE)</f>
        <v>3.9009999999999998</v>
      </c>
      <c r="L176" s="484">
        <f>G176*VLOOKUP(F176,'Baumaterialien Matériaux'!$A$10:$AD$432,27,FALSE)</f>
        <v>0.52170000000000005</v>
      </c>
      <c r="M176" s="484">
        <f>G176*VLOOKUP(F176,'Baumaterialien Matériaux'!$A$10:$AD$432,29,FALSE)</f>
        <v>14.924066666666667</v>
      </c>
      <c r="N176" s="483">
        <v>60</v>
      </c>
      <c r="O176" s="1199">
        <f>SUM(I176:I177)/$N176</f>
        <v>1.5573583333333332</v>
      </c>
      <c r="P176" s="1199">
        <f>SUM(J176:J177)/$N176</f>
        <v>0.17352200000000001</v>
      </c>
      <c r="Q176" s="1199">
        <f>SUM(K176:K177)/$N176</f>
        <v>0.30565416666666667</v>
      </c>
      <c r="R176" s="1199">
        <f>SUM(L176:L177)/$N176</f>
        <v>7.8569000000000014E-2</v>
      </c>
      <c r="S176" s="1199">
        <f>SUM(M176:M177)/$N176</f>
        <v>3.1963952777777775</v>
      </c>
    </row>
    <row r="177" spans="1:19">
      <c r="A177" s="483" t="str">
        <f>'Calcul ACV'!$C$44</f>
        <v>Plancher en bois massif (avec revêtement en plâtre en sous-face)</v>
      </c>
      <c r="B177" s="1182"/>
      <c r="C177" s="483" t="s">
        <v>572</v>
      </c>
      <c r="D177" s="483" t="str">
        <f>VLOOKUP(F177,'Baumaterialien Matériaux'!$A$10:$AD$432,30,FALSE)</f>
        <v>Bois massif épicéa / sapin / mélèze, séché en cellule, raboté</v>
      </c>
      <c r="E177" s="483" t="str">
        <f>VLOOKUP(F177,'Baumaterialien Matériaux'!$A$10:$AD$432,6,FALSE)</f>
        <v>kg</v>
      </c>
      <c r="F177" s="483" t="s">
        <v>129</v>
      </c>
      <c r="G177" s="484">
        <f>0.23*465</f>
        <v>106.95</v>
      </c>
      <c r="H177" s="483"/>
      <c r="I177" s="484">
        <f>$G177*VLOOKUP(F177,'Baumaterialien Matériaux'!$A$10:$AD$432,21,FALSE)</f>
        <v>73.79549999999999</v>
      </c>
      <c r="J177" s="484">
        <f>G177*VLOOKUP(F177,'Baumaterialien Matériaux'!$A$10:$AD$432,24,FALSE)</f>
        <v>9.5399399999999996</v>
      </c>
      <c r="K177" s="484">
        <f>G177*VLOOKUP(F177,'Baumaterialien Matériaux'!$A$10:$AD$432,26,FALSE)</f>
        <v>14.438250000000002</v>
      </c>
      <c r="L177" s="484">
        <f>G177*VLOOKUP(F177,'Baumaterialien Matériaux'!$A$10:$AD$432,27,FALSE)</f>
        <v>4.1924400000000004</v>
      </c>
      <c r="M177" s="484">
        <f>G177*VLOOKUP(F177,'Baumaterialien Matériaux'!$A$10:$AD$432,29,FALSE)</f>
        <v>176.85964999999999</v>
      </c>
      <c r="N177" s="483">
        <v>60</v>
      </c>
      <c r="O177" s="1199"/>
      <c r="P177" s="1199"/>
      <c r="Q177" s="1199"/>
      <c r="R177" s="1199"/>
      <c r="S177" s="1199"/>
    </row>
    <row r="178" spans="1:19">
      <c r="A178" s="483" t="str">
        <f>'Calcul ACV'!$C$44</f>
        <v>Plancher en bois massif (avec revêtement en plâtre en sous-face)</v>
      </c>
      <c r="B178" s="1161" t="s">
        <v>574</v>
      </c>
      <c r="C178" s="361" t="s">
        <v>572</v>
      </c>
      <c r="D178" s="483" t="str">
        <f>VLOOKUP(F178,'Baumaterialien Matériaux'!$A$10:$AD$432,30,FALSE)</f>
        <v>Bois massif épicéa / sapin / mélèze, séché à l'air, brut</v>
      </c>
      <c r="E178" s="483" t="str">
        <f>VLOOKUP(F178,'Baumaterialien Matériaux'!$A$10:$AD$432,6,FALSE)</f>
        <v>kg</v>
      </c>
      <c r="F178" s="483" t="s">
        <v>573</v>
      </c>
      <c r="G178" s="484">
        <f>1/0.6*0.04*0.06*485</f>
        <v>1.94</v>
      </c>
      <c r="H178" s="483"/>
      <c r="I178" s="484">
        <f>$G178*VLOOKUP(F178,'Baumaterialien Matériaux'!$A$10:$AD$432,21,FALSE)</f>
        <v>0.81673999999999991</v>
      </c>
      <c r="J178" s="484">
        <f>G178*VLOOKUP(F178,'Baumaterialien Matériaux'!$A$10:$AD$432,24,FALSE)</f>
        <v>0.17304800000000001</v>
      </c>
      <c r="K178" s="484">
        <f>G178*VLOOKUP(F178,'Baumaterialien Matériaux'!$A$10:$AD$432,26,FALSE)</f>
        <v>0.17634599999999997</v>
      </c>
      <c r="L178" s="484">
        <f>G178*VLOOKUP(F178,'Baumaterialien Matériaux'!$A$10:$AD$432,27,FALSE)</f>
        <v>7.6047999999999991E-2</v>
      </c>
      <c r="M178" s="484">
        <f>G178*VLOOKUP(F178,'Baumaterialien Matériaux'!$A$10:$AD$432,29,FALSE)</f>
        <v>2.937806666666666</v>
      </c>
      <c r="N178" s="483">
        <v>30</v>
      </c>
      <c r="O178" s="1199">
        <f>SUM(I178:I181)/$N178</f>
        <v>0.72791466666666671</v>
      </c>
      <c r="P178" s="1199">
        <f t="shared" ref="P178" si="47">SUM(J178:J181)/$N178</f>
        <v>4.3861433333333338E-2</v>
      </c>
      <c r="Q178" s="1199">
        <f t="shared" ref="Q178" si="48">SUM(K178:K181)/$N178</f>
        <v>0.15470736666666665</v>
      </c>
      <c r="R178" s="1199">
        <f t="shared" ref="R178:S178" si="49">SUM(L178:L181)/$N178</f>
        <v>1.3510016666666669E-2</v>
      </c>
      <c r="S178" s="1199">
        <f t="shared" si="49"/>
        <v>0.12130188888888886</v>
      </c>
    </row>
    <row r="179" spans="1:19">
      <c r="A179" s="483" t="str">
        <f>'Calcul ACV'!$C$44</f>
        <v>Plancher en bois massif (avec revêtement en plâtre en sous-face)</v>
      </c>
      <c r="B179" s="1161"/>
      <c r="C179" s="3" t="s">
        <v>575</v>
      </c>
      <c r="D179" s="483" t="str">
        <f>VLOOKUP(F179,'Baumaterialien Matériaux'!$A$10:$AD$432,30,FALSE)</f>
        <v>Plaque de plâtre cartonnée</v>
      </c>
      <c r="E179" s="483" t="str">
        <f>VLOOKUP(F179,'Baumaterialien Matériaux'!$A$10:$AD$432,6,FALSE)</f>
        <v>kg</v>
      </c>
      <c r="F179" s="853" t="s">
        <v>107</v>
      </c>
      <c r="G179" s="484">
        <f>850*0.0125</f>
        <v>10.625</v>
      </c>
      <c r="H179" s="483"/>
      <c r="I179" s="484">
        <f>$G179*VLOOKUP(F179,'Baumaterialien Matériaux'!$A$10:$AD$432,21,FALSE)</f>
        <v>13.387499999999999</v>
      </c>
      <c r="J179" s="484">
        <f>G179*VLOOKUP(F179,'Baumaterialien Matériaux'!$A$10:$AD$432,24,FALSE)</f>
        <v>0.83087500000000003</v>
      </c>
      <c r="K179" s="484">
        <f>G179*VLOOKUP(F179,'Baumaterialien Matériaux'!$A$10:$AD$432,26,FALSE)</f>
        <v>3.0068749999999995</v>
      </c>
      <c r="L179" s="484">
        <f>G179*VLOOKUP(F179,'Baumaterialien Matériaux'!$A$10:$AD$432,27,FALSE)</f>
        <v>0.2008125</v>
      </c>
      <c r="M179" s="484">
        <f>G179*VLOOKUP(F179,'Baumaterialien Matériaux'!$A$10:$AD$432,29,FALSE)</f>
        <v>0.70124999999999993</v>
      </c>
      <c r="N179" s="483">
        <v>30</v>
      </c>
      <c r="O179" s="1199"/>
      <c r="P179" s="1199"/>
      <c r="Q179" s="1199"/>
      <c r="R179" s="1199"/>
      <c r="S179" s="1199"/>
    </row>
    <row r="180" spans="1:19">
      <c r="A180" s="483" t="str">
        <f>'Calcul ACV'!$C$44</f>
        <v>Plancher en bois massif (avec revêtement en plâtre en sous-face)</v>
      </c>
      <c r="B180" s="1161"/>
      <c r="C180" s="361" t="s">
        <v>576</v>
      </c>
      <c r="D180" s="483" t="str">
        <f>VLOOKUP(F180,'Baumaterialien Matériaux'!$A$10:$AD$432,30,FALSE)</f>
        <v>Enduit en plâtre et chaux</v>
      </c>
      <c r="E180" s="483" t="str">
        <f>VLOOKUP(F180,'Baumaterialien Matériaux'!$A$10:$AD$432,6,FALSE)</f>
        <v>kg</v>
      </c>
      <c r="F180" s="487" t="s">
        <v>577</v>
      </c>
      <c r="G180" s="484">
        <f>1400*0.004</f>
        <v>5.6000000000000005</v>
      </c>
      <c r="H180" s="483"/>
      <c r="I180" s="484">
        <f>$G180*VLOOKUP(F180,'Baumaterialien Matériaux'!$A$10:$AD$432,21,FALSE)</f>
        <v>3.4832000000000005</v>
      </c>
      <c r="J180" s="484">
        <f>G180*VLOOKUP(F180,'Baumaterialien Matériaux'!$A$10:$AD$432,24,FALSE)</f>
        <v>0.29511999999999999</v>
      </c>
      <c r="K180" s="484">
        <f>G180*VLOOKUP(F180,'Baumaterialien Matériaux'!$A$10:$AD$432,26,FALSE)</f>
        <v>0.81200000000000006</v>
      </c>
      <c r="L180" s="484">
        <f>G180*VLOOKUP(F180,'Baumaterialien Matériaux'!$A$10:$AD$432,27,FALSE)</f>
        <v>7.2240000000000013E-2</v>
      </c>
      <c r="M180" s="484">
        <f>G180*VLOOKUP(F180,'Baumaterialien Matériaux'!$A$10:$AD$432,29,FALSE)</f>
        <v>0</v>
      </c>
      <c r="N180" s="483">
        <v>30</v>
      </c>
      <c r="O180" s="1199"/>
      <c r="P180" s="1199"/>
      <c r="Q180" s="1199"/>
      <c r="R180" s="1199"/>
      <c r="S180" s="1199"/>
    </row>
    <row r="181" spans="1:19">
      <c r="A181" s="483" t="str">
        <f>'Calcul ACV'!$C$44</f>
        <v>Plancher en bois massif (avec revêtement en plâtre en sous-face)</v>
      </c>
      <c r="B181" s="1161"/>
      <c r="C181" s="361" t="s">
        <v>565</v>
      </c>
      <c r="D181" s="483" t="str">
        <f>VLOOKUP(F181,'Baumaterialien Matériaux'!$A$10:$AD$432,30,FALSE)</f>
        <v>Enduit, diluable à l'eau, 2 couches</v>
      </c>
      <c r="E181" s="483" t="str">
        <f>VLOOKUP(F181,'Baumaterialien Matériaux'!$A$10:$AD$432,6,FALSE)</f>
        <v>m2</v>
      </c>
      <c r="F181" s="488" t="s">
        <v>566</v>
      </c>
      <c r="G181" s="484">
        <v>1</v>
      </c>
      <c r="H181" s="483"/>
      <c r="I181" s="484">
        <f>$G181*VLOOKUP(F181,'Baumaterialien Matériaux'!$A$10:$AD$432,21,FALSE)</f>
        <v>4.1500000000000004</v>
      </c>
      <c r="J181" s="484">
        <f>G181*VLOOKUP(F181,'Baumaterialien Matériaux'!$A$10:$AD$432,24,FALSE)</f>
        <v>1.6799999999999999E-2</v>
      </c>
      <c r="K181" s="484">
        <f>G181*VLOOKUP(F181,'Baumaterialien Matériaux'!$A$10:$AD$432,26,FALSE)</f>
        <v>0.64600000000000002</v>
      </c>
      <c r="L181" s="484">
        <f>G181*VLOOKUP(F181,'Baumaterialien Matériaux'!$A$10:$AD$432,27,FALSE)</f>
        <v>5.62E-2</v>
      </c>
      <c r="M181" s="484">
        <f>G181*VLOOKUP(F181,'Baumaterialien Matériaux'!$A$10:$AD$432,29,FALSE)</f>
        <v>0</v>
      </c>
      <c r="N181" s="483">
        <v>30</v>
      </c>
      <c r="O181" s="1199"/>
      <c r="P181" s="1199"/>
      <c r="Q181" s="1199"/>
      <c r="R181" s="1199"/>
      <c r="S181" s="1199"/>
    </row>
    <row r="182" spans="1:19" ht="15">
      <c r="I182" s="485">
        <f>SUM(I176:I181)</f>
        <v>115.27893999999999</v>
      </c>
      <c r="J182" s="485">
        <f t="shared" ref="J182:M182" si="50">SUM(J176:J181)</f>
        <v>11.727163000000001</v>
      </c>
      <c r="K182" s="485">
        <f t="shared" si="50"/>
        <v>22.980471000000001</v>
      </c>
      <c r="L182" s="485">
        <f t="shared" si="50"/>
        <v>5.1194404999999996</v>
      </c>
      <c r="M182" s="485">
        <f t="shared" si="50"/>
        <v>195.42277333333331</v>
      </c>
      <c r="N182" s="843"/>
      <c r="O182" s="485">
        <f>SUM(O176:O181)</f>
        <v>2.2852730000000001</v>
      </c>
      <c r="P182" s="485">
        <f t="shared" ref="P182:R182" si="51">SUM(P176:P181)</f>
        <v>0.21738343333333335</v>
      </c>
      <c r="Q182" s="485">
        <f t="shared" si="51"/>
        <v>0.46036153333333329</v>
      </c>
      <c r="R182" s="485">
        <f t="shared" si="51"/>
        <v>9.207901666666668E-2</v>
      </c>
      <c r="S182" s="485">
        <f t="shared" ref="S182" si="52">SUM(S176:S181)</f>
        <v>3.3176971666666666</v>
      </c>
    </row>
    <row r="183" spans="1:19">
      <c r="S183" s="3" t="s">
        <v>558</v>
      </c>
    </row>
    <row r="184" spans="1:19">
      <c r="A184" s="483" t="str">
        <f>'Calcul ACV'!$C$45</f>
        <v>Plancher à solivages en bois (avec revêtement en plâtre en sous-face)</v>
      </c>
      <c r="B184" s="1182" t="s">
        <v>684</v>
      </c>
      <c r="C184" s="483" t="s">
        <v>572</v>
      </c>
      <c r="D184" s="483" t="str">
        <f>VLOOKUP(F184,'Baumaterialien Matériaux'!$A$10:$AD$432,30,FALSE)</f>
        <v>Bois massif épicéa / sapin / mélèze, séché en cellule, raboté</v>
      </c>
      <c r="E184" s="483" t="str">
        <f>VLOOKUP(F184,'Baumaterialien Matériaux'!$A$10:$AD$432,6,FALSE)</f>
        <v>kg</v>
      </c>
      <c r="F184" s="845" t="s">
        <v>129</v>
      </c>
      <c r="G184" s="484">
        <f>0.056*465</f>
        <v>26.04</v>
      </c>
      <c r="H184" s="483"/>
      <c r="I184" s="484">
        <f>$G184*VLOOKUP(F184,'Baumaterialien Matériaux'!$A$10:$AD$432,21,FALSE)</f>
        <v>17.967599999999997</v>
      </c>
      <c r="J184" s="484">
        <f>G184*VLOOKUP(F184,'Baumaterialien Matériaux'!$A$10:$AD$432,24,FALSE)</f>
        <v>2.3227679999999999</v>
      </c>
      <c r="K184" s="484">
        <f>G184*VLOOKUP(F184,'Baumaterialien Matériaux'!$A$10:$AD$432,26,FALSE)</f>
        <v>3.5154000000000001</v>
      </c>
      <c r="L184" s="484">
        <f>G184*VLOOKUP(F184,'Baumaterialien Matériaux'!$A$10:$AD$432,27,FALSE)</f>
        <v>1.0207679999999999</v>
      </c>
      <c r="M184" s="484">
        <f>G184*VLOOKUP(F184,'Baumaterialien Matériaux'!$A$10:$AD$432,29,FALSE)</f>
        <v>43.061479999999996</v>
      </c>
      <c r="N184" s="1198">
        <v>60</v>
      </c>
      <c r="O184" s="1199">
        <f>SUM(I184:I186)/$N184</f>
        <v>1.7823933333333331</v>
      </c>
      <c r="P184" s="1199">
        <f>SUM(J184:J186)/$N184</f>
        <v>5.8594600000000004E-2</v>
      </c>
      <c r="Q184" s="1199">
        <f>SUM(K184:K186)/$N184</f>
        <v>0.35029000000000005</v>
      </c>
      <c r="R184" s="1199">
        <f>SUM(L184:L186)/$N184</f>
        <v>3.3885466666666669E-2</v>
      </c>
      <c r="S184" s="1199">
        <f>SUM(M184:M186)/$N184</f>
        <v>1.0183579999999999</v>
      </c>
    </row>
    <row r="185" spans="1:19">
      <c r="A185" s="483" t="str">
        <f>'Calcul ACV'!$C$45</f>
        <v>Plancher à solivages en bois (avec revêtement en plâtre en sous-face)</v>
      </c>
      <c r="B185" s="1182"/>
      <c r="C185" s="483" t="s">
        <v>685</v>
      </c>
      <c r="D185" s="483" t="str">
        <f>VLOOKUP(F185,'Baumaterialien Matériaux'!$A$10:$AD$432,30,FALSE)</f>
        <v>Bois lamellé / multiplex, colle PF, zone humide</v>
      </c>
      <c r="E185" s="483" t="str">
        <f>VLOOKUP(F185,'Baumaterialien Matériaux'!$A$10:$AD$432,6,FALSE)</f>
        <v>kg</v>
      </c>
      <c r="F185" s="483" t="s">
        <v>686</v>
      </c>
      <c r="G185" s="484">
        <f>0.024*500</f>
        <v>12</v>
      </c>
      <c r="H185" s="483"/>
      <c r="I185" s="484">
        <f>$G185*VLOOKUP(F185,'Baumaterialien Matériaux'!$A$10:$AD$432,21,FALSE)</f>
        <v>82.199999999999989</v>
      </c>
      <c r="J185" s="484">
        <f>G185*VLOOKUP(F185,'Baumaterialien Matériaux'!$A$10:$AD$432,24,FALSE)</f>
        <v>1.1772</v>
      </c>
      <c r="K185" s="484">
        <f>G185*VLOOKUP(F185,'Baumaterialien Matériaux'!$A$10:$AD$432,26,FALSE)</f>
        <v>16.200000000000003</v>
      </c>
      <c r="L185" s="484">
        <f>G185*VLOOKUP(F185,'Baumaterialien Matériaux'!$A$10:$AD$432,27,FALSE)</f>
        <v>0.96</v>
      </c>
      <c r="M185" s="484">
        <f>G185*VLOOKUP(F185,'Baumaterialien Matériaux'!$A$10:$AD$432,29,FALSE)</f>
        <v>18.04</v>
      </c>
      <c r="N185" s="1198"/>
      <c r="O185" s="1199"/>
      <c r="P185" s="1199"/>
      <c r="Q185" s="1199"/>
      <c r="R185" s="1199"/>
      <c r="S185" s="1199"/>
    </row>
    <row r="186" spans="1:19">
      <c r="A186" s="483" t="str">
        <f>'Calcul ACV'!$C$45</f>
        <v>Plancher à solivages en bois (avec revêtement en plâtre en sous-face)</v>
      </c>
      <c r="B186" s="1182"/>
      <c r="C186" s="483" t="s">
        <v>687</v>
      </c>
      <c r="D186" s="483" t="str">
        <f>VLOOKUP(F186,'Baumaterialien Matériaux'!$A$10:$AD$432,30,FALSE)</f>
        <v>Colle bicomposant</v>
      </c>
      <c r="E186" s="483" t="str">
        <f>VLOOKUP(F186,'Baumaterialien Matériaux'!$A$10:$AD$432,6,FALSE)</f>
        <v>kg</v>
      </c>
      <c r="F186" s="845" t="s">
        <v>688</v>
      </c>
      <c r="G186" s="484">
        <v>0.28000000000000003</v>
      </c>
      <c r="H186" s="483"/>
      <c r="I186" s="484">
        <f>$G186*VLOOKUP(F186,'Baumaterialien Matériaux'!$A$10:$AD$432,21,FALSE)</f>
        <v>6.7760000000000007</v>
      </c>
      <c r="J186" s="484">
        <f>G186*VLOOKUP(F186,'Baumaterialien Matériaux'!$A$10:$AD$432,24,FALSE)</f>
        <v>1.5708E-2</v>
      </c>
      <c r="K186" s="484">
        <f>G186*VLOOKUP(F186,'Baumaterialien Matériaux'!$A$10:$AD$432,26,FALSE)</f>
        <v>1.3020000000000003</v>
      </c>
      <c r="L186" s="484">
        <f>G186*VLOOKUP(F186,'Baumaterialien Matériaux'!$A$10:$AD$432,27,FALSE)</f>
        <v>5.2360000000000004E-2</v>
      </c>
      <c r="M186" s="484">
        <f>G186*VLOOKUP(F186,'Baumaterialien Matériaux'!$A$10:$AD$432,29,FALSE)</f>
        <v>0</v>
      </c>
      <c r="N186" s="1198"/>
      <c r="O186" s="1199"/>
      <c r="P186" s="1199"/>
      <c r="Q186" s="1199"/>
      <c r="R186" s="1199"/>
      <c r="S186" s="1199"/>
    </row>
    <row r="187" spans="1:19">
      <c r="A187" s="483" t="str">
        <f>'Calcul ACV'!$C$45</f>
        <v>Plancher à solivages en bois (avec revêtement en plâtre en sous-face)</v>
      </c>
      <c r="B187" s="1161" t="s">
        <v>574</v>
      </c>
      <c r="C187" s="361" t="s">
        <v>572</v>
      </c>
      <c r="D187" s="483" t="str">
        <f>VLOOKUP(F187,'Baumaterialien Matériaux'!$A$10:$AD$432,30,FALSE)</f>
        <v>Bois massif épicéa / sapin / mélèze, séché à l'air, brut</v>
      </c>
      <c r="E187" s="483" t="str">
        <f>VLOOKUP(F187,'Baumaterialien Matériaux'!$A$10:$AD$432,6,FALSE)</f>
        <v>kg</v>
      </c>
      <c r="F187" s="483" t="s">
        <v>573</v>
      </c>
      <c r="G187" s="484">
        <f>1/0.6*0.04*0.06*485</f>
        <v>1.94</v>
      </c>
      <c r="H187" s="483"/>
      <c r="I187" s="484">
        <f>$G187*VLOOKUP(F187,'Baumaterialien Matériaux'!$A$10:$AD$432,21,FALSE)</f>
        <v>0.81673999999999991</v>
      </c>
      <c r="J187" s="484">
        <f>G187*VLOOKUP(F187,'Baumaterialien Matériaux'!$A$10:$AD$432,24,FALSE)</f>
        <v>0.17304800000000001</v>
      </c>
      <c r="K187" s="484">
        <f>G187*VLOOKUP(F187,'Baumaterialien Matériaux'!$A$10:$AD$432,26,FALSE)</f>
        <v>0.17634599999999997</v>
      </c>
      <c r="L187" s="484">
        <f>G187*VLOOKUP(F187,'Baumaterialien Matériaux'!$A$10:$AD$432,27,FALSE)</f>
        <v>7.6047999999999991E-2</v>
      </c>
      <c r="M187" s="484">
        <f>G187*VLOOKUP(F187,'Baumaterialien Matériaux'!$A$10:$AD$432,29,FALSE)</f>
        <v>2.937806666666666</v>
      </c>
      <c r="N187" s="1198">
        <v>30</v>
      </c>
      <c r="O187" s="1199">
        <f>SUM(I187:I190)/$N187</f>
        <v>0.72791466666666671</v>
      </c>
      <c r="P187" s="1199">
        <f t="shared" ref="P187" si="53">SUM(J187:J190)/$N187</f>
        <v>4.3861433333333338E-2</v>
      </c>
      <c r="Q187" s="1199">
        <f t="shared" ref="Q187" si="54">SUM(K187:K190)/$N187</f>
        <v>0.15470736666666665</v>
      </c>
      <c r="R187" s="1199">
        <f t="shared" ref="R187:S187" si="55">SUM(L187:L190)/$N187</f>
        <v>1.3510016666666669E-2</v>
      </c>
      <c r="S187" s="1199">
        <f t="shared" si="55"/>
        <v>0.12130188888888886</v>
      </c>
    </row>
    <row r="188" spans="1:19">
      <c r="A188" s="483" t="str">
        <f>'Calcul ACV'!$C$45</f>
        <v>Plancher à solivages en bois (avec revêtement en plâtre en sous-face)</v>
      </c>
      <c r="B188" s="1161"/>
      <c r="C188" s="3" t="s">
        <v>575</v>
      </c>
      <c r="D188" s="483" t="str">
        <f>VLOOKUP(F188,'Baumaterialien Matériaux'!$A$10:$AD$432,30,FALSE)</f>
        <v>Plaque de plâtre cartonnée</v>
      </c>
      <c r="E188" s="483" t="str">
        <f>VLOOKUP(F188,'Baumaterialien Matériaux'!$A$10:$AD$432,6,FALSE)</f>
        <v>kg</v>
      </c>
      <c r="F188" s="853" t="s">
        <v>107</v>
      </c>
      <c r="G188" s="484">
        <f>850*0.0125</f>
        <v>10.625</v>
      </c>
      <c r="H188" s="483"/>
      <c r="I188" s="484">
        <f>$G188*VLOOKUP(F188,'Baumaterialien Matériaux'!$A$10:$AD$432,21,FALSE)</f>
        <v>13.387499999999999</v>
      </c>
      <c r="J188" s="484">
        <f>G188*VLOOKUP(F188,'Baumaterialien Matériaux'!$A$10:$AD$432,24,FALSE)</f>
        <v>0.83087500000000003</v>
      </c>
      <c r="K188" s="484">
        <f>G188*VLOOKUP(F188,'Baumaterialien Matériaux'!$A$10:$AD$432,26,FALSE)</f>
        <v>3.0068749999999995</v>
      </c>
      <c r="L188" s="484">
        <f>G188*VLOOKUP(F188,'Baumaterialien Matériaux'!$A$10:$AD$432,27,FALSE)</f>
        <v>0.2008125</v>
      </c>
      <c r="M188" s="484">
        <f>G188*VLOOKUP(F188,'Baumaterialien Matériaux'!$A$10:$AD$432,29,FALSE)</f>
        <v>0.70124999999999993</v>
      </c>
      <c r="N188" s="1198"/>
      <c r="O188" s="1199"/>
      <c r="P188" s="1199"/>
      <c r="Q188" s="1199"/>
      <c r="R188" s="1199"/>
      <c r="S188" s="1199"/>
    </row>
    <row r="189" spans="1:19">
      <c r="A189" s="483" t="str">
        <f>'Calcul ACV'!$C$45</f>
        <v>Plancher à solivages en bois (avec revêtement en plâtre en sous-face)</v>
      </c>
      <c r="B189" s="1161"/>
      <c r="C189" s="361" t="s">
        <v>576</v>
      </c>
      <c r="D189" s="483" t="str">
        <f>VLOOKUP(F189,'Baumaterialien Matériaux'!$A$10:$AD$432,30,FALSE)</f>
        <v>Enduit en plâtre et chaux</v>
      </c>
      <c r="E189" s="483" t="str">
        <f>VLOOKUP(F189,'Baumaterialien Matériaux'!$A$10:$AD$432,6,FALSE)</f>
        <v>kg</v>
      </c>
      <c r="F189" s="487" t="s">
        <v>577</v>
      </c>
      <c r="G189" s="484">
        <f>1400*0.004</f>
        <v>5.6000000000000005</v>
      </c>
      <c r="H189" s="483"/>
      <c r="I189" s="484">
        <f>$G189*VLOOKUP(F189,'Baumaterialien Matériaux'!$A$10:$AD$432,21,FALSE)</f>
        <v>3.4832000000000005</v>
      </c>
      <c r="J189" s="484">
        <f>G189*VLOOKUP(F189,'Baumaterialien Matériaux'!$A$10:$AD$432,24,FALSE)</f>
        <v>0.29511999999999999</v>
      </c>
      <c r="K189" s="484">
        <f>G189*VLOOKUP(F189,'Baumaterialien Matériaux'!$A$10:$AD$432,26,FALSE)</f>
        <v>0.81200000000000006</v>
      </c>
      <c r="L189" s="484">
        <f>G189*VLOOKUP(F189,'Baumaterialien Matériaux'!$A$10:$AD$432,27,FALSE)</f>
        <v>7.2240000000000013E-2</v>
      </c>
      <c r="M189" s="484">
        <f>G189*VLOOKUP(F189,'Baumaterialien Matériaux'!$A$10:$AD$432,29,FALSE)</f>
        <v>0</v>
      </c>
      <c r="N189" s="1198"/>
      <c r="O189" s="1199"/>
      <c r="P189" s="1199"/>
      <c r="Q189" s="1199"/>
      <c r="R189" s="1199"/>
      <c r="S189" s="1199"/>
    </row>
    <row r="190" spans="1:19">
      <c r="A190" s="483" t="str">
        <f>'Calcul ACV'!$C$45</f>
        <v>Plancher à solivages en bois (avec revêtement en plâtre en sous-face)</v>
      </c>
      <c r="B190" s="1161"/>
      <c r="C190" s="361" t="s">
        <v>565</v>
      </c>
      <c r="D190" s="483" t="str">
        <f>VLOOKUP(F190,'Baumaterialien Matériaux'!$A$10:$AD$432,30,FALSE)</f>
        <v>Enduit, diluable à l'eau, 2 couches</v>
      </c>
      <c r="E190" s="483" t="str">
        <f>VLOOKUP(F190,'Baumaterialien Matériaux'!$A$10:$AD$432,6,FALSE)</f>
        <v>m2</v>
      </c>
      <c r="F190" s="488" t="s">
        <v>566</v>
      </c>
      <c r="G190" s="484">
        <v>1</v>
      </c>
      <c r="H190" s="483"/>
      <c r="I190" s="484">
        <f>$G190*VLOOKUP(F190,'Baumaterialien Matériaux'!$A$10:$AD$432,21,FALSE)</f>
        <v>4.1500000000000004</v>
      </c>
      <c r="J190" s="484">
        <f>G190*VLOOKUP(F190,'Baumaterialien Matériaux'!$A$10:$AD$432,24,FALSE)</f>
        <v>1.6799999999999999E-2</v>
      </c>
      <c r="K190" s="484">
        <f>G190*VLOOKUP(F190,'Baumaterialien Matériaux'!$A$10:$AD$432,26,FALSE)</f>
        <v>0.64600000000000002</v>
      </c>
      <c r="L190" s="484">
        <f>G190*VLOOKUP(F190,'Baumaterialien Matériaux'!$A$10:$AD$432,27,FALSE)</f>
        <v>5.62E-2</v>
      </c>
      <c r="M190" s="484">
        <f>G190*VLOOKUP(F190,'Baumaterialien Matériaux'!$A$10:$AD$432,29,FALSE)</f>
        <v>0</v>
      </c>
      <c r="N190" s="1198"/>
      <c r="O190" s="1199"/>
      <c r="P190" s="1199"/>
      <c r="Q190" s="1199"/>
      <c r="R190" s="1199"/>
      <c r="S190" s="1199"/>
    </row>
    <row r="191" spans="1:19" ht="15">
      <c r="I191" s="485">
        <f>SUM(I184:I186)</f>
        <v>106.94359999999999</v>
      </c>
      <c r="J191" s="485">
        <f t="shared" ref="J191:M191" si="56">SUM(J184:J186)</f>
        <v>3.515676</v>
      </c>
      <c r="K191" s="485">
        <f t="shared" si="56"/>
        <v>21.017400000000002</v>
      </c>
      <c r="L191" s="485">
        <f t="shared" si="56"/>
        <v>2.033128</v>
      </c>
      <c r="M191" s="485">
        <f t="shared" si="56"/>
        <v>61.101479999999995</v>
      </c>
      <c r="N191" s="843"/>
      <c r="O191" s="485">
        <f>SUM(O184:O190)</f>
        <v>2.5103079999999998</v>
      </c>
      <c r="P191" s="485">
        <f t="shared" ref="P191:R191" si="57">SUM(P184:P190)</f>
        <v>0.10245603333333334</v>
      </c>
      <c r="Q191" s="485">
        <f t="shared" si="57"/>
        <v>0.50499736666666672</v>
      </c>
      <c r="R191" s="485">
        <f t="shared" si="57"/>
        <v>4.7395483333333335E-2</v>
      </c>
      <c r="S191" s="485">
        <f t="shared" ref="S191" si="58">SUM(S184:S190)</f>
        <v>1.1396598888888887</v>
      </c>
    </row>
    <row r="193" spans="1:23" ht="17.25">
      <c r="A193" s="350" t="s">
        <v>689</v>
      </c>
      <c r="B193" s="350"/>
      <c r="C193" s="350"/>
      <c r="D193" s="350"/>
      <c r="E193" s="350"/>
      <c r="F193" s="350"/>
      <c r="G193" s="350" t="s">
        <v>554</v>
      </c>
      <c r="H193" s="350"/>
      <c r="I193" s="350"/>
      <c r="J193" s="350"/>
      <c r="K193" s="350"/>
      <c r="L193" s="350"/>
      <c r="M193" s="350"/>
      <c r="N193" s="352"/>
      <c r="O193" s="352"/>
      <c r="P193" s="352"/>
      <c r="Q193" s="352"/>
      <c r="R193" s="352"/>
      <c r="S193" s="352"/>
    </row>
    <row r="194" spans="1:23">
      <c r="S194" s="3" t="s">
        <v>558</v>
      </c>
      <c r="V194" s="3" t="s">
        <v>690</v>
      </c>
    </row>
    <row r="195" spans="1:23">
      <c r="A195" s="483" t="str">
        <f>'Calcul ACV'!$C$47</f>
        <v>Toiture plate isolée</v>
      </c>
      <c r="B195" s="1182" t="s">
        <v>691</v>
      </c>
      <c r="C195" s="863" t="s">
        <v>692</v>
      </c>
      <c r="D195" s="483" t="str">
        <f>VLOOKUP(F195,'Baumaterialien Matériaux'!$A$10:$AD$432,30,FALSE)</f>
        <v>Polystyrène expansé (EPS)</v>
      </c>
      <c r="E195" s="483" t="str">
        <f>VLOOKUP(F195,'Baumaterialien Matériaux'!$A$10:$AD$432,6,FALSE)</f>
        <v>kg</v>
      </c>
      <c r="F195" s="853" t="s">
        <v>118</v>
      </c>
      <c r="G195" s="484">
        <f>25*0.22</f>
        <v>5.5</v>
      </c>
      <c r="H195" s="483"/>
      <c r="I195" s="484">
        <f>$G195*VLOOKUP(F195,'Baumaterialien Matériaux'!$A$10:$AD$432,21,FALSE)</f>
        <v>163.9</v>
      </c>
      <c r="J195" s="484">
        <f>G195*VLOOKUP(F195,'Baumaterialien Matériaux'!$A$10:$AD$432,24,FALSE)</f>
        <v>1.1165</v>
      </c>
      <c r="K195" s="484">
        <f>G195*VLOOKUP(F195,'Baumaterialien Matériaux'!$A$10:$AD$432,26,FALSE)</f>
        <v>24.805</v>
      </c>
      <c r="L195" s="484">
        <f>G195*VLOOKUP(F195,'Baumaterialien Matériaux'!$A$10:$AD$432,27,FALSE)</f>
        <v>16.994999999999997</v>
      </c>
      <c r="M195" s="484">
        <f>G195*VLOOKUP(F195,'Baumaterialien Matériaux'!$A$10:$AD$432,29,FALSE)</f>
        <v>0</v>
      </c>
      <c r="N195" s="721">
        <v>30</v>
      </c>
      <c r="O195" s="722"/>
      <c r="P195" s="722"/>
      <c r="Q195" s="722"/>
      <c r="R195" s="723"/>
      <c r="S195" s="383"/>
      <c r="V195" s="3">
        <v>195</v>
      </c>
      <c r="W195" s="3">
        <f ca="1">MATCH(BillQuantities!$E$22, INDIRECT("A"&amp;'Enveloppe du bâtiment hors terr'!V195&amp;":A256"),0)</f>
        <v>1</v>
      </c>
    </row>
    <row r="196" spans="1:23">
      <c r="A196" s="483" t="str">
        <f>'Calcul ACV'!$C$47</f>
        <v>Toiture plate isolée</v>
      </c>
      <c r="B196" s="1182"/>
      <c r="C196" s="483" t="s">
        <v>693</v>
      </c>
      <c r="D196" s="483" t="str">
        <f>VLOOKUP(F196,'Baumaterialien Matériaux'!$A$10:$AD$432,30,FALSE)</f>
        <v>Barrière de vapeur bitumineuse</v>
      </c>
      <c r="E196" s="483" t="str">
        <f>VLOOKUP(F196,'Baumaterialien Matériaux'!$A$10:$AD$432,6,FALSE)</f>
        <v>kg</v>
      </c>
      <c r="F196" s="483" t="s">
        <v>694</v>
      </c>
      <c r="G196" s="484">
        <f>2*3.6</f>
        <v>7.2</v>
      </c>
      <c r="H196" s="483"/>
      <c r="I196" s="484">
        <f>$G196*VLOOKUP(F196,'Baumaterialien Matériaux'!$A$10:$AD$432,21,FALSE)</f>
        <v>95.039999999999992</v>
      </c>
      <c r="J196" s="484">
        <f>G196*VLOOKUP(F196,'Baumaterialien Matériaux'!$A$10:$AD$432,24,FALSE)</f>
        <v>1.9296000000000002</v>
      </c>
      <c r="K196" s="484">
        <f>G196*VLOOKUP(F196,'Baumaterialien Matériaux'!$A$10:$AD$432,26,FALSE)</f>
        <v>9.4320000000000004</v>
      </c>
      <c r="L196" s="484">
        <f>G196*VLOOKUP(F196,'Baumaterialien Matériaux'!$A$10:$AD$432,27,FALSE)</f>
        <v>16.776</v>
      </c>
      <c r="M196" s="484">
        <f>G196*VLOOKUP(F196,'Baumaterialien Matériaux'!$A$10:$AD$432,29,FALSE)</f>
        <v>0</v>
      </c>
      <c r="N196" s="711">
        <v>30</v>
      </c>
      <c r="O196" s="712"/>
      <c r="P196" s="712"/>
      <c r="Q196" s="712"/>
      <c r="R196" s="724"/>
      <c r="S196" s="383"/>
      <c r="V196" s="3">
        <f ca="1">W195+V195</f>
        <v>196</v>
      </c>
      <c r="W196" s="3">
        <f ca="1">MATCH(BillQuantities!$E$22, INDIRECT("A"&amp;'Enveloppe du bâtiment hors terr'!V196 &amp;":A256"),0)+W195-1</f>
        <v>1</v>
      </c>
    </row>
    <row r="197" spans="1:23">
      <c r="A197" s="483" t="str">
        <f>'Calcul ACV'!$C$47</f>
        <v>Toiture plate isolée</v>
      </c>
      <c r="B197" s="1182"/>
      <c r="C197" s="483" t="s">
        <v>533</v>
      </c>
      <c r="D197" s="483" t="str">
        <f>VLOOKUP(F197,'Baumaterialien Matériaux'!$A$10:$AD$432,30,FALSE)</f>
        <v>Émulsion de bitume, 1 couche</v>
      </c>
      <c r="E197" s="483" t="str">
        <f>VLOOKUP(F197,'Baumaterialien Matériaux'!$A$10:$AD$432,6,FALSE)</f>
        <v>m2</v>
      </c>
      <c r="F197" s="845" t="s">
        <v>512</v>
      </c>
      <c r="G197" s="484">
        <v>1</v>
      </c>
      <c r="H197" s="483"/>
      <c r="I197" s="484">
        <f>$G197*VLOOKUP(F197,'Baumaterialien Matériaux'!$A$10:$AD$432,21,FALSE)</f>
        <v>1.84</v>
      </c>
      <c r="J197" s="484">
        <f>G197*VLOOKUP(F197,'Baumaterialien Matériaux'!$A$10:$AD$432,24,FALSE)</f>
        <v>1.4E-2</v>
      </c>
      <c r="K197" s="484">
        <f>G197*VLOOKUP(F197,'Baumaterialien Matériaux'!$A$10:$AD$432,26,FALSE)</f>
        <v>0.13500000000000001</v>
      </c>
      <c r="L197" s="484">
        <f>G197*VLOOKUP(F197,'Baumaterialien Matériaux'!$A$10:$AD$432,27,FALSE)</f>
        <v>4.6800000000000001E-2</v>
      </c>
      <c r="M197" s="484">
        <f>G197*VLOOKUP(F197,'Baumaterialien Matériaux'!$A$10:$AD$432,29,FALSE)</f>
        <v>0</v>
      </c>
      <c r="N197" s="711">
        <v>30</v>
      </c>
      <c r="O197" s="712"/>
      <c r="P197" s="712"/>
      <c r="Q197" s="712"/>
      <c r="R197" s="724"/>
      <c r="S197" s="383"/>
      <c r="V197" s="3">
        <f ca="1">W196+V196-W195</f>
        <v>196</v>
      </c>
      <c r="W197" s="3">
        <f ca="1">MATCH(BillQuantities!$E$22, INDIRECT("A"&amp;'Enveloppe du bâtiment hors terr'!V197 &amp;":A256"),0)+W196-1</f>
        <v>1</v>
      </c>
    </row>
    <row r="198" spans="1:23">
      <c r="A198" s="483" t="str">
        <f>'Calcul ACV'!$C$47</f>
        <v>Toiture plate isolée</v>
      </c>
      <c r="B198" s="1182"/>
      <c r="C198" s="483" t="s">
        <v>695</v>
      </c>
      <c r="D198" s="483" t="str">
        <f>VLOOKUP(F198,'Baumaterialien Matériaux'!$A$10:$AD$432,30,FALSE)</f>
        <v>Lé d'étanchéité bitumineux</v>
      </c>
      <c r="E198" s="483" t="str">
        <f>VLOOKUP(F198,'Baumaterialien Matériaux'!$A$10:$AD$432,6,FALSE)</f>
        <v>kg</v>
      </c>
      <c r="F198" s="845" t="s">
        <v>696</v>
      </c>
      <c r="G198" s="484">
        <f>5.2</f>
        <v>5.2</v>
      </c>
      <c r="H198" s="483"/>
      <c r="I198" s="484">
        <f>$G198*VLOOKUP(F198,'Baumaterialien Matériaux'!$A$10:$AD$432,21,FALSE)</f>
        <v>62.400000000000006</v>
      </c>
      <c r="J198" s="484">
        <f>G198*VLOOKUP(F198,'Baumaterialien Matériaux'!$A$10:$AD$432,24,FALSE)</f>
        <v>1.3936000000000002</v>
      </c>
      <c r="K198" s="484">
        <f>G198*VLOOKUP(F198,'Baumaterialien Matériaux'!$A$10:$AD$432,26,FALSE)</f>
        <v>5.2520000000000007</v>
      </c>
      <c r="L198" s="484">
        <f>G198*VLOOKUP(F198,'Baumaterialien Matériaux'!$A$10:$AD$432,27,FALSE)</f>
        <v>12.116000000000001</v>
      </c>
      <c r="M198" s="484">
        <f>G198*VLOOKUP(F198,'Baumaterialien Matériaux'!$A$10:$AD$432,29,FALSE)</f>
        <v>0</v>
      </c>
      <c r="N198" s="711">
        <v>30</v>
      </c>
      <c r="O198" s="712"/>
      <c r="P198" s="712"/>
      <c r="Q198" s="712"/>
      <c r="R198" s="724"/>
      <c r="S198" s="383"/>
      <c r="V198" s="3">
        <f ca="1">W197+V197-W196</f>
        <v>196</v>
      </c>
      <c r="W198" s="3">
        <f ca="1">MATCH(BillQuantities!$E$22, INDIRECT("A"&amp;'Enveloppe du bâtiment hors terr'!V198 &amp;":A256"),0)+W197-1</f>
        <v>1</v>
      </c>
    </row>
    <row r="199" spans="1:23">
      <c r="A199" s="483" t="str">
        <f>'Calcul ACV'!$C$47</f>
        <v>Toiture plate isolée</v>
      </c>
      <c r="B199" s="1182"/>
      <c r="C199" s="483" t="s">
        <v>697</v>
      </c>
      <c r="D199" s="483" t="str">
        <f>VLOOKUP(F199,'Baumaterialien Matériaux'!$A$10:$AD$432,30,FALSE)</f>
        <v>Voile de polyéthylène (PE)</v>
      </c>
      <c r="E199" s="483" t="str">
        <f>VLOOKUP(F199,'Baumaterialien Matériaux'!$A$10:$AD$432,6,FALSE)</f>
        <v>kg</v>
      </c>
      <c r="F199" s="483" t="s">
        <v>528</v>
      </c>
      <c r="G199" s="484">
        <v>0.14000000000000001</v>
      </c>
      <c r="H199" s="483"/>
      <c r="I199" s="484">
        <f>$G199*VLOOKUP(F199,'Baumaterialien Matériaux'!$A$10:$AD$432,21,FALSE)</f>
        <v>3.5980000000000003</v>
      </c>
      <c r="J199" s="484">
        <f>G199*VLOOKUP(F199,'Baumaterialien Matériaux'!$A$10:$AD$432,24,FALSE)</f>
        <v>2.9400000000000003E-2</v>
      </c>
      <c r="K199" s="484">
        <f>G199*VLOOKUP(F199,'Baumaterialien Matériaux'!$A$10:$AD$432,26,FALSE)</f>
        <v>0.41440000000000005</v>
      </c>
      <c r="L199" s="484">
        <f>G199*VLOOKUP(F199,'Baumaterialien Matériaux'!$A$10:$AD$432,27,FALSE)</f>
        <v>0.37380000000000002</v>
      </c>
      <c r="M199" s="484">
        <f>G199*VLOOKUP(F199,'Baumaterialien Matériaux'!$A$10:$AD$432,29,FALSE)</f>
        <v>0</v>
      </c>
      <c r="N199" s="711">
        <v>30</v>
      </c>
      <c r="O199" s="712"/>
      <c r="P199" s="712"/>
      <c r="Q199" s="712"/>
      <c r="R199" s="724"/>
      <c r="S199" s="383"/>
      <c r="V199" s="3">
        <f ca="1">W198+V198-W197</f>
        <v>196</v>
      </c>
      <c r="W199" s="3">
        <f ca="1">MATCH(BillQuantities!$E$22, INDIRECT("A"&amp;'Enveloppe du bâtiment hors terr'!V199 &amp;":A256"),0)+W198-1</f>
        <v>1</v>
      </c>
    </row>
    <row r="200" spans="1:23">
      <c r="A200" s="483" t="str">
        <f>'Calcul ACV'!$C$47</f>
        <v>Toiture plate isolée</v>
      </c>
      <c r="B200" s="1182"/>
      <c r="C200" s="483" t="s">
        <v>529</v>
      </c>
      <c r="D200" s="483" t="str">
        <f>VLOOKUP(F200,'Baumaterialien Matériaux'!$A$10:$AD$432,30,FALSE)</f>
        <v>Gravier rond</v>
      </c>
      <c r="E200" s="483" t="str">
        <f>VLOOKUP(F200,'Baumaterialien Matériaux'!$A$10:$AD$432,6,FALSE)</f>
        <v>kg</v>
      </c>
      <c r="F200" s="853" t="s">
        <v>530</v>
      </c>
      <c r="G200" s="484">
        <f>1500*0.03</f>
        <v>45</v>
      </c>
      <c r="H200" s="483"/>
      <c r="I200" s="484">
        <f>$G200*VLOOKUP(F200,'Baumaterialien Matériaux'!$A$10:$AD$432,21,FALSE)</f>
        <v>0.70649999999999991</v>
      </c>
      <c r="J200" s="484">
        <f>G200*VLOOKUP(F200,'Baumaterialien Matériaux'!$A$10:$AD$432,24,FALSE)</f>
        <v>2.3759999999999999</v>
      </c>
      <c r="K200" s="484">
        <f>G200*VLOOKUP(F200,'Baumaterialien Matériaux'!$A$10:$AD$432,26,FALSE)</f>
        <v>0.1386</v>
      </c>
      <c r="L200" s="484">
        <f>G200*VLOOKUP(F200,'Baumaterialien Matériaux'!$A$10:$AD$432,27,FALSE)</f>
        <v>0.57600000000000007</v>
      </c>
      <c r="M200" s="484">
        <f>G200*VLOOKUP(F200,'Baumaterialien Matériaux'!$A$10:$AD$432,29,FALSE)</f>
        <v>0</v>
      </c>
      <c r="N200" s="711">
        <v>30</v>
      </c>
      <c r="O200" s="712"/>
      <c r="P200" s="712"/>
      <c r="Q200" s="712"/>
      <c r="R200" s="724"/>
      <c r="S200" s="383"/>
      <c r="V200" s="3">
        <f ca="1">W199+V199-W198</f>
        <v>196</v>
      </c>
      <c r="W200" s="3">
        <f ca="1">MATCH(BillQuantities!$E$22, INDIRECT("A"&amp;'Enveloppe du bâtiment hors terr'!V200 &amp;":A256"),0)+W199-1</f>
        <v>1</v>
      </c>
    </row>
    <row r="201" spans="1:23">
      <c r="A201" s="483" t="str">
        <f>'Calcul ACV'!$C$47</f>
        <v>Toiture plate isolée</v>
      </c>
      <c r="B201" s="1182"/>
      <c r="C201" s="483" t="s">
        <v>698</v>
      </c>
      <c r="D201" s="483" t="str">
        <f>VLOOKUP(F201,'Baumaterialien Matériaux'!$A$10:$AD$432,30,FALSE)</f>
        <v>Sable</v>
      </c>
      <c r="E201" s="483" t="str">
        <f>VLOOKUP(F201,'Baumaterialien Matériaux'!$A$10:$AD$432,6,FALSE)</f>
        <v>kg</v>
      </c>
      <c r="F201" s="845" t="s">
        <v>699</v>
      </c>
      <c r="G201" s="484">
        <f>0.07*1000</f>
        <v>70</v>
      </c>
      <c r="H201" s="483"/>
      <c r="I201" s="484">
        <f>$G201*VLOOKUP(F201,'Baumaterialien Matériaux'!$A$10:$AD$432,21,FALSE)</f>
        <v>1.099</v>
      </c>
      <c r="J201" s="484">
        <f>G201*VLOOKUP(F201,'Baumaterialien Matériaux'!$A$10:$AD$432,24,FALSE)</f>
        <v>3.6960000000000002</v>
      </c>
      <c r="K201" s="484">
        <f>G201*VLOOKUP(F201,'Baumaterialien Matériaux'!$A$10:$AD$432,26,FALSE)</f>
        <v>0.21559999999999999</v>
      </c>
      <c r="L201" s="484">
        <f>G201*VLOOKUP(F201,'Baumaterialien Matériaux'!$A$10:$AD$432,27,FALSE)</f>
        <v>0.89600000000000002</v>
      </c>
      <c r="M201" s="484">
        <f>G201*VLOOKUP(F201,'Baumaterialien Matériaux'!$A$10:$AD$432,29,FALSE)</f>
        <v>0</v>
      </c>
      <c r="N201" s="717">
        <v>30</v>
      </c>
      <c r="O201" s="718"/>
      <c r="P201" s="718"/>
      <c r="Q201" s="718"/>
      <c r="R201" s="725"/>
      <c r="S201" s="383"/>
      <c r="V201" s="3">
        <f ca="1">W200+V200-W199</f>
        <v>196</v>
      </c>
      <c r="W201" s="3">
        <f ca="1">MATCH(BillQuantities!$E$22, INDIRECT("A"&amp;'Enveloppe du bâtiment hors terr'!V201 &amp;":A256"),0)+W200-1</f>
        <v>1</v>
      </c>
    </row>
    <row r="202" spans="1:23" ht="15">
      <c r="G202" s="208"/>
      <c r="I202" s="485">
        <f>SUM(I195:I201)</f>
        <v>328.58349999999996</v>
      </c>
      <c r="J202" s="485">
        <f t="shared" ref="J202:M202" si="59">SUM(J195:J201)</f>
        <v>10.555099999999999</v>
      </c>
      <c r="K202" s="485">
        <f t="shared" si="59"/>
        <v>40.392600000000002</v>
      </c>
      <c r="L202" s="485">
        <f t="shared" si="59"/>
        <v>47.779600000000002</v>
      </c>
      <c r="M202" s="485">
        <f t="shared" si="59"/>
        <v>0</v>
      </c>
      <c r="N202" s="843">
        <v>30</v>
      </c>
      <c r="O202" s="485">
        <f>I202/$N202</f>
        <v>10.952783333333333</v>
      </c>
      <c r="P202" s="485">
        <f>J202/$N202</f>
        <v>0.35183666666666663</v>
      </c>
      <c r="Q202" s="485">
        <f>K202/$N202</f>
        <v>1.34642</v>
      </c>
      <c r="R202" s="485">
        <f>L202/$N202</f>
        <v>1.5926533333333335</v>
      </c>
      <c r="S202" s="485">
        <f>M202/$N202</f>
        <v>0</v>
      </c>
    </row>
    <row r="203" spans="1:23">
      <c r="G203" s="208"/>
      <c r="S203" s="3" t="s">
        <v>558</v>
      </c>
    </row>
    <row r="204" spans="1:23" ht="69.95" customHeight="1">
      <c r="A204" s="483" t="str">
        <f>'Calcul ACV'!$C$47</f>
        <v>Toiture plate isolée</v>
      </c>
      <c r="B204" s="1182" t="s">
        <v>700</v>
      </c>
      <c r="C204" s="863" t="s">
        <v>701</v>
      </c>
      <c r="D204" s="483" t="str">
        <f>VLOOKUP(F204,'Baumaterialien Matériaux'!$A$10:$AD$432,30,FALSE)</f>
        <v>Polyuréthane (PUR/PIR)</v>
      </c>
      <c r="E204" s="483"/>
      <c r="F204" s="864" t="s">
        <v>702</v>
      </c>
      <c r="G204" s="484">
        <f>30*0.16</f>
        <v>4.8</v>
      </c>
      <c r="H204" s="483"/>
      <c r="I204" s="484">
        <f>$G204*VLOOKUP(F204,'Baumaterialien Matériaux'!$A$10:$AD$432,21,FALSE)</f>
        <v>141.6</v>
      </c>
      <c r="J204" s="484">
        <f>G204*VLOOKUP(F204,'Baumaterialien Matériaux'!$A$10:$AD$432,24,FALSE)</f>
        <v>3.2784</v>
      </c>
      <c r="K204" s="484">
        <f>G204*VLOOKUP(F204,'Baumaterialien Matériaux'!$A$10:$AD$432,26,FALSE)</f>
        <v>23.04</v>
      </c>
      <c r="L204" s="484">
        <f>G204*VLOOKUP(F204,'Baumaterialien Matériaux'!$A$10:$AD$432,27,FALSE)</f>
        <v>12.719999999999999</v>
      </c>
      <c r="M204" s="484">
        <f>G204*VLOOKUP(F204,'Baumaterialien Matériaux'!$A$10:$AD$432,29,FALSE)</f>
        <v>0</v>
      </c>
      <c r="N204" s="1172"/>
      <c r="O204" s="1173"/>
      <c r="P204" s="1173"/>
      <c r="Q204" s="1173"/>
      <c r="R204" s="1173"/>
      <c r="S204" s="383"/>
    </row>
    <row r="205" spans="1:23">
      <c r="A205" s="483" t="str">
        <f>'Calcul ACV'!$C$47</f>
        <v>Toiture plate isolée</v>
      </c>
      <c r="B205" s="1182"/>
      <c r="C205" s="483" t="s">
        <v>693</v>
      </c>
      <c r="D205" s="483" t="str">
        <f>VLOOKUP(F205,'Baumaterialien Matériaux'!$A$10:$AD$432,30,FALSE)</f>
        <v>Barrière de vapeur bitumineuse</v>
      </c>
      <c r="E205" s="483" t="str">
        <f>VLOOKUP(F205,'Baumaterialien Matériaux'!$A$10:$AD$432,6,FALSE)</f>
        <v>kg</v>
      </c>
      <c r="F205" s="483" t="s">
        <v>694</v>
      </c>
      <c r="G205" s="484">
        <f>2*3.6</f>
        <v>7.2</v>
      </c>
      <c r="H205" s="483"/>
      <c r="I205" s="484">
        <f>$G205*VLOOKUP(F205,'Baumaterialien Matériaux'!$A$10:$AD$432,21,FALSE)</f>
        <v>95.039999999999992</v>
      </c>
      <c r="J205" s="484">
        <f>G205*VLOOKUP(F205,'Baumaterialien Matériaux'!$A$10:$AD$432,24,FALSE)</f>
        <v>1.9296000000000002</v>
      </c>
      <c r="K205" s="484">
        <f>G205*VLOOKUP(F205,'Baumaterialien Matériaux'!$A$10:$AD$432,26,FALSE)</f>
        <v>9.4320000000000004</v>
      </c>
      <c r="L205" s="484">
        <f>G205*VLOOKUP(F205,'Baumaterialien Matériaux'!$A$10:$AD$432,27,FALSE)</f>
        <v>16.776</v>
      </c>
      <c r="M205" s="484">
        <f>G205*VLOOKUP(F205,'Baumaterialien Matériaux'!$A$10:$AD$432,29,FALSE)</f>
        <v>0</v>
      </c>
      <c r="N205" s="1172"/>
      <c r="O205" s="1173"/>
      <c r="P205" s="1173"/>
      <c r="Q205" s="1173"/>
      <c r="R205" s="1173"/>
      <c r="S205" s="383"/>
    </row>
    <row r="206" spans="1:23">
      <c r="A206" s="483" t="str">
        <f>'Calcul ACV'!$C$47</f>
        <v>Toiture plate isolée</v>
      </c>
      <c r="B206" s="1182"/>
      <c r="C206" s="483" t="s">
        <v>533</v>
      </c>
      <c r="D206" s="483" t="str">
        <f>VLOOKUP(F206,'Baumaterialien Matériaux'!$A$10:$AD$432,30,FALSE)</f>
        <v>Émulsion de bitume, 1 couche</v>
      </c>
      <c r="E206" s="483" t="str">
        <f>VLOOKUP(F206,'Baumaterialien Matériaux'!$A$10:$AD$432,6,FALSE)</f>
        <v>m2</v>
      </c>
      <c r="F206" s="845" t="s">
        <v>512</v>
      </c>
      <c r="G206" s="484">
        <v>1</v>
      </c>
      <c r="H206" s="483"/>
      <c r="I206" s="484">
        <f>$G206*VLOOKUP(F206,'Baumaterialien Matériaux'!$A$10:$AD$432,21,FALSE)</f>
        <v>1.84</v>
      </c>
      <c r="J206" s="484">
        <f>G206*VLOOKUP(F206,'Baumaterialien Matériaux'!$A$10:$AD$432,24,FALSE)</f>
        <v>1.4E-2</v>
      </c>
      <c r="K206" s="484">
        <f>G206*VLOOKUP(F206,'Baumaterialien Matériaux'!$A$10:$AD$432,26,FALSE)</f>
        <v>0.13500000000000001</v>
      </c>
      <c r="L206" s="484">
        <f>G206*VLOOKUP(F206,'Baumaterialien Matériaux'!$A$10:$AD$432,27,FALSE)</f>
        <v>4.6800000000000001E-2</v>
      </c>
      <c r="M206" s="484">
        <f>G206*VLOOKUP(F206,'Baumaterialien Matériaux'!$A$10:$AD$432,29,FALSE)</f>
        <v>0</v>
      </c>
      <c r="N206" s="1172"/>
      <c r="O206" s="1173"/>
      <c r="P206" s="1173"/>
      <c r="Q206" s="1173"/>
      <c r="R206" s="1173"/>
      <c r="S206" s="383"/>
    </row>
    <row r="207" spans="1:23">
      <c r="A207" s="483" t="str">
        <f>'Calcul ACV'!$C$47</f>
        <v>Toiture plate isolée</v>
      </c>
      <c r="B207" s="1182"/>
      <c r="C207" s="483" t="s">
        <v>695</v>
      </c>
      <c r="D207" s="483" t="str">
        <f>VLOOKUP(F207,'Baumaterialien Matériaux'!$A$10:$AD$432,30,FALSE)</f>
        <v>Lé d'étanchéité bitumineux</v>
      </c>
      <c r="E207" s="483" t="str">
        <f>VLOOKUP(F207,'Baumaterialien Matériaux'!$A$10:$AD$432,6,FALSE)</f>
        <v>kg</v>
      </c>
      <c r="F207" s="845" t="s">
        <v>696</v>
      </c>
      <c r="G207" s="484">
        <f>5.2</f>
        <v>5.2</v>
      </c>
      <c r="H207" s="483"/>
      <c r="I207" s="484">
        <f>$G207*VLOOKUP(F207,'Baumaterialien Matériaux'!$A$10:$AD$432,21,FALSE)</f>
        <v>62.400000000000006</v>
      </c>
      <c r="J207" s="484">
        <f>G207*VLOOKUP(F207,'Baumaterialien Matériaux'!$A$10:$AD$432,24,FALSE)</f>
        <v>1.3936000000000002</v>
      </c>
      <c r="K207" s="484">
        <f>G207*VLOOKUP(F207,'Baumaterialien Matériaux'!$A$10:$AD$432,26,FALSE)</f>
        <v>5.2520000000000007</v>
      </c>
      <c r="L207" s="484">
        <f>G207*VLOOKUP(F207,'Baumaterialien Matériaux'!$A$10:$AD$432,27,FALSE)</f>
        <v>12.116000000000001</v>
      </c>
      <c r="M207" s="484">
        <f>G207*VLOOKUP(F207,'Baumaterialien Matériaux'!$A$10:$AD$432,29,FALSE)</f>
        <v>0</v>
      </c>
      <c r="N207" s="1172"/>
      <c r="O207" s="1173"/>
      <c r="P207" s="1173"/>
      <c r="Q207" s="1173"/>
      <c r="R207" s="1173"/>
      <c r="S207" s="383"/>
    </row>
    <row r="208" spans="1:23">
      <c r="A208" s="483" t="str">
        <f>'Calcul ACV'!$C$47</f>
        <v>Toiture plate isolée</v>
      </c>
      <c r="B208" s="1182"/>
      <c r="C208" s="483" t="s">
        <v>697</v>
      </c>
      <c r="D208" s="483" t="str">
        <f>VLOOKUP(F208,'Baumaterialien Matériaux'!$A$10:$AD$432,30,FALSE)</f>
        <v>Voile de polyéthylène (PE)</v>
      </c>
      <c r="E208" s="483" t="str">
        <f>VLOOKUP(F208,'Baumaterialien Matériaux'!$A$10:$AD$432,6,FALSE)</f>
        <v>kg</v>
      </c>
      <c r="F208" s="483" t="s">
        <v>528</v>
      </c>
      <c r="G208" s="484">
        <v>0.14000000000000001</v>
      </c>
      <c r="H208" s="483"/>
      <c r="I208" s="484">
        <f>$G208*VLOOKUP(F208,'Baumaterialien Matériaux'!$A$10:$AD$432,21,FALSE)</f>
        <v>3.5980000000000003</v>
      </c>
      <c r="J208" s="484">
        <f>G208*VLOOKUP(F208,'Baumaterialien Matériaux'!$A$10:$AD$432,24,FALSE)</f>
        <v>2.9400000000000003E-2</v>
      </c>
      <c r="K208" s="484">
        <f>G208*VLOOKUP(F208,'Baumaterialien Matériaux'!$A$10:$AD$432,26,FALSE)</f>
        <v>0.41440000000000005</v>
      </c>
      <c r="L208" s="484">
        <f>G208*VLOOKUP(F208,'Baumaterialien Matériaux'!$A$10:$AD$432,27,FALSE)</f>
        <v>0.37380000000000002</v>
      </c>
      <c r="M208" s="484">
        <f>G208*VLOOKUP(F208,'Baumaterialien Matériaux'!$A$10:$AD$432,29,FALSE)</f>
        <v>0</v>
      </c>
      <c r="N208" s="1172"/>
      <c r="O208" s="1173"/>
      <c r="P208" s="1173"/>
      <c r="Q208" s="1173"/>
      <c r="R208" s="1173"/>
      <c r="S208" s="383"/>
    </row>
    <row r="209" spans="1:19">
      <c r="A209" s="483" t="str">
        <f>'Calcul ACV'!$C$47</f>
        <v>Toiture plate isolée</v>
      </c>
      <c r="B209" s="1182"/>
      <c r="C209" s="483" t="s">
        <v>529</v>
      </c>
      <c r="D209" s="483" t="str">
        <f>VLOOKUP(F209,'Baumaterialien Matériaux'!$A$10:$AD$432,30,FALSE)</f>
        <v>Gravier rond</v>
      </c>
      <c r="E209" s="483" t="str">
        <f>VLOOKUP(F209,'Baumaterialien Matériaux'!$A$10:$AD$432,6,FALSE)</f>
        <v>kg</v>
      </c>
      <c r="F209" s="853" t="s">
        <v>530</v>
      </c>
      <c r="G209" s="484">
        <f>1500*0.03</f>
        <v>45</v>
      </c>
      <c r="H209" s="483"/>
      <c r="I209" s="484">
        <f>$G209*VLOOKUP(F209,'Baumaterialien Matériaux'!$A$10:$AD$432,21,FALSE)</f>
        <v>0.70649999999999991</v>
      </c>
      <c r="J209" s="484">
        <f>G209*VLOOKUP(F209,'Baumaterialien Matériaux'!$A$10:$AD$432,24,FALSE)</f>
        <v>2.3759999999999999</v>
      </c>
      <c r="K209" s="484">
        <f>G209*VLOOKUP(F209,'Baumaterialien Matériaux'!$A$10:$AD$432,26,FALSE)</f>
        <v>0.1386</v>
      </c>
      <c r="L209" s="484">
        <f>G209*VLOOKUP(F209,'Baumaterialien Matériaux'!$A$10:$AD$432,27,FALSE)</f>
        <v>0.57600000000000007</v>
      </c>
      <c r="M209" s="484">
        <f>G209*VLOOKUP(F209,'Baumaterialien Matériaux'!$A$10:$AD$432,29,FALSE)</f>
        <v>0</v>
      </c>
      <c r="N209" s="1172"/>
      <c r="O209" s="1173"/>
      <c r="P209" s="1173"/>
      <c r="Q209" s="1173"/>
      <c r="R209" s="1173"/>
      <c r="S209" s="383"/>
    </row>
    <row r="210" spans="1:19">
      <c r="A210" s="483" t="str">
        <f>'Calcul ACV'!$C$47</f>
        <v>Toiture plate isolée</v>
      </c>
      <c r="B210" s="1182"/>
      <c r="C210" s="483" t="s">
        <v>698</v>
      </c>
      <c r="D210" s="483" t="str">
        <f>VLOOKUP(F210,'Baumaterialien Matériaux'!$A$10:$AD$432,30,FALSE)</f>
        <v>Sable</v>
      </c>
      <c r="E210" s="483" t="str">
        <f>VLOOKUP(F210,'Baumaterialien Matériaux'!$A$10:$AD$432,6,FALSE)</f>
        <v>kg</v>
      </c>
      <c r="F210" s="845" t="s">
        <v>699</v>
      </c>
      <c r="G210" s="484">
        <f>0.07*1000</f>
        <v>70</v>
      </c>
      <c r="H210" s="483"/>
      <c r="I210" s="484">
        <f>$G210*VLOOKUP(F210,'Baumaterialien Matériaux'!$A$10:$AD$432,21,FALSE)</f>
        <v>1.099</v>
      </c>
      <c r="J210" s="484">
        <f>G210*VLOOKUP(F210,'Baumaterialien Matériaux'!$A$10:$AD$432,24,FALSE)</f>
        <v>3.6960000000000002</v>
      </c>
      <c r="K210" s="484">
        <f>G210*VLOOKUP(F210,'Baumaterialien Matériaux'!$A$10:$AD$432,26,FALSE)</f>
        <v>0.21559999999999999</v>
      </c>
      <c r="L210" s="484">
        <f>G210*VLOOKUP(F210,'Baumaterialien Matériaux'!$A$10:$AD$432,27,FALSE)</f>
        <v>0.89600000000000002</v>
      </c>
      <c r="M210" s="484">
        <f>G210*VLOOKUP(F210,'Baumaterialien Matériaux'!$A$10:$AD$432,29,FALSE)</f>
        <v>0</v>
      </c>
      <c r="N210" s="1175"/>
      <c r="O210" s="1176"/>
      <c r="P210" s="1176"/>
      <c r="Q210" s="1176"/>
      <c r="R210" s="1176"/>
      <c r="S210" s="383"/>
    </row>
    <row r="211" spans="1:19" ht="15">
      <c r="G211" s="208"/>
      <c r="I211" s="485">
        <f>SUM(I204:I210)</f>
        <v>306.2835</v>
      </c>
      <c r="J211" s="485">
        <f t="shared" ref="J211:M211" si="60">SUM(J204:J210)</f>
        <v>12.717000000000001</v>
      </c>
      <c r="K211" s="485">
        <f t="shared" si="60"/>
        <v>38.627600000000001</v>
      </c>
      <c r="L211" s="485">
        <f t="shared" si="60"/>
        <v>43.504600000000003</v>
      </c>
      <c r="M211" s="485">
        <f t="shared" si="60"/>
        <v>0</v>
      </c>
      <c r="N211" s="843">
        <v>30</v>
      </c>
      <c r="O211" s="485">
        <f>I211/$N211</f>
        <v>10.20945</v>
      </c>
      <c r="P211" s="485">
        <f>J211/$N211</f>
        <v>0.4239</v>
      </c>
      <c r="Q211" s="485">
        <f>K211/$N211</f>
        <v>1.2875866666666667</v>
      </c>
      <c r="R211" s="485">
        <f>L211/$N211</f>
        <v>1.4501533333333334</v>
      </c>
      <c r="S211" s="485">
        <f>M211/$N211</f>
        <v>0</v>
      </c>
    </row>
    <row r="212" spans="1:19">
      <c r="G212" s="208"/>
      <c r="S212" s="3" t="s">
        <v>558</v>
      </c>
    </row>
    <row r="213" spans="1:19">
      <c r="A213" s="483" t="str">
        <f>'Calcul ACV'!$C$47</f>
        <v>Toiture plate isolée</v>
      </c>
      <c r="B213" s="1182" t="s">
        <v>703</v>
      </c>
      <c r="C213" s="863" t="s">
        <v>704</v>
      </c>
      <c r="D213" s="483" t="str">
        <f>VLOOKUP(F213,'Baumaterialien Matériaux'!$A$10:$AD$432,30,FALSE)</f>
        <v>Laine de roche</v>
      </c>
      <c r="E213" s="483" t="str">
        <f>VLOOKUP(F213,'Baumaterialien Matériaux'!$A$10:$AD$432,6,FALSE)</f>
        <v>kg</v>
      </c>
      <c r="F213" s="483" t="s">
        <v>106</v>
      </c>
      <c r="G213" s="484">
        <f>0.28*160</f>
        <v>44.800000000000004</v>
      </c>
      <c r="H213" s="483"/>
      <c r="I213" s="484">
        <f>$G213*VLOOKUP(F213,'Baumaterialien Matériaux'!$A$10:$AD$432,21,FALSE)</f>
        <v>193.53600000000003</v>
      </c>
      <c r="J213" s="484">
        <f>G213*VLOOKUP(F213,'Baumaterialien Matériaux'!$A$10:$AD$432,24,FALSE)</f>
        <v>5.958400000000001</v>
      </c>
      <c r="K213" s="484">
        <f>G213*VLOOKUP(F213,'Baumaterialien Matériaux'!$A$10:$AD$432,26,FALSE)</f>
        <v>50.624000000000002</v>
      </c>
      <c r="L213" s="484">
        <f>G213*VLOOKUP(F213,'Baumaterialien Matériaux'!$A$10:$AD$432,27,FALSE)</f>
        <v>2.6700800000000005</v>
      </c>
      <c r="M213" s="484">
        <f>G213*VLOOKUP(F213,'Baumaterialien Matériaux'!$A$10:$AD$432,29,FALSE)</f>
        <v>0</v>
      </c>
      <c r="N213" s="1172"/>
      <c r="O213" s="1173"/>
      <c r="P213" s="1173"/>
      <c r="Q213" s="1173"/>
      <c r="R213" s="1173"/>
      <c r="S213" s="383"/>
    </row>
    <row r="214" spans="1:19">
      <c r="A214" s="483" t="str">
        <f>'Calcul ACV'!$C$47</f>
        <v>Toiture plate isolée</v>
      </c>
      <c r="B214" s="1182"/>
      <c r="C214" s="483" t="s">
        <v>693</v>
      </c>
      <c r="D214" s="483" t="str">
        <f>VLOOKUP(F214,'Baumaterialien Matériaux'!$A$10:$AD$432,30,FALSE)</f>
        <v>Barrière de vapeur bitumineuse</v>
      </c>
      <c r="E214" s="483" t="str">
        <f>VLOOKUP(F214,'Baumaterialien Matériaux'!$A$10:$AD$432,6,FALSE)</f>
        <v>kg</v>
      </c>
      <c r="F214" s="483" t="s">
        <v>694</v>
      </c>
      <c r="G214" s="484">
        <f>2*3.6</f>
        <v>7.2</v>
      </c>
      <c r="H214" s="483"/>
      <c r="I214" s="484">
        <f>$G214*VLOOKUP(F214,'Baumaterialien Matériaux'!$A$10:$AD$432,21,FALSE)</f>
        <v>95.039999999999992</v>
      </c>
      <c r="J214" s="484">
        <f>G214*VLOOKUP(F214,'Baumaterialien Matériaux'!$A$10:$AD$432,24,FALSE)</f>
        <v>1.9296000000000002</v>
      </c>
      <c r="K214" s="484">
        <f>G214*VLOOKUP(F214,'Baumaterialien Matériaux'!$A$10:$AD$432,26,FALSE)</f>
        <v>9.4320000000000004</v>
      </c>
      <c r="L214" s="484">
        <f>G214*VLOOKUP(F214,'Baumaterialien Matériaux'!$A$10:$AD$432,27,FALSE)</f>
        <v>16.776</v>
      </c>
      <c r="M214" s="484">
        <f>G214*VLOOKUP(F214,'Baumaterialien Matériaux'!$A$10:$AD$432,29,FALSE)</f>
        <v>0</v>
      </c>
      <c r="N214" s="1172"/>
      <c r="O214" s="1173"/>
      <c r="P214" s="1173"/>
      <c r="Q214" s="1173"/>
      <c r="R214" s="1173"/>
      <c r="S214" s="383"/>
    </row>
    <row r="215" spans="1:19">
      <c r="A215" s="483" t="str">
        <f>'Calcul ACV'!$C$47</f>
        <v>Toiture plate isolée</v>
      </c>
      <c r="B215" s="1182"/>
      <c r="C215" s="483" t="s">
        <v>533</v>
      </c>
      <c r="D215" s="483" t="str">
        <f>VLOOKUP(F215,'Baumaterialien Matériaux'!$A$10:$AD$432,30,FALSE)</f>
        <v>Émulsion de bitume, 1 couche</v>
      </c>
      <c r="E215" s="483" t="str">
        <f>VLOOKUP(F215,'Baumaterialien Matériaux'!$A$10:$AD$432,6,FALSE)</f>
        <v>m2</v>
      </c>
      <c r="F215" s="845" t="s">
        <v>512</v>
      </c>
      <c r="G215" s="484">
        <v>1</v>
      </c>
      <c r="H215" s="483"/>
      <c r="I215" s="484">
        <f>$G215*VLOOKUP(F215,'Baumaterialien Matériaux'!$A$10:$AD$432,21,FALSE)</f>
        <v>1.84</v>
      </c>
      <c r="J215" s="484">
        <f>G215*VLOOKUP(F215,'Baumaterialien Matériaux'!$A$10:$AD$432,24,FALSE)</f>
        <v>1.4E-2</v>
      </c>
      <c r="K215" s="484">
        <f>G215*VLOOKUP(F215,'Baumaterialien Matériaux'!$A$10:$AD$432,26,FALSE)</f>
        <v>0.13500000000000001</v>
      </c>
      <c r="L215" s="484">
        <f>G215*VLOOKUP(F215,'Baumaterialien Matériaux'!$A$10:$AD$432,27,FALSE)</f>
        <v>4.6800000000000001E-2</v>
      </c>
      <c r="M215" s="484">
        <f>G215*VLOOKUP(F215,'Baumaterialien Matériaux'!$A$10:$AD$432,29,FALSE)</f>
        <v>0</v>
      </c>
      <c r="N215" s="1172"/>
      <c r="O215" s="1173"/>
      <c r="P215" s="1173"/>
      <c r="Q215" s="1173"/>
      <c r="R215" s="1173"/>
      <c r="S215" s="383"/>
    </row>
    <row r="216" spans="1:19">
      <c r="A216" s="483" t="str">
        <f>'Calcul ACV'!$C$47</f>
        <v>Toiture plate isolée</v>
      </c>
      <c r="B216" s="1182"/>
      <c r="C216" s="483" t="s">
        <v>695</v>
      </c>
      <c r="D216" s="483" t="str">
        <f>VLOOKUP(F216,'Baumaterialien Matériaux'!$A$10:$AD$432,30,FALSE)</f>
        <v>Lé d'étanchéité bitumineux</v>
      </c>
      <c r="E216" s="483" t="str">
        <f>VLOOKUP(F216,'Baumaterialien Matériaux'!$A$10:$AD$432,6,FALSE)</f>
        <v>kg</v>
      </c>
      <c r="F216" s="845" t="s">
        <v>696</v>
      </c>
      <c r="G216" s="484">
        <f>5.2</f>
        <v>5.2</v>
      </c>
      <c r="H216" s="483"/>
      <c r="I216" s="484">
        <f>$G216*VLOOKUP(F216,'Baumaterialien Matériaux'!$A$10:$AD$432,21,FALSE)</f>
        <v>62.400000000000006</v>
      </c>
      <c r="J216" s="484">
        <f>G216*VLOOKUP(F216,'Baumaterialien Matériaux'!$A$10:$AD$432,24,FALSE)</f>
        <v>1.3936000000000002</v>
      </c>
      <c r="K216" s="484">
        <f>G216*VLOOKUP(F216,'Baumaterialien Matériaux'!$A$10:$AD$432,26,FALSE)</f>
        <v>5.2520000000000007</v>
      </c>
      <c r="L216" s="484">
        <f>G216*VLOOKUP(F216,'Baumaterialien Matériaux'!$A$10:$AD$432,27,FALSE)</f>
        <v>12.116000000000001</v>
      </c>
      <c r="M216" s="484">
        <f>G216*VLOOKUP(F216,'Baumaterialien Matériaux'!$A$10:$AD$432,29,FALSE)</f>
        <v>0</v>
      </c>
      <c r="N216" s="1172"/>
      <c r="O216" s="1173"/>
      <c r="P216" s="1173"/>
      <c r="Q216" s="1173"/>
      <c r="R216" s="1173"/>
      <c r="S216" s="383"/>
    </row>
    <row r="217" spans="1:19">
      <c r="A217" s="483" t="str">
        <f>'Calcul ACV'!$C$47</f>
        <v>Toiture plate isolée</v>
      </c>
      <c r="B217" s="1182"/>
      <c r="C217" s="483" t="s">
        <v>697</v>
      </c>
      <c r="D217" s="483" t="str">
        <f>VLOOKUP(F217,'Baumaterialien Matériaux'!$A$10:$AD$432,30,FALSE)</f>
        <v>Voile de polyéthylène (PE)</v>
      </c>
      <c r="E217" s="483" t="str">
        <f>VLOOKUP(F217,'Baumaterialien Matériaux'!$A$10:$AD$432,6,FALSE)</f>
        <v>kg</v>
      </c>
      <c r="F217" s="483" t="s">
        <v>528</v>
      </c>
      <c r="G217" s="484">
        <v>0.14000000000000001</v>
      </c>
      <c r="H217" s="483"/>
      <c r="I217" s="484">
        <f>$G217*VLOOKUP(F217,'Baumaterialien Matériaux'!$A$10:$AD$432,21,FALSE)</f>
        <v>3.5980000000000003</v>
      </c>
      <c r="J217" s="484">
        <f>G217*VLOOKUP(F217,'Baumaterialien Matériaux'!$A$10:$AD$432,24,FALSE)</f>
        <v>2.9400000000000003E-2</v>
      </c>
      <c r="K217" s="484">
        <f>G217*VLOOKUP(F217,'Baumaterialien Matériaux'!$A$10:$AD$432,26,FALSE)</f>
        <v>0.41440000000000005</v>
      </c>
      <c r="L217" s="484">
        <f>G217*VLOOKUP(F217,'Baumaterialien Matériaux'!$A$10:$AD$432,27,FALSE)</f>
        <v>0.37380000000000002</v>
      </c>
      <c r="M217" s="484">
        <f>G217*VLOOKUP(F217,'Baumaterialien Matériaux'!$A$10:$AD$432,29,FALSE)</f>
        <v>0</v>
      </c>
      <c r="N217" s="1172"/>
      <c r="O217" s="1173"/>
      <c r="P217" s="1173"/>
      <c r="Q217" s="1173"/>
      <c r="R217" s="1173"/>
      <c r="S217" s="383"/>
    </row>
    <row r="218" spans="1:19">
      <c r="A218" s="483" t="str">
        <f>'Calcul ACV'!$C$47</f>
        <v>Toiture plate isolée</v>
      </c>
      <c r="B218" s="1182"/>
      <c r="C218" s="483" t="s">
        <v>529</v>
      </c>
      <c r="D218" s="483" t="str">
        <f>VLOOKUP(F218,'Baumaterialien Matériaux'!$A$10:$AD$432,30,FALSE)</f>
        <v>Gravier rond</v>
      </c>
      <c r="E218" s="483" t="str">
        <f>VLOOKUP(F218,'Baumaterialien Matériaux'!$A$10:$AD$432,6,FALSE)</f>
        <v>kg</v>
      </c>
      <c r="F218" s="853" t="s">
        <v>530</v>
      </c>
      <c r="G218" s="484">
        <f>1500*0.03</f>
        <v>45</v>
      </c>
      <c r="H218" s="483"/>
      <c r="I218" s="484">
        <f>$G218*VLOOKUP(F218,'Baumaterialien Matériaux'!$A$10:$AD$432,21,FALSE)</f>
        <v>0.70649999999999991</v>
      </c>
      <c r="J218" s="484">
        <f>G218*VLOOKUP(F218,'Baumaterialien Matériaux'!$A$10:$AD$432,24,FALSE)</f>
        <v>2.3759999999999999</v>
      </c>
      <c r="K218" s="484">
        <f>G218*VLOOKUP(F218,'Baumaterialien Matériaux'!$A$10:$AD$432,26,FALSE)</f>
        <v>0.1386</v>
      </c>
      <c r="L218" s="484">
        <f>G218*VLOOKUP(F218,'Baumaterialien Matériaux'!$A$10:$AD$432,27,FALSE)</f>
        <v>0.57600000000000007</v>
      </c>
      <c r="M218" s="484">
        <f>G218*VLOOKUP(F218,'Baumaterialien Matériaux'!$A$10:$AD$432,29,FALSE)</f>
        <v>0</v>
      </c>
      <c r="N218" s="1172"/>
      <c r="O218" s="1173"/>
      <c r="P218" s="1173"/>
      <c r="Q218" s="1173"/>
      <c r="R218" s="1173"/>
      <c r="S218" s="383"/>
    </row>
    <row r="219" spans="1:19">
      <c r="A219" s="483" t="str">
        <f>'Calcul ACV'!$C$47</f>
        <v>Toiture plate isolée</v>
      </c>
      <c r="B219" s="1182"/>
      <c r="C219" s="483" t="s">
        <v>705</v>
      </c>
      <c r="D219" s="483" t="str">
        <f>VLOOKUP(F219,'Baumaterialien Matériaux'!$A$10:$AD$432,30,FALSE)</f>
        <v>Sable</v>
      </c>
      <c r="E219" s="483" t="str">
        <f>VLOOKUP(F219,'Baumaterialien Matériaux'!$A$10:$AD$432,6,FALSE)</f>
        <v>kg</v>
      </c>
      <c r="F219" s="845" t="s">
        <v>699</v>
      </c>
      <c r="G219" s="484">
        <f>0.07*1000</f>
        <v>70</v>
      </c>
      <c r="H219" s="483"/>
      <c r="I219" s="484">
        <f>$G219*VLOOKUP(F219,'Baumaterialien Matériaux'!$A$10:$AD$432,21,FALSE)</f>
        <v>1.099</v>
      </c>
      <c r="J219" s="484">
        <f>G219*VLOOKUP(F219,'Baumaterialien Matériaux'!$A$10:$AD$432,24,FALSE)</f>
        <v>3.6960000000000002</v>
      </c>
      <c r="K219" s="484">
        <f>G219*VLOOKUP(F219,'Baumaterialien Matériaux'!$A$10:$AD$432,26,FALSE)</f>
        <v>0.21559999999999999</v>
      </c>
      <c r="L219" s="484">
        <f>G219*VLOOKUP(F219,'Baumaterialien Matériaux'!$A$10:$AD$432,27,FALSE)</f>
        <v>0.89600000000000002</v>
      </c>
      <c r="M219" s="484">
        <f>G219*VLOOKUP(F219,'Baumaterialien Matériaux'!$A$10:$AD$432,29,FALSE)</f>
        <v>0</v>
      </c>
      <c r="N219" s="1175"/>
      <c r="O219" s="1176"/>
      <c r="P219" s="1176"/>
      <c r="Q219" s="1176"/>
      <c r="R219" s="1176"/>
      <c r="S219" s="383"/>
    </row>
    <row r="220" spans="1:19" ht="15">
      <c r="I220" s="485">
        <f>SUM(I213:I219)</f>
        <v>358.21950000000004</v>
      </c>
      <c r="J220" s="485">
        <f t="shared" ref="J220:M220" si="61">SUM(J213:J219)</f>
        <v>15.397000000000002</v>
      </c>
      <c r="K220" s="485">
        <f t="shared" si="61"/>
        <v>66.21159999999999</v>
      </c>
      <c r="L220" s="485">
        <f t="shared" si="61"/>
        <v>33.454680000000003</v>
      </c>
      <c r="M220" s="485">
        <f t="shared" si="61"/>
        <v>0</v>
      </c>
      <c r="N220" s="843">
        <v>30</v>
      </c>
      <c r="O220" s="485">
        <f>I220/$N220</f>
        <v>11.940650000000002</v>
      </c>
      <c r="P220" s="485">
        <f>J220/$N220</f>
        <v>0.51323333333333343</v>
      </c>
      <c r="Q220" s="485">
        <f>K220/$N220</f>
        <v>2.2070533333333331</v>
      </c>
      <c r="R220" s="485">
        <f>L220/$N220</f>
        <v>1.115156</v>
      </c>
      <c r="S220" s="485">
        <f>M220/$N220</f>
        <v>0</v>
      </c>
    </row>
    <row r="222" spans="1:19" ht="15">
      <c r="A222" s="483" t="s">
        <v>706</v>
      </c>
      <c r="B222" s="483"/>
      <c r="C222" s="483"/>
      <c r="D222" s="483"/>
      <c r="E222" s="483"/>
      <c r="F222" s="483"/>
      <c r="G222" s="483"/>
      <c r="H222" s="483"/>
      <c r="I222" s="485">
        <f>AVERAGE(I202,I211,I220)</f>
        <v>331.02883333333335</v>
      </c>
      <c r="J222" s="485">
        <f t="shared" ref="J222:M222" si="62">AVERAGE(J202,J211,J220)</f>
        <v>12.889699999999999</v>
      </c>
      <c r="K222" s="485">
        <f t="shared" si="62"/>
        <v>48.410599999999995</v>
      </c>
      <c r="L222" s="485">
        <f t="shared" si="62"/>
        <v>41.579626666666663</v>
      </c>
      <c r="M222" s="485">
        <f t="shared" si="62"/>
        <v>0</v>
      </c>
      <c r="N222" s="843"/>
      <c r="O222" s="485">
        <f>AVERAGE(O202,O211,O220)</f>
        <v>11.034294444444447</v>
      </c>
      <c r="P222" s="485">
        <f t="shared" ref="P222:S222" si="63">AVERAGE(P202,P211,P220)</f>
        <v>0.42965666666666663</v>
      </c>
      <c r="Q222" s="485">
        <f t="shared" si="63"/>
        <v>1.6136866666666665</v>
      </c>
      <c r="R222" s="485">
        <f t="shared" si="63"/>
        <v>1.3859875555555556</v>
      </c>
      <c r="S222" s="485">
        <f t="shared" si="63"/>
        <v>0</v>
      </c>
    </row>
    <row r="223" spans="1:19">
      <c r="S223" s="3" t="s">
        <v>558</v>
      </c>
    </row>
    <row r="225" spans="1:19">
      <c r="A225" s="483" t="str">
        <f>'Calcul ACV'!$C$48</f>
        <v>Toiture plate non isolée</v>
      </c>
      <c r="B225" s="1182" t="s">
        <v>707</v>
      </c>
      <c r="C225" s="483" t="s">
        <v>533</v>
      </c>
      <c r="D225" s="483" t="str">
        <f>VLOOKUP(F225,'Baumaterialien Matériaux'!$A$10:$AD$432,30,FALSE)</f>
        <v>Émulsion de bitume, 1 couche</v>
      </c>
      <c r="E225" s="483" t="str">
        <f>VLOOKUP(F225,'Baumaterialien Matériaux'!$A$10:$AD$432,6,FALSE)</f>
        <v>m2</v>
      </c>
      <c r="F225" s="845" t="s">
        <v>512</v>
      </c>
      <c r="G225" s="484">
        <v>1</v>
      </c>
      <c r="H225" s="483"/>
      <c r="I225" s="484">
        <f>$G225*VLOOKUP(F225,'Baumaterialien Matériaux'!$A$10:$AD$432,21,FALSE)</f>
        <v>1.84</v>
      </c>
      <c r="J225" s="484">
        <f>G225*VLOOKUP(F225,'Baumaterialien Matériaux'!$A$10:$AD$432,24,FALSE)</f>
        <v>1.4E-2</v>
      </c>
      <c r="K225" s="484">
        <f>G225*VLOOKUP(F225,'Baumaterialien Matériaux'!$A$10:$AD$432,26,FALSE)</f>
        <v>0.13500000000000001</v>
      </c>
      <c r="L225" s="484">
        <f>G225*VLOOKUP(F225,'Baumaterialien Matériaux'!$A$10:$AD$432,27,FALSE)</f>
        <v>4.6800000000000001E-2</v>
      </c>
      <c r="M225" s="484">
        <f>G225*VLOOKUP(F225,'Baumaterialien Matériaux'!$A$10:$AD$432,29,FALSE)</f>
        <v>0</v>
      </c>
      <c r="N225" s="1169"/>
      <c r="O225" s="1170"/>
      <c r="P225" s="1170"/>
      <c r="Q225" s="1170"/>
      <c r="R225" s="1171"/>
      <c r="S225" s="383"/>
    </row>
    <row r="226" spans="1:19">
      <c r="A226" s="483" t="str">
        <f>'Calcul ACV'!$C$48</f>
        <v>Toiture plate non isolée</v>
      </c>
      <c r="B226" s="1182"/>
      <c r="C226" s="483" t="s">
        <v>708</v>
      </c>
      <c r="D226" s="483" t="str">
        <f>VLOOKUP(F226,'Baumaterialien Matériaux'!$A$10:$AD$432,30,FALSE)</f>
        <v>Lé d'étanchéité bitumineux</v>
      </c>
      <c r="E226" s="483" t="str">
        <f>VLOOKUP(F226,'Baumaterialien Matériaux'!$A$10:$AD$432,6,FALSE)</f>
        <v>kg</v>
      </c>
      <c r="F226" s="845" t="s">
        <v>696</v>
      </c>
      <c r="G226" s="484">
        <f>2*5.2</f>
        <v>10.4</v>
      </c>
      <c r="H226" s="483"/>
      <c r="I226" s="484">
        <f>$G226*VLOOKUP(F226,'Baumaterialien Matériaux'!$A$10:$AD$432,21,FALSE)</f>
        <v>124.80000000000001</v>
      </c>
      <c r="J226" s="484">
        <f>G226*VLOOKUP(F226,'Baumaterialien Matériaux'!$A$10:$AD$432,24,FALSE)</f>
        <v>2.7872000000000003</v>
      </c>
      <c r="K226" s="484">
        <f>G226*VLOOKUP(F226,'Baumaterialien Matériaux'!$A$10:$AD$432,26,FALSE)</f>
        <v>10.504000000000001</v>
      </c>
      <c r="L226" s="484">
        <f>G226*VLOOKUP(F226,'Baumaterialien Matériaux'!$A$10:$AD$432,27,FALSE)</f>
        <v>24.232000000000003</v>
      </c>
      <c r="M226" s="484">
        <f>G226*VLOOKUP(F226,'Baumaterialien Matériaux'!$A$10:$AD$432,29,FALSE)</f>
        <v>0</v>
      </c>
      <c r="N226" s="1172"/>
      <c r="O226" s="1173"/>
      <c r="P226" s="1173"/>
      <c r="Q226" s="1173"/>
      <c r="R226" s="1174"/>
      <c r="S226" s="383"/>
    </row>
    <row r="227" spans="1:19">
      <c r="A227" s="483" t="str">
        <f>'Calcul ACV'!$C$48</f>
        <v>Toiture plate non isolée</v>
      </c>
      <c r="B227" s="1182"/>
      <c r="C227" s="483" t="s">
        <v>697</v>
      </c>
      <c r="D227" s="483" t="str">
        <f>VLOOKUP(F227,'Baumaterialien Matériaux'!$A$10:$AD$432,30,FALSE)</f>
        <v>Voile de polyéthylène (PE)</v>
      </c>
      <c r="E227" s="483" t="str">
        <f>VLOOKUP(F227,'Baumaterialien Matériaux'!$A$10:$AD$432,6,FALSE)</f>
        <v>kg</v>
      </c>
      <c r="F227" s="483" t="s">
        <v>528</v>
      </c>
      <c r="G227" s="484">
        <v>0.14000000000000001</v>
      </c>
      <c r="H227" s="483"/>
      <c r="I227" s="484">
        <f>$G227*VLOOKUP(F227,'Baumaterialien Matériaux'!$A$10:$AD$432,21,FALSE)</f>
        <v>3.5980000000000003</v>
      </c>
      <c r="J227" s="484">
        <f>G227*VLOOKUP(F227,'Baumaterialien Matériaux'!$A$10:$AD$432,24,FALSE)</f>
        <v>2.9400000000000003E-2</v>
      </c>
      <c r="K227" s="484">
        <f>G227*VLOOKUP(F227,'Baumaterialien Matériaux'!$A$10:$AD$432,26,FALSE)</f>
        <v>0.41440000000000005</v>
      </c>
      <c r="L227" s="484">
        <f>G227*VLOOKUP(F227,'Baumaterialien Matériaux'!$A$10:$AD$432,27,FALSE)</f>
        <v>0.37380000000000002</v>
      </c>
      <c r="M227" s="484">
        <f>G227*VLOOKUP(F227,'Baumaterialien Matériaux'!$A$10:$AD$432,29,FALSE)</f>
        <v>0</v>
      </c>
      <c r="N227" s="1172"/>
      <c r="O227" s="1173"/>
      <c r="P227" s="1173"/>
      <c r="Q227" s="1173"/>
      <c r="R227" s="1174"/>
      <c r="S227" s="383"/>
    </row>
    <row r="228" spans="1:19">
      <c r="A228" s="483" t="str">
        <f>'Calcul ACV'!$C$48</f>
        <v>Toiture plate non isolée</v>
      </c>
      <c r="B228" s="1182"/>
      <c r="C228" s="483" t="s">
        <v>529</v>
      </c>
      <c r="D228" s="483" t="str">
        <f>VLOOKUP(F228,'Baumaterialien Matériaux'!$A$10:$AD$432,30,FALSE)</f>
        <v>Gravier rond</v>
      </c>
      <c r="E228" s="483" t="str">
        <f>VLOOKUP(F228,'Baumaterialien Matériaux'!$A$10:$AD$432,6,FALSE)</f>
        <v>kg</v>
      </c>
      <c r="F228" s="853" t="s">
        <v>530</v>
      </c>
      <c r="G228" s="484">
        <f>1500*0.03</f>
        <v>45</v>
      </c>
      <c r="H228" s="483"/>
      <c r="I228" s="484">
        <f>$G228*VLOOKUP(F228,'Baumaterialien Matériaux'!$A$10:$AD$432,21,FALSE)</f>
        <v>0.70649999999999991</v>
      </c>
      <c r="J228" s="484">
        <f>G228*VLOOKUP(F228,'Baumaterialien Matériaux'!$A$10:$AD$432,24,FALSE)</f>
        <v>2.3759999999999999</v>
      </c>
      <c r="K228" s="484">
        <f>G228*VLOOKUP(F228,'Baumaterialien Matériaux'!$A$10:$AD$432,26,FALSE)</f>
        <v>0.1386</v>
      </c>
      <c r="L228" s="484">
        <f>G228*VLOOKUP(F228,'Baumaterialien Matériaux'!$A$10:$AD$432,27,FALSE)</f>
        <v>0.57600000000000007</v>
      </c>
      <c r="M228" s="484">
        <f>G228*VLOOKUP(F228,'Baumaterialien Matériaux'!$A$10:$AD$432,29,FALSE)</f>
        <v>0</v>
      </c>
      <c r="N228" s="1172"/>
      <c r="O228" s="1173"/>
      <c r="P228" s="1173"/>
      <c r="Q228" s="1173"/>
      <c r="R228" s="1174"/>
      <c r="S228" s="383"/>
    </row>
    <row r="229" spans="1:19">
      <c r="A229" s="483" t="str">
        <f>'Calcul ACV'!$C$48</f>
        <v>Toiture plate non isolée</v>
      </c>
      <c r="B229" s="1182"/>
      <c r="C229" s="483" t="s">
        <v>698</v>
      </c>
      <c r="D229" s="483" t="str">
        <f>VLOOKUP(F229,'Baumaterialien Matériaux'!$A$10:$AD$432,30,FALSE)</f>
        <v>Sable</v>
      </c>
      <c r="E229" s="483" t="str">
        <f>VLOOKUP(F229,'Baumaterialien Matériaux'!$A$10:$AD$432,6,FALSE)</f>
        <v>kg</v>
      </c>
      <c r="F229" s="845" t="s">
        <v>699</v>
      </c>
      <c r="G229" s="484">
        <f>0.07*1000</f>
        <v>70</v>
      </c>
      <c r="H229" s="483"/>
      <c r="I229" s="484">
        <f>$G229*VLOOKUP(F229,'Baumaterialien Matériaux'!$A$10:$AD$432,21,FALSE)</f>
        <v>1.099</v>
      </c>
      <c r="J229" s="484">
        <f>G229*VLOOKUP(F229,'Baumaterialien Matériaux'!$A$10:$AD$432,24,FALSE)</f>
        <v>3.6960000000000002</v>
      </c>
      <c r="K229" s="484">
        <f>G229*VLOOKUP(F229,'Baumaterialien Matériaux'!$A$10:$AD$432,26,FALSE)</f>
        <v>0.21559999999999999</v>
      </c>
      <c r="L229" s="484">
        <f>G229*VLOOKUP(F229,'Baumaterialien Matériaux'!$A$10:$AD$432,27,FALSE)</f>
        <v>0.89600000000000002</v>
      </c>
      <c r="M229" s="484">
        <f>G229*VLOOKUP(F229,'Baumaterialien Matériaux'!$A$10:$AD$432,29,FALSE)</f>
        <v>0</v>
      </c>
      <c r="N229" s="1175"/>
      <c r="O229" s="1176"/>
      <c r="P229" s="1176"/>
      <c r="Q229" s="1176"/>
      <c r="R229" s="1177"/>
      <c r="S229" s="383"/>
    </row>
    <row r="230" spans="1:19" ht="15">
      <c r="G230" s="208"/>
      <c r="I230" s="485">
        <f>SUM(I225:I229)</f>
        <v>132.04350000000002</v>
      </c>
      <c r="J230" s="485">
        <f t="shared" ref="J230:M230" si="64">SUM(J225:J229)</f>
        <v>8.9025999999999996</v>
      </c>
      <c r="K230" s="485">
        <f t="shared" si="64"/>
        <v>11.407600000000002</v>
      </c>
      <c r="L230" s="485">
        <f t="shared" si="64"/>
        <v>26.124600000000004</v>
      </c>
      <c r="M230" s="485">
        <f t="shared" si="64"/>
        <v>0</v>
      </c>
      <c r="N230" s="843">
        <v>30</v>
      </c>
      <c r="O230" s="485">
        <f>I230/$N230</f>
        <v>4.4014500000000005</v>
      </c>
      <c r="P230" s="485">
        <f>J230/$N230</f>
        <v>0.29675333333333331</v>
      </c>
      <c r="Q230" s="485">
        <f>K230/$N230</f>
        <v>0.38025333333333339</v>
      </c>
      <c r="R230" s="485">
        <f>L230/$N230</f>
        <v>0.87082000000000015</v>
      </c>
      <c r="S230" s="485">
        <f>M230/$N230</f>
        <v>0</v>
      </c>
    </row>
    <row r="231" spans="1:19">
      <c r="G231" s="208"/>
    </row>
    <row r="232" spans="1:19">
      <c r="G232" s="208"/>
      <c r="S232" s="3" t="s">
        <v>558</v>
      </c>
    </row>
    <row r="233" spans="1:19" ht="13.9" customHeight="1">
      <c r="A233" s="483" t="str">
        <f>'Calcul ACV'!$C$49</f>
        <v>Toiture inclinée isolée</v>
      </c>
      <c r="B233" s="1182" t="s">
        <v>709</v>
      </c>
      <c r="C233" s="483" t="s">
        <v>710</v>
      </c>
      <c r="D233" s="483" t="str">
        <f>VLOOKUP(F233,'Baumaterialien Matériaux'!$A$10:$AD$432,30,FALSE)</f>
        <v>Bois massif épicéa / sapin / mélèze, séché à l'air, brut</v>
      </c>
      <c r="E233" s="483" t="str">
        <f>VLOOKUP(F233,'Baumaterialien Matériaux'!$A$10:$AD$432,6,FALSE)</f>
        <v>kg</v>
      </c>
      <c r="F233" s="486" t="s">
        <v>573</v>
      </c>
      <c r="G233" s="484">
        <f>1/0.6*0.06*0.06+1/0.35*0.024*0.048*485</f>
        <v>1.6023428571428571</v>
      </c>
      <c r="H233" s="483"/>
      <c r="I233" s="484">
        <f>$G233*VLOOKUP(F233,'Baumaterialien Matériaux'!$A$10:$AD$432,21,FALSE)</f>
        <v>0.67458634285714281</v>
      </c>
      <c r="J233" s="484">
        <f>G233*VLOOKUP(F233,'Baumaterialien Matériaux'!$A$10:$AD$432,24,FALSE)</f>
        <v>0.14292898285714287</v>
      </c>
      <c r="K233" s="484">
        <f>G233*VLOOKUP(F233,'Baumaterialien Matériaux'!$A$10:$AD$432,26,FALSE)</f>
        <v>0.14565296571428571</v>
      </c>
      <c r="L233" s="484">
        <f>G233*VLOOKUP(F233,'Baumaterialien Matériaux'!$A$10:$AD$432,27,FALSE)</f>
        <v>6.2811839999999994E-2</v>
      </c>
      <c r="M233" s="484">
        <f>G233*VLOOKUP(F233,'Baumaterialien Matériaux'!$A$10:$AD$432,29,FALSE)</f>
        <v>2.4264811999999996</v>
      </c>
      <c r="N233" s="856">
        <v>40</v>
      </c>
      <c r="O233" s="856"/>
      <c r="P233" s="856"/>
      <c r="Q233" s="856"/>
      <c r="R233" s="856"/>
      <c r="S233" s="383"/>
    </row>
    <row r="234" spans="1:19">
      <c r="A234" s="483" t="str">
        <f>'Calcul ACV'!$C$49</f>
        <v>Toiture inclinée isolée</v>
      </c>
      <c r="B234" s="1182"/>
      <c r="C234" s="483" t="s">
        <v>711</v>
      </c>
      <c r="D234" s="483" t="str">
        <f>VLOOKUP(F234,'Baumaterialien Matériaux'!$A$10:$AD$432,30,FALSE)</f>
        <v>Voile de polyéthylène (PE)</v>
      </c>
      <c r="E234" s="483" t="str">
        <f>VLOOKUP(F234,'Baumaterialien Matériaux'!$A$10:$AD$432,6,FALSE)</f>
        <v>kg</v>
      </c>
      <c r="F234" s="483" t="s">
        <v>528</v>
      </c>
      <c r="G234" s="484">
        <v>0.14000000000000001</v>
      </c>
      <c r="H234" s="483"/>
      <c r="I234" s="484">
        <f>$G234*VLOOKUP(F234,'Baumaterialien Matériaux'!$A$10:$AD$432,21,FALSE)</f>
        <v>3.5980000000000003</v>
      </c>
      <c r="J234" s="484">
        <f>G234*VLOOKUP(F234,'Baumaterialien Matériaux'!$A$10:$AD$432,24,FALSE)</f>
        <v>2.9400000000000003E-2</v>
      </c>
      <c r="K234" s="484">
        <f>G234*VLOOKUP(F234,'Baumaterialien Matériaux'!$A$10:$AD$432,26,FALSE)</f>
        <v>0.41440000000000005</v>
      </c>
      <c r="L234" s="484">
        <f>G234*VLOOKUP(F234,'Baumaterialien Matériaux'!$A$10:$AD$432,27,FALSE)</f>
        <v>0.37380000000000002</v>
      </c>
      <c r="M234" s="484">
        <f>G234*VLOOKUP(F234,'Baumaterialien Matériaux'!$A$10:$AD$432,29,FALSE)</f>
        <v>0</v>
      </c>
      <c r="N234" s="856">
        <v>40</v>
      </c>
      <c r="O234" s="856"/>
      <c r="P234" s="856"/>
      <c r="Q234" s="856"/>
      <c r="R234" s="856"/>
      <c r="S234" s="383"/>
    </row>
    <row r="235" spans="1:19">
      <c r="A235" s="483" t="str">
        <f>'Calcul ACV'!$C$49</f>
        <v>Toiture inclinée isolée</v>
      </c>
      <c r="B235" s="1182"/>
      <c r="C235" s="483" t="s">
        <v>712</v>
      </c>
      <c r="D235" s="483" t="str">
        <f>VLOOKUP(F235,'Baumaterialien Matériaux'!$A$10:$AD$432,30,FALSE)</f>
        <v>Tuile en terre cuite</v>
      </c>
      <c r="E235" s="483" t="str">
        <f>VLOOKUP(F235,'Baumaterialien Matériaux'!$A$10:$AD$432,6,FALSE)</f>
        <v>kg</v>
      </c>
      <c r="F235" s="486" t="s">
        <v>651</v>
      </c>
      <c r="G235" s="484">
        <v>50</v>
      </c>
      <c r="H235" s="483"/>
      <c r="I235" s="484">
        <f>$G235*VLOOKUP(F235,'Baumaterialien Matériaux'!$A$10:$AD$432,21,FALSE)</f>
        <v>53</v>
      </c>
      <c r="J235" s="484">
        <f>G235*VLOOKUP(F235,'Baumaterialien Matériaux'!$A$10:$AD$432,24,FALSE)</f>
        <v>2.6100000000000003</v>
      </c>
      <c r="K235" s="484">
        <f>G235*VLOOKUP(F235,'Baumaterialien Matériaux'!$A$10:$AD$432,26,FALSE)</f>
        <v>18.649999999999999</v>
      </c>
      <c r="L235" s="484">
        <f>G235*VLOOKUP(F235,'Baumaterialien Matériaux'!$A$10:$AD$432,27,FALSE)</f>
        <v>0.64</v>
      </c>
      <c r="M235" s="484">
        <f>G235*VLOOKUP(F235,'Baumaterialien Matériaux'!$A$10:$AD$432,29,FALSE)</f>
        <v>0</v>
      </c>
      <c r="N235" s="856">
        <v>40</v>
      </c>
      <c r="O235" s="856"/>
      <c r="P235" s="856"/>
      <c r="Q235" s="856"/>
      <c r="R235" s="856"/>
      <c r="S235" s="383"/>
    </row>
    <row r="236" spans="1:19">
      <c r="A236" s="483" t="str">
        <f>'Calcul ACV'!$C$49</f>
        <v>Toiture inclinée isolée</v>
      </c>
      <c r="B236" s="1182"/>
      <c r="C236" s="483" t="s">
        <v>713</v>
      </c>
      <c r="D236" s="483" t="str">
        <f>VLOOKUP(F236,'Baumaterialien Matériaux'!$A$10:$AD$432,30,FALSE)</f>
        <v>Tôle d'acier, zinguée</v>
      </c>
      <c r="E236" s="483" t="str">
        <f>VLOOKUP(F236,'Baumaterialien Matériaux'!$A$10:$AD$432,6,FALSE)</f>
        <v>kg</v>
      </c>
      <c r="F236" s="486" t="s">
        <v>618</v>
      </c>
      <c r="G236" s="484">
        <f>2.2*3.14*0.0035^2*0.33*7850</f>
        <v>0.21921588150000007</v>
      </c>
      <c r="H236" s="483"/>
      <c r="I236" s="484">
        <f>$G236*VLOOKUP(F236,'Baumaterialien Matériaux'!$A$10:$AD$432,21,FALSE)</f>
        <v>3.4197677514000011</v>
      </c>
      <c r="J236" s="484">
        <f>G236*VLOOKUP(F236,'Baumaterialien Matériaux'!$A$10:$AD$432,24,FALSE)</f>
        <v>5.9845935649500024E-3</v>
      </c>
      <c r="K236" s="484">
        <f>G236*VLOOKUP(F236,'Baumaterialien Matériaux'!$A$10:$AD$432,26,FALSE)</f>
        <v>0.9842793079350004</v>
      </c>
      <c r="L236" s="484">
        <f>G236*VLOOKUP(F236,'Baumaterialien Matériaux'!$A$10:$AD$432,27,FALSE)</f>
        <v>1.5323190116850005E-3</v>
      </c>
      <c r="M236" s="484">
        <f>G236*VLOOKUP(F236,'Baumaterialien Matériaux'!$A$10:$AD$432,29,FALSE)</f>
        <v>0</v>
      </c>
      <c r="N236" s="856">
        <v>40</v>
      </c>
      <c r="O236" s="856"/>
      <c r="P236" s="856"/>
      <c r="Q236" s="856"/>
      <c r="R236" s="856"/>
      <c r="S236" s="383"/>
    </row>
    <row r="237" spans="1:19">
      <c r="A237" s="483" t="str">
        <f>'Calcul ACV'!$C$49</f>
        <v>Toiture inclinée isolée</v>
      </c>
      <c r="B237" s="1182"/>
      <c r="C237" s="865" t="s">
        <v>714</v>
      </c>
      <c r="D237" s="733" t="str">
        <f>VLOOKUP(F237,'Baumaterialien Matériaux'!$A$10:$AD$432,30,FALSE)</f>
        <v>Laine de roche</v>
      </c>
      <c r="E237" s="733" t="str">
        <f>VLOOKUP(F237,'Baumaterialien Matériaux'!$A$10:$AD$432,6,FALSE)</f>
        <v>kg</v>
      </c>
      <c r="F237" s="866" t="s">
        <v>106</v>
      </c>
      <c r="G237" s="834">
        <f>0.22*90</f>
        <v>19.8</v>
      </c>
      <c r="H237" s="483"/>
      <c r="I237" s="484">
        <f>$G237*VLOOKUP(F237,'Baumaterialien Matériaux'!$A$10:$AD$432,21,FALSE)</f>
        <v>85.536000000000016</v>
      </c>
      <c r="J237" s="484">
        <f>G237*VLOOKUP(F237,'Baumaterialien Matériaux'!$A$10:$AD$432,24,FALSE)</f>
        <v>2.6334000000000004</v>
      </c>
      <c r="K237" s="484">
        <f>G237*VLOOKUP(F237,'Baumaterialien Matériaux'!$A$10:$AD$432,26,FALSE)</f>
        <v>22.373999999999999</v>
      </c>
      <c r="L237" s="484">
        <f>G237*VLOOKUP(F237,'Baumaterialien Matériaux'!$A$10:$AD$432,27,FALSE)</f>
        <v>1.18008</v>
      </c>
      <c r="M237" s="484">
        <f>G237*VLOOKUP(F237,'Baumaterialien Matériaux'!$A$10:$AD$432,29,FALSE)</f>
        <v>0</v>
      </c>
      <c r="N237" s="856">
        <v>40</v>
      </c>
      <c r="O237" s="856"/>
      <c r="P237" s="856"/>
      <c r="Q237" s="856"/>
      <c r="R237" s="856"/>
      <c r="S237" s="383"/>
    </row>
    <row r="238" spans="1:19">
      <c r="A238" s="483" t="str">
        <f>'Calcul ACV'!$C$49</f>
        <v>Toiture inclinée isolée</v>
      </c>
      <c r="B238" s="1182"/>
      <c r="C238" s="483" t="s">
        <v>715</v>
      </c>
      <c r="D238" s="483" t="str">
        <f>VLOOKUP(F238,'Baumaterialien Matériaux'!$A$10:$AD$432,30,FALSE)</f>
        <v>Feuille de polyéthylène (PE)</v>
      </c>
      <c r="E238" s="483" t="str">
        <f>VLOOKUP(F238,'Baumaterialien Matériaux'!$A$10:$AD$432,6,FALSE)</f>
        <v>kg</v>
      </c>
      <c r="F238" s="486" t="s">
        <v>716</v>
      </c>
      <c r="G238" s="484">
        <v>0.18</v>
      </c>
      <c r="H238" s="483"/>
      <c r="I238" s="484">
        <f>$G238*VLOOKUP(F238,'Baumaterialien Matériaux'!$A$10:$AD$432,21,FALSE)</f>
        <v>4.4279999999999999</v>
      </c>
      <c r="J238" s="484">
        <f>G238*VLOOKUP(F238,'Baumaterialien Matériaux'!$A$10:$AD$432,24,FALSE)</f>
        <v>3.78E-2</v>
      </c>
      <c r="K238" s="484">
        <f>G238*VLOOKUP(F238,'Baumaterialien Matériaux'!$A$10:$AD$432,26,FALSE)</f>
        <v>0.495</v>
      </c>
      <c r="L238" s="484">
        <f>G238*VLOOKUP(F238,'Baumaterialien Matériaux'!$A$10:$AD$432,27,FALSE)</f>
        <v>0.48059999999999997</v>
      </c>
      <c r="M238" s="484">
        <f>G238*VLOOKUP(F238,'Baumaterialien Matériaux'!$A$10:$AD$432,29,FALSE)</f>
        <v>0</v>
      </c>
      <c r="N238" s="856">
        <v>40</v>
      </c>
      <c r="O238" s="856"/>
      <c r="P238" s="856"/>
      <c r="Q238" s="856"/>
      <c r="R238" s="856"/>
      <c r="S238" s="383"/>
    </row>
    <row r="239" spans="1:19" ht="15">
      <c r="G239" s="208"/>
      <c r="I239" s="485">
        <f>SUM(I233:I238)</f>
        <v>150.65635409425715</v>
      </c>
      <c r="J239" s="485">
        <f t="shared" ref="J239:M239" si="65">SUM(J233:J238)</f>
        <v>5.4595135764220935</v>
      </c>
      <c r="K239" s="485">
        <f t="shared" si="65"/>
        <v>43.06333227364928</v>
      </c>
      <c r="L239" s="485">
        <f t="shared" si="65"/>
        <v>2.7388241590116849</v>
      </c>
      <c r="M239" s="485">
        <f t="shared" si="65"/>
        <v>2.4264811999999996</v>
      </c>
      <c r="N239" s="843">
        <v>40</v>
      </c>
      <c r="O239" s="485">
        <f>I239/$N239</f>
        <v>3.7664088523564287</v>
      </c>
      <c r="P239" s="485">
        <f>J239/$N239</f>
        <v>0.13648783941055234</v>
      </c>
      <c r="Q239" s="485">
        <f>K239/$N239</f>
        <v>1.076583306841232</v>
      </c>
      <c r="R239" s="485">
        <f>L239/$N239</f>
        <v>6.8470603975292116E-2</v>
      </c>
      <c r="S239" s="485">
        <f>M239/$N239</f>
        <v>6.0662029999999992E-2</v>
      </c>
    </row>
    <row r="240" spans="1:19">
      <c r="G240" s="208"/>
      <c r="S240" s="3" t="s">
        <v>558</v>
      </c>
    </row>
    <row r="241" spans="1:19" ht="13.9" customHeight="1">
      <c r="A241" s="483" t="str">
        <f>'Calcul ACV'!$C$49</f>
        <v>Toiture inclinée isolée</v>
      </c>
      <c r="B241" s="1182" t="s">
        <v>717</v>
      </c>
      <c r="C241" s="483" t="s">
        <v>710</v>
      </c>
      <c r="D241" s="483" t="str">
        <f>VLOOKUP(F241,'Baumaterialien Matériaux'!$A$10:$AD$432,30,FALSE)</f>
        <v>Bois massif épicéa / sapin / mélèze, séché à l'air, brut</v>
      </c>
      <c r="E241" s="483" t="str">
        <f>VLOOKUP(F241,'Baumaterialien Matériaux'!$A$10:$AD$432,6,FALSE)</f>
        <v>kg</v>
      </c>
      <c r="F241" s="486" t="s">
        <v>573</v>
      </c>
      <c r="G241" s="484">
        <f>1/0.6*0.06*0.06+1/0.35*0.024*0.048*485</f>
        <v>1.6023428571428571</v>
      </c>
      <c r="H241" s="483"/>
      <c r="I241" s="484">
        <f>$G241*VLOOKUP(F241,'Baumaterialien Matériaux'!$A$10:$AD$432,21,FALSE)</f>
        <v>0.67458634285714281</v>
      </c>
      <c r="J241" s="484">
        <f>G241*VLOOKUP(F241,'Baumaterialien Matériaux'!$A$10:$AD$432,24,FALSE)</f>
        <v>0.14292898285714287</v>
      </c>
      <c r="K241" s="484">
        <f>G241*VLOOKUP(F241,'Baumaterialien Matériaux'!$A$10:$AD$432,26,FALSE)</f>
        <v>0.14565296571428571</v>
      </c>
      <c r="L241" s="484">
        <f>G241*VLOOKUP(F241,'Baumaterialien Matériaux'!$A$10:$AD$432,27,FALSE)</f>
        <v>6.2811839999999994E-2</v>
      </c>
      <c r="M241" s="484">
        <f>G241*VLOOKUP(F241,'Baumaterialien Matériaux'!$A$10:$AD$432,29,FALSE)</f>
        <v>2.4264811999999996</v>
      </c>
      <c r="N241" s="1172"/>
      <c r="O241" s="1173"/>
      <c r="P241" s="1173"/>
      <c r="Q241" s="1173"/>
      <c r="R241" s="1173"/>
      <c r="S241" s="383"/>
    </row>
    <row r="242" spans="1:19">
      <c r="A242" s="483" t="str">
        <f>'Calcul ACV'!$C$49</f>
        <v>Toiture inclinée isolée</v>
      </c>
      <c r="B242" s="1182"/>
      <c r="C242" s="483" t="s">
        <v>711</v>
      </c>
      <c r="D242" s="483" t="str">
        <f>VLOOKUP(F242,'Baumaterialien Matériaux'!$A$10:$AD$432,30,FALSE)</f>
        <v>Voile de polyéthylène (PE)</v>
      </c>
      <c r="E242" s="483" t="str">
        <f>VLOOKUP(F242,'Baumaterialien Matériaux'!$A$10:$AD$432,6,FALSE)</f>
        <v>kg</v>
      </c>
      <c r="F242" s="483" t="s">
        <v>528</v>
      </c>
      <c r="G242" s="484">
        <v>0.14000000000000001</v>
      </c>
      <c r="H242" s="483"/>
      <c r="I242" s="484">
        <f>$G242*VLOOKUP(F242,'Baumaterialien Matériaux'!$A$10:$AD$432,21,FALSE)</f>
        <v>3.5980000000000003</v>
      </c>
      <c r="J242" s="484">
        <f>G242*VLOOKUP(F242,'Baumaterialien Matériaux'!$A$10:$AD$432,24,FALSE)</f>
        <v>2.9400000000000003E-2</v>
      </c>
      <c r="K242" s="484">
        <f>G242*VLOOKUP(F242,'Baumaterialien Matériaux'!$A$10:$AD$432,26,FALSE)</f>
        <v>0.41440000000000005</v>
      </c>
      <c r="L242" s="484">
        <f>G242*VLOOKUP(F242,'Baumaterialien Matériaux'!$A$10:$AD$432,27,FALSE)</f>
        <v>0.37380000000000002</v>
      </c>
      <c r="M242" s="484">
        <f>G242*VLOOKUP(F242,'Baumaterialien Matériaux'!$A$10:$AD$432,29,FALSE)</f>
        <v>0</v>
      </c>
      <c r="N242" s="1172"/>
      <c r="O242" s="1173"/>
      <c r="P242" s="1173"/>
      <c r="Q242" s="1173"/>
      <c r="R242" s="1173"/>
      <c r="S242" s="383"/>
    </row>
    <row r="243" spans="1:19">
      <c r="A243" s="483" t="str">
        <f>'Calcul ACV'!$C$49</f>
        <v>Toiture inclinée isolée</v>
      </c>
      <c r="B243" s="1182"/>
      <c r="C243" s="483" t="s">
        <v>712</v>
      </c>
      <c r="D243" s="483" t="str">
        <f>VLOOKUP(F243,'Baumaterialien Matériaux'!$A$10:$AD$432,30,FALSE)</f>
        <v>Tuile en terre cuite</v>
      </c>
      <c r="E243" s="483" t="str">
        <f>VLOOKUP(F243,'Baumaterialien Matériaux'!$A$10:$AD$432,6,FALSE)</f>
        <v>kg</v>
      </c>
      <c r="F243" s="486" t="s">
        <v>651</v>
      </c>
      <c r="G243" s="484">
        <v>50</v>
      </c>
      <c r="H243" s="483"/>
      <c r="I243" s="484">
        <f>$G243*VLOOKUP(F243,'Baumaterialien Matériaux'!$A$10:$AD$432,21,FALSE)</f>
        <v>53</v>
      </c>
      <c r="J243" s="484">
        <f>G243*VLOOKUP(F243,'Baumaterialien Matériaux'!$A$10:$AD$432,24,FALSE)</f>
        <v>2.6100000000000003</v>
      </c>
      <c r="K243" s="484">
        <f>G243*VLOOKUP(F243,'Baumaterialien Matériaux'!$A$10:$AD$432,26,FALSE)</f>
        <v>18.649999999999999</v>
      </c>
      <c r="L243" s="484">
        <f>G243*VLOOKUP(F243,'Baumaterialien Matériaux'!$A$10:$AD$432,27,FALSE)</f>
        <v>0.64</v>
      </c>
      <c r="M243" s="484">
        <f>G243*VLOOKUP(F243,'Baumaterialien Matériaux'!$A$10:$AD$432,29,FALSE)</f>
        <v>0</v>
      </c>
      <c r="N243" s="1172"/>
      <c r="O243" s="1173"/>
      <c r="P243" s="1173"/>
      <c r="Q243" s="1173"/>
      <c r="R243" s="1173"/>
      <c r="S243" s="383"/>
    </row>
    <row r="244" spans="1:19">
      <c r="A244" s="483" t="str">
        <f>'Calcul ACV'!$C$49</f>
        <v>Toiture inclinée isolée</v>
      </c>
      <c r="B244" s="1182"/>
      <c r="C244" s="483" t="s">
        <v>713</v>
      </c>
      <c r="D244" s="483" t="str">
        <f>VLOOKUP(F244,'Baumaterialien Matériaux'!$A$10:$AD$432,30,FALSE)</f>
        <v>Tôle d'acier, zinguée</v>
      </c>
      <c r="E244" s="483" t="str">
        <f>VLOOKUP(F244,'Baumaterialien Matériaux'!$A$10:$AD$432,6,FALSE)</f>
        <v>kg</v>
      </c>
      <c r="F244" s="486" t="s">
        <v>618</v>
      </c>
      <c r="G244" s="484">
        <f>2.2*3.14*0.0035^2*0.33*7850</f>
        <v>0.21921588150000007</v>
      </c>
      <c r="H244" s="483"/>
      <c r="I244" s="484">
        <f>$G244*VLOOKUP(F244,'Baumaterialien Matériaux'!$A$10:$AD$432,21,FALSE)</f>
        <v>3.4197677514000011</v>
      </c>
      <c r="J244" s="484">
        <f>G244*VLOOKUP(F244,'Baumaterialien Matériaux'!$A$10:$AD$432,24,FALSE)</f>
        <v>5.9845935649500024E-3</v>
      </c>
      <c r="K244" s="484">
        <f>G244*VLOOKUP(F244,'Baumaterialien Matériaux'!$A$10:$AD$432,26,FALSE)</f>
        <v>0.9842793079350004</v>
      </c>
      <c r="L244" s="484">
        <f>G244*VLOOKUP(F244,'Baumaterialien Matériaux'!$A$10:$AD$432,27,FALSE)</f>
        <v>1.5323190116850005E-3</v>
      </c>
      <c r="M244" s="484">
        <f>G244*VLOOKUP(F244,'Baumaterialien Matériaux'!$A$10:$AD$432,29,FALSE)</f>
        <v>0</v>
      </c>
      <c r="N244" s="1172"/>
      <c r="O244" s="1173"/>
      <c r="P244" s="1173"/>
      <c r="Q244" s="1173"/>
      <c r="R244" s="1173"/>
      <c r="S244" s="383"/>
    </row>
    <row r="245" spans="1:19">
      <c r="A245" s="483" t="str">
        <f>'Calcul ACV'!$C$49</f>
        <v>Toiture inclinée isolée</v>
      </c>
      <c r="B245" s="1182"/>
      <c r="C245" s="863" t="s">
        <v>718</v>
      </c>
      <c r="D245" s="483" t="str">
        <f>VLOOKUP(F245,'Baumaterialien Matériaux'!$A$10:$AD$432,30,FALSE)</f>
        <v>Laine de verre</v>
      </c>
      <c r="E245" s="483" t="str">
        <f>VLOOKUP(F245,'Baumaterialien Matériaux'!$A$10:$AD$432,6,FALSE)</f>
        <v>kg</v>
      </c>
      <c r="F245" s="355" t="s">
        <v>130</v>
      </c>
      <c r="G245" s="484">
        <f>0.22*60</f>
        <v>13.2</v>
      </c>
      <c r="H245" s="483"/>
      <c r="I245" s="484">
        <f>$G245*VLOOKUP(F245,'Baumaterialien Matériaux'!$A$10:$AD$432,21,FALSE)</f>
        <v>70.355999999999995</v>
      </c>
      <c r="J245" s="484">
        <f>G245*VLOOKUP(F245,'Baumaterialien Matériaux'!$A$10:$AD$432,24,FALSE)</f>
        <v>1.7556</v>
      </c>
      <c r="K245" s="484">
        <f>G245*VLOOKUP(F245,'Baumaterialien Matériaux'!$A$10:$AD$432,26,FALSE)</f>
        <v>13.728</v>
      </c>
      <c r="L245" s="484">
        <f>G245*VLOOKUP(F245,'Baumaterialien Matériaux'!$A$10:$AD$432,27,FALSE)</f>
        <v>0.78671999999999997</v>
      </c>
      <c r="M245" s="484">
        <f>G245*VLOOKUP(F245,'Baumaterialien Matériaux'!$A$10:$AD$432,29,FALSE)</f>
        <v>0</v>
      </c>
      <c r="N245" s="1172"/>
      <c r="O245" s="1173"/>
      <c r="P245" s="1173"/>
      <c r="Q245" s="1173"/>
      <c r="R245" s="1173"/>
      <c r="S245" s="383"/>
    </row>
    <row r="246" spans="1:19">
      <c r="A246" s="483" t="str">
        <f>'Calcul ACV'!$C$49</f>
        <v>Toiture inclinée isolée</v>
      </c>
      <c r="B246" s="1182"/>
      <c r="C246" s="483" t="s">
        <v>715</v>
      </c>
      <c r="D246" s="483" t="str">
        <f>VLOOKUP(F246,'Baumaterialien Matériaux'!$A$10:$AD$432,30,FALSE)</f>
        <v>Feuille de polyéthylène (PE)</v>
      </c>
      <c r="E246" s="483" t="str">
        <f>VLOOKUP(F246,'Baumaterialien Matériaux'!$A$10:$AD$432,6,FALSE)</f>
        <v>kg</v>
      </c>
      <c r="F246" s="486" t="s">
        <v>716</v>
      </c>
      <c r="G246" s="484">
        <v>0.18</v>
      </c>
      <c r="H246" s="483"/>
      <c r="I246" s="484">
        <f>$G246*VLOOKUP(F246,'Baumaterialien Matériaux'!$A$10:$AD$432,21,FALSE)</f>
        <v>4.4279999999999999</v>
      </c>
      <c r="J246" s="484">
        <f>G246*VLOOKUP(F246,'Baumaterialien Matériaux'!$A$10:$AD$432,24,FALSE)</f>
        <v>3.78E-2</v>
      </c>
      <c r="K246" s="484">
        <f>G246*VLOOKUP(F246,'Baumaterialien Matériaux'!$A$10:$AD$432,26,FALSE)</f>
        <v>0.495</v>
      </c>
      <c r="L246" s="484">
        <f>G246*VLOOKUP(F246,'Baumaterialien Matériaux'!$A$10:$AD$432,27,FALSE)</f>
        <v>0.48059999999999997</v>
      </c>
      <c r="M246" s="484">
        <f>G246*VLOOKUP(F246,'Baumaterialien Matériaux'!$A$10:$AD$432,29,FALSE)</f>
        <v>0</v>
      </c>
      <c r="N246" s="1175"/>
      <c r="O246" s="1176"/>
      <c r="P246" s="1176"/>
      <c r="Q246" s="1176"/>
      <c r="R246" s="1176"/>
      <c r="S246" s="383"/>
    </row>
    <row r="247" spans="1:19" ht="15">
      <c r="I247" s="485">
        <f>SUM(I241:I246)</f>
        <v>135.47635409425715</v>
      </c>
      <c r="J247" s="485">
        <f t="shared" ref="J247" si="66">SUM(J241:J246)</f>
        <v>4.5817135764220929</v>
      </c>
      <c r="K247" s="485">
        <f t="shared" ref="K247" si="67">SUM(K241:K246)</f>
        <v>34.417332273649279</v>
      </c>
      <c r="L247" s="485">
        <f t="shared" ref="L247:M247" si="68">SUM(L241:L246)</f>
        <v>2.3454641590116849</v>
      </c>
      <c r="M247" s="485">
        <f t="shared" si="68"/>
        <v>2.4264811999999996</v>
      </c>
      <c r="N247" s="843">
        <v>40</v>
      </c>
      <c r="O247" s="485">
        <f>I247/$N247</f>
        <v>3.3869088523564286</v>
      </c>
      <c r="P247" s="485">
        <f>J247/$N247</f>
        <v>0.11454283941055232</v>
      </c>
      <c r="Q247" s="485">
        <f>K247/$N247</f>
        <v>0.86043330684123198</v>
      </c>
      <c r="R247" s="485">
        <f>L247/$N247</f>
        <v>5.863660397529212E-2</v>
      </c>
      <c r="S247" s="485">
        <f>M247/$N247</f>
        <v>6.0662029999999992E-2</v>
      </c>
    </row>
    <row r="249" spans="1:19" ht="15">
      <c r="A249" s="483" t="s">
        <v>719</v>
      </c>
      <c r="B249" s="483"/>
      <c r="C249" s="483"/>
      <c r="D249" s="483"/>
      <c r="E249" s="483"/>
      <c r="F249" s="483"/>
      <c r="G249" s="483"/>
      <c r="H249" s="483"/>
      <c r="I249" s="485">
        <f>AVERAGE(I239,I247)</f>
        <v>143.06635409425715</v>
      </c>
      <c r="J249" s="485">
        <f t="shared" ref="J249:M249" si="69">AVERAGE(J239,J247)</f>
        <v>5.0206135764220932</v>
      </c>
      <c r="K249" s="485">
        <f t="shared" si="69"/>
        <v>38.74033227364928</v>
      </c>
      <c r="L249" s="485">
        <f t="shared" si="69"/>
        <v>2.5421441590116851</v>
      </c>
      <c r="M249" s="485">
        <f t="shared" si="69"/>
        <v>2.4264811999999996</v>
      </c>
      <c r="N249" s="843"/>
      <c r="O249" s="485">
        <f>AVERAGE(O239,O247)</f>
        <v>3.5766588523564287</v>
      </c>
      <c r="P249" s="485">
        <f t="shared" ref="P249:S249" si="70">AVERAGE(P239,P247)</f>
        <v>0.12551533941055232</v>
      </c>
      <c r="Q249" s="485">
        <f t="shared" si="70"/>
        <v>0.96850830684123201</v>
      </c>
      <c r="R249" s="485">
        <f t="shared" si="70"/>
        <v>6.3553603975292111E-2</v>
      </c>
      <c r="S249" s="485">
        <f t="shared" si="70"/>
        <v>6.0662029999999992E-2</v>
      </c>
    </row>
    <row r="251" spans="1:19">
      <c r="S251" s="3" t="s">
        <v>558</v>
      </c>
    </row>
    <row r="252" spans="1:19">
      <c r="A252" s="483" t="str">
        <f>'Calcul ACV'!$C$50</f>
        <v>Toiture inclinée non isolée</v>
      </c>
      <c r="B252" s="1182" t="s">
        <v>398</v>
      </c>
      <c r="C252" s="483" t="s">
        <v>710</v>
      </c>
      <c r="D252" s="483" t="str">
        <f>VLOOKUP(F252,'Baumaterialien Matériaux'!$A$10:$AD$432,30,FALSE)</f>
        <v>Bois massif épicéa / sapin / mélèze, séché à l'air, brut</v>
      </c>
      <c r="E252" s="483" t="str">
        <f>VLOOKUP(F252,'Baumaterialien Matériaux'!$A$10:$AD$432,6,FALSE)</f>
        <v>kg</v>
      </c>
      <c r="F252" s="483" t="s">
        <v>573</v>
      </c>
      <c r="G252" s="484">
        <f>1/0.6*0.06*0.06+1/0.35*0.024*0.048*485</f>
        <v>1.6023428571428571</v>
      </c>
      <c r="H252" s="483"/>
      <c r="I252" s="484">
        <f>$G252*VLOOKUP(F252,'Baumaterialien Matériaux'!$A$10:$AD$432,21,FALSE)</f>
        <v>0.67458634285714281</v>
      </c>
      <c r="J252" s="484">
        <f>G252*VLOOKUP(F252,'Baumaterialien Matériaux'!$A$10:$AD$432,24,FALSE)</f>
        <v>0.14292898285714287</v>
      </c>
      <c r="K252" s="484">
        <f>G252*VLOOKUP(F252,'Baumaterialien Matériaux'!$A$10:$AD$432,26,FALSE)</f>
        <v>0.14565296571428571</v>
      </c>
      <c r="L252" s="484">
        <f>G252*VLOOKUP(F252,'Baumaterialien Matériaux'!$A$10:$AD$432,27,FALSE)</f>
        <v>6.2811839999999994E-2</v>
      </c>
      <c r="M252" s="484">
        <f>G252*VLOOKUP(F252,'Baumaterialien Matériaux'!$A$10:$AD$432,29,FALSE)</f>
        <v>2.4264811999999996</v>
      </c>
      <c r="N252" s="1184"/>
      <c r="O252" s="1184"/>
      <c r="P252" s="1184"/>
      <c r="Q252" s="1184"/>
      <c r="R252" s="1184"/>
      <c r="S252" s="383"/>
    </row>
    <row r="253" spans="1:19">
      <c r="A253" s="483" t="str">
        <f>'Calcul ACV'!$C$50</f>
        <v>Toiture inclinée non isolée</v>
      </c>
      <c r="B253" s="1182"/>
      <c r="C253" s="483" t="s">
        <v>711</v>
      </c>
      <c r="D253" s="483" t="str">
        <f>VLOOKUP(F253,'Baumaterialien Matériaux'!$A$10:$AD$432,30,FALSE)</f>
        <v>Voile de polyéthylène (PE)</v>
      </c>
      <c r="E253" s="483" t="str">
        <f>VLOOKUP(F253,'Baumaterialien Matériaux'!$A$10:$AD$432,6,FALSE)</f>
        <v>kg</v>
      </c>
      <c r="F253" s="486" t="s">
        <v>528</v>
      </c>
      <c r="G253" s="484">
        <v>0.14000000000000001</v>
      </c>
      <c r="H253" s="483"/>
      <c r="I253" s="484">
        <f>$G253*VLOOKUP(F253,'Baumaterialien Matériaux'!$A$10:$AD$432,21,FALSE)</f>
        <v>3.5980000000000003</v>
      </c>
      <c r="J253" s="484">
        <f>G253*VLOOKUP(F253,'Baumaterialien Matériaux'!$A$10:$AD$432,24,FALSE)</f>
        <v>2.9400000000000003E-2</v>
      </c>
      <c r="K253" s="484">
        <f>G253*VLOOKUP(F253,'Baumaterialien Matériaux'!$A$10:$AD$432,26,FALSE)</f>
        <v>0.41440000000000005</v>
      </c>
      <c r="L253" s="484">
        <f>G253*VLOOKUP(F253,'Baumaterialien Matériaux'!$A$10:$AD$432,27,FALSE)</f>
        <v>0.37380000000000002</v>
      </c>
      <c r="M253" s="484">
        <f>G253*VLOOKUP(F253,'Baumaterialien Matériaux'!$A$10:$AD$432,29,FALSE)</f>
        <v>0</v>
      </c>
      <c r="N253" s="1184"/>
      <c r="O253" s="1184"/>
      <c r="P253" s="1184"/>
      <c r="Q253" s="1184"/>
      <c r="R253" s="1184"/>
      <c r="S253" s="383"/>
    </row>
    <row r="254" spans="1:19">
      <c r="A254" s="483" t="str">
        <f>'Calcul ACV'!$C$50</f>
        <v>Toiture inclinée non isolée</v>
      </c>
      <c r="B254" s="1182"/>
      <c r="C254" s="483" t="s">
        <v>712</v>
      </c>
      <c r="D254" s="483" t="str">
        <f>VLOOKUP(F254,'Baumaterialien Matériaux'!$A$10:$AD$432,30,FALSE)</f>
        <v>Tuile en terre cuite</v>
      </c>
      <c r="E254" s="483" t="str">
        <f>VLOOKUP(F254,'Baumaterialien Matériaux'!$A$10:$AD$432,6,FALSE)</f>
        <v>kg</v>
      </c>
      <c r="F254" s="486" t="s">
        <v>651</v>
      </c>
      <c r="G254" s="484">
        <v>50</v>
      </c>
      <c r="H254" s="483"/>
      <c r="I254" s="484">
        <f>$G254*VLOOKUP(F254,'Baumaterialien Matériaux'!$A$10:$AD$432,21,FALSE)</f>
        <v>53</v>
      </c>
      <c r="J254" s="484">
        <f>G254*VLOOKUP(F254,'Baumaterialien Matériaux'!$A$10:$AD$432,24,FALSE)</f>
        <v>2.6100000000000003</v>
      </c>
      <c r="K254" s="484">
        <f>G254*VLOOKUP(F254,'Baumaterialien Matériaux'!$A$10:$AD$432,26,FALSE)</f>
        <v>18.649999999999999</v>
      </c>
      <c r="L254" s="484">
        <f>G254*VLOOKUP(F254,'Baumaterialien Matériaux'!$A$10:$AD$432,27,FALSE)</f>
        <v>0.64</v>
      </c>
      <c r="M254" s="484">
        <f>G254*VLOOKUP(F254,'Baumaterialien Matériaux'!$A$10:$AD$432,29,FALSE)</f>
        <v>0</v>
      </c>
      <c r="N254" s="1184"/>
      <c r="O254" s="1184"/>
      <c r="P254" s="1184"/>
      <c r="Q254" s="1184"/>
      <c r="R254" s="1184"/>
      <c r="S254" s="383"/>
    </row>
    <row r="255" spans="1:19">
      <c r="A255" s="483" t="str">
        <f>'Calcul ACV'!$C$50</f>
        <v>Toiture inclinée non isolée</v>
      </c>
      <c r="B255" s="1182"/>
      <c r="C255" s="483" t="s">
        <v>713</v>
      </c>
      <c r="D255" s="483" t="str">
        <f>VLOOKUP(F255,'Baumaterialien Matériaux'!$A$10:$AD$432,30,FALSE)</f>
        <v>Tôle d'acier, zinguée</v>
      </c>
      <c r="E255" s="483" t="str">
        <f>VLOOKUP(F255,'Baumaterialien Matériaux'!$A$10:$AD$432,6,FALSE)</f>
        <v>kg</v>
      </c>
      <c r="F255" s="486" t="s">
        <v>618</v>
      </c>
      <c r="G255" s="484">
        <f>2.2*3.14*0.0035^2*0.33*7850</f>
        <v>0.21921588150000007</v>
      </c>
      <c r="H255" s="483"/>
      <c r="I255" s="484">
        <f>$G255*VLOOKUP(F255,'Baumaterialien Matériaux'!$A$10:$AD$432,21,FALSE)</f>
        <v>3.4197677514000011</v>
      </c>
      <c r="J255" s="484">
        <f>G255*VLOOKUP(F255,'Baumaterialien Matériaux'!$A$10:$AD$432,24,FALSE)</f>
        <v>5.9845935649500024E-3</v>
      </c>
      <c r="K255" s="484">
        <f>G255*VLOOKUP(F255,'Baumaterialien Matériaux'!$A$10:$AD$432,26,FALSE)</f>
        <v>0.9842793079350004</v>
      </c>
      <c r="L255" s="484">
        <f>G255*VLOOKUP(F255,'Baumaterialien Matériaux'!$A$10:$AD$432,27,FALSE)</f>
        <v>1.5323190116850005E-3</v>
      </c>
      <c r="M255" s="484">
        <f>G255*VLOOKUP(F255,'Baumaterialien Matériaux'!$A$10:$AD$432,29,FALSE)</f>
        <v>0</v>
      </c>
      <c r="N255" s="1184"/>
      <c r="O255" s="1184"/>
      <c r="P255" s="1184"/>
      <c r="Q255" s="1184"/>
      <c r="R255" s="1184"/>
      <c r="S255" s="383"/>
    </row>
    <row r="256" spans="1:19" ht="15">
      <c r="I256" s="485">
        <f>SUM(I252:I255)</f>
        <v>60.692354094257148</v>
      </c>
      <c r="J256" s="485">
        <f t="shared" ref="J256:M256" si="71">SUM(J252:J255)</f>
        <v>2.7883135764220932</v>
      </c>
      <c r="K256" s="485">
        <f t="shared" si="71"/>
        <v>20.194332273649284</v>
      </c>
      <c r="L256" s="485">
        <f t="shared" si="71"/>
        <v>1.0781441590116849</v>
      </c>
      <c r="M256" s="485">
        <f t="shared" si="71"/>
        <v>2.4264811999999996</v>
      </c>
      <c r="N256" s="843">
        <v>40</v>
      </c>
      <c r="O256" s="485">
        <f>I256/$N256</f>
        <v>1.5173088523564287</v>
      </c>
      <c r="P256" s="485">
        <f>J256/$N256</f>
        <v>6.9707839410552336E-2</v>
      </c>
      <c r="Q256" s="485">
        <f>K256/$N256</f>
        <v>0.50485830684123212</v>
      </c>
      <c r="R256" s="485">
        <f>L256/$N256</f>
        <v>2.6953603975292124E-2</v>
      </c>
      <c r="S256" s="485">
        <f>M256/$N256</f>
        <v>6.0662029999999992E-2</v>
      </c>
    </row>
  </sheetData>
  <customSheetViews>
    <customSheetView guid="{B32447E2-AB5B-4CBB-881B-FF11349CA4D6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1"/>
    </customSheetView>
    <customSheetView guid="{9FA74287-E657-475B-BF4B-3C8C757714AE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2"/>
    </customSheetView>
  </customSheetViews>
  <mergeCells count="138">
    <mergeCell ref="S154:S156"/>
    <mergeCell ref="S157:S159"/>
    <mergeCell ref="S162:S164"/>
    <mergeCell ref="S165:S167"/>
    <mergeCell ref="S176:S177"/>
    <mergeCell ref="S178:S181"/>
    <mergeCell ref="S184:S186"/>
    <mergeCell ref="S187:S190"/>
    <mergeCell ref="N140:R142"/>
    <mergeCell ref="O154:O156"/>
    <mergeCell ref="P154:P156"/>
    <mergeCell ref="Q154:Q156"/>
    <mergeCell ref="R154:R156"/>
    <mergeCell ref="O157:O159"/>
    <mergeCell ref="P157:P159"/>
    <mergeCell ref="Q157:Q159"/>
    <mergeCell ref="O178:O181"/>
    <mergeCell ref="P178:P181"/>
    <mergeCell ref="R157:R159"/>
    <mergeCell ref="Q178:Q181"/>
    <mergeCell ref="R178:R181"/>
    <mergeCell ref="P176:P177"/>
    <mergeCell ref="Q176:Q177"/>
    <mergeCell ref="N162:N164"/>
    <mergeCell ref="R3:R5"/>
    <mergeCell ref="O6:O8"/>
    <mergeCell ref="S39:S41"/>
    <mergeCell ref="S42:S44"/>
    <mergeCell ref="B42:B44"/>
    <mergeCell ref="R6:R8"/>
    <mergeCell ref="O3:O5"/>
    <mergeCell ref="P3:P5"/>
    <mergeCell ref="S3:S5"/>
    <mergeCell ref="S6:S8"/>
    <mergeCell ref="S11:S12"/>
    <mergeCell ref="S13:S15"/>
    <mergeCell ref="S19:S22"/>
    <mergeCell ref="O11:O12"/>
    <mergeCell ref="P11:P12"/>
    <mergeCell ref="Q11:Q12"/>
    <mergeCell ref="R11:R12"/>
    <mergeCell ref="O13:O15"/>
    <mergeCell ref="P13:P15"/>
    <mergeCell ref="Q13:Q15"/>
    <mergeCell ref="R13:R15"/>
    <mergeCell ref="Q3:Q5"/>
    <mergeCell ref="B3:B5"/>
    <mergeCell ref="B11:B12"/>
    <mergeCell ref="B26:B28"/>
    <mergeCell ref="N131:R136"/>
    <mergeCell ref="N123:R128"/>
    <mergeCell ref="N86:R92"/>
    <mergeCell ref="N95:R99"/>
    <mergeCell ref="N105:R109"/>
    <mergeCell ref="N113:R117"/>
    <mergeCell ref="O19:O22"/>
    <mergeCell ref="P19:P22"/>
    <mergeCell ref="Q19:Q22"/>
    <mergeCell ref="R19:R22"/>
    <mergeCell ref="N49:R51"/>
    <mergeCell ref="N63:R69"/>
    <mergeCell ref="N26:R28"/>
    <mergeCell ref="N31:R33"/>
    <mergeCell ref="R39:R41"/>
    <mergeCell ref="B131:B136"/>
    <mergeCell ref="R42:R44"/>
    <mergeCell ref="B63:B69"/>
    <mergeCell ref="B54:B60"/>
    <mergeCell ref="B75:B82"/>
    <mergeCell ref="B72:G72"/>
    <mergeCell ref="B49:B51"/>
    <mergeCell ref="A140:A142"/>
    <mergeCell ref="B147:B149"/>
    <mergeCell ref="B95:B99"/>
    <mergeCell ref="B105:B109"/>
    <mergeCell ref="B113:B117"/>
    <mergeCell ref="B102:G102"/>
    <mergeCell ref="B123:B128"/>
    <mergeCell ref="P6:P8"/>
    <mergeCell ref="Q6:Q8"/>
    <mergeCell ref="O42:O44"/>
    <mergeCell ref="P42:P44"/>
    <mergeCell ref="Q42:Q44"/>
    <mergeCell ref="O39:O41"/>
    <mergeCell ref="P39:P41"/>
    <mergeCell ref="Q39:Q41"/>
    <mergeCell ref="B31:B33"/>
    <mergeCell ref="B6:B8"/>
    <mergeCell ref="B13:B15"/>
    <mergeCell ref="B19:B22"/>
    <mergeCell ref="B36:G36"/>
    <mergeCell ref="B120:G120"/>
    <mergeCell ref="B86:B92"/>
    <mergeCell ref="B39:B41"/>
    <mergeCell ref="B140:B142"/>
    <mergeCell ref="B252:B255"/>
    <mergeCell ref="B154:B156"/>
    <mergeCell ref="B162:B164"/>
    <mergeCell ref="B225:B229"/>
    <mergeCell ref="B233:B238"/>
    <mergeCell ref="B241:B246"/>
    <mergeCell ref="B204:B210"/>
    <mergeCell ref="B213:B219"/>
    <mergeCell ref="B165:B167"/>
    <mergeCell ref="B187:B190"/>
    <mergeCell ref="B157:B159"/>
    <mergeCell ref="B176:B177"/>
    <mergeCell ref="B184:B186"/>
    <mergeCell ref="B195:B201"/>
    <mergeCell ref="N165:N167"/>
    <mergeCell ref="O162:O164"/>
    <mergeCell ref="P162:P164"/>
    <mergeCell ref="Q162:Q164"/>
    <mergeCell ref="R162:R164"/>
    <mergeCell ref="O165:O167"/>
    <mergeCell ref="P165:P167"/>
    <mergeCell ref="Q165:Q167"/>
    <mergeCell ref="R165:R167"/>
    <mergeCell ref="N184:N186"/>
    <mergeCell ref="O184:O186"/>
    <mergeCell ref="P184:P186"/>
    <mergeCell ref="Q184:Q186"/>
    <mergeCell ref="R184:R186"/>
    <mergeCell ref="N170:R173"/>
    <mergeCell ref="B178:B181"/>
    <mergeCell ref="O176:O177"/>
    <mergeCell ref="B170:B173"/>
    <mergeCell ref="R176:R177"/>
    <mergeCell ref="N204:R210"/>
    <mergeCell ref="N213:R219"/>
    <mergeCell ref="N225:R229"/>
    <mergeCell ref="N241:R246"/>
    <mergeCell ref="N252:R255"/>
    <mergeCell ref="N187:N190"/>
    <mergeCell ref="O187:O190"/>
    <mergeCell ref="P187:P190"/>
    <mergeCell ref="Q187:Q190"/>
    <mergeCell ref="R187:R190"/>
  </mergeCells>
  <pageMargins left="0.7" right="0.7" top="0.75" bottom="0.75" header="0.3" footer="0.3"/>
  <pageSetup paperSize="9" orientation="portrait"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X131"/>
  <sheetViews>
    <sheetView zoomScale="85" zoomScaleNormal="85" workbookViewId="0">
      <pane ySplit="1" topLeftCell="A117" activePane="bottomLeft" state="frozen"/>
      <selection activeCell="F113" sqref="F113"/>
      <selection pane="bottomLeft" activeCell="G125" sqref="G125"/>
    </sheetView>
  </sheetViews>
  <sheetFormatPr baseColWidth="10" defaultColWidth="10.875" defaultRowHeight="14.25" outlineLevelCol="1"/>
  <cols>
    <col min="1" max="1" width="24.625" style="3" customWidth="1"/>
    <col min="2" max="2" width="47" style="3" customWidth="1"/>
    <col min="3" max="4" width="48.125" style="3" customWidth="1"/>
    <col min="5" max="5" width="13.25" style="3" customWidth="1"/>
    <col min="6" max="7" width="10.875" style="3"/>
    <col min="8" max="8" width="2.875" style="3" customWidth="1"/>
    <col min="9" max="10" width="0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3" ht="60">
      <c r="B1" s="1" t="s">
        <v>444</v>
      </c>
      <c r="C1" s="1" t="s">
        <v>445</v>
      </c>
      <c r="D1" s="1" t="s">
        <v>488</v>
      </c>
      <c r="E1" s="1" t="s">
        <v>489</v>
      </c>
      <c r="F1" s="1" t="s">
        <v>446</v>
      </c>
      <c r="G1" s="1" t="s">
        <v>447</v>
      </c>
      <c r="I1" s="207" t="s">
        <v>448</v>
      </c>
      <c r="J1" s="207" t="s">
        <v>449</v>
      </c>
      <c r="K1" s="207" t="s">
        <v>450</v>
      </c>
      <c r="L1" s="207" t="s">
        <v>451</v>
      </c>
      <c r="M1" s="378" t="s">
        <v>551</v>
      </c>
      <c r="N1" s="207" t="s">
        <v>452</v>
      </c>
      <c r="O1" s="207" t="s">
        <v>453</v>
      </c>
      <c r="P1" s="207" t="s">
        <v>454</v>
      </c>
      <c r="Q1" s="207" t="s">
        <v>455</v>
      </c>
      <c r="R1" s="207" t="s">
        <v>456</v>
      </c>
      <c r="S1" s="378" t="s">
        <v>552</v>
      </c>
    </row>
    <row r="2" spans="1:23" ht="17.25">
      <c r="A2" s="350" t="s">
        <v>720</v>
      </c>
      <c r="B2" s="350"/>
      <c r="C2" s="350"/>
      <c r="D2" s="350"/>
      <c r="E2" s="350"/>
      <c r="F2" s="350"/>
      <c r="G2" s="351" t="s">
        <v>554</v>
      </c>
      <c r="H2" s="350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3" ht="15">
      <c r="A3" s="1"/>
      <c r="B3" s="1"/>
      <c r="C3" s="1"/>
      <c r="D3" s="1"/>
      <c r="E3" s="1"/>
      <c r="F3" s="1"/>
      <c r="G3" s="207"/>
      <c r="H3" s="1"/>
      <c r="V3" s="3" t="s">
        <v>555</v>
      </c>
    </row>
    <row r="4" spans="1:23">
      <c r="A4" s="625" t="s">
        <v>721</v>
      </c>
      <c r="B4" s="1182" t="s">
        <v>556</v>
      </c>
      <c r="C4" s="483" t="s">
        <v>557</v>
      </c>
      <c r="D4" s="483" t="str">
        <f>VLOOKUP(F4,'Baumaterialien Matériaux'!$A$10:$AD$432,30,FALSE)</f>
        <v>Béton pour bâtiment (sans armature)</v>
      </c>
      <c r="E4" s="483" t="str">
        <f>VLOOKUP(F4,'Baumaterialien Matériaux'!$A$10:$AD$432,6,FALSE)</f>
        <v>kg</v>
      </c>
      <c r="F4" s="702">
        <v>1.0019999999999998</v>
      </c>
      <c r="G4" s="854">
        <f>(0.2-G5/7850)*2300</f>
        <v>454.2866242038217</v>
      </c>
      <c r="H4" s="483"/>
      <c r="I4" s="484">
        <f>$G4*VLOOKUP(F4,'Baumaterialien Matériaux'!$A$10:$AD$432,21,FALSE)</f>
        <v>56.331541401273888</v>
      </c>
      <c r="J4" s="484">
        <f>G4*VLOOKUP(F4,'Baumaterialien Matériaux'!$A$10:$AD$432,24,FALSE)</f>
        <v>23.441189808917201</v>
      </c>
      <c r="K4" s="484">
        <f>G4*VLOOKUP(F4,'Baumaterialien Matériaux'!$A$10:$AD$432,26,FALSE)</f>
        <v>40.340652229299366</v>
      </c>
      <c r="L4" s="484">
        <f>G4*VLOOKUP(F4,'Baumaterialien Matériaux'!$A$10:$AD$432,27,FALSE)</f>
        <v>5.7694401273885356</v>
      </c>
      <c r="M4" s="484">
        <f>G4*VLOOKUP(F4,'Baumaterialien Matériaux'!$A$10:$AD$432,29,FALSE)</f>
        <v>0</v>
      </c>
      <c r="N4" s="483">
        <v>60</v>
      </c>
      <c r="O4" s="1203">
        <f>SUM(I4:I6)/$N4</f>
        <v>2.7080756900212317</v>
      </c>
      <c r="P4" s="1203">
        <f>SUM(J4:J6)/$N4</f>
        <v>0.41445799681528672</v>
      </c>
      <c r="Q4" s="1203">
        <f>SUM(K4:K6)/$N4</f>
        <v>1.1923525371549895</v>
      </c>
      <c r="R4" s="1203">
        <f>SUM(L4:L6)/$N4</f>
        <v>0.1045348354564756</v>
      </c>
      <c r="S4" s="1203">
        <f>SUM(M4:M6)/$N4</f>
        <v>0</v>
      </c>
      <c r="V4" s="3">
        <v>4</v>
      </c>
      <c r="W4" s="3" t="e">
        <f ca="1">MATCH(BillQuantities!$E$24, INDIRECT("A"&amp;V4&amp;":A45"),0)</f>
        <v>#N/A</v>
      </c>
    </row>
    <row r="5" spans="1:23">
      <c r="A5" s="626"/>
      <c r="B5" s="1182"/>
      <c r="C5" s="483" t="s">
        <v>559</v>
      </c>
      <c r="D5" s="483" t="str">
        <f>VLOOKUP(F5,'Baumaterialien Matériaux'!$A$10:$AD$432,30,FALSE)</f>
        <v>Acier d'armature</v>
      </c>
      <c r="E5" s="483" t="str">
        <f>VLOOKUP(F5,'Baumaterialien Matériaux'!$A$10:$AD$432,6,FALSE)</f>
        <v>kg</v>
      </c>
      <c r="F5" s="702" t="s">
        <v>497</v>
      </c>
      <c r="G5" s="854">
        <f>97.5*0.2</f>
        <v>19.5</v>
      </c>
      <c r="H5" s="483"/>
      <c r="I5" s="484">
        <f>$G5*VLOOKUP(F5,'Baumaterialien Matériaux'!$A$10:$AD$432,21,FALSE)</f>
        <v>96.330000000000013</v>
      </c>
      <c r="J5" s="484">
        <f>G5*VLOOKUP(F5,'Baumaterialien Matériaux'!$A$10:$AD$432,24,FALSE)</f>
        <v>0.99059999999999993</v>
      </c>
      <c r="K5" s="484">
        <f>G5*VLOOKUP(F5,'Baumaterialien Matériaux'!$A$10:$AD$432,26,FALSE)</f>
        <v>29.25</v>
      </c>
      <c r="L5" s="484">
        <f>G5*VLOOKUP(F5,'Baumaterialien Matériaux'!$A$10:$AD$432,27,FALSE)</f>
        <v>0.24179999999999999</v>
      </c>
      <c r="M5" s="484">
        <f>G5*VLOOKUP(F5,'Baumaterialien Matériaux'!$A$10:$AD$432,29,FALSE)</f>
        <v>0</v>
      </c>
      <c r="N5" s="483">
        <v>60</v>
      </c>
      <c r="O5" s="1203"/>
      <c r="P5" s="1203"/>
      <c r="Q5" s="1203"/>
      <c r="R5" s="1203"/>
      <c r="S5" s="1203"/>
      <c r="V5" s="3" t="e">
        <f ca="1">W4+V4</f>
        <v>#N/A</v>
      </c>
      <c r="W5" s="3" t="e">
        <f ca="1">MATCH(BillQuantities!$E$14, INDIRECT("A"&amp;'Enveloppe du bâtiment hors terr'!T5 &amp;":A45"),0)+W4-1</f>
        <v>#REF!</v>
      </c>
    </row>
    <row r="6" spans="1:23">
      <c r="A6" s="626"/>
      <c r="B6" s="1182"/>
      <c r="C6" s="483" t="s">
        <v>560</v>
      </c>
      <c r="D6" s="483" t="str">
        <f>VLOOKUP(F6,'Baumaterialien Matériaux'!$A$10:$AD$432,30,FALSE)</f>
        <v>Bois massif 3 et 5 plis</v>
      </c>
      <c r="E6" s="483" t="str">
        <f>VLOOKUP(F6,'Baumaterialien Matériaux'!$A$10:$AD$432,6,FALSE)</f>
        <v>kg</v>
      </c>
      <c r="F6" s="483" t="s">
        <v>510</v>
      </c>
      <c r="G6" s="484">
        <f>2/5*0.025*470</f>
        <v>4.7000000000000011</v>
      </c>
      <c r="H6" s="483"/>
      <c r="I6" s="484">
        <f>$G6*VLOOKUP(F6,'Baumaterialien Matériaux'!$A$10:$AD$432,21,FALSE)</f>
        <v>9.8230000000000022</v>
      </c>
      <c r="J6" s="484">
        <f>G6*VLOOKUP(F6,'Baumaterialien Matériaux'!$A$10:$AD$432,24,FALSE)</f>
        <v>0.43569000000000013</v>
      </c>
      <c r="K6" s="484">
        <f>G6*VLOOKUP(F6,'Baumaterialien Matériaux'!$A$10:$AD$432,26,FALSE)</f>
        <v>1.9505000000000003</v>
      </c>
      <c r="L6" s="484">
        <f>G6*VLOOKUP(F6,'Baumaterialien Matériaux'!$A$10:$AD$432,27,FALSE)</f>
        <v>0.26085000000000008</v>
      </c>
      <c r="M6" s="484"/>
      <c r="N6" s="483">
        <v>60</v>
      </c>
      <c r="O6" s="1203"/>
      <c r="P6" s="1203"/>
      <c r="Q6" s="1203"/>
      <c r="R6" s="1203"/>
      <c r="S6" s="1203"/>
      <c r="V6" s="3" t="e">
        <f ca="1">W5+V5-W4</f>
        <v>#REF!</v>
      </c>
      <c r="W6" s="3" t="e">
        <f ca="1">MATCH(BillQuantities!$E$14, INDIRECT("A"&amp;'Enveloppe du bâtiment hors terr'!T6 &amp;":A45"),0)+W5-1</f>
        <v>#REF!</v>
      </c>
    </row>
    <row r="7" spans="1:23">
      <c r="A7" s="626"/>
      <c r="B7" s="1182" t="s">
        <v>722</v>
      </c>
      <c r="C7" s="483" t="s">
        <v>562</v>
      </c>
      <c r="D7" s="483" t="str">
        <f>VLOOKUP(F7,'Baumaterialien Matériaux'!$A$10:$AD$432,30,FALSE)</f>
        <v>Enduit en plâtre et en ciment</v>
      </c>
      <c r="E7" s="483" t="str">
        <f>VLOOKUP(F7,'Baumaterialien Matériaux'!$A$10:$AD$432,6,FALSE)</f>
        <v>kg</v>
      </c>
      <c r="F7" s="487" t="s">
        <v>563</v>
      </c>
      <c r="G7" s="484">
        <f>2*18</f>
        <v>36</v>
      </c>
      <c r="H7" s="483"/>
      <c r="I7" s="484">
        <f>$G7*VLOOKUP(F7,'Baumaterialien Matériaux'!$A$10:$AD$432,21,FALSE)</f>
        <v>23.868000000000002</v>
      </c>
      <c r="J7" s="484">
        <f>G7*VLOOKUP(F7,'Baumaterialien Matériaux'!$A$10:$AD$432,24,FALSE)</f>
        <v>1.8971999999999998</v>
      </c>
      <c r="K7" s="484">
        <f>G7*VLOOKUP(F7,'Baumaterialien Matériaux'!$A$10:$AD$432,26,FALSE)</f>
        <v>9.0359999999999996</v>
      </c>
      <c r="L7" s="484">
        <f>G7*VLOOKUP(F7,'Baumaterialien Matériaux'!$A$10:$AD$432,27,FALSE)</f>
        <v>0.46439999999999998</v>
      </c>
      <c r="M7" s="484">
        <f>G7*VLOOKUP(F7,'Baumaterialien Matériaux'!$A$10:$AD$432,29,FALSE)</f>
        <v>0</v>
      </c>
      <c r="N7" s="483">
        <v>30</v>
      </c>
      <c r="O7" s="1203">
        <f>SUM(I7:I9)/$N7</f>
        <v>1.2188000000000003</v>
      </c>
      <c r="P7" s="1203">
        <f>SUM(J7:J9)/$N7</f>
        <v>7.6656666666666651E-2</v>
      </c>
      <c r="Q7" s="1203">
        <f>SUM(K7:K9)/$N7</f>
        <v>0.37646666666666662</v>
      </c>
      <c r="R7" s="1203">
        <f>SUM(L7:L9)/$N7</f>
        <v>2.2236666666666668E-2</v>
      </c>
      <c r="S7" s="1203">
        <f>SUM(M7:M9)/$N7</f>
        <v>0</v>
      </c>
      <c r="V7" s="3" t="e">
        <f ca="1">W6+V6-W5</f>
        <v>#REF!</v>
      </c>
      <c r="W7" s="3" t="e">
        <f ca="1">MATCH(BillQuantities!$E$14, INDIRECT("A"&amp;'Enveloppe du bâtiment hors terr'!T7 &amp;":A45"),0)+W6-1</f>
        <v>#REF!</v>
      </c>
    </row>
    <row r="8" spans="1:23">
      <c r="A8" s="626"/>
      <c r="B8" s="1182"/>
      <c r="C8" s="483" t="s">
        <v>564</v>
      </c>
      <c r="D8" s="483" t="str">
        <f>VLOOKUP(F8,'Baumaterialien Matériaux'!$A$10:$AD$432,30,FALSE)</f>
        <v>Enduit minéral</v>
      </c>
      <c r="E8" s="483" t="str">
        <f>VLOOKUP(F8,'Baumaterialien Matériaux'!$A$10:$AD$432,6,FALSE)</f>
        <v>kg</v>
      </c>
      <c r="F8" s="486">
        <v>4.0010000000000003</v>
      </c>
      <c r="G8" s="484">
        <f>2*3.5</f>
        <v>7</v>
      </c>
      <c r="H8" s="483"/>
      <c r="I8" s="484">
        <f>$G8*VLOOKUP(F8,'Baumaterialien Matériaux'!$A$10:$AD$432,21,FALSE)</f>
        <v>4.3959999999999999</v>
      </c>
      <c r="J8" s="484">
        <f>G8*VLOOKUP(F8,'Baumaterialien Matériaux'!$A$10:$AD$432,24,FALSE)</f>
        <v>0.36890000000000001</v>
      </c>
      <c r="K8" s="484">
        <f>G8*VLOOKUP(F8,'Baumaterialien Matériaux'!$A$10:$AD$432,26,FALSE)</f>
        <v>0.96600000000000008</v>
      </c>
      <c r="L8" s="484">
        <f>G8*VLOOKUP(F8,'Baumaterialien Matériaux'!$A$10:$AD$432,27,FALSE)</f>
        <v>9.0300000000000005E-2</v>
      </c>
      <c r="M8" s="484">
        <f>G8*VLOOKUP(F8,'Baumaterialien Matériaux'!$A$10:$AD$432,29,FALSE)</f>
        <v>0</v>
      </c>
      <c r="N8" s="483">
        <v>30</v>
      </c>
      <c r="O8" s="1203"/>
      <c r="P8" s="1203"/>
      <c r="Q8" s="1203"/>
      <c r="R8" s="1203"/>
      <c r="S8" s="1203"/>
      <c r="V8" s="3" t="e">
        <f ca="1">W7+V7-W6</f>
        <v>#REF!</v>
      </c>
      <c r="W8" s="3" t="e">
        <f ca="1">MATCH(BillQuantities!$E$14, INDIRECT("A"&amp;'Enveloppe du bâtiment hors terr'!T8 &amp;":A45"),0)+W7-1</f>
        <v>#REF!</v>
      </c>
    </row>
    <row r="9" spans="1:23">
      <c r="A9" s="626"/>
      <c r="B9" s="1182"/>
      <c r="C9" s="483" t="s">
        <v>565</v>
      </c>
      <c r="D9" s="483" t="str">
        <f>VLOOKUP(F9,'Baumaterialien Matériaux'!$A$10:$AD$432,30,FALSE)</f>
        <v>Enduit, diluable à l'eau, 2 couches</v>
      </c>
      <c r="E9" s="483" t="str">
        <f>VLOOKUP(F9,'Baumaterialien Matériaux'!$A$10:$AD$432,6,FALSE)</f>
        <v>m2</v>
      </c>
      <c r="F9" s="488" t="s">
        <v>566</v>
      </c>
      <c r="G9" s="484">
        <f>2*1</f>
        <v>2</v>
      </c>
      <c r="H9" s="483"/>
      <c r="I9" s="484">
        <f>$G9*VLOOKUP(F9,'Baumaterialien Matériaux'!$A$10:$AD$432,21,FALSE)</f>
        <v>8.3000000000000007</v>
      </c>
      <c r="J9" s="484">
        <f>G9*VLOOKUP(F9,'Baumaterialien Matériaux'!$A$10:$AD$432,24,FALSE)</f>
        <v>3.3599999999999998E-2</v>
      </c>
      <c r="K9" s="484">
        <f>G9*VLOOKUP(F9,'Baumaterialien Matériaux'!$A$10:$AD$432,26,FALSE)</f>
        <v>1.292</v>
      </c>
      <c r="L9" s="484">
        <f>G9*VLOOKUP(F9,'Baumaterialien Matériaux'!$A$10:$AD$432,27,FALSE)</f>
        <v>0.1124</v>
      </c>
      <c r="M9" s="484">
        <f>G9*VLOOKUP(F9,'Baumaterialien Matériaux'!$A$10:$AD$432,29,FALSE)</f>
        <v>0</v>
      </c>
      <c r="N9" s="483">
        <v>30</v>
      </c>
      <c r="O9" s="1203"/>
      <c r="P9" s="1203"/>
      <c r="Q9" s="1203"/>
      <c r="R9" s="1203"/>
      <c r="S9" s="1203"/>
      <c r="V9" s="3" t="e">
        <f ca="1">W8+V8-W7</f>
        <v>#REF!</v>
      </c>
      <c r="W9" s="3" t="e">
        <f ca="1">MATCH(BillQuantities!$E$14, INDIRECT("A"&amp;'Enveloppe du bâtiment hors terr'!T9 &amp;":A45"),0)+W8-1</f>
        <v>#REF!</v>
      </c>
    </row>
    <row r="10" spans="1:23" ht="15">
      <c r="G10" s="2"/>
      <c r="I10" s="485">
        <f>SUM(I4:I9)</f>
        <v>199.04854140127389</v>
      </c>
      <c r="J10" s="485">
        <f t="shared" ref="J10:M10" si="0">SUM(J4:J9)</f>
        <v>27.167179808917201</v>
      </c>
      <c r="K10" s="485">
        <f t="shared" si="0"/>
        <v>82.835152229299368</v>
      </c>
      <c r="L10" s="485">
        <f t="shared" si="0"/>
        <v>6.9391901273885361</v>
      </c>
      <c r="M10" s="485">
        <f t="shared" si="0"/>
        <v>0</v>
      </c>
      <c r="N10" s="843"/>
      <c r="O10" s="855">
        <f>SUM(O4:O9)</f>
        <v>3.926875690021232</v>
      </c>
      <c r="P10" s="855">
        <f t="shared" ref="P10:R10" si="1">SUM(P4:P9)</f>
        <v>0.49111466348195337</v>
      </c>
      <c r="Q10" s="855">
        <f t="shared" si="1"/>
        <v>1.568819203821656</v>
      </c>
      <c r="R10" s="855">
        <f t="shared" si="1"/>
        <v>0.12677150212314225</v>
      </c>
      <c r="S10" s="855">
        <f t="shared" ref="S10" si="2">SUM(S4:S9)</f>
        <v>0</v>
      </c>
    </row>
    <row r="11" spans="1:23" ht="15">
      <c r="A11" s="1"/>
      <c r="B11" s="1"/>
      <c r="C11" s="1"/>
      <c r="D11" s="1"/>
      <c r="E11" s="1"/>
      <c r="F11" s="1"/>
      <c r="G11" s="207"/>
      <c r="H11" s="1"/>
    </row>
    <row r="12" spans="1:23" ht="13.9" customHeight="1">
      <c r="A12" s="482" t="s">
        <v>723</v>
      </c>
      <c r="B12" s="1207" t="s">
        <v>724</v>
      </c>
      <c r="C12" s="483" t="s">
        <v>725</v>
      </c>
      <c r="D12" s="483"/>
      <c r="E12" s="483"/>
      <c r="F12" s="483" t="s">
        <v>569</v>
      </c>
      <c r="G12" s="484">
        <f>16.7*7.7</f>
        <v>128.59</v>
      </c>
      <c r="H12" s="483"/>
      <c r="I12" s="484">
        <f>$G12*VLOOKUP(F12,'Baumaterialien Matériaux'!$A$10:$AD$432,21,FALSE)</f>
        <v>94.513649999999998</v>
      </c>
      <c r="J12" s="484">
        <f>G12*VLOOKUP(F12,'Baumaterialien Matériaux'!$A$10:$AD$432,24,FALSE)</f>
        <v>6.8024110000000002</v>
      </c>
      <c r="K12" s="484">
        <f>G12*VLOOKUP(F12,'Baumaterialien Matériaux'!$A$10:$AD$432,26,FALSE)</f>
        <v>32.661860000000004</v>
      </c>
      <c r="L12" s="484">
        <f>G12*VLOOKUP(F12,'Baumaterialien Matériaux'!$A$10:$AD$432,27,FALSE)</f>
        <v>1.6459520000000001</v>
      </c>
      <c r="M12" s="484">
        <f>G12*VLOOKUP(F12,'Baumaterialien Matériaux'!$A$10:$AD$432,29,FALSE)</f>
        <v>0</v>
      </c>
      <c r="N12" s="1198">
        <v>60</v>
      </c>
      <c r="O12" s="1203">
        <f>SUM(I12:I13)/$N12</f>
        <v>2.0086675000000001</v>
      </c>
      <c r="P12" s="1203">
        <f>SUM(J12:J13)/$N12</f>
        <v>0.15131751666666665</v>
      </c>
      <c r="Q12" s="1203">
        <f>SUM(K12:K13)/$N12</f>
        <v>0.72364433333333333</v>
      </c>
      <c r="R12" s="1203">
        <f>SUM(L12:L13)/$N12</f>
        <v>3.6720533333333333E-2</v>
      </c>
      <c r="S12" s="1203">
        <f>SUM(M12:M13)/$N12</f>
        <v>0</v>
      </c>
    </row>
    <row r="13" spans="1:23">
      <c r="A13" s="482"/>
      <c r="B13" s="1208"/>
      <c r="C13" s="483" t="s">
        <v>570</v>
      </c>
      <c r="D13" s="483"/>
      <c r="E13" s="483"/>
      <c r="F13" s="486">
        <v>4.0090000000000003</v>
      </c>
      <c r="G13" s="484">
        <f>27*1.6</f>
        <v>43.2</v>
      </c>
      <c r="H13" s="483"/>
      <c r="I13" s="484">
        <f>$G13*VLOOKUP(F13,'Baumaterialien Matériaux'!$A$10:$AD$432,21,FALSE)</f>
        <v>26.006399999999999</v>
      </c>
      <c r="J13" s="484">
        <f>G13*VLOOKUP(F13,'Baumaterialien Matériaux'!$A$10:$AD$432,24,FALSE)</f>
        <v>2.27664</v>
      </c>
      <c r="K13" s="484">
        <f>G13*VLOOKUP(F13,'Baumaterialien Matériaux'!$A$10:$AD$432,26,FALSE)</f>
        <v>10.7568</v>
      </c>
      <c r="L13" s="484">
        <f>G13*VLOOKUP(F13,'Baumaterialien Matériaux'!$A$10:$AD$432,27,FALSE)</f>
        <v>0.55728</v>
      </c>
      <c r="M13" s="484">
        <f>G13*VLOOKUP(F13,'Baumaterialien Matériaux'!$A$10:$AD$432,29,FALSE)</f>
        <v>0</v>
      </c>
      <c r="N13" s="1198"/>
      <c r="O13" s="1203"/>
      <c r="P13" s="1203"/>
      <c r="Q13" s="1203"/>
      <c r="R13" s="1203"/>
      <c r="S13" s="1203"/>
    </row>
    <row r="14" spans="1:23">
      <c r="A14" s="482"/>
      <c r="B14" s="1182" t="s">
        <v>722</v>
      </c>
      <c r="C14" s="483" t="s">
        <v>562</v>
      </c>
      <c r="D14" s="483"/>
      <c r="E14" s="483"/>
      <c r="F14" s="487" t="s">
        <v>563</v>
      </c>
      <c r="G14" s="484">
        <f>2*18</f>
        <v>36</v>
      </c>
      <c r="H14" s="483"/>
      <c r="I14" s="484">
        <f>$G14*VLOOKUP(F14,'Baumaterialien Matériaux'!$A$10:$AD$432,21,FALSE)</f>
        <v>23.868000000000002</v>
      </c>
      <c r="J14" s="484">
        <f>G14*VLOOKUP(F14,'Baumaterialien Matériaux'!$A$10:$AD$432,24,FALSE)</f>
        <v>1.8971999999999998</v>
      </c>
      <c r="K14" s="484">
        <f>G14*VLOOKUP(F14,'Baumaterialien Matériaux'!$A$10:$AD$432,26,FALSE)</f>
        <v>9.0359999999999996</v>
      </c>
      <c r="L14" s="484">
        <f>G14*VLOOKUP(F14,'Baumaterialien Matériaux'!$A$10:$AD$432,27,FALSE)</f>
        <v>0.46439999999999998</v>
      </c>
      <c r="M14" s="484">
        <f>G14*VLOOKUP(F14,'Baumaterialien Matériaux'!$A$10:$AD$432,29,FALSE)</f>
        <v>0</v>
      </c>
      <c r="N14" s="1198">
        <v>30</v>
      </c>
      <c r="O14" s="1203">
        <f>SUM(I14:I16)/$N14</f>
        <v>1.2188000000000003</v>
      </c>
      <c r="P14" s="1203">
        <f t="shared" ref="P14" si="3">SUM(J14:J16)/$N14</f>
        <v>7.6656666666666651E-2</v>
      </c>
      <c r="Q14" s="1203">
        <f t="shared" ref="Q14" si="4">SUM(K14:K16)/$N14</f>
        <v>0.37646666666666662</v>
      </c>
      <c r="R14" s="1203">
        <f t="shared" ref="R14:S14" si="5">SUM(L14:L16)/$N14</f>
        <v>2.2236666666666668E-2</v>
      </c>
      <c r="S14" s="1203">
        <f t="shared" si="5"/>
        <v>0</v>
      </c>
    </row>
    <row r="15" spans="1:23">
      <c r="A15" s="482"/>
      <c r="B15" s="1182"/>
      <c r="C15" s="483" t="s">
        <v>564</v>
      </c>
      <c r="D15" s="483"/>
      <c r="E15" s="483"/>
      <c r="F15" s="486">
        <v>4.0010000000000003</v>
      </c>
      <c r="G15" s="484">
        <f>2*3.5</f>
        <v>7</v>
      </c>
      <c r="H15" s="483"/>
      <c r="I15" s="484">
        <f>$G15*VLOOKUP(F15,'Baumaterialien Matériaux'!$A$10:$AD$432,21,FALSE)</f>
        <v>4.3959999999999999</v>
      </c>
      <c r="J15" s="484">
        <f>G15*VLOOKUP(F15,'Baumaterialien Matériaux'!$A$10:$AD$432,24,FALSE)</f>
        <v>0.36890000000000001</v>
      </c>
      <c r="K15" s="484">
        <f>G15*VLOOKUP(F15,'Baumaterialien Matériaux'!$A$10:$AD$432,26,FALSE)</f>
        <v>0.96600000000000008</v>
      </c>
      <c r="L15" s="484">
        <f>G15*VLOOKUP(F15,'Baumaterialien Matériaux'!$A$10:$AD$432,27,FALSE)</f>
        <v>9.0300000000000005E-2</v>
      </c>
      <c r="M15" s="484">
        <f>G15*VLOOKUP(F15,'Baumaterialien Matériaux'!$A$10:$AD$432,29,FALSE)</f>
        <v>0</v>
      </c>
      <c r="N15" s="1198"/>
      <c r="O15" s="1203"/>
      <c r="P15" s="1203"/>
      <c r="Q15" s="1203"/>
      <c r="R15" s="1203"/>
      <c r="S15" s="1203"/>
    </row>
    <row r="16" spans="1:23">
      <c r="A16" s="482"/>
      <c r="B16" s="1182"/>
      <c r="C16" s="483" t="s">
        <v>565</v>
      </c>
      <c r="D16" s="483"/>
      <c r="E16" s="483"/>
      <c r="F16" s="488" t="s">
        <v>566</v>
      </c>
      <c r="G16" s="484">
        <f>2*1</f>
        <v>2</v>
      </c>
      <c r="H16" s="483"/>
      <c r="I16" s="484">
        <f>$G16*VLOOKUP(F16,'Baumaterialien Matériaux'!$A$10:$AD$432,21,FALSE)</f>
        <v>8.3000000000000007</v>
      </c>
      <c r="J16" s="484">
        <f>G16*VLOOKUP(F16,'Baumaterialien Matériaux'!$A$10:$AD$432,24,FALSE)</f>
        <v>3.3599999999999998E-2</v>
      </c>
      <c r="K16" s="484">
        <f>G16*VLOOKUP(F16,'Baumaterialien Matériaux'!$A$10:$AD$432,26,FALSE)</f>
        <v>1.292</v>
      </c>
      <c r="L16" s="484">
        <f>G16*VLOOKUP(F16,'Baumaterialien Matériaux'!$A$10:$AD$432,27,FALSE)</f>
        <v>0.1124</v>
      </c>
      <c r="M16" s="484">
        <f>G16*VLOOKUP(F16,'Baumaterialien Matériaux'!$A$10:$AD$432,29,FALSE)</f>
        <v>0</v>
      </c>
      <c r="N16" s="1198"/>
      <c r="O16" s="1203"/>
      <c r="P16" s="1203"/>
      <c r="Q16" s="1203"/>
      <c r="R16" s="1203"/>
      <c r="S16" s="1203"/>
    </row>
    <row r="17" spans="1:19" ht="15">
      <c r="I17" s="485">
        <f>SUM(I12:I16)</f>
        <v>157.08404999999999</v>
      </c>
      <c r="J17" s="485">
        <f t="shared" ref="J17:M17" si="6">SUM(J12:J16)</f>
        <v>11.378750999999999</v>
      </c>
      <c r="K17" s="485">
        <f t="shared" si="6"/>
        <v>54.712660000000007</v>
      </c>
      <c r="L17" s="485">
        <f t="shared" si="6"/>
        <v>2.8703319999999999</v>
      </c>
      <c r="M17" s="485">
        <f t="shared" si="6"/>
        <v>0</v>
      </c>
      <c r="N17" s="843"/>
      <c r="O17" s="855">
        <f>SUM(O12:O16)</f>
        <v>3.2274675000000004</v>
      </c>
      <c r="P17" s="855">
        <f t="shared" ref="P17:R17" si="7">SUM(P12:P16)</f>
        <v>0.2279741833333333</v>
      </c>
      <c r="Q17" s="855">
        <f t="shared" si="7"/>
        <v>1.1001110000000001</v>
      </c>
      <c r="R17" s="855">
        <f t="shared" si="7"/>
        <v>5.8957200000000001E-2</v>
      </c>
      <c r="S17" s="855">
        <f t="shared" ref="S17" si="8">SUM(S12:S16)</f>
        <v>0</v>
      </c>
    </row>
    <row r="19" spans="1:19" ht="13.9" customHeight="1">
      <c r="A19" s="635" t="s">
        <v>726</v>
      </c>
      <c r="B19" s="1205" t="s">
        <v>727</v>
      </c>
      <c r="C19" s="483" t="s">
        <v>728</v>
      </c>
      <c r="F19" s="355" t="s">
        <v>729</v>
      </c>
      <c r="G19" s="484">
        <f>19.2*10.7</f>
        <v>205.43999999999997</v>
      </c>
      <c r="H19" s="483"/>
      <c r="I19" s="484">
        <f>$G19*VLOOKUP(F19,'Baumaterialien Matériaux'!$A$10:$AD$432,21,FALSE)</f>
        <v>69.233279999999993</v>
      </c>
      <c r="J19" s="484">
        <f>G19*VLOOKUP(F19,'Baumaterialien Matériaux'!$A$10:$AD$432,24,FALSE)</f>
        <v>10.867775999999999</v>
      </c>
      <c r="K19" s="484">
        <f>G19*VLOOKUP(F19,'Baumaterialien Matériaux'!$A$10:$AD$432,26,FALSE)</f>
        <v>30.610559999999992</v>
      </c>
      <c r="L19" s="484">
        <f>G19*VLOOKUP(F19,'Baumaterialien Matériaux'!$A$10:$AD$432,27,FALSE)</f>
        <v>2.6296319999999995</v>
      </c>
      <c r="M19" s="484">
        <f>G19*VLOOKUP(F19,'Baumaterialien Matériaux'!$A$10:$AD$432,29,FALSE)</f>
        <v>0</v>
      </c>
      <c r="N19" s="1198">
        <v>60</v>
      </c>
      <c r="O19" s="1199">
        <f>SUM(I19:I20)/$N19</f>
        <v>1.5231146666666666</v>
      </c>
      <c r="P19" s="1199">
        <f>SUM(J19:J20)/$N19</f>
        <v>0.21345226666666667</v>
      </c>
      <c r="Q19" s="1199">
        <f>SUM(K19:K20)/$N19</f>
        <v>0.66289599999999993</v>
      </c>
      <c r="R19" s="1199">
        <f>SUM(L19:L20)/$N19</f>
        <v>5.1739199999999992E-2</v>
      </c>
      <c r="S19" s="1199">
        <f>SUM(M19:M20)/$N19</f>
        <v>0</v>
      </c>
    </row>
    <row r="20" spans="1:19">
      <c r="A20" s="636"/>
      <c r="B20" s="1206"/>
      <c r="C20" s="483" t="s">
        <v>570</v>
      </c>
      <c r="F20" s="355">
        <v>4.0090000000000003</v>
      </c>
      <c r="G20" s="484">
        <f>23*1.6</f>
        <v>36.800000000000004</v>
      </c>
      <c r="H20" s="483"/>
      <c r="I20" s="484">
        <f>$G20*VLOOKUP(F20,'Baumaterialien Matériaux'!$A$10:$AD$432,21,FALSE)</f>
        <v>22.153600000000001</v>
      </c>
      <c r="J20" s="484">
        <f>G20*VLOOKUP(F20,'Baumaterialien Matériaux'!$A$10:$AD$432,24,FALSE)</f>
        <v>1.9393600000000002</v>
      </c>
      <c r="K20" s="484">
        <f>G20*VLOOKUP(F20,'Baumaterialien Matériaux'!$A$10:$AD$432,26,FALSE)</f>
        <v>9.1632000000000016</v>
      </c>
      <c r="L20" s="484">
        <f>G20*VLOOKUP(F20,'Baumaterialien Matériaux'!$A$10:$AD$432,27,FALSE)</f>
        <v>0.47472000000000003</v>
      </c>
      <c r="M20" s="484">
        <f>G20*VLOOKUP(F20,'Baumaterialien Matériaux'!$A$10:$AD$432,29,FALSE)</f>
        <v>0</v>
      </c>
      <c r="N20" s="1198"/>
      <c r="O20" s="1198"/>
      <c r="P20" s="1198"/>
      <c r="Q20" s="1198"/>
      <c r="R20" s="1198"/>
      <c r="S20" s="1198"/>
    </row>
    <row r="21" spans="1:19">
      <c r="A21" s="636"/>
      <c r="B21" s="1182" t="s">
        <v>722</v>
      </c>
      <c r="C21" s="483" t="s">
        <v>562</v>
      </c>
      <c r="D21" s="483"/>
      <c r="E21" s="483"/>
      <c r="F21" s="487" t="s">
        <v>563</v>
      </c>
      <c r="G21" s="484">
        <f>2*18</f>
        <v>36</v>
      </c>
      <c r="H21" s="483"/>
      <c r="I21" s="484">
        <f>$G21*VLOOKUP(F21,'Baumaterialien Matériaux'!$A$10:$AD$432,21,FALSE)</f>
        <v>23.868000000000002</v>
      </c>
      <c r="J21" s="484">
        <f>G21*VLOOKUP(F21,'Baumaterialien Matériaux'!$A$10:$AD$432,24,FALSE)</f>
        <v>1.8971999999999998</v>
      </c>
      <c r="K21" s="484">
        <f>G21*VLOOKUP(F21,'Baumaterialien Matériaux'!$A$10:$AD$432,26,FALSE)</f>
        <v>9.0359999999999996</v>
      </c>
      <c r="L21" s="484">
        <f>G21*VLOOKUP(F21,'Baumaterialien Matériaux'!$A$10:$AD$432,27,FALSE)</f>
        <v>0.46439999999999998</v>
      </c>
      <c r="M21" s="484">
        <f>G21*VLOOKUP(F21,'Baumaterialien Matériaux'!$A$10:$AD$432,29,FALSE)</f>
        <v>0</v>
      </c>
      <c r="N21" s="483">
        <v>30</v>
      </c>
      <c r="O21" s="1203">
        <f>SUM(I21:I23)/$N21</f>
        <v>1.2188000000000003</v>
      </c>
      <c r="P21" s="1203">
        <f t="shared" ref="P21" si="9">SUM(J21:J23)/$N21</f>
        <v>7.6656666666666651E-2</v>
      </c>
      <c r="Q21" s="1203">
        <f t="shared" ref="Q21" si="10">SUM(K21:K23)/$N21</f>
        <v>0.37646666666666662</v>
      </c>
      <c r="R21" s="1203">
        <f t="shared" ref="R21:S21" si="11">SUM(L21:L23)/$N21</f>
        <v>2.2236666666666668E-2</v>
      </c>
      <c r="S21" s="1203">
        <f t="shared" si="11"/>
        <v>0</v>
      </c>
    </row>
    <row r="22" spans="1:19">
      <c r="A22" s="636"/>
      <c r="B22" s="1182"/>
      <c r="C22" s="483" t="s">
        <v>564</v>
      </c>
      <c r="D22" s="483"/>
      <c r="E22" s="483"/>
      <c r="F22" s="486">
        <v>4.0010000000000003</v>
      </c>
      <c r="G22" s="484">
        <f>2*3.5</f>
        <v>7</v>
      </c>
      <c r="H22" s="483"/>
      <c r="I22" s="484">
        <f>$G22*VLOOKUP(F22,'Baumaterialien Matériaux'!$A$10:$AD$432,21,FALSE)</f>
        <v>4.3959999999999999</v>
      </c>
      <c r="J22" s="484">
        <f>G22*VLOOKUP(F22,'Baumaterialien Matériaux'!$A$10:$AD$432,24,FALSE)</f>
        <v>0.36890000000000001</v>
      </c>
      <c r="K22" s="484">
        <f>G22*VLOOKUP(F22,'Baumaterialien Matériaux'!$A$10:$AD$432,26,FALSE)</f>
        <v>0.96600000000000008</v>
      </c>
      <c r="L22" s="484">
        <f>G22*VLOOKUP(F22,'Baumaterialien Matériaux'!$A$10:$AD$432,27,FALSE)</f>
        <v>9.0300000000000005E-2</v>
      </c>
      <c r="M22" s="484">
        <f>G22*VLOOKUP(F22,'Baumaterialien Matériaux'!$A$10:$AD$432,29,FALSE)</f>
        <v>0</v>
      </c>
      <c r="N22" s="483">
        <v>30</v>
      </c>
      <c r="O22" s="1203"/>
      <c r="P22" s="1203"/>
      <c r="Q22" s="1203"/>
      <c r="R22" s="1203"/>
      <c r="S22" s="1203"/>
    </row>
    <row r="23" spans="1:19">
      <c r="A23" s="636"/>
      <c r="B23" s="1182"/>
      <c r="C23" s="483" t="s">
        <v>565</v>
      </c>
      <c r="D23" s="483"/>
      <c r="E23" s="483"/>
      <c r="F23" s="488" t="s">
        <v>566</v>
      </c>
      <c r="G23" s="484">
        <f>2*1</f>
        <v>2</v>
      </c>
      <c r="H23" s="483"/>
      <c r="I23" s="484">
        <f>$G23*VLOOKUP(F23,'Baumaterialien Matériaux'!$A$10:$AD$432,21,FALSE)</f>
        <v>8.3000000000000007</v>
      </c>
      <c r="J23" s="484">
        <f>G23*VLOOKUP(F23,'Baumaterialien Matériaux'!$A$10:$AD$432,24,FALSE)</f>
        <v>3.3599999999999998E-2</v>
      </c>
      <c r="K23" s="484">
        <f>G23*VLOOKUP(F23,'Baumaterialien Matériaux'!$A$10:$AD$432,26,FALSE)</f>
        <v>1.292</v>
      </c>
      <c r="L23" s="484">
        <f>G23*VLOOKUP(F23,'Baumaterialien Matériaux'!$A$10:$AD$432,27,FALSE)</f>
        <v>0.1124</v>
      </c>
      <c r="M23" s="484">
        <f>G23*VLOOKUP(F23,'Baumaterialien Matériaux'!$A$10:$AD$432,29,FALSE)</f>
        <v>0</v>
      </c>
      <c r="N23" s="483">
        <v>30</v>
      </c>
      <c r="O23" s="1203"/>
      <c r="P23" s="1203"/>
      <c r="Q23" s="1203"/>
      <c r="R23" s="1203"/>
      <c r="S23" s="1203"/>
    </row>
    <row r="24" spans="1:19" ht="15">
      <c r="I24" s="485">
        <f>SUM(I19:I23)</f>
        <v>127.95087999999998</v>
      </c>
      <c r="J24" s="485">
        <f t="shared" ref="J24:M24" si="12">SUM(J19:J23)</f>
        <v>15.106835999999999</v>
      </c>
      <c r="K24" s="485">
        <f t="shared" si="12"/>
        <v>51.06776</v>
      </c>
      <c r="L24" s="485">
        <f t="shared" si="12"/>
        <v>3.7714519999999996</v>
      </c>
      <c r="M24" s="485">
        <f t="shared" si="12"/>
        <v>0</v>
      </c>
      <c r="N24" s="843"/>
      <c r="O24" s="855">
        <f>SUM(O19:O23)</f>
        <v>2.7419146666666672</v>
      </c>
      <c r="P24" s="855">
        <f t="shared" ref="P24:R24" si="13">SUM(P19:P23)</f>
        <v>0.29010893333333332</v>
      </c>
      <c r="Q24" s="855">
        <f t="shared" si="13"/>
        <v>1.0393626666666664</v>
      </c>
      <c r="R24" s="855">
        <f t="shared" si="13"/>
        <v>7.3975866666666668E-2</v>
      </c>
      <c r="S24" s="855">
        <f t="shared" ref="S24" si="14">SUM(S19:S23)</f>
        <v>0</v>
      </c>
    </row>
    <row r="26" spans="1:19" ht="15">
      <c r="A26" s="483" t="s">
        <v>730</v>
      </c>
      <c r="B26" s="483" t="s">
        <v>731</v>
      </c>
      <c r="C26" s="483"/>
      <c r="D26" s="483"/>
      <c r="E26" s="483"/>
      <c r="F26" s="483"/>
      <c r="G26" s="483"/>
      <c r="H26" s="483"/>
      <c r="I26" s="485">
        <f>AVERAGE(I10,I17,I24)</f>
        <v>161.36115713375796</v>
      </c>
      <c r="J26" s="485">
        <f t="shared" ref="J26:M26" si="15">AVERAGE(J10,J17,J24)</f>
        <v>17.884255602972399</v>
      </c>
      <c r="K26" s="485">
        <f t="shared" si="15"/>
        <v>62.871857409766456</v>
      </c>
      <c r="L26" s="485">
        <f t="shared" si="15"/>
        <v>4.5269913757961788</v>
      </c>
      <c r="M26" s="485">
        <f t="shared" si="15"/>
        <v>0</v>
      </c>
      <c r="N26" s="843"/>
      <c r="O26" s="855">
        <f>AVERAGE(O10,O17,O24)</f>
        <v>3.2987526188959664</v>
      </c>
      <c r="P26" s="855">
        <f t="shared" ref="P26:S26" si="16">AVERAGE(P10,P17,P24)</f>
        <v>0.33639926004954002</v>
      </c>
      <c r="Q26" s="855">
        <f t="shared" si="16"/>
        <v>1.2360976234961074</v>
      </c>
      <c r="R26" s="855">
        <f t="shared" si="16"/>
        <v>8.6568189596602965E-2</v>
      </c>
      <c r="S26" s="855">
        <f t="shared" si="16"/>
        <v>0</v>
      </c>
    </row>
    <row r="27" spans="1:19" ht="15">
      <c r="I27" s="353"/>
      <c r="J27" s="353"/>
      <c r="K27" s="353"/>
      <c r="L27" s="353"/>
      <c r="M27" s="353"/>
    </row>
    <row r="29" spans="1:19" ht="15">
      <c r="A29" s="483" t="s">
        <v>732</v>
      </c>
      <c r="B29" s="1182" t="s">
        <v>733</v>
      </c>
      <c r="C29" s="483" t="s">
        <v>734</v>
      </c>
      <c r="D29" s="483" t="str">
        <f>VLOOKUP(F29,'Baumaterialien Matériaux'!$A$10:$AD$432,30,FALSE)</f>
        <v>Plaque de plâtre cartonnée</v>
      </c>
      <c r="E29" s="483" t="str">
        <f>VLOOKUP(F29,'Baumaterialien Matériaux'!$A$10:$AD$432,6,FALSE)</f>
        <v>kg</v>
      </c>
      <c r="F29" s="862" t="s">
        <v>107</v>
      </c>
      <c r="G29" s="484">
        <f>4*0.0125*850</f>
        <v>42.5</v>
      </c>
      <c r="H29" s="483"/>
      <c r="I29" s="484">
        <f>$G29*VLOOKUP(F29,'Baumaterialien Matériaux'!$A$10:$AD$432,21,FALSE)</f>
        <v>53.55</v>
      </c>
      <c r="J29" s="484">
        <f>G29*VLOOKUP(F29,'Baumaterialien Matériaux'!$A$10:$AD$432,24,FALSE)</f>
        <v>3.3235000000000001</v>
      </c>
      <c r="K29" s="484">
        <f>G29*VLOOKUP(F29,'Baumaterialien Matériaux'!$A$10:$AD$432,26,FALSE)</f>
        <v>12.027499999999998</v>
      </c>
      <c r="L29" s="484">
        <f>G29*VLOOKUP(F29,'Baumaterialien Matériaux'!$A$10:$AD$432,27,FALSE)</f>
        <v>0.80325000000000002</v>
      </c>
      <c r="M29" s="484">
        <f>G29*VLOOKUP(F29,'Baumaterialien Matériaux'!$A$10:$AD$432,29,FALSE)</f>
        <v>2.8049999999999997</v>
      </c>
      <c r="N29" s="843">
        <v>30</v>
      </c>
      <c r="O29" s="722"/>
      <c r="P29" s="722"/>
      <c r="Q29" s="722"/>
      <c r="R29" s="723"/>
      <c r="S29" s="383"/>
    </row>
    <row r="30" spans="1:19" ht="15">
      <c r="A30" s="483"/>
      <c r="B30" s="1182"/>
      <c r="C30" s="483" t="s">
        <v>617</v>
      </c>
      <c r="D30" s="483" t="str">
        <f>VLOOKUP(F30,'Baumaterialien Matériaux'!$A$10:$AD$432,30,FALSE)</f>
        <v>Tôle d'acier, zinguée</v>
      </c>
      <c r="E30" s="483" t="str">
        <f>VLOOKUP(F30,'Baumaterialien Matériaux'!$A$10:$AD$432,6,FALSE)</f>
        <v>kg</v>
      </c>
      <c r="F30" s="483" t="s">
        <v>618</v>
      </c>
      <c r="G30" s="484">
        <v>2.64</v>
      </c>
      <c r="H30" s="483"/>
      <c r="I30" s="484">
        <f>$G30*VLOOKUP(F30,'Baumaterialien Matériaux'!$A$10:$AD$432,21,FALSE)</f>
        <v>41.183999999999997</v>
      </c>
      <c r="J30" s="484">
        <f>G30*VLOOKUP(F30,'Baumaterialien Matériaux'!$A$10:$AD$432,24,FALSE)</f>
        <v>7.2072000000000011E-2</v>
      </c>
      <c r="K30" s="484">
        <f>G30*VLOOKUP(F30,'Baumaterialien Matériaux'!$A$10:$AD$432,26,FALSE)</f>
        <v>11.853600000000002</v>
      </c>
      <c r="L30" s="484">
        <f>G30*VLOOKUP(F30,'Baumaterialien Matériaux'!$A$10:$AD$432,27,FALSE)</f>
        <v>1.8453600000000001E-2</v>
      </c>
      <c r="M30" s="484">
        <f>G30*VLOOKUP(F30,'Baumaterialien Matériaux'!$A$10:$AD$432,29,FALSE)</f>
        <v>0</v>
      </c>
      <c r="N30" s="843">
        <v>30</v>
      </c>
      <c r="O30" s="712"/>
      <c r="P30" s="712"/>
      <c r="Q30" s="712"/>
      <c r="R30" s="724"/>
      <c r="S30" s="383"/>
    </row>
    <row r="31" spans="1:19" ht="15">
      <c r="A31" s="483"/>
      <c r="B31" s="1182"/>
      <c r="C31" s="483" t="s">
        <v>735</v>
      </c>
      <c r="D31" s="483" t="str">
        <f>VLOOKUP(F31,'Baumaterialien Matériaux'!$A$10:$AD$432,30,FALSE)</f>
        <v>Laine de verre</v>
      </c>
      <c r="E31" s="483" t="str">
        <f>VLOOKUP(F31,'Baumaterialien Matériaux'!$A$10:$AD$432,6,FALSE)</f>
        <v>kg</v>
      </c>
      <c r="F31" s="486" t="s">
        <v>130</v>
      </c>
      <c r="G31" s="484">
        <v>1</v>
      </c>
      <c r="H31" s="483"/>
      <c r="I31" s="484">
        <f>$G31*VLOOKUP(F31,'Baumaterialien Matériaux'!$A$10:$AD$432,21,FALSE)</f>
        <v>5.33</v>
      </c>
      <c r="J31" s="484">
        <f>G31*VLOOKUP(F31,'Baumaterialien Matériaux'!$A$10:$AD$432,24,FALSE)</f>
        <v>0.13300000000000001</v>
      </c>
      <c r="K31" s="484">
        <f>G31*VLOOKUP(F31,'Baumaterialien Matériaux'!$A$10:$AD$432,26,FALSE)</f>
        <v>1.04</v>
      </c>
      <c r="L31" s="484">
        <f>G31*VLOOKUP(F31,'Baumaterialien Matériaux'!$A$10:$AD$432,27,FALSE)</f>
        <v>5.96E-2</v>
      </c>
      <c r="M31" s="484">
        <f>G31*VLOOKUP(F31,'Baumaterialien Matériaux'!$A$10:$AD$432,29,FALSE)</f>
        <v>0</v>
      </c>
      <c r="N31" s="843">
        <v>30</v>
      </c>
      <c r="O31" s="712"/>
      <c r="P31" s="712"/>
      <c r="Q31" s="712"/>
      <c r="R31" s="724"/>
      <c r="S31" s="383"/>
    </row>
    <row r="32" spans="1:19" ht="15">
      <c r="A32" s="483"/>
      <c r="B32" s="1161" t="s">
        <v>736</v>
      </c>
      <c r="C32" s="361" t="s">
        <v>576</v>
      </c>
      <c r="D32" s="483" t="str">
        <f>VLOOKUP(F32,'Baumaterialien Matériaux'!$A$10:$AD$432,30,FALSE)</f>
        <v>Enduit en plâtre et chaux</v>
      </c>
      <c r="E32" s="483" t="str">
        <f>VLOOKUP(F32,'Baumaterialien Matériaux'!$A$10:$AD$432,6,FALSE)</f>
        <v>kg</v>
      </c>
      <c r="F32" s="487" t="s">
        <v>577</v>
      </c>
      <c r="G32" s="484">
        <f>2*1400*0.004</f>
        <v>11.200000000000001</v>
      </c>
      <c r="H32" s="483"/>
      <c r="I32" s="484">
        <f>$G32*VLOOKUP(F32,'Baumaterialien Matériaux'!$A$10:$AD$432,21,FALSE)</f>
        <v>6.966400000000001</v>
      </c>
      <c r="J32" s="484">
        <f>G32*VLOOKUP(F32,'Baumaterialien Matériaux'!$A$10:$AD$432,24,FALSE)</f>
        <v>0.59023999999999999</v>
      </c>
      <c r="K32" s="484">
        <f>G32*VLOOKUP(F32,'Baumaterialien Matériaux'!$A$10:$AD$432,26,FALSE)</f>
        <v>1.6240000000000001</v>
      </c>
      <c r="L32" s="484">
        <f>G32*VLOOKUP(F32,'Baumaterialien Matériaux'!$A$10:$AD$432,27,FALSE)</f>
        <v>0.14448000000000003</v>
      </c>
      <c r="M32" s="484">
        <f>G32*VLOOKUP(F32,'Baumaterialien Matériaux'!$A$10:$AD$432,29,FALSE)</f>
        <v>0</v>
      </c>
      <c r="N32" s="843">
        <v>30</v>
      </c>
      <c r="O32" s="712"/>
      <c r="P32" s="712"/>
      <c r="Q32" s="712"/>
      <c r="R32" s="724"/>
      <c r="S32" s="383"/>
    </row>
    <row r="33" spans="1:23" ht="15">
      <c r="A33" s="483"/>
      <c r="B33" s="1161"/>
      <c r="C33" s="361" t="s">
        <v>565</v>
      </c>
      <c r="D33" s="483" t="str">
        <f>VLOOKUP(F33,'Baumaterialien Matériaux'!$A$10:$AD$432,30,FALSE)</f>
        <v>Enduit, diluable à l'eau, 2 couches</v>
      </c>
      <c r="E33" s="483" t="str">
        <f>VLOOKUP(F33,'Baumaterialien Matériaux'!$A$10:$AD$432,6,FALSE)</f>
        <v>m2</v>
      </c>
      <c r="F33" s="488" t="s">
        <v>566</v>
      </c>
      <c r="G33" s="484">
        <f>2*1</f>
        <v>2</v>
      </c>
      <c r="H33" s="483"/>
      <c r="I33" s="484">
        <f>$G33*VLOOKUP(F33,'Baumaterialien Matériaux'!$A$10:$AD$432,21,FALSE)</f>
        <v>8.3000000000000007</v>
      </c>
      <c r="J33" s="484">
        <f>G33*VLOOKUP(F33,'Baumaterialien Matériaux'!$A$10:$AD$432,24,FALSE)</f>
        <v>3.3599999999999998E-2</v>
      </c>
      <c r="K33" s="484">
        <f>G33*VLOOKUP(F33,'Baumaterialien Matériaux'!$A$10:$AD$432,26,FALSE)</f>
        <v>1.292</v>
      </c>
      <c r="L33" s="484">
        <f>G33*VLOOKUP(F33,'Baumaterialien Matériaux'!$A$10:$AD$432,27,FALSE)</f>
        <v>0.1124</v>
      </c>
      <c r="M33" s="484">
        <f>G33*VLOOKUP(F33,'Baumaterialien Matériaux'!$A$10:$AD$432,29,FALSE)</f>
        <v>0</v>
      </c>
      <c r="N33" s="843">
        <v>30</v>
      </c>
      <c r="O33" s="718"/>
      <c r="P33" s="718"/>
      <c r="Q33" s="718"/>
      <c r="R33" s="725"/>
      <c r="S33" s="383"/>
    </row>
    <row r="34" spans="1:23" ht="15">
      <c r="F34" s="357"/>
      <c r="G34" s="208"/>
      <c r="I34" s="485">
        <f>SUM(I29:I33)</f>
        <v>115.3304</v>
      </c>
      <c r="J34" s="485">
        <f t="shared" ref="J34:M34" si="17">SUM(J29:J33)</f>
        <v>4.152412</v>
      </c>
      <c r="K34" s="485">
        <f t="shared" si="17"/>
        <v>27.8371</v>
      </c>
      <c r="L34" s="485">
        <f t="shared" si="17"/>
        <v>1.1381836000000001</v>
      </c>
      <c r="M34" s="485">
        <f t="shared" si="17"/>
        <v>2.8049999999999997</v>
      </c>
      <c r="N34" s="843">
        <v>30</v>
      </c>
      <c r="O34" s="855">
        <f>I34/$N34</f>
        <v>3.8443466666666666</v>
      </c>
      <c r="P34" s="855">
        <f>J34/$N34</f>
        <v>0.13841373333333334</v>
      </c>
      <c r="Q34" s="855">
        <f>K34/$N34</f>
        <v>0.9279033333333333</v>
      </c>
      <c r="R34" s="855">
        <f>L34/$N34</f>
        <v>3.7939453333333338E-2</v>
      </c>
      <c r="S34" s="855">
        <f>M34/$N34</f>
        <v>9.3499999999999986E-2</v>
      </c>
    </row>
    <row r="36" spans="1:23">
      <c r="A36" s="625" t="s">
        <v>732</v>
      </c>
      <c r="B36" s="1163" t="s">
        <v>737</v>
      </c>
      <c r="C36" s="483" t="s">
        <v>738</v>
      </c>
      <c r="D36" s="483"/>
      <c r="E36" s="483"/>
      <c r="F36" s="486" t="s">
        <v>739</v>
      </c>
      <c r="G36" s="484">
        <f>(0.0125+0.01)*2*1200</f>
        <v>54</v>
      </c>
      <c r="I36" s="484">
        <f>$G36*VLOOKUP(F36,'Baumaterialien Matériaux'!$A$10:$AD$432,21,FALSE)</f>
        <v>129.6</v>
      </c>
      <c r="J36" s="484">
        <f>G36*VLOOKUP(F36,'Baumaterialien Matériaux'!$A$10:$AD$432,24,FALSE)</f>
        <v>4.2389999999999999</v>
      </c>
      <c r="K36" s="484">
        <f>G36*VLOOKUP(F36,'Baumaterialien Matériaux'!$A$10:$AD$432,26,FALSE)</f>
        <v>28.836000000000002</v>
      </c>
      <c r="L36" s="484">
        <f>G36*VLOOKUP(F36,'Baumaterialien Matériaux'!$A$10:$AD$432,27,FALSE)</f>
        <v>1.0152000000000001</v>
      </c>
      <c r="M36" s="484">
        <f>G36*VLOOKUP(F36,'Baumaterialien Matériaux'!$A$10:$AD$432,29,FALSE)</f>
        <v>8.8902000000000001</v>
      </c>
      <c r="N36" s="1184"/>
      <c r="O36" s="1184"/>
      <c r="P36" s="1184"/>
      <c r="Q36" s="1184"/>
      <c r="R36" s="1184"/>
      <c r="S36" s="383"/>
    </row>
    <row r="37" spans="1:23">
      <c r="A37" s="626"/>
      <c r="B37" s="1164"/>
      <c r="C37" s="483" t="s">
        <v>617</v>
      </c>
      <c r="D37" s="483"/>
      <c r="E37" s="483"/>
      <c r="F37" s="483" t="s">
        <v>618</v>
      </c>
      <c r="G37" s="484">
        <v>1.3188</v>
      </c>
      <c r="I37" s="484">
        <f>$G37*VLOOKUP(F37,'Baumaterialien Matériaux'!$A$10:$AD$432,21,FALSE)</f>
        <v>20.57328</v>
      </c>
      <c r="J37" s="484">
        <f>G37*VLOOKUP(F37,'Baumaterialien Matériaux'!$A$10:$AD$432,24,FALSE)</f>
        <v>3.6003239999999999E-2</v>
      </c>
      <c r="K37" s="484">
        <f>G37*VLOOKUP(F37,'Baumaterialien Matériaux'!$A$10:$AD$432,26,FALSE)</f>
        <v>5.9214120000000001</v>
      </c>
      <c r="L37" s="484">
        <f>G37*VLOOKUP(F37,'Baumaterialien Matériaux'!$A$10:$AD$432,27,FALSE)</f>
        <v>9.2184119999999987E-3</v>
      </c>
      <c r="M37" s="484">
        <f>G37*VLOOKUP(F37,'Baumaterialien Matériaux'!$A$10:$AD$432,29,FALSE)</f>
        <v>0</v>
      </c>
      <c r="N37" s="1184"/>
      <c r="O37" s="1184"/>
      <c r="P37" s="1184"/>
      <c r="Q37" s="1184"/>
      <c r="R37" s="1184"/>
      <c r="S37" s="383"/>
    </row>
    <row r="38" spans="1:23">
      <c r="A38" s="626"/>
      <c r="B38" s="1165"/>
      <c r="C38" s="483" t="s">
        <v>740</v>
      </c>
      <c r="D38" s="483"/>
      <c r="E38" s="483"/>
      <c r="F38" s="486" t="s">
        <v>106</v>
      </c>
      <c r="G38" s="484">
        <v>0.8</v>
      </c>
      <c r="I38" s="484">
        <f>$G38*VLOOKUP(F38,'Baumaterialien Matériaux'!$A$10:$AD$432,21,FALSE)</f>
        <v>3.4560000000000004</v>
      </c>
      <c r="J38" s="484">
        <f>G38*VLOOKUP(F38,'Baumaterialien Matériaux'!$A$10:$AD$432,24,FALSE)</f>
        <v>0.10640000000000001</v>
      </c>
      <c r="K38" s="484">
        <f>G38*VLOOKUP(F38,'Baumaterialien Matériaux'!$A$10:$AD$432,26,FALSE)</f>
        <v>0.90399999999999991</v>
      </c>
      <c r="L38" s="484">
        <f>G38*VLOOKUP(F38,'Baumaterialien Matériaux'!$A$10:$AD$432,27,FALSE)</f>
        <v>4.768E-2</v>
      </c>
      <c r="M38" s="484">
        <f>G38*VLOOKUP(F38,'Baumaterialien Matériaux'!$A$10:$AD$432,29,FALSE)</f>
        <v>0</v>
      </c>
      <c r="N38" s="1184"/>
      <c r="O38" s="1184"/>
      <c r="P38" s="1184"/>
      <c r="Q38" s="1184"/>
      <c r="R38" s="1184"/>
      <c r="S38" s="383"/>
    </row>
    <row r="39" spans="1:23">
      <c r="A39" s="626"/>
      <c r="B39" s="1161" t="s">
        <v>736</v>
      </c>
      <c r="C39" s="361" t="s">
        <v>576</v>
      </c>
      <c r="D39" s="361"/>
      <c r="E39" s="361"/>
      <c r="F39" s="487" t="s">
        <v>577</v>
      </c>
      <c r="G39" s="484">
        <f>2*1400*0.004</f>
        <v>11.200000000000001</v>
      </c>
      <c r="H39" s="483"/>
      <c r="I39" s="484">
        <f>$G39*VLOOKUP(F39,'Baumaterialien Matériaux'!$A$10:$AD$432,21,FALSE)</f>
        <v>6.966400000000001</v>
      </c>
      <c r="J39" s="484">
        <f>G39*VLOOKUP(F39,'Baumaterialien Matériaux'!$A$10:$AD$432,24,FALSE)</f>
        <v>0.59023999999999999</v>
      </c>
      <c r="K39" s="484">
        <f>G39*VLOOKUP(F39,'Baumaterialien Matériaux'!$A$10:$AD$432,26,FALSE)</f>
        <v>1.6240000000000001</v>
      </c>
      <c r="L39" s="484">
        <f>G39*VLOOKUP(F39,'Baumaterialien Matériaux'!$A$10:$AD$432,27,FALSE)</f>
        <v>0.14448000000000003</v>
      </c>
      <c r="M39" s="484">
        <f>G39*VLOOKUP(F39,'Baumaterialien Matériaux'!$A$10:$AD$432,29,FALSE)</f>
        <v>0</v>
      </c>
      <c r="N39" s="1184"/>
      <c r="O39" s="1184"/>
      <c r="P39" s="1184"/>
      <c r="Q39" s="1184"/>
      <c r="R39" s="1184"/>
      <c r="S39" s="383"/>
    </row>
    <row r="40" spans="1:23">
      <c r="A40" s="626"/>
      <c r="B40" s="1161"/>
      <c r="C40" s="361" t="s">
        <v>565</v>
      </c>
      <c r="D40" s="361"/>
      <c r="E40" s="361"/>
      <c r="F40" s="488" t="s">
        <v>566</v>
      </c>
      <c r="G40" s="484">
        <f>2*1</f>
        <v>2</v>
      </c>
      <c r="H40" s="483"/>
      <c r="I40" s="484">
        <f>$G40*VLOOKUP(F40,'Baumaterialien Matériaux'!$A$10:$AD$432,21,FALSE)</f>
        <v>8.3000000000000007</v>
      </c>
      <c r="J40" s="484">
        <f>G40*VLOOKUP(F40,'Baumaterialien Matériaux'!$A$10:$AD$432,24,FALSE)</f>
        <v>3.3599999999999998E-2</v>
      </c>
      <c r="K40" s="484">
        <f>G40*VLOOKUP(F40,'Baumaterialien Matériaux'!$A$10:$AD$432,26,FALSE)</f>
        <v>1.292</v>
      </c>
      <c r="L40" s="484">
        <f>G40*VLOOKUP(F40,'Baumaterialien Matériaux'!$A$10:$AD$432,27,FALSE)</f>
        <v>0.1124</v>
      </c>
      <c r="M40" s="484">
        <f>G40*VLOOKUP(F40,'Baumaterialien Matériaux'!$A$10:$AD$432,29,FALSE)</f>
        <v>0</v>
      </c>
      <c r="N40" s="1184"/>
      <c r="O40" s="1184"/>
      <c r="P40" s="1184"/>
      <c r="Q40" s="1184"/>
      <c r="R40" s="1184"/>
      <c r="S40" s="383"/>
    </row>
    <row r="41" spans="1:23" ht="15">
      <c r="I41" s="485">
        <f>SUM(I36:I40)</f>
        <v>168.89568</v>
      </c>
      <c r="J41" s="485">
        <f t="shared" ref="J41:M41" si="18">SUM(J36:J40)</f>
        <v>5.0052432399999995</v>
      </c>
      <c r="K41" s="485">
        <f t="shared" si="18"/>
        <v>38.577412000000002</v>
      </c>
      <c r="L41" s="485">
        <f t="shared" si="18"/>
        <v>1.3289784120000001</v>
      </c>
      <c r="M41" s="485">
        <f t="shared" si="18"/>
        <v>8.8902000000000001</v>
      </c>
      <c r="N41" s="843">
        <v>30</v>
      </c>
      <c r="O41" s="855">
        <f>I41/$N41</f>
        <v>5.6298560000000002</v>
      </c>
      <c r="P41" s="855">
        <f>J41/$N41</f>
        <v>0.16684144133333331</v>
      </c>
      <c r="Q41" s="855">
        <f>K41/$N41</f>
        <v>1.2859137333333335</v>
      </c>
      <c r="R41" s="855">
        <f>L41/$N41</f>
        <v>4.4299280400000002E-2</v>
      </c>
      <c r="S41" s="855">
        <f>M41/$N41</f>
        <v>0.29633999999999999</v>
      </c>
    </row>
    <row r="43" spans="1:23" ht="29.25">
      <c r="A43" s="483" t="s">
        <v>741</v>
      </c>
      <c r="B43" s="482" t="s">
        <v>742</v>
      </c>
      <c r="C43" s="483"/>
      <c r="D43" s="483"/>
      <c r="E43" s="483"/>
      <c r="F43" s="483"/>
      <c r="G43" s="483"/>
      <c r="H43" s="483"/>
      <c r="I43" s="485">
        <f>AVERAGE(I34,I41)</f>
        <v>142.11304000000001</v>
      </c>
      <c r="J43" s="485">
        <f>AVERAGE(J34,J41)</f>
        <v>4.5788276200000002</v>
      </c>
      <c r="K43" s="485">
        <f>AVERAGE(K34,K41)</f>
        <v>33.207256000000001</v>
      </c>
      <c r="L43" s="485">
        <f>AVERAGE(L34,L41)</f>
        <v>1.2335810060000001</v>
      </c>
      <c r="M43" s="485">
        <f>AVERAGE(M34,M41)</f>
        <v>5.8475999999999999</v>
      </c>
      <c r="N43" s="843">
        <v>30</v>
      </c>
      <c r="O43" s="855">
        <f>I43/$N43</f>
        <v>4.7371013333333334</v>
      </c>
      <c r="P43" s="855">
        <f>J43/$N43</f>
        <v>0.15262758733333334</v>
      </c>
      <c r="Q43" s="855">
        <f>K43/$N43</f>
        <v>1.1069085333333333</v>
      </c>
      <c r="R43" s="855">
        <f>L43/$N43</f>
        <v>4.1119366866666666E-2</v>
      </c>
      <c r="S43" s="855">
        <f>M43/$N43</f>
        <v>0.19492000000000001</v>
      </c>
    </row>
    <row r="44" spans="1:23" ht="15">
      <c r="B44" s="2"/>
      <c r="I44" s="353"/>
      <c r="J44" s="353"/>
      <c r="K44" s="353"/>
      <c r="L44" s="353"/>
      <c r="M44" s="353"/>
    </row>
    <row r="45" spans="1:23" ht="17.25">
      <c r="A45" s="350" t="s">
        <v>743</v>
      </c>
      <c r="B45" s="350"/>
      <c r="C45" s="350"/>
      <c r="D45" s="350"/>
      <c r="E45" s="350"/>
      <c r="F45" s="350"/>
      <c r="G45" s="351" t="s">
        <v>554</v>
      </c>
      <c r="H45" s="350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V45" s="3" t="s">
        <v>744</v>
      </c>
    </row>
    <row r="46" spans="1:23" ht="15">
      <c r="A46" s="483" t="str">
        <f>'Calcul ACV'!$C$56</f>
        <v>Dalle en béton 25cm (avec enduit intérieur)</v>
      </c>
      <c r="B46" s="1182" t="s">
        <v>671</v>
      </c>
      <c r="C46" s="483" t="s">
        <v>672</v>
      </c>
      <c r="D46" s="483" t="str">
        <f>VLOOKUP(F46,'Baumaterialien Matériaux'!$A$10:$AD$432,30,FALSE)</f>
        <v>Béton pour bâtiment (sans armature)</v>
      </c>
      <c r="E46" s="483" t="str">
        <f>VLOOKUP(F46,'Baumaterialien Matériaux'!$A$10:$AD$432,6,FALSE)</f>
        <v>kg</v>
      </c>
      <c r="F46" s="845">
        <v>1.0019999999999998</v>
      </c>
      <c r="G46" s="484">
        <f>(0.25-G47/7850)*2300</f>
        <v>568.40764331210187</v>
      </c>
      <c r="H46" s="483"/>
      <c r="I46" s="484">
        <f>$G46*VLOOKUP(F46,'Baumaterialien Matériaux'!$A$10:$AD$432,21,FALSE)</f>
        <v>70.482547770700634</v>
      </c>
      <c r="J46" s="484">
        <f>G46*VLOOKUP(F46,'Baumaterialien Matériaux'!$A$10:$AD$432,24,FALSE)</f>
        <v>29.329834394904456</v>
      </c>
      <c r="K46" s="484">
        <f>G46*VLOOKUP(F46,'Baumaterialien Matériaux'!$A$10:$AD$432,26,FALSE)</f>
        <v>50.47459872611465</v>
      </c>
      <c r="L46" s="484">
        <f>G46*VLOOKUP(F46,'Baumaterialien Matériaux'!$A$10:$AD$432,27,FALSE)</f>
        <v>7.2187770700636937</v>
      </c>
      <c r="M46" s="484">
        <f>G46*VLOOKUP(F46,'Baumaterialien Matériaux'!$A$10:$AD$432,29,FALSE)</f>
        <v>0</v>
      </c>
      <c r="N46" s="843">
        <v>60</v>
      </c>
      <c r="O46" s="1199">
        <f>SUM(I46:I48)/$N46</f>
        <v>3.1909257961783437</v>
      </c>
      <c r="P46" s="1199">
        <f>SUM(J46:J48)/$N46</f>
        <v>0.51514207324840766</v>
      </c>
      <c r="Q46" s="1199">
        <f>SUM(K46:K48)/$N46</f>
        <v>1.4362516454352443</v>
      </c>
      <c r="R46" s="1199">
        <f>SUM(L46:L48)/$N46</f>
        <v>0.12931045116772824</v>
      </c>
      <c r="S46" s="1199">
        <f>SUM(M46:M48)/$N46</f>
        <v>0</v>
      </c>
      <c r="V46" s="3">
        <v>46</v>
      </c>
      <c r="W46" s="3">
        <f ca="1">MATCH(BillQuantities!$E$27, INDIRECT("A"&amp;V46&amp;":A89"),0)</f>
        <v>1</v>
      </c>
    </row>
    <row r="47" spans="1:23" ht="27.95" customHeight="1">
      <c r="A47" s="483" t="str">
        <f>'Calcul ACV'!$C$56</f>
        <v>Dalle en béton 25cm (avec enduit intérieur)</v>
      </c>
      <c r="B47" s="1182"/>
      <c r="C47" s="482" t="s">
        <v>745</v>
      </c>
      <c r="D47" s="483" t="str">
        <f>VLOOKUP(F47,'Baumaterialien Matériaux'!$A$10:$AD$432,30,FALSE)</f>
        <v>Acier d'armature</v>
      </c>
      <c r="E47" s="483" t="str">
        <f>VLOOKUP(F47,'Baumaterialien Matériaux'!$A$10:$AD$432,6,FALSE)</f>
        <v>kg</v>
      </c>
      <c r="F47" s="483" t="s">
        <v>497</v>
      </c>
      <c r="G47" s="484">
        <f>90*0.25</f>
        <v>22.5</v>
      </c>
      <c r="H47" s="483"/>
      <c r="I47" s="484">
        <f>$G47*VLOOKUP(F47,'Baumaterialien Matériaux'!$A$10:$AD$432,21,FALSE)</f>
        <v>111.15</v>
      </c>
      <c r="J47" s="484">
        <f>G47*VLOOKUP(F47,'Baumaterialien Matériaux'!$A$10:$AD$432,24,FALSE)</f>
        <v>1.143</v>
      </c>
      <c r="K47" s="484">
        <f>G47*VLOOKUP(F47,'Baumaterialien Matériaux'!$A$10:$AD$432,26,FALSE)</f>
        <v>33.75</v>
      </c>
      <c r="L47" s="484">
        <f>G47*VLOOKUP(F47,'Baumaterialien Matériaux'!$A$10:$AD$432,27,FALSE)</f>
        <v>0.27899999999999997</v>
      </c>
      <c r="M47" s="484">
        <f>G47*VLOOKUP(F47,'Baumaterialien Matériaux'!$A$10:$AD$432,29,FALSE)</f>
        <v>0</v>
      </c>
      <c r="N47" s="843">
        <v>60</v>
      </c>
      <c r="O47" s="1199"/>
      <c r="P47" s="1199"/>
      <c r="Q47" s="1199"/>
      <c r="R47" s="1199"/>
      <c r="S47" s="1199"/>
      <c r="V47" s="3">
        <f ca="1">W46+V46</f>
        <v>47</v>
      </c>
      <c r="W47" s="3">
        <f ca="1">MATCH(BillQuantities!$E$27, INDIRECT("A"&amp;V47&amp;":A89"),0)+W46-1</f>
        <v>1</v>
      </c>
    </row>
    <row r="48" spans="1:23" ht="15">
      <c r="A48" s="483" t="str">
        <f>'Calcul ACV'!$C$56</f>
        <v>Dalle en béton 25cm (avec enduit intérieur)</v>
      </c>
      <c r="B48" s="1182"/>
      <c r="C48" s="483" t="s">
        <v>560</v>
      </c>
      <c r="D48" s="483" t="str">
        <f>VLOOKUP(F48,'Baumaterialien Matériaux'!$A$10:$AD$432,30,FALSE)</f>
        <v>Bois massif 3 et 5 plis</v>
      </c>
      <c r="E48" s="483" t="str">
        <f>VLOOKUP(F48,'Baumaterialien Matériaux'!$A$10:$AD$432,6,FALSE)</f>
        <v>kg</v>
      </c>
      <c r="F48" s="483" t="s">
        <v>510</v>
      </c>
      <c r="G48" s="484">
        <f>2/5*0.025*470</f>
        <v>4.7000000000000011</v>
      </c>
      <c r="H48" s="483"/>
      <c r="I48" s="484">
        <f>$G48*VLOOKUP(F48,'Baumaterialien Matériaux'!$A$10:$AD$432,21,FALSE)</f>
        <v>9.8230000000000022</v>
      </c>
      <c r="J48" s="484">
        <f>G48*VLOOKUP(F48,'Baumaterialien Matériaux'!$A$10:$AD$432,24,FALSE)</f>
        <v>0.43569000000000013</v>
      </c>
      <c r="K48" s="484">
        <f>G48*VLOOKUP(F48,'Baumaterialien Matériaux'!$A$10:$AD$432,26,FALSE)</f>
        <v>1.9505000000000003</v>
      </c>
      <c r="L48" s="484">
        <f>G48*VLOOKUP(F48,'Baumaterialien Matériaux'!$A$10:$AD$432,27,FALSE)</f>
        <v>0.26085000000000008</v>
      </c>
      <c r="M48" s="484"/>
      <c r="N48" s="843">
        <v>60</v>
      </c>
      <c r="O48" s="1199"/>
      <c r="P48" s="1199"/>
      <c r="Q48" s="1199"/>
      <c r="R48" s="1199"/>
      <c r="S48" s="1199"/>
      <c r="V48" s="3">
        <f t="shared" ref="V48:V53" ca="1" si="19">W47+V47-W46</f>
        <v>47</v>
      </c>
      <c r="W48" s="3">
        <f ca="1">MATCH(BillQuantities!$E$27, INDIRECT("A"&amp;V48&amp;":A89"),0)+W47-1</f>
        <v>1</v>
      </c>
    </row>
    <row r="49" spans="1:24" ht="15">
      <c r="A49" s="483" t="str">
        <f>'Calcul ACV'!$C$56</f>
        <v>Dalle en béton 25cm (avec enduit intérieur)</v>
      </c>
      <c r="B49" s="1182" t="s">
        <v>561</v>
      </c>
      <c r="C49" s="483" t="s">
        <v>562</v>
      </c>
      <c r="D49" s="483" t="str">
        <f>VLOOKUP(F49,'Baumaterialien Matériaux'!$A$10:$AD$432,30,FALSE)</f>
        <v>Enduit en plâtre et en ciment</v>
      </c>
      <c r="E49" s="483" t="str">
        <f>VLOOKUP(F49,'Baumaterialien Matériaux'!$A$10:$AD$432,6,FALSE)</f>
        <v>kg</v>
      </c>
      <c r="F49" s="487" t="s">
        <v>563</v>
      </c>
      <c r="G49" s="484">
        <v>18</v>
      </c>
      <c r="I49" s="484">
        <f>$G49*VLOOKUP(F49,'Baumaterialien Matériaux'!$A$10:$AD$432,21,FALSE)</f>
        <v>11.934000000000001</v>
      </c>
      <c r="J49" s="484">
        <f>G49*VLOOKUP(F49,'Baumaterialien Matériaux'!$A$10:$AD$432,24,FALSE)</f>
        <v>0.94859999999999989</v>
      </c>
      <c r="K49" s="484">
        <f>G49*VLOOKUP(F49,'Baumaterialien Matériaux'!$A$10:$AD$432,26,FALSE)</f>
        <v>4.5179999999999998</v>
      </c>
      <c r="L49" s="484">
        <f>G49*VLOOKUP(F49,'Baumaterialien Matériaux'!$A$10:$AD$432,27,FALSE)</f>
        <v>0.23219999999999999</v>
      </c>
      <c r="M49" s="484">
        <f>G49*VLOOKUP(F49,'Baumaterialien Matériaux'!$A$10:$AD$432,29,FALSE)</f>
        <v>0</v>
      </c>
      <c r="N49" s="843">
        <v>30</v>
      </c>
      <c r="O49" s="1199">
        <f>SUM(I49:I51)/$N49</f>
        <v>0.60940000000000016</v>
      </c>
      <c r="P49" s="1199">
        <f>SUM(J49:J51)/$N49</f>
        <v>3.8328333333333325E-2</v>
      </c>
      <c r="Q49" s="1199">
        <f>SUM(K49:K51)/$N49</f>
        <v>0.18823333333333331</v>
      </c>
      <c r="R49" s="1199">
        <f>SUM(L49:L51)/$N49</f>
        <v>1.1118333333333334E-2</v>
      </c>
      <c r="S49" s="1199">
        <f>SUM(M49:M51)/$N49</f>
        <v>0</v>
      </c>
      <c r="V49" s="3">
        <f t="shared" ca="1" si="19"/>
        <v>47</v>
      </c>
      <c r="W49" s="3">
        <f ca="1">MATCH(BillQuantities!$E$27, INDIRECT("A"&amp;V49&amp;":A89"),0)+W48-1</f>
        <v>1</v>
      </c>
    </row>
    <row r="50" spans="1:24" ht="15">
      <c r="A50" s="483" t="str">
        <f>'Calcul ACV'!$C$56</f>
        <v>Dalle en béton 25cm (avec enduit intérieur)</v>
      </c>
      <c r="B50" s="1182"/>
      <c r="C50" s="483" t="s">
        <v>564</v>
      </c>
      <c r="D50" s="483" t="str">
        <f>VLOOKUP(F50,'Baumaterialien Matériaux'!$A$10:$AD$432,30,FALSE)</f>
        <v>Enduit minéral</v>
      </c>
      <c r="E50" s="483" t="str">
        <f>VLOOKUP(F50,'Baumaterialien Matériaux'!$A$10:$AD$432,6,FALSE)</f>
        <v>kg</v>
      </c>
      <c r="F50" s="486">
        <v>4.0010000000000003</v>
      </c>
      <c r="G50" s="484">
        <v>3.5</v>
      </c>
      <c r="I50" s="484">
        <f>$G50*VLOOKUP(F50,'Baumaterialien Matériaux'!$A$10:$AD$432,21,FALSE)</f>
        <v>2.198</v>
      </c>
      <c r="J50" s="484">
        <f>G50*VLOOKUP(F50,'Baumaterialien Matériaux'!$A$10:$AD$432,24,FALSE)</f>
        <v>0.18445</v>
      </c>
      <c r="K50" s="484">
        <f>G50*VLOOKUP(F50,'Baumaterialien Matériaux'!$A$10:$AD$432,26,FALSE)</f>
        <v>0.48300000000000004</v>
      </c>
      <c r="L50" s="484">
        <f>G50*VLOOKUP(F50,'Baumaterialien Matériaux'!$A$10:$AD$432,27,FALSE)</f>
        <v>4.5150000000000003E-2</v>
      </c>
      <c r="M50" s="484">
        <f>G50*VLOOKUP(F50,'Baumaterialien Matériaux'!$A$10:$AD$432,29,FALSE)</f>
        <v>0</v>
      </c>
      <c r="N50" s="843">
        <v>30</v>
      </c>
      <c r="O50" s="1199"/>
      <c r="P50" s="1199"/>
      <c r="Q50" s="1199"/>
      <c r="R50" s="1199"/>
      <c r="S50" s="1199"/>
      <c r="V50" s="3">
        <f t="shared" ca="1" si="19"/>
        <v>47</v>
      </c>
      <c r="W50" s="3">
        <f ca="1">MATCH(BillQuantities!$E$27, INDIRECT("A"&amp;V50&amp;":A89"),0)+W49-1</f>
        <v>1</v>
      </c>
    </row>
    <row r="51" spans="1:24" ht="15">
      <c r="A51" s="483" t="str">
        <f>'Calcul ACV'!$C$56</f>
        <v>Dalle en béton 25cm (avec enduit intérieur)</v>
      </c>
      <c r="B51" s="1182"/>
      <c r="C51" s="483" t="s">
        <v>565</v>
      </c>
      <c r="D51" s="483" t="str">
        <f>VLOOKUP(F51,'Baumaterialien Matériaux'!$A$10:$AD$432,30,FALSE)</f>
        <v>Enduit, diluable à l'eau, 2 couches</v>
      </c>
      <c r="E51" s="483" t="str">
        <f>VLOOKUP(F51,'Baumaterialien Matériaux'!$A$10:$AD$432,6,FALSE)</f>
        <v>m2</v>
      </c>
      <c r="F51" s="488" t="s">
        <v>566</v>
      </c>
      <c r="G51" s="484">
        <v>1</v>
      </c>
      <c r="I51" s="484">
        <f>$G51*VLOOKUP(F51,'Baumaterialien Matériaux'!$A$10:$AD$432,21,FALSE)</f>
        <v>4.1500000000000004</v>
      </c>
      <c r="J51" s="484">
        <f>G51*VLOOKUP(F51,'Baumaterialien Matériaux'!$A$10:$AD$432,24,FALSE)</f>
        <v>1.6799999999999999E-2</v>
      </c>
      <c r="K51" s="484">
        <f>G51*VLOOKUP(F51,'Baumaterialien Matériaux'!$A$10:$AD$432,26,FALSE)</f>
        <v>0.64600000000000002</v>
      </c>
      <c r="L51" s="484">
        <f>G51*VLOOKUP(F51,'Baumaterialien Matériaux'!$A$10:$AD$432,27,FALSE)</f>
        <v>5.62E-2</v>
      </c>
      <c r="M51" s="484">
        <f>G51*VLOOKUP(F51,'Baumaterialien Matériaux'!$A$10:$AD$432,29,FALSE)</f>
        <v>0</v>
      </c>
      <c r="N51" s="843">
        <v>30</v>
      </c>
      <c r="O51" s="1199"/>
      <c r="P51" s="1199"/>
      <c r="Q51" s="1199"/>
      <c r="R51" s="1199"/>
      <c r="S51" s="1199"/>
      <c r="V51" s="3">
        <f t="shared" ca="1" si="19"/>
        <v>47</v>
      </c>
      <c r="W51" s="3">
        <f ca="1">MATCH(BillQuantities!$E$27, INDIRECT("A"&amp;V51&amp;":A89"),0)+W50-1</f>
        <v>1</v>
      </c>
    </row>
    <row r="52" spans="1:24" ht="15">
      <c r="D52" s="483"/>
      <c r="I52" s="485">
        <f>SUM(I46:I51)</f>
        <v>209.73754777070064</v>
      </c>
      <c r="J52" s="485">
        <f t="shared" ref="J52:M52" si="20">SUM(J46:J51)</f>
        <v>32.058374394904462</v>
      </c>
      <c r="K52" s="485">
        <f t="shared" si="20"/>
        <v>91.82209872611466</v>
      </c>
      <c r="L52" s="485">
        <f t="shared" si="20"/>
        <v>8.0921770700636948</v>
      </c>
      <c r="M52" s="485">
        <f t="shared" si="20"/>
        <v>0</v>
      </c>
      <c r="N52" s="483"/>
      <c r="O52" s="485">
        <f>SUM(O46:O51)</f>
        <v>3.8003257961783437</v>
      </c>
      <c r="P52" s="485">
        <f t="shared" ref="P52:R52" si="21">SUM(P46:P51)</f>
        <v>0.55347040658174096</v>
      </c>
      <c r="Q52" s="485">
        <f t="shared" si="21"/>
        <v>1.6244849787685776</v>
      </c>
      <c r="R52" s="485">
        <f t="shared" si="21"/>
        <v>0.14042878450106158</v>
      </c>
      <c r="S52" s="485">
        <f t="shared" ref="S52" si="22">SUM(S46:S51)</f>
        <v>0</v>
      </c>
      <c r="V52" s="3">
        <f t="shared" ca="1" si="19"/>
        <v>47</v>
      </c>
      <c r="W52" s="3">
        <f ca="1">MATCH(BillQuantities!$E$27, INDIRECT("A"&amp;V52&amp;":A89"),0)+W51-1</f>
        <v>1</v>
      </c>
    </row>
    <row r="53" spans="1:24">
      <c r="V53" s="3">
        <f t="shared" ca="1" si="19"/>
        <v>47</v>
      </c>
      <c r="W53" s="3">
        <f ca="1">MATCH(BillQuantities!$E$27, INDIRECT("A"&amp;V53&amp;":A89"),0)+W52-1</f>
        <v>1</v>
      </c>
      <c r="X53" s="3" cm="1">
        <f t="array" aca="1" ref="X53" ca="1">INDEX(C53:C95, W53)</f>
        <v>0</v>
      </c>
    </row>
    <row r="54" spans="1:24" ht="56.1" customHeight="1">
      <c r="A54" s="483" t="str">
        <f>'Calcul ACV'!$C$57</f>
        <v>Plancher en éléments de bois (avec revêtement en plâtre en sous face)</v>
      </c>
      <c r="B54" s="1182" t="s">
        <v>746</v>
      </c>
      <c r="C54" s="483" t="s">
        <v>572</v>
      </c>
      <c r="D54" s="483" t="str">
        <f>VLOOKUP(F54,'Baumaterialien Matériaux'!$A$10:$AD$432,30,FALSE)</f>
        <v>Bois massif épicéa / sapin / mélèze, séché en cellule, raboté</v>
      </c>
      <c r="E54" s="483" t="str">
        <f>VLOOKUP(F54,'Baumaterialien Matériaux'!$A$10:$AD$432,6,FALSE)</f>
        <v>kg</v>
      </c>
      <c r="F54" s="486" t="s">
        <v>129</v>
      </c>
      <c r="G54" s="484">
        <f>0.0896*465</f>
        <v>41.664000000000001</v>
      </c>
      <c r="H54" s="483"/>
      <c r="I54" s="484">
        <f>$G54*VLOOKUP(F54,'Baumaterialien Matériaux'!$A$10:$AD$432,21,FALSE)</f>
        <v>28.748159999999999</v>
      </c>
      <c r="J54" s="484">
        <f>G54*VLOOKUP(F54,'Baumaterialien Matériaux'!$A$10:$AD$432,24,FALSE)</f>
        <v>3.7164288000000001</v>
      </c>
      <c r="K54" s="484">
        <f>G54*VLOOKUP(F54,'Baumaterialien Matériaux'!$A$10:$AD$432,26,FALSE)</f>
        <v>5.6246400000000003</v>
      </c>
      <c r="L54" s="484">
        <f>G54*VLOOKUP(F54,'Baumaterialien Matériaux'!$A$10:$AD$432,27,FALSE)</f>
        <v>1.6332287999999999</v>
      </c>
      <c r="M54" s="484">
        <f>G54*VLOOKUP(F54,'Baumaterialien Matériaux'!$A$10:$AD$432,29,FALSE)</f>
        <v>68.898368000000005</v>
      </c>
      <c r="N54" s="483">
        <v>60</v>
      </c>
      <c r="O54" s="1199">
        <f>SUM(I54:I56)/$N54</f>
        <v>0.60273600000000005</v>
      </c>
      <c r="P54" s="1199">
        <f>SUM(J54:J56)/$N54</f>
        <v>0.13252748</v>
      </c>
      <c r="Q54" s="1199">
        <f>SUM(K54:K56)/$N54</f>
        <v>0.11601733333333335</v>
      </c>
      <c r="R54" s="1199">
        <f>SUM(L54:L56)/$N54</f>
        <v>4.4910480000000003E-2</v>
      </c>
      <c r="S54" s="1199">
        <f>SUM(M54:M56)/$N54</f>
        <v>1.1483061333333333</v>
      </c>
    </row>
    <row r="55" spans="1:24">
      <c r="A55" s="483" t="str">
        <f>'Calcul ACV'!$C$57</f>
        <v>Plancher en éléments de bois (avec revêtement en plâtre en sous face)</v>
      </c>
      <c r="B55" s="1182"/>
      <c r="C55" s="483" t="s">
        <v>747</v>
      </c>
      <c r="D55" s="483" t="str">
        <f>VLOOKUP(F55,'Baumaterialien Matériaux'!$A$10:$AD$432,30,FALSE)</f>
        <v>Colle bicomposant</v>
      </c>
      <c r="E55" s="483" t="str">
        <f>VLOOKUP(F55,'Baumaterialien Matériaux'!$A$10:$AD$432,6,FALSE)</f>
        <v>kg</v>
      </c>
      <c r="F55" s="486" t="s">
        <v>688</v>
      </c>
      <c r="G55" s="483">
        <v>0.2</v>
      </c>
      <c r="H55" s="483"/>
      <c r="I55" s="484">
        <f>$G55*VLOOKUP(F55,'Baumaterialien Matériaux'!$A$10:$AD$432,21,FALSE)</f>
        <v>4.84</v>
      </c>
      <c r="J55" s="484">
        <f>G55*VLOOKUP(F55,'Baumaterialien Matériaux'!$A$10:$AD$432,24,FALSE)</f>
        <v>1.1220000000000001E-2</v>
      </c>
      <c r="K55" s="484">
        <f>G55*VLOOKUP(F55,'Baumaterialien Matériaux'!$A$10:$AD$432,26,FALSE)</f>
        <v>0.93000000000000016</v>
      </c>
      <c r="L55" s="484">
        <f>G55*VLOOKUP(F55,'Baumaterialien Matériaux'!$A$10:$AD$432,27,FALSE)</f>
        <v>3.7400000000000003E-2</v>
      </c>
      <c r="M55" s="484">
        <f>G55*VLOOKUP(F55,'Baumaterialien Matériaux'!$A$10:$AD$432,29,FALSE)</f>
        <v>0</v>
      </c>
      <c r="N55" s="483">
        <v>60</v>
      </c>
      <c r="O55" s="1199"/>
      <c r="P55" s="1199"/>
      <c r="Q55" s="1199"/>
      <c r="R55" s="1199"/>
      <c r="S55" s="1199"/>
      <c r="V55" s="3" t="s">
        <v>748</v>
      </c>
    </row>
    <row r="56" spans="1:24">
      <c r="A56" s="483" t="str">
        <f>'Calcul ACV'!$C$57</f>
        <v>Plancher en éléments de bois (avec revêtement en plâtre en sous face)</v>
      </c>
      <c r="B56" s="1182"/>
      <c r="C56" s="483" t="s">
        <v>749</v>
      </c>
      <c r="D56" s="483" t="str">
        <f>VLOOKUP(F56,'Baumaterialien Matériaux'!$A$10:$AD$432,30,FALSE)</f>
        <v>Gravier concassé</v>
      </c>
      <c r="E56" s="483" t="str">
        <f>VLOOKUP(F56,'Baumaterialien Matériaux'!$A$10:$AD$432,6,FALSE)</f>
        <v>kg</v>
      </c>
      <c r="F56" s="486" t="s">
        <v>750</v>
      </c>
      <c r="G56" s="483">
        <v>80</v>
      </c>
      <c r="H56" s="483"/>
      <c r="I56" s="484">
        <f>$G56*VLOOKUP(F56,'Baumaterialien Matériaux'!$A$10:$AD$432,21,FALSE)</f>
        <v>2.5760000000000001</v>
      </c>
      <c r="J56" s="484">
        <f>G56*VLOOKUP(F56,'Baumaterialien Matériaux'!$A$10:$AD$432,24,FALSE)</f>
        <v>4.2240000000000002</v>
      </c>
      <c r="K56" s="484">
        <f>G56*VLOOKUP(F56,'Baumaterialien Matériaux'!$A$10:$AD$432,26,FALSE)</f>
        <v>0.40640000000000004</v>
      </c>
      <c r="L56" s="484">
        <f>G56*VLOOKUP(F56,'Baumaterialien Matériaux'!$A$10:$AD$432,27,FALSE)</f>
        <v>1.024</v>
      </c>
      <c r="M56" s="484">
        <f>G56*VLOOKUP(F56,'Baumaterialien Matériaux'!$A$10:$AD$432,29,FALSE)</f>
        <v>0</v>
      </c>
      <c r="N56" s="483">
        <v>60</v>
      </c>
      <c r="O56" s="1199"/>
      <c r="P56" s="1199"/>
      <c r="Q56" s="1199"/>
      <c r="R56" s="1199"/>
      <c r="S56" s="1199"/>
      <c r="V56" s="3">
        <v>46</v>
      </c>
      <c r="W56" s="3">
        <f ca="1">MATCH(BillQuantities!$E$28, INDIRECT("A"&amp;V56&amp;":A89"),0)</f>
        <v>1</v>
      </c>
      <c r="X56" s="3" t="str" cm="1">
        <f t="array" aca="1" ref="X56" ca="1">INDEX(C46:C88, W56)</f>
        <v>Hochbaubeton 25 cm [kg]</v>
      </c>
    </row>
    <row r="57" spans="1:24">
      <c r="A57" s="483" t="str">
        <f>'Calcul ACV'!$C$57</f>
        <v>Plancher en éléments de bois (avec revêtement en plâtre en sous face)</v>
      </c>
      <c r="B57" s="1161" t="s">
        <v>574</v>
      </c>
      <c r="C57" s="361" t="s">
        <v>572</v>
      </c>
      <c r="D57" s="483" t="str">
        <f>VLOOKUP(F57,'Baumaterialien Matériaux'!$A$10:$AD$432,30,FALSE)</f>
        <v>Bois massif épicéa / sapin / mélèze, séché à l'air, brut</v>
      </c>
      <c r="E57" s="483" t="str">
        <f>VLOOKUP(F57,'Baumaterialien Matériaux'!$A$10:$AD$432,6,FALSE)</f>
        <v>kg</v>
      </c>
      <c r="F57" s="483" t="s">
        <v>573</v>
      </c>
      <c r="G57" s="484">
        <f>1/0.6*0.04*0.06*485</f>
        <v>1.94</v>
      </c>
      <c r="H57" s="483"/>
      <c r="I57" s="484">
        <f>$G57*VLOOKUP(F57,'Baumaterialien Matériaux'!$A$10:$AD$432,21,FALSE)</f>
        <v>0.81673999999999991</v>
      </c>
      <c r="J57" s="484">
        <f>G57*VLOOKUP(F57,'Baumaterialien Matériaux'!$A$10:$AD$432,24,FALSE)</f>
        <v>0.17304800000000001</v>
      </c>
      <c r="K57" s="484">
        <f>G57*VLOOKUP(F57,'Baumaterialien Matériaux'!$A$10:$AD$432,26,FALSE)</f>
        <v>0.17634599999999997</v>
      </c>
      <c r="L57" s="484">
        <f>G57*VLOOKUP(F57,'Baumaterialien Matériaux'!$A$10:$AD$432,27,FALSE)</f>
        <v>7.6047999999999991E-2</v>
      </c>
      <c r="M57" s="484">
        <f>G57*VLOOKUP(F57,'Baumaterialien Matériaux'!$A$10:$AD$432,29,FALSE)</f>
        <v>2.937806666666666</v>
      </c>
      <c r="N57" s="483">
        <v>30</v>
      </c>
      <c r="O57" s="1199">
        <f>SUM(I57:I60)/$N57</f>
        <v>0.72791466666666671</v>
      </c>
      <c r="P57" s="1199">
        <f>SUM(J57:J60)/$N57</f>
        <v>4.3861433333333338E-2</v>
      </c>
      <c r="Q57" s="1199">
        <f>SUM(K57:K60)/$N57</f>
        <v>0.15470736666666665</v>
      </c>
      <c r="R57" s="1199">
        <f>SUM(L57:L60)/$N57</f>
        <v>1.3510016666666669E-2</v>
      </c>
      <c r="S57" s="1199">
        <f>SUM(M57:M60)/$N57</f>
        <v>0.12130188888888886</v>
      </c>
      <c r="V57" s="3">
        <f ca="1">W56+V56</f>
        <v>47</v>
      </c>
      <c r="W57" s="3">
        <f ca="1">MATCH(BillQuantities!$E$28, INDIRECT("A"&amp;V57&amp;":A89"),0)+W56-1</f>
        <v>1</v>
      </c>
      <c r="X57" s="3" t="str" cm="1">
        <f t="array" aca="1" ref="X57" ca="1">INDEX(C47:C89, W57)</f>
        <v>Armierungsstahl (Bewehrungsgehalt 90 kg/m3) [kg]</v>
      </c>
    </row>
    <row r="58" spans="1:24">
      <c r="A58" s="483" t="str">
        <f>'Calcul ACV'!$C$57</f>
        <v>Plancher en éléments de bois (avec revêtement en plâtre en sous face)</v>
      </c>
      <c r="B58" s="1161"/>
      <c r="C58" s="3" t="s">
        <v>575</v>
      </c>
      <c r="D58" s="483" t="str">
        <f>VLOOKUP(F58,'Baumaterialien Matériaux'!$A$10:$AD$432,30,FALSE)</f>
        <v>Plaque de plâtre cartonnée</v>
      </c>
      <c r="E58" s="483" t="str">
        <f>VLOOKUP(F58,'Baumaterialien Matériaux'!$A$10:$AD$432,6,FALSE)</f>
        <v>kg</v>
      </c>
      <c r="F58" s="853" t="s">
        <v>107</v>
      </c>
      <c r="G58" s="484">
        <f>850*0.0125</f>
        <v>10.625</v>
      </c>
      <c r="H58" s="483"/>
      <c r="I58" s="484">
        <f>$G58*VLOOKUP(F58,'Baumaterialien Matériaux'!$A$10:$AD$432,21,FALSE)</f>
        <v>13.387499999999999</v>
      </c>
      <c r="J58" s="484">
        <f>G58*VLOOKUP(F58,'Baumaterialien Matériaux'!$A$10:$AD$432,24,FALSE)</f>
        <v>0.83087500000000003</v>
      </c>
      <c r="K58" s="484">
        <f>G58*VLOOKUP(F58,'Baumaterialien Matériaux'!$A$10:$AD$432,26,FALSE)</f>
        <v>3.0068749999999995</v>
      </c>
      <c r="L58" s="484">
        <f>G58*VLOOKUP(F58,'Baumaterialien Matériaux'!$A$10:$AD$432,27,FALSE)</f>
        <v>0.2008125</v>
      </c>
      <c r="M58" s="484">
        <f>G58*VLOOKUP(F58,'Baumaterialien Matériaux'!$A$10:$AD$432,29,FALSE)</f>
        <v>0.70124999999999993</v>
      </c>
      <c r="N58" s="483">
        <v>30</v>
      </c>
      <c r="O58" s="1199"/>
      <c r="P58" s="1199"/>
      <c r="Q58" s="1199"/>
      <c r="R58" s="1199"/>
      <c r="S58" s="1199"/>
      <c r="V58" s="3">
        <f t="shared" ref="V58:V63" ca="1" si="23">W57+V57-W56</f>
        <v>47</v>
      </c>
      <c r="W58" s="3">
        <f ca="1">MATCH(BillQuantities!$E$28, INDIRECT("A"&amp;V58&amp;":A89"),0)+W57-1</f>
        <v>1</v>
      </c>
      <c r="X58" s="3" t="str" cm="1">
        <f t="array" aca="1" ref="X58" ca="1">INDEX(C48:C90, W58)</f>
        <v>3-SP Schalung 2.5cm (Annahme 5xverwendet) [kg]</v>
      </c>
    </row>
    <row r="59" spans="1:24">
      <c r="A59" s="483" t="str">
        <f>'Calcul ACV'!$C$57</f>
        <v>Plancher en éléments de bois (avec revêtement en plâtre en sous face)</v>
      </c>
      <c r="B59" s="1161"/>
      <c r="C59" s="361" t="s">
        <v>576</v>
      </c>
      <c r="D59" s="483" t="str">
        <f>VLOOKUP(F59,'Baumaterialien Matériaux'!$A$10:$AD$432,30,FALSE)</f>
        <v>Enduit en plâtre et chaux</v>
      </c>
      <c r="E59" s="483" t="str">
        <f>VLOOKUP(F59,'Baumaterialien Matériaux'!$A$10:$AD$432,6,FALSE)</f>
        <v>kg</v>
      </c>
      <c r="F59" s="487" t="s">
        <v>577</v>
      </c>
      <c r="G59" s="484">
        <f>1400*0.004</f>
        <v>5.6000000000000005</v>
      </c>
      <c r="H59" s="483"/>
      <c r="I59" s="484">
        <f>$G59*VLOOKUP(F59,'Baumaterialien Matériaux'!$A$10:$AD$432,21,FALSE)</f>
        <v>3.4832000000000005</v>
      </c>
      <c r="J59" s="484">
        <f>G59*VLOOKUP(F59,'Baumaterialien Matériaux'!$A$10:$AD$432,24,FALSE)</f>
        <v>0.29511999999999999</v>
      </c>
      <c r="K59" s="484">
        <f>G59*VLOOKUP(F59,'Baumaterialien Matériaux'!$A$10:$AD$432,26,FALSE)</f>
        <v>0.81200000000000006</v>
      </c>
      <c r="L59" s="484">
        <f>G59*VLOOKUP(F59,'Baumaterialien Matériaux'!$A$10:$AD$432,27,FALSE)</f>
        <v>7.2240000000000013E-2</v>
      </c>
      <c r="M59" s="484">
        <f>G59*VLOOKUP(F59,'Baumaterialien Matériaux'!$A$10:$AD$432,29,FALSE)</f>
        <v>0</v>
      </c>
      <c r="N59" s="483">
        <v>30</v>
      </c>
      <c r="O59" s="1199"/>
      <c r="P59" s="1199"/>
      <c r="Q59" s="1199"/>
      <c r="R59" s="1199"/>
      <c r="S59" s="1199"/>
      <c r="V59" s="3">
        <f t="shared" ca="1" si="23"/>
        <v>47</v>
      </c>
      <c r="W59" s="3">
        <f ca="1">MATCH(BillQuantities!$E$28, INDIRECT("A"&amp;V59&amp;":A89"),0)+W58-1</f>
        <v>1</v>
      </c>
      <c r="X59" s="3" t="str" cm="1">
        <f t="array" aca="1" ref="X59" ca="1">INDEX(C49:C91, W59)</f>
        <v>Kalk-Zementgrundputz [kg]</v>
      </c>
    </row>
    <row r="60" spans="1:24">
      <c r="A60" s="483" t="str">
        <f>'Calcul ACV'!$C$57</f>
        <v>Plancher en éléments de bois (avec revêtement en plâtre en sous face)</v>
      </c>
      <c r="B60" s="1161"/>
      <c r="C60" s="361" t="s">
        <v>565</v>
      </c>
      <c r="D60" s="483" t="str">
        <f>VLOOKUP(F60,'Baumaterialien Matériaux'!$A$10:$AD$432,30,FALSE)</f>
        <v>Enduit, diluable à l'eau, 2 couches</v>
      </c>
      <c r="E60" s="483" t="str">
        <f>VLOOKUP(F60,'Baumaterialien Matériaux'!$A$10:$AD$432,6,FALSE)</f>
        <v>m2</v>
      </c>
      <c r="F60" s="488" t="s">
        <v>566</v>
      </c>
      <c r="G60" s="484">
        <v>1</v>
      </c>
      <c r="H60" s="483"/>
      <c r="I60" s="484">
        <f>$G60*VLOOKUP(F60,'Baumaterialien Matériaux'!$A$10:$AD$432,21,FALSE)</f>
        <v>4.1500000000000004</v>
      </c>
      <c r="J60" s="484">
        <f>G60*VLOOKUP(F60,'Baumaterialien Matériaux'!$A$10:$AD$432,24,FALSE)</f>
        <v>1.6799999999999999E-2</v>
      </c>
      <c r="K60" s="484">
        <f>G60*VLOOKUP(F60,'Baumaterialien Matériaux'!$A$10:$AD$432,26,FALSE)</f>
        <v>0.64600000000000002</v>
      </c>
      <c r="L60" s="484">
        <f>G60*VLOOKUP(F60,'Baumaterialien Matériaux'!$A$10:$AD$432,27,FALSE)</f>
        <v>5.62E-2</v>
      </c>
      <c r="M60" s="484">
        <f>G60*VLOOKUP(F60,'Baumaterialien Matériaux'!$A$10:$AD$432,29,FALSE)</f>
        <v>0</v>
      </c>
      <c r="N60" s="483">
        <v>30</v>
      </c>
      <c r="O60" s="1199"/>
      <c r="P60" s="1199"/>
      <c r="Q60" s="1199"/>
      <c r="R60" s="1199"/>
      <c r="S60" s="1199"/>
      <c r="V60" s="3">
        <f t="shared" ca="1" si="23"/>
        <v>47</v>
      </c>
      <c r="W60" s="3">
        <f ca="1">MATCH(BillQuantities!$E$28, INDIRECT("A"&amp;V60&amp;":A89"),0)+W59-1</f>
        <v>1</v>
      </c>
      <c r="X60" s="3" t="str" cm="1">
        <f t="array" aca="1" ref="X60" ca="1">INDEX(C50:C92, W60)</f>
        <v>Deckputz (Weissputz) [kg]</v>
      </c>
    </row>
    <row r="61" spans="1:24" ht="15">
      <c r="I61" s="485">
        <f>SUM(I54:I56)</f>
        <v>36.164160000000003</v>
      </c>
      <c r="J61" s="485">
        <f t="shared" ref="J61:M61" si="24">SUM(J54:J56)</f>
        <v>7.9516488000000001</v>
      </c>
      <c r="K61" s="485">
        <f t="shared" si="24"/>
        <v>6.9610400000000006</v>
      </c>
      <c r="L61" s="485">
        <f t="shared" si="24"/>
        <v>2.6946288000000003</v>
      </c>
      <c r="M61" s="485">
        <f t="shared" si="24"/>
        <v>68.898368000000005</v>
      </c>
      <c r="N61" s="483"/>
      <c r="O61" s="485">
        <f>SUM(O54:O60)</f>
        <v>1.3306506666666666</v>
      </c>
      <c r="P61" s="485">
        <f t="shared" ref="P61:R61" si="25">SUM(P54:P60)</f>
        <v>0.17638891333333334</v>
      </c>
      <c r="Q61" s="485">
        <f t="shared" si="25"/>
        <v>0.27072469999999998</v>
      </c>
      <c r="R61" s="485">
        <f t="shared" si="25"/>
        <v>5.8420496666666669E-2</v>
      </c>
      <c r="S61" s="485">
        <f t="shared" ref="S61" si="26">SUM(S54:S60)</f>
        <v>1.2696080222222221</v>
      </c>
      <c r="V61" s="3">
        <f t="shared" ca="1" si="23"/>
        <v>47</v>
      </c>
      <c r="W61" s="3">
        <f ca="1">MATCH(BillQuantities!$E$28, INDIRECT("A"&amp;V61&amp;":A89"),0)+W60-1</f>
        <v>1</v>
      </c>
      <c r="X61" s="3" t="str" cm="1">
        <f t="array" aca="1" ref="X61" ca="1">INDEX(C51:C93, W61)</f>
        <v>Wanddispersion [m2]</v>
      </c>
    </row>
    <row r="62" spans="1:24">
      <c r="A62" s="364" t="s">
        <v>751</v>
      </c>
      <c r="B62" s="364" t="s">
        <v>752</v>
      </c>
      <c r="V62" s="3">
        <f t="shared" ca="1" si="23"/>
        <v>47</v>
      </c>
      <c r="W62" s="3">
        <f ca="1">MATCH(BillQuantities!$E$28, INDIRECT("A"&amp;V62&amp;":A89"),0)+W61-1</f>
        <v>1</v>
      </c>
      <c r="X62" s="3" cm="1">
        <f t="array" aca="1" ref="X62" ca="1">INDEX(C52:C94, W62)</f>
        <v>0</v>
      </c>
    </row>
    <row r="63" spans="1:24">
      <c r="V63" s="3">
        <f t="shared" ca="1" si="23"/>
        <v>47</v>
      </c>
      <c r="W63" s="3">
        <f ca="1">MATCH(BillQuantities!$E$28, INDIRECT("A"&amp;V63&amp;":A89"),0)+W62-1</f>
        <v>1</v>
      </c>
      <c r="X63" s="3" cm="1">
        <f t="array" aca="1" ref="X63" ca="1">INDEX(C53:C95, W63)</f>
        <v>0</v>
      </c>
    </row>
    <row r="64" spans="1:24" ht="13.9" customHeight="1">
      <c r="A64" s="483" t="str">
        <f>'Calcul ACV'!$C$58</f>
        <v>Système mixte bois-béton (avec revêtement en plâtre en sous face)</v>
      </c>
      <c r="B64" s="1182" t="s">
        <v>753</v>
      </c>
      <c r="C64" s="483" t="s">
        <v>754</v>
      </c>
      <c r="D64" s="483" t="str">
        <f>VLOOKUP(F64,'Baumaterialien Matériaux'!$A$10:$AD$432,30,FALSE)</f>
        <v>Béton pour bâtiment (sans armature)</v>
      </c>
      <c r="E64" s="483" t="str">
        <f>VLOOKUP(F64,'Baumaterialien Matériaux'!$A$10:$AD$432,6,FALSE)</f>
        <v>kg</v>
      </c>
      <c r="F64" s="862">
        <v>1.0019999999999998</v>
      </c>
      <c r="G64" s="484">
        <f>0.09*(1-30/7850)*2300</f>
        <v>206.20891719745222</v>
      </c>
      <c r="H64" s="483"/>
      <c r="I64" s="484">
        <f>$G64*VLOOKUP(F64,'Baumaterialien Matériaux'!$A$10:$AD$432,21,FALSE)</f>
        <v>25.569905732484074</v>
      </c>
      <c r="J64" s="484">
        <f>G64*VLOOKUP(F64,'Baumaterialien Matériaux'!$A$10:$AD$432,24,FALSE)</f>
        <v>10.640380127388534</v>
      </c>
      <c r="K64" s="484">
        <f>G64*VLOOKUP(F64,'Baumaterialien Matériaux'!$A$10:$AD$432,26,FALSE)</f>
        <v>18.311351847133757</v>
      </c>
      <c r="L64" s="484">
        <f>G64*VLOOKUP(F64,'Baumaterialien Matériaux'!$A$10:$AD$432,27,FALSE)</f>
        <v>2.618853248407643</v>
      </c>
      <c r="M64" s="484">
        <f>G64*VLOOKUP(F64,'Baumaterialien Matériaux'!$A$10:$AD$432,29,FALSE)</f>
        <v>0</v>
      </c>
      <c r="N64" s="1198">
        <v>60</v>
      </c>
      <c r="O64" s="1199">
        <f>SUM(I64:I66)/$N64</f>
        <v>1.0908659288747347</v>
      </c>
      <c r="P64" s="1199">
        <f>SUM(J64:J66)/$N64</f>
        <v>0.27336000212314221</v>
      </c>
      <c r="Q64" s="1199">
        <f>SUM(K64:K66)/$N64</f>
        <v>0.46820994745222932</v>
      </c>
      <c r="R64" s="1199">
        <f>SUM(L64:L66)/$N64</f>
        <v>8.5398220806794059E-2</v>
      </c>
      <c r="S64" s="1199">
        <f>SUM(M64:M66)/$N64</f>
        <v>1.5913119444444443</v>
      </c>
    </row>
    <row r="65" spans="1:19">
      <c r="A65" s="483" t="str">
        <f>'Calcul ACV'!$C$58</f>
        <v>Système mixte bois-béton (avec revêtement en plâtre en sous face)</v>
      </c>
      <c r="B65" s="1182"/>
      <c r="C65" s="483" t="s">
        <v>559</v>
      </c>
      <c r="D65" s="483" t="str">
        <f>VLOOKUP(F65,'Baumaterialien Matériaux'!$A$10:$AD$432,30,FALSE)</f>
        <v>Acier d'armature</v>
      </c>
      <c r="E65" s="483" t="str">
        <f>VLOOKUP(F65,'Baumaterialien Matériaux'!$A$10:$AD$432,6,FALSE)</f>
        <v>kg</v>
      </c>
      <c r="F65" s="486" t="s">
        <v>497</v>
      </c>
      <c r="G65" s="484">
        <v>2.7</v>
      </c>
      <c r="H65" s="483"/>
      <c r="I65" s="484">
        <f>$G65*VLOOKUP(F65,'Baumaterialien Matériaux'!$A$10:$AD$432,21,FALSE)</f>
        <v>13.338000000000003</v>
      </c>
      <c r="J65" s="484">
        <f>G65*VLOOKUP(F65,'Baumaterialien Matériaux'!$A$10:$AD$432,24,FALSE)</f>
        <v>0.13716</v>
      </c>
      <c r="K65" s="484">
        <f>G65*VLOOKUP(F65,'Baumaterialien Matériaux'!$A$10:$AD$432,26,FALSE)</f>
        <v>4.0500000000000007</v>
      </c>
      <c r="L65" s="484">
        <f>G65*VLOOKUP(F65,'Baumaterialien Matériaux'!$A$10:$AD$432,27,FALSE)</f>
        <v>3.3480000000000003E-2</v>
      </c>
      <c r="M65" s="484">
        <f>G65*VLOOKUP(F65,'Baumaterialien Matériaux'!$A$10:$AD$432,29,FALSE)</f>
        <v>0</v>
      </c>
      <c r="N65" s="1198"/>
      <c r="O65" s="1199"/>
      <c r="P65" s="1199"/>
      <c r="Q65" s="1199"/>
      <c r="R65" s="1199"/>
      <c r="S65" s="1199"/>
    </row>
    <row r="66" spans="1:19">
      <c r="A66" s="483" t="str">
        <f>'Calcul ACV'!$C$58</f>
        <v>Système mixte bois-béton (avec revêtement en plâtre en sous face)</v>
      </c>
      <c r="B66" s="1182"/>
      <c r="C66" s="483" t="s">
        <v>572</v>
      </c>
      <c r="D66" s="483" t="str">
        <f>VLOOKUP(F66,'Baumaterialien Matériaux'!$A$10:$AD$432,30,FALSE)</f>
        <v>Bois massif épicéa / sapin / mélèze, séché à l'air, brut</v>
      </c>
      <c r="E66" s="483" t="str">
        <f>VLOOKUP(F66,'Baumaterialien Matériaux'!$A$10:$AD$432,6,FALSE)</f>
        <v>kg</v>
      </c>
      <c r="F66" s="486" t="s">
        <v>573</v>
      </c>
      <c r="G66" s="484">
        <f>0.13*485</f>
        <v>63.050000000000004</v>
      </c>
      <c r="H66" s="483"/>
      <c r="I66" s="484">
        <f>$G66*VLOOKUP(F66,'Baumaterialien Matériaux'!$A$10:$AD$432,21,FALSE)</f>
        <v>26.544050000000002</v>
      </c>
      <c r="J66" s="484">
        <f>G66*VLOOKUP(F66,'Baumaterialien Matériaux'!$A$10:$AD$432,24,FALSE)</f>
        <v>5.6240600000000001</v>
      </c>
      <c r="K66" s="484">
        <f>G66*VLOOKUP(F66,'Baumaterialien Matériaux'!$A$10:$AD$432,26,FALSE)</f>
        <v>5.7312450000000004</v>
      </c>
      <c r="L66" s="484">
        <f>G66*VLOOKUP(F66,'Baumaterialien Matériaux'!$A$10:$AD$432,27,FALSE)</f>
        <v>2.4715600000000002</v>
      </c>
      <c r="M66" s="484">
        <f>G66*VLOOKUP(F66,'Baumaterialien Matériaux'!$A$10:$AD$432,29,FALSE)</f>
        <v>95.478716666666656</v>
      </c>
      <c r="N66" s="1198"/>
      <c r="O66" s="1199"/>
      <c r="P66" s="1199"/>
      <c r="Q66" s="1199"/>
      <c r="R66" s="1199"/>
      <c r="S66" s="1199"/>
    </row>
    <row r="67" spans="1:19">
      <c r="A67" s="483" t="str">
        <f>'Calcul ACV'!$C$58</f>
        <v>Système mixte bois-béton (avec revêtement en plâtre en sous face)</v>
      </c>
      <c r="B67" s="1161" t="s">
        <v>574</v>
      </c>
      <c r="C67" s="361" t="s">
        <v>572</v>
      </c>
      <c r="D67" s="483" t="str">
        <f>VLOOKUP(F67,'Baumaterialien Matériaux'!$A$10:$AD$432,30,FALSE)</f>
        <v>Bois massif épicéa / sapin / mélèze, séché à l'air, brut</v>
      </c>
      <c r="E67" s="483" t="str">
        <f>VLOOKUP(F67,'Baumaterialien Matériaux'!$A$10:$AD$432,6,FALSE)</f>
        <v>kg</v>
      </c>
      <c r="F67" s="483" t="s">
        <v>573</v>
      </c>
      <c r="G67" s="484">
        <f>1/0.6*0.04*0.06*485</f>
        <v>1.94</v>
      </c>
      <c r="H67" s="483"/>
      <c r="I67" s="484">
        <f>$G67*VLOOKUP(F67,'Baumaterialien Matériaux'!$A$10:$AD$432,21,FALSE)</f>
        <v>0.81673999999999991</v>
      </c>
      <c r="J67" s="484">
        <f>G67*VLOOKUP(F67,'Baumaterialien Matériaux'!$A$10:$AD$432,24,FALSE)</f>
        <v>0.17304800000000001</v>
      </c>
      <c r="K67" s="484">
        <f>G67*VLOOKUP(F67,'Baumaterialien Matériaux'!$A$10:$AD$432,26,FALSE)</f>
        <v>0.17634599999999997</v>
      </c>
      <c r="L67" s="484">
        <f>G67*VLOOKUP(F67,'Baumaterialien Matériaux'!$A$10:$AD$432,27,FALSE)</f>
        <v>7.6047999999999991E-2</v>
      </c>
      <c r="M67" s="484">
        <f>G67*VLOOKUP(F67,'Baumaterialien Matériaux'!$A$10:$AD$432,29,FALSE)</f>
        <v>2.937806666666666</v>
      </c>
      <c r="N67" s="1198">
        <v>30</v>
      </c>
      <c r="O67" s="1199">
        <f>SUM(I67:I70)/$N67</f>
        <v>0.72791466666666671</v>
      </c>
      <c r="P67" s="1199">
        <f t="shared" ref="P67" si="27">SUM(J67:J70)/$N67</f>
        <v>4.3861433333333338E-2</v>
      </c>
      <c r="Q67" s="1199">
        <f t="shared" ref="Q67" si="28">SUM(K67:K70)/$N67</f>
        <v>0.15470736666666665</v>
      </c>
      <c r="R67" s="1199">
        <f t="shared" ref="R67:S67" si="29">SUM(L67:L70)/$N67</f>
        <v>1.3510016666666669E-2</v>
      </c>
      <c r="S67" s="1199">
        <f t="shared" si="29"/>
        <v>0.12130188888888886</v>
      </c>
    </row>
    <row r="68" spans="1:19">
      <c r="A68" s="483" t="str">
        <f>'Calcul ACV'!$C$58</f>
        <v>Système mixte bois-béton (avec revêtement en plâtre en sous face)</v>
      </c>
      <c r="B68" s="1161"/>
      <c r="C68" s="3" t="s">
        <v>575</v>
      </c>
      <c r="D68" s="483" t="str">
        <f>VLOOKUP(F68,'Baumaterialien Matériaux'!$A$10:$AD$432,30,FALSE)</f>
        <v>Plaque de plâtre cartonnée</v>
      </c>
      <c r="E68" s="483" t="str">
        <f>VLOOKUP(F68,'Baumaterialien Matériaux'!$A$10:$AD$432,6,FALSE)</f>
        <v>kg</v>
      </c>
      <c r="F68" s="853" t="s">
        <v>107</v>
      </c>
      <c r="G68" s="484">
        <f>850*0.0125</f>
        <v>10.625</v>
      </c>
      <c r="H68" s="483"/>
      <c r="I68" s="484">
        <f>$G68*VLOOKUP(F68,'Baumaterialien Matériaux'!$A$10:$AD$432,21,FALSE)</f>
        <v>13.387499999999999</v>
      </c>
      <c r="J68" s="484">
        <f>G68*VLOOKUP(F68,'Baumaterialien Matériaux'!$A$10:$AD$432,24,FALSE)</f>
        <v>0.83087500000000003</v>
      </c>
      <c r="K68" s="484">
        <f>G68*VLOOKUP(F68,'Baumaterialien Matériaux'!$A$10:$AD$432,26,FALSE)</f>
        <v>3.0068749999999995</v>
      </c>
      <c r="L68" s="484">
        <f>G68*VLOOKUP(F68,'Baumaterialien Matériaux'!$A$10:$AD$432,27,FALSE)</f>
        <v>0.2008125</v>
      </c>
      <c r="M68" s="484">
        <f>G68*VLOOKUP(F68,'Baumaterialien Matériaux'!$A$10:$AD$432,29,FALSE)</f>
        <v>0.70124999999999993</v>
      </c>
      <c r="N68" s="1198"/>
      <c r="O68" s="1199"/>
      <c r="P68" s="1199"/>
      <c r="Q68" s="1199"/>
      <c r="R68" s="1199"/>
      <c r="S68" s="1199"/>
    </row>
    <row r="69" spans="1:19">
      <c r="A69" s="483" t="str">
        <f>'Calcul ACV'!$C$58</f>
        <v>Système mixte bois-béton (avec revêtement en plâtre en sous face)</v>
      </c>
      <c r="B69" s="1161"/>
      <c r="C69" s="361" t="s">
        <v>576</v>
      </c>
      <c r="D69" s="483" t="str">
        <f>VLOOKUP(F69,'Baumaterialien Matériaux'!$A$10:$AD$432,30,FALSE)</f>
        <v>Enduit en plâtre et chaux</v>
      </c>
      <c r="E69" s="483" t="str">
        <f>VLOOKUP(F69,'Baumaterialien Matériaux'!$A$10:$AD$432,6,FALSE)</f>
        <v>kg</v>
      </c>
      <c r="F69" s="487" t="s">
        <v>577</v>
      </c>
      <c r="G69" s="484">
        <f>1400*0.004</f>
        <v>5.6000000000000005</v>
      </c>
      <c r="H69" s="483"/>
      <c r="I69" s="484">
        <f>$G69*VLOOKUP(F69,'Baumaterialien Matériaux'!$A$10:$AD$432,21,FALSE)</f>
        <v>3.4832000000000005</v>
      </c>
      <c r="J69" s="484">
        <f>G69*VLOOKUP(F69,'Baumaterialien Matériaux'!$A$10:$AD$432,24,FALSE)</f>
        <v>0.29511999999999999</v>
      </c>
      <c r="K69" s="484">
        <f>G69*VLOOKUP(F69,'Baumaterialien Matériaux'!$A$10:$AD$432,26,FALSE)</f>
        <v>0.81200000000000006</v>
      </c>
      <c r="L69" s="484">
        <f>G69*VLOOKUP(F69,'Baumaterialien Matériaux'!$A$10:$AD$432,27,FALSE)</f>
        <v>7.2240000000000013E-2</v>
      </c>
      <c r="M69" s="484">
        <f>G69*VLOOKUP(F69,'Baumaterialien Matériaux'!$A$10:$AD$432,29,FALSE)</f>
        <v>0</v>
      </c>
      <c r="N69" s="1198"/>
      <c r="O69" s="1199"/>
      <c r="P69" s="1199"/>
      <c r="Q69" s="1199"/>
      <c r="R69" s="1199"/>
      <c r="S69" s="1199"/>
    </row>
    <row r="70" spans="1:19">
      <c r="A70" s="483" t="str">
        <f>'Calcul ACV'!$C$58</f>
        <v>Système mixte bois-béton (avec revêtement en plâtre en sous face)</v>
      </c>
      <c r="B70" s="1161"/>
      <c r="C70" s="361" t="s">
        <v>565</v>
      </c>
      <c r="D70" s="483" t="str">
        <f>VLOOKUP(F70,'Baumaterialien Matériaux'!$A$10:$AD$432,30,FALSE)</f>
        <v>Enduit, diluable à l'eau, 2 couches</v>
      </c>
      <c r="E70" s="483" t="str">
        <f>VLOOKUP(F70,'Baumaterialien Matériaux'!$A$10:$AD$432,6,FALSE)</f>
        <v>m2</v>
      </c>
      <c r="F70" s="488" t="s">
        <v>566</v>
      </c>
      <c r="G70" s="484">
        <v>1</v>
      </c>
      <c r="H70" s="483"/>
      <c r="I70" s="484">
        <f>$G70*VLOOKUP(F70,'Baumaterialien Matériaux'!$A$10:$AD$432,21,FALSE)</f>
        <v>4.1500000000000004</v>
      </c>
      <c r="J70" s="484">
        <f>G70*VLOOKUP(F70,'Baumaterialien Matériaux'!$A$10:$AD$432,24,FALSE)</f>
        <v>1.6799999999999999E-2</v>
      </c>
      <c r="K70" s="484">
        <f>G70*VLOOKUP(F70,'Baumaterialien Matériaux'!$A$10:$AD$432,26,FALSE)</f>
        <v>0.64600000000000002</v>
      </c>
      <c r="L70" s="484">
        <f>G70*VLOOKUP(F70,'Baumaterialien Matériaux'!$A$10:$AD$432,27,FALSE)</f>
        <v>5.62E-2</v>
      </c>
      <c r="M70" s="484">
        <f>G70*VLOOKUP(F70,'Baumaterialien Matériaux'!$A$10:$AD$432,29,FALSE)</f>
        <v>0</v>
      </c>
      <c r="N70" s="1198"/>
      <c r="O70" s="1199"/>
      <c r="P70" s="1199"/>
      <c r="Q70" s="1199"/>
      <c r="R70" s="1199"/>
      <c r="S70" s="1199"/>
    </row>
    <row r="71" spans="1:19" ht="15">
      <c r="I71" s="485">
        <f>SUM(I64:I66)</f>
        <v>65.45195573248408</v>
      </c>
      <c r="J71" s="485">
        <f t="shared" ref="J71:M71" si="30">SUM(J64:J66)</f>
        <v>16.401600127388534</v>
      </c>
      <c r="K71" s="485">
        <f t="shared" si="30"/>
        <v>28.092596847133759</v>
      </c>
      <c r="L71" s="485">
        <f t="shared" si="30"/>
        <v>5.1238932484076436</v>
      </c>
      <c r="M71" s="485">
        <f t="shared" si="30"/>
        <v>95.478716666666656</v>
      </c>
      <c r="N71" s="483"/>
      <c r="O71" s="485">
        <f>SUM(O64:O70)</f>
        <v>1.8187805955414014</v>
      </c>
      <c r="P71" s="485">
        <f t="shared" ref="P71:R71" si="31">SUM(P64:P70)</f>
        <v>0.31722143545647552</v>
      </c>
      <c r="Q71" s="485">
        <f t="shared" si="31"/>
        <v>0.62291731411889595</v>
      </c>
      <c r="R71" s="485">
        <f t="shared" si="31"/>
        <v>9.8908237473460725E-2</v>
      </c>
      <c r="S71" s="485">
        <f t="shared" ref="S71" si="32">SUM(S64:S70)</f>
        <v>1.7126138333333332</v>
      </c>
    </row>
    <row r="73" spans="1:19" ht="15">
      <c r="A73" s="1162" t="s">
        <v>755</v>
      </c>
      <c r="B73" s="1163" t="s">
        <v>418</v>
      </c>
      <c r="C73" s="483" t="s">
        <v>756</v>
      </c>
      <c r="D73" s="483" t="str">
        <f>VLOOKUP(F73,'Baumaterialien Matériaux'!$A$10:$AD$432,30,FALSE)</f>
        <v>Laine de verre</v>
      </c>
      <c r="E73" s="483" t="str">
        <f>VLOOKUP(F73,'Baumaterialien Matériaux'!$A$10:$AD$432,6,FALSE)</f>
        <v>kg</v>
      </c>
      <c r="F73" s="486" t="s">
        <v>130</v>
      </c>
      <c r="G73" s="484">
        <f>0.12*50</f>
        <v>6</v>
      </c>
      <c r="H73" s="483"/>
      <c r="I73" s="484">
        <f>$G73*VLOOKUP(F73,'Baumaterialien Matériaux'!$A$10:$AD$432,21,FALSE)</f>
        <v>31.98</v>
      </c>
      <c r="J73" s="484">
        <f>G73*VLOOKUP(F73,'Baumaterialien Matériaux'!$A$10:$AD$432,24,FALSE)</f>
        <v>0.79800000000000004</v>
      </c>
      <c r="K73" s="484">
        <f>G73*VLOOKUP(F73,'Baumaterialien Matériaux'!$A$10:$AD$432,26,FALSE)</f>
        <v>6.24</v>
      </c>
      <c r="L73" s="484">
        <f>G73*VLOOKUP(F73,'Baumaterialien Matériaux'!$A$10:$AD$432,27,FALSE)</f>
        <v>0.35760000000000003</v>
      </c>
      <c r="M73" s="484">
        <f>G73*VLOOKUP(F73,'Baumaterialien Matériaux'!$A$10:$AD$432,29,FALSE)</f>
        <v>0</v>
      </c>
      <c r="N73" s="843">
        <v>30</v>
      </c>
      <c r="O73" s="856"/>
      <c r="P73" s="856"/>
      <c r="Q73" s="856"/>
      <c r="R73" s="856"/>
      <c r="S73" s="383"/>
    </row>
    <row r="74" spans="1:19" ht="15">
      <c r="A74" s="1162"/>
      <c r="B74" s="1165"/>
      <c r="C74" s="483" t="s">
        <v>757</v>
      </c>
      <c r="D74" s="483" t="str">
        <f>VLOOKUP(F74,'Baumaterialien Matériaux'!$A$10:$AD$432,30,FALSE)</f>
        <v>Voile de polyéthylène (PE)</v>
      </c>
      <c r="E74" s="483" t="str">
        <f>VLOOKUP(F74,'Baumaterialien Matériaux'!$A$10:$AD$432,6,FALSE)</f>
        <v>kg</v>
      </c>
      <c r="F74" s="486" t="s">
        <v>528</v>
      </c>
      <c r="G74" s="484">
        <v>0.15</v>
      </c>
      <c r="H74" s="483"/>
      <c r="I74" s="484">
        <f>$G74*VLOOKUP(F74,'Baumaterialien Matériaux'!$A$10:$AD$432,21,FALSE)</f>
        <v>3.8549999999999995</v>
      </c>
      <c r="J74" s="484">
        <f>G74*VLOOKUP(F74,'Baumaterialien Matériaux'!$A$10:$AD$432,24,FALSE)</f>
        <v>3.15E-2</v>
      </c>
      <c r="K74" s="484">
        <f>G74*VLOOKUP(F74,'Baumaterialien Matériaux'!$A$10:$AD$432,26,FALSE)</f>
        <v>0.44400000000000001</v>
      </c>
      <c r="L74" s="484">
        <f>G74*VLOOKUP(F74,'Baumaterialien Matériaux'!$A$10:$AD$432,27,FALSE)</f>
        <v>0.40049999999999997</v>
      </c>
      <c r="M74" s="484">
        <f>G74*VLOOKUP(F74,'Baumaterialien Matériaux'!$A$10:$AD$432,29,FALSE)</f>
        <v>0</v>
      </c>
      <c r="N74" s="843">
        <v>30</v>
      </c>
      <c r="O74" s="856"/>
      <c r="P74" s="856"/>
      <c r="Q74" s="856"/>
      <c r="R74" s="856"/>
      <c r="S74" s="383"/>
    </row>
    <row r="75" spans="1:19" ht="15">
      <c r="G75" s="208"/>
      <c r="I75" s="485">
        <f>SUM(I73:I74)</f>
        <v>35.835000000000001</v>
      </c>
      <c r="J75" s="485">
        <f t="shared" ref="J75:M75" si="33">SUM(J73:J74)</f>
        <v>0.82950000000000002</v>
      </c>
      <c r="K75" s="485">
        <f t="shared" si="33"/>
        <v>6.6840000000000002</v>
      </c>
      <c r="L75" s="485">
        <f t="shared" si="33"/>
        <v>0.7581</v>
      </c>
      <c r="M75" s="485">
        <f t="shared" si="33"/>
        <v>0</v>
      </c>
      <c r="N75" s="843">
        <v>30</v>
      </c>
      <c r="O75" s="485">
        <f>I75/$N75</f>
        <v>1.1945000000000001</v>
      </c>
      <c r="P75" s="485">
        <f>J75/$N75</f>
        <v>2.7650000000000001E-2</v>
      </c>
      <c r="Q75" s="485">
        <f>K75/$N75</f>
        <v>0.2228</v>
      </c>
      <c r="R75" s="485">
        <f>L75/$N75</f>
        <v>2.5270000000000001E-2</v>
      </c>
      <c r="S75" s="485">
        <f>M75/$N75</f>
        <v>0</v>
      </c>
    </row>
    <row r="76" spans="1:19">
      <c r="G76" s="208"/>
    </row>
    <row r="77" spans="1:19" ht="42" customHeight="1">
      <c r="A77" s="1161" t="s">
        <v>758</v>
      </c>
      <c r="B77" s="1161" t="s">
        <v>759</v>
      </c>
      <c r="C77" s="483" t="s">
        <v>760</v>
      </c>
      <c r="D77" s="483" t="str">
        <f>VLOOKUP(F77,'Baumaterialien Matériaux'!$A$10:$AD$432,30,FALSE)</f>
        <v>Plaque de plâtre armé de fibres</v>
      </c>
      <c r="E77" s="483" t="str">
        <f>VLOOKUP(F77,'Baumaterialien Matériaux'!$A$10:$AD$432,6,FALSE)</f>
        <v>kg</v>
      </c>
      <c r="F77" s="486" t="s">
        <v>739</v>
      </c>
      <c r="G77" s="484">
        <v>18.75</v>
      </c>
      <c r="H77" s="483"/>
      <c r="I77" s="484">
        <f>$G77*VLOOKUP(F77,'Baumaterialien Matériaux'!$A$10:$AD$432,21,FALSE)</f>
        <v>45</v>
      </c>
      <c r="J77" s="484">
        <f>G77*VLOOKUP(F77,'Baumaterialien Matériaux'!$A$10:$AD$432,24,FALSE)</f>
        <v>1.471875</v>
      </c>
      <c r="K77" s="484">
        <f>G77*VLOOKUP(F77,'Baumaterialien Matériaux'!$A$10:$AD$432,26,FALSE)</f>
        <v>10.012500000000001</v>
      </c>
      <c r="L77" s="484">
        <f>G77*VLOOKUP(F77,'Baumaterialien Matériaux'!$A$10:$AD$432,27,FALSE)</f>
        <v>0.35250000000000004</v>
      </c>
      <c r="M77" s="484">
        <f>G77*VLOOKUP(F77,'Baumaterialien Matériaux'!$A$10:$AD$432,29,FALSE)</f>
        <v>3.086875</v>
      </c>
      <c r="N77" s="1184"/>
      <c r="O77" s="1184"/>
      <c r="P77" s="1184"/>
      <c r="Q77" s="1184"/>
      <c r="R77" s="1184"/>
      <c r="S77" s="383"/>
    </row>
    <row r="78" spans="1:19">
      <c r="A78" s="1161"/>
      <c r="B78" s="1161"/>
      <c r="C78" s="483" t="s">
        <v>617</v>
      </c>
      <c r="D78" s="483" t="str">
        <f>VLOOKUP(F78,'Baumaterialien Matériaux'!$A$10:$AD$432,30,FALSE)</f>
        <v>Profil en acier, nu</v>
      </c>
      <c r="E78" s="483" t="str">
        <f>VLOOKUP(F78,'Baumaterialien Matériaux'!$A$10:$AD$432,6,FALSE)</f>
        <v>kg</v>
      </c>
      <c r="F78" s="486" t="s">
        <v>681</v>
      </c>
      <c r="G78" s="484">
        <v>2.2000000000000002</v>
      </c>
      <c r="H78" s="483"/>
      <c r="I78" s="484">
        <f>$G78*VLOOKUP(F78,'Baumaterialien Matériaux'!$A$10:$AD$432,21,FALSE)</f>
        <v>7.370000000000001</v>
      </c>
      <c r="J78" s="484">
        <f>G78*VLOOKUP(F78,'Baumaterialien Matériaux'!$A$10:$AD$432,24,FALSE)</f>
        <v>6.0060000000000009E-2</v>
      </c>
      <c r="K78" s="484">
        <f>G78*VLOOKUP(F78,'Baumaterialien Matériaux'!$A$10:$AD$432,26,FALSE)</f>
        <v>1.6082000000000001</v>
      </c>
      <c r="L78" s="484">
        <f>G78*VLOOKUP(F78,'Baumaterialien Matériaux'!$A$10:$AD$432,27,FALSE)</f>
        <v>1.5378000000000001E-2</v>
      </c>
      <c r="M78" s="484">
        <f>G78*VLOOKUP(F78,'Baumaterialien Matériaux'!$A$10:$AD$432,29,FALSE)</f>
        <v>0</v>
      </c>
      <c r="N78" s="1184"/>
      <c r="O78" s="1184"/>
      <c r="P78" s="1184"/>
      <c r="Q78" s="1184"/>
      <c r="R78" s="1184"/>
      <c r="S78" s="383"/>
    </row>
    <row r="79" spans="1:19">
      <c r="A79" s="1161"/>
      <c r="B79" s="1161"/>
      <c r="C79" s="483" t="s">
        <v>576</v>
      </c>
      <c r="D79" s="483" t="str">
        <f>VLOOKUP(F79,'Baumaterialien Matériaux'!$A$10:$AD$432,30,FALSE)</f>
        <v>Enduit en plâtre et chaux</v>
      </c>
      <c r="E79" s="483" t="str">
        <f>VLOOKUP(F79,'Baumaterialien Matériaux'!$A$10:$AD$432,6,FALSE)</f>
        <v>kg</v>
      </c>
      <c r="F79" s="487" t="s">
        <v>577</v>
      </c>
      <c r="G79" s="484">
        <f>1400*0.004</f>
        <v>5.6000000000000005</v>
      </c>
      <c r="I79" s="484">
        <f>$G79*VLOOKUP(F79,'Baumaterialien Matériaux'!$A$10:$AD$432,21,FALSE)</f>
        <v>3.4832000000000005</v>
      </c>
      <c r="J79" s="484">
        <f>G79*VLOOKUP(F79,'Baumaterialien Matériaux'!$A$10:$AD$432,24,FALSE)</f>
        <v>0.29511999999999999</v>
      </c>
      <c r="K79" s="484">
        <f>G79*VLOOKUP(F79,'Baumaterialien Matériaux'!$A$10:$AD$432,26,FALSE)</f>
        <v>0.81200000000000006</v>
      </c>
      <c r="L79" s="484">
        <f>G79*VLOOKUP(F79,'Baumaterialien Matériaux'!$A$10:$AD$432,27,FALSE)</f>
        <v>7.2240000000000013E-2</v>
      </c>
      <c r="M79" s="484">
        <f>G79*VLOOKUP(F79,'Baumaterialien Matériaux'!$A$10:$AD$432,29,FALSE)</f>
        <v>0</v>
      </c>
      <c r="N79" s="1184"/>
      <c r="O79" s="1184"/>
      <c r="P79" s="1184"/>
      <c r="Q79" s="1184"/>
      <c r="R79" s="1184"/>
      <c r="S79" s="383"/>
    </row>
    <row r="80" spans="1:19">
      <c r="A80" s="1161"/>
      <c r="B80" s="1161"/>
      <c r="C80" s="483" t="s">
        <v>565</v>
      </c>
      <c r="D80" s="483" t="str">
        <f>VLOOKUP(F80,'Baumaterialien Matériaux'!$A$10:$AD$432,30,FALSE)</f>
        <v>Enduit, diluable à l'eau, 2 couches</v>
      </c>
      <c r="E80" s="483" t="str">
        <f>VLOOKUP(F80,'Baumaterialien Matériaux'!$A$10:$AD$432,6,FALSE)</f>
        <v>m2</v>
      </c>
      <c r="F80" s="488" t="s">
        <v>566</v>
      </c>
      <c r="G80" s="484">
        <v>1</v>
      </c>
      <c r="I80" s="484">
        <f>$G80*VLOOKUP(F80,'Baumaterialien Matériaux'!$A$10:$AD$432,21,FALSE)</f>
        <v>4.1500000000000004</v>
      </c>
      <c r="J80" s="484">
        <f>G80*VLOOKUP(F80,'Baumaterialien Matériaux'!$A$10:$AD$432,24,FALSE)</f>
        <v>1.6799999999999999E-2</v>
      </c>
      <c r="K80" s="484">
        <f>G80*VLOOKUP(F80,'Baumaterialien Matériaux'!$A$10:$AD$432,26,FALSE)</f>
        <v>0.64600000000000002</v>
      </c>
      <c r="L80" s="484">
        <f>G80*VLOOKUP(F80,'Baumaterialien Matériaux'!$A$10:$AD$432,27,FALSE)</f>
        <v>5.62E-2</v>
      </c>
      <c r="M80" s="484">
        <f>G80*VLOOKUP(F80,'Baumaterialien Matériaux'!$A$10:$AD$432,29,FALSE)</f>
        <v>0</v>
      </c>
      <c r="N80" s="1184"/>
      <c r="O80" s="1184"/>
      <c r="P80" s="1184"/>
      <c r="Q80" s="1184"/>
      <c r="R80" s="1184"/>
      <c r="S80" s="383"/>
    </row>
    <row r="81" spans="1:24" ht="15">
      <c r="G81" s="208"/>
      <c r="I81" s="485">
        <f>SUM(I77:I80)</f>
        <v>60.003200000000007</v>
      </c>
      <c r="J81" s="485">
        <f t="shared" ref="J81:M81" si="34">SUM(J77:J80)</f>
        <v>1.843855</v>
      </c>
      <c r="K81" s="485">
        <f t="shared" si="34"/>
        <v>13.078700000000001</v>
      </c>
      <c r="L81" s="485">
        <f t="shared" si="34"/>
        <v>0.49631800000000004</v>
      </c>
      <c r="M81" s="485">
        <f t="shared" si="34"/>
        <v>3.086875</v>
      </c>
      <c r="N81" s="843">
        <v>30</v>
      </c>
      <c r="O81" s="485">
        <f>I81/$N81</f>
        <v>2.0001066666666669</v>
      </c>
      <c r="P81" s="485">
        <f>J81/$N81</f>
        <v>6.1461833333333334E-2</v>
      </c>
      <c r="Q81" s="485">
        <f>K81/$N81</f>
        <v>0.43595666666666671</v>
      </c>
      <c r="R81" s="485">
        <f>L81/$N81</f>
        <v>1.6543933333333333E-2</v>
      </c>
      <c r="S81" s="485">
        <f>M81/$N81</f>
        <v>0.10289583333333334</v>
      </c>
    </row>
    <row r="82" spans="1:24" ht="15">
      <c r="G82" s="208"/>
      <c r="I82" s="353"/>
      <c r="J82" s="353"/>
      <c r="K82" s="353"/>
      <c r="L82" s="353"/>
      <c r="M82" s="353"/>
    </row>
    <row r="83" spans="1:24" ht="14.1" customHeight="1">
      <c r="A83" s="1163" t="s">
        <v>761</v>
      </c>
      <c r="B83" s="1163" t="s">
        <v>762</v>
      </c>
      <c r="C83" s="483" t="s">
        <v>763</v>
      </c>
      <c r="D83" s="483" t="str">
        <f>VLOOKUP(F83,'Baumaterialien Matériaux'!$A$10:$AD$432,30,FALSE)</f>
        <v>Tôle d'acier, zinguée</v>
      </c>
      <c r="E83" s="483" t="str">
        <f>VLOOKUP(F83,'Baumaterialien Matériaux'!$A$10:$AD$432,6,FALSE)</f>
        <v>kg</v>
      </c>
      <c r="F83" s="486" t="s">
        <v>618</v>
      </c>
      <c r="G83" s="484">
        <f>0.0006*7850</f>
        <v>4.71</v>
      </c>
      <c r="H83" s="483"/>
      <c r="I83" s="484">
        <f>$G83*VLOOKUP(F83,'Baumaterialien Matériaux'!$A$10:$AD$432,21,FALSE)</f>
        <v>73.475999999999999</v>
      </c>
      <c r="J83" s="484">
        <f>G83*VLOOKUP(F83,'Baumaterialien Matériaux'!$A$10:$AD$432,24,FALSE)</f>
        <v>0.128583</v>
      </c>
      <c r="K83" s="484">
        <f>G83*VLOOKUP(F83,'Baumaterialien Matériaux'!$A$10:$AD$432,26,FALSE)</f>
        <v>21.1479</v>
      </c>
      <c r="L83" s="484">
        <f>G83*VLOOKUP(F83,'Baumaterialien Matériaux'!$A$10:$AD$432,27,FALSE)</f>
        <v>3.2922899999999998E-2</v>
      </c>
      <c r="M83" s="484">
        <f>G83*VLOOKUP(F83,'Baumaterialien Matériaux'!$A$10:$AD$432,29,FALSE)</f>
        <v>0</v>
      </c>
      <c r="N83" s="1184"/>
      <c r="O83" s="1184"/>
      <c r="P83" s="1184"/>
      <c r="Q83" s="1184"/>
      <c r="R83" s="1184"/>
      <c r="S83" s="383"/>
    </row>
    <row r="84" spans="1:24" ht="14.1" customHeight="1">
      <c r="A84" s="1164"/>
      <c r="B84" s="1164"/>
      <c r="C84" s="483" t="s">
        <v>764</v>
      </c>
      <c r="D84" s="483" t="str">
        <f>VLOOKUP(F84,'Baumaterialien Matériaux'!$A$10:$AD$432,30,FALSE)</f>
        <v>Revêtement pulvérisé, acier</v>
      </c>
      <c r="E84" s="483" t="str">
        <f>VLOOKUP(F84,'Baumaterialien Matériaux'!$A$10:$AD$432,6,FALSE)</f>
        <v>m2</v>
      </c>
      <c r="F84" s="486" t="s">
        <v>765</v>
      </c>
      <c r="G84" s="484">
        <v>1</v>
      </c>
      <c r="H84" s="483"/>
      <c r="I84" s="484">
        <f>$G84*VLOOKUP(F84,'Baumaterialien Matériaux'!$A$10:$AD$432,21,FALSE)</f>
        <v>21.1</v>
      </c>
      <c r="J84" s="484">
        <f>G84*VLOOKUP(F84,'Baumaterialien Matériaux'!$A$10:$AD$432,24,FALSE)</f>
        <v>0</v>
      </c>
      <c r="K84" s="484">
        <f>G84*VLOOKUP(F84,'Baumaterialien Matériaux'!$A$10:$AD$432,26,FALSE)</f>
        <v>4.3899999999999997</v>
      </c>
      <c r="L84" s="484">
        <f>G84*VLOOKUP(F84,'Baumaterialien Matériaux'!$A$10:$AD$432,27,FALSE)</f>
        <v>0</v>
      </c>
      <c r="M84" s="484">
        <f>G84*VLOOKUP(F84,'Baumaterialien Matériaux'!$A$10:$AD$432,29,FALSE)</f>
        <v>0</v>
      </c>
      <c r="N84" s="1184"/>
      <c r="O84" s="1184"/>
      <c r="P84" s="1184"/>
      <c r="Q84" s="1184"/>
      <c r="R84" s="1184"/>
      <c r="S84" s="383"/>
    </row>
    <row r="85" spans="1:24" ht="14.1" customHeight="1">
      <c r="A85" s="1164"/>
      <c r="B85" s="1164"/>
      <c r="C85" s="483" t="s">
        <v>766</v>
      </c>
      <c r="D85" s="483" t="str">
        <f>VLOOKUP(F85,'Baumaterialien Matériaux'!$A$10:$AD$432,30,FALSE)</f>
        <v>Voile de polyéthylène (PE)</v>
      </c>
      <c r="E85" s="483" t="str">
        <f>VLOOKUP(F85,'Baumaterialien Matériaux'!$A$10:$AD$432,6,FALSE)</f>
        <v>kg</v>
      </c>
      <c r="F85" s="486" t="s">
        <v>528</v>
      </c>
      <c r="G85" s="484">
        <v>7.4999999999999997E-2</v>
      </c>
      <c r="H85" s="483"/>
      <c r="I85" s="484">
        <f>$G85*VLOOKUP(F85,'Baumaterialien Matériaux'!$A$10:$AD$432,21,FALSE)</f>
        <v>1.9274999999999998</v>
      </c>
      <c r="J85" s="484">
        <f>G85*VLOOKUP(F85,'Baumaterialien Matériaux'!$A$10:$AD$432,24,FALSE)</f>
        <v>1.575E-2</v>
      </c>
      <c r="K85" s="484">
        <f>G85*VLOOKUP(F85,'Baumaterialien Matériaux'!$A$10:$AD$432,26,FALSE)</f>
        <v>0.222</v>
      </c>
      <c r="L85" s="484">
        <f>G85*VLOOKUP(F85,'Baumaterialien Matériaux'!$A$10:$AD$432,27,FALSE)</f>
        <v>0.20024999999999998</v>
      </c>
      <c r="M85" s="484">
        <f>G85*VLOOKUP(F85,'Baumaterialien Matériaux'!$A$10:$AD$432,29,FALSE)</f>
        <v>0</v>
      </c>
      <c r="N85" s="1184"/>
      <c r="O85" s="1184"/>
      <c r="P85" s="1184"/>
      <c r="Q85" s="1184"/>
      <c r="R85" s="1184"/>
      <c r="S85" s="383"/>
    </row>
    <row r="86" spans="1:24">
      <c r="A86" s="1165"/>
      <c r="B86" s="1165"/>
      <c r="C86" s="483" t="s">
        <v>617</v>
      </c>
      <c r="D86" s="483" t="str">
        <f>VLOOKUP(F86,'Baumaterialien Matériaux'!$A$10:$AD$432,30,FALSE)</f>
        <v>Profil en acier, nu</v>
      </c>
      <c r="E86" s="483" t="str">
        <f>VLOOKUP(F86,'Baumaterialien Matériaux'!$A$10:$AD$432,6,FALSE)</f>
        <v>kg</v>
      </c>
      <c r="F86" s="486" t="s">
        <v>681</v>
      </c>
      <c r="G86" s="484">
        <v>2.2000000000000002</v>
      </c>
      <c r="H86" s="483"/>
      <c r="I86" s="484">
        <f>$G86*VLOOKUP(F86,'Baumaterialien Matériaux'!$A$10:$AD$432,21,FALSE)</f>
        <v>7.370000000000001</v>
      </c>
      <c r="J86" s="484">
        <f>G86*VLOOKUP(F86,'Baumaterialien Matériaux'!$A$10:$AD$432,24,FALSE)</f>
        <v>6.0060000000000009E-2</v>
      </c>
      <c r="K86" s="484">
        <f>G86*VLOOKUP(F86,'Baumaterialien Matériaux'!$A$10:$AD$432,26,FALSE)</f>
        <v>1.6082000000000001</v>
      </c>
      <c r="L86" s="484">
        <f>G86*VLOOKUP(F86,'Baumaterialien Matériaux'!$A$10:$AD$432,27,FALSE)</f>
        <v>1.5378000000000001E-2</v>
      </c>
      <c r="M86" s="484">
        <f>G86*VLOOKUP(F86,'Baumaterialien Matériaux'!$A$10:$AD$432,29,FALSE)</f>
        <v>0</v>
      </c>
      <c r="N86" s="1184"/>
      <c r="O86" s="1184"/>
      <c r="P86" s="1184"/>
      <c r="Q86" s="1184"/>
      <c r="R86" s="1184"/>
      <c r="S86" s="383"/>
    </row>
    <row r="87" spans="1:24" ht="15">
      <c r="I87" s="485">
        <f>SUM(I83:I86)</f>
        <v>103.87349999999999</v>
      </c>
      <c r="J87" s="485">
        <f>SUM(J83:J86)</f>
        <v>0.20439299999999999</v>
      </c>
      <c r="K87" s="485">
        <f>SUM(K83:K86)</f>
        <v>27.368100000000002</v>
      </c>
      <c r="L87" s="485">
        <f>SUM(L83:L86)</f>
        <v>0.24855089999999999</v>
      </c>
      <c r="M87" s="485">
        <f>SUM(M83:M86)</f>
        <v>0</v>
      </c>
      <c r="N87" s="843">
        <v>30</v>
      </c>
      <c r="O87" s="485">
        <f>I87/$N87</f>
        <v>3.4624499999999996</v>
      </c>
      <c r="P87" s="485">
        <f>J87/$N87</f>
        <v>6.8130999999999999E-3</v>
      </c>
      <c r="Q87" s="485">
        <f>K87/$N87</f>
        <v>0.91227000000000003</v>
      </c>
      <c r="R87" s="485">
        <f>L87/$N87</f>
        <v>8.2850300000000005E-3</v>
      </c>
      <c r="S87" s="485">
        <f>M87/$N87</f>
        <v>0</v>
      </c>
    </row>
    <row r="88" spans="1:24" ht="15">
      <c r="A88" s="364"/>
      <c r="I88" s="353"/>
      <c r="J88" s="353"/>
      <c r="K88" s="353"/>
      <c r="L88" s="353"/>
      <c r="M88" s="353"/>
    </row>
    <row r="89" spans="1:24" ht="43.5">
      <c r="A89" s="482" t="s">
        <v>767</v>
      </c>
      <c r="B89" s="1182"/>
      <c r="C89" s="1182"/>
      <c r="D89" s="1182"/>
      <c r="E89" s="1182"/>
      <c r="F89" s="1182"/>
      <c r="G89" s="1182"/>
      <c r="H89" s="483"/>
      <c r="I89" s="485">
        <f>AVERAGE(I81,I87)</f>
        <v>81.93835</v>
      </c>
      <c r="J89" s="485">
        <f t="shared" ref="J89:S89" si="35">AVERAGE(J81,J87)</f>
        <v>1.024124</v>
      </c>
      <c r="K89" s="485">
        <f t="shared" si="35"/>
        <v>20.223400000000002</v>
      </c>
      <c r="L89" s="485">
        <f t="shared" si="35"/>
        <v>0.37243445000000003</v>
      </c>
      <c r="M89" s="485">
        <f t="shared" si="35"/>
        <v>1.5434375</v>
      </c>
      <c r="N89" s="485"/>
      <c r="O89" s="485">
        <f t="shared" si="35"/>
        <v>2.731278333333333</v>
      </c>
      <c r="P89" s="485">
        <f t="shared" si="35"/>
        <v>3.4137466666666665E-2</v>
      </c>
      <c r="Q89" s="485">
        <f t="shared" si="35"/>
        <v>0.67411333333333334</v>
      </c>
      <c r="R89" s="485">
        <f t="shared" si="35"/>
        <v>1.2414481666666668E-2</v>
      </c>
      <c r="S89" s="485">
        <f t="shared" si="35"/>
        <v>5.144791666666667E-2</v>
      </c>
    </row>
    <row r="91" spans="1:24" ht="17.25">
      <c r="A91" s="350" t="s">
        <v>768</v>
      </c>
      <c r="B91" s="350"/>
      <c r="C91" s="350"/>
      <c r="D91" s="350"/>
      <c r="E91" s="350"/>
      <c r="F91" s="350"/>
      <c r="G91" s="351" t="s">
        <v>554</v>
      </c>
      <c r="H91" s="350"/>
      <c r="I91" s="352"/>
      <c r="J91" s="352"/>
      <c r="K91" s="352"/>
      <c r="L91" s="352"/>
      <c r="M91" s="352"/>
      <c r="N91" s="352"/>
      <c r="O91" s="352"/>
      <c r="P91" s="352"/>
      <c r="Q91" s="352"/>
      <c r="R91" s="352"/>
      <c r="S91" s="352"/>
    </row>
    <row r="93" spans="1:24">
      <c r="A93" s="483" t="str">
        <f>'Calcul ACV'!$C$68</f>
        <v>Revêtement de sol finis (sans supports)</v>
      </c>
      <c r="B93" s="1162" t="s">
        <v>769</v>
      </c>
      <c r="C93" s="483" t="s">
        <v>770</v>
      </c>
      <c r="D93" s="483" t="str">
        <f>VLOOKUP(F93,'Baumaterialien Matériaux'!$A$10:$AD$432,30,FALSE)</f>
        <v>Linoléum, 2,5 mm</v>
      </c>
      <c r="E93" s="483" t="str">
        <f>VLOOKUP(F93,'Baumaterialien Matériaux'!$A$10:$AD$432,6,FALSE)</f>
        <v>m2</v>
      </c>
      <c r="F93" s="367" t="s">
        <v>771</v>
      </c>
      <c r="G93" s="484">
        <v>1</v>
      </c>
      <c r="H93" s="483"/>
      <c r="I93" s="484">
        <f>$G93*VLOOKUP(F93,'Baumaterialien Matériaux'!$A$10:$AD$432,21,FALSE)</f>
        <v>25.9</v>
      </c>
      <c r="J93" s="484">
        <f>G93*VLOOKUP(F93,'Baumaterialien Matériaux'!$A$10:$AD$432,24,FALSE)</f>
        <v>0.44</v>
      </c>
      <c r="K93" s="484">
        <f>G93*VLOOKUP(F93,'Baumaterialien Matériaux'!$A$10:$AD$432,26,FALSE)</f>
        <v>5.85</v>
      </c>
      <c r="L93" s="484">
        <f>G93*VLOOKUP(F93,'Baumaterialien Matériaux'!$A$10:$AD$432,27,FALSE)</f>
        <v>0.51700000000000002</v>
      </c>
      <c r="M93" s="484">
        <f>G93*VLOOKUP(F93,'Baumaterialien Matériaux'!$A$10:$AD$432,29,FALSE)</f>
        <v>2.8820000000000001</v>
      </c>
      <c r="N93" s="1169"/>
      <c r="O93" s="1170"/>
      <c r="P93" s="1170"/>
      <c r="Q93" s="1170"/>
      <c r="R93" s="1171"/>
      <c r="S93" s="383"/>
      <c r="V93" s="3" t="s">
        <v>744</v>
      </c>
    </row>
    <row r="94" spans="1:24">
      <c r="A94" s="483" t="str">
        <f>'Calcul ACV'!$C$68</f>
        <v>Revêtement de sol finis (sans supports)</v>
      </c>
      <c r="B94" s="1162"/>
      <c r="C94" s="483" t="s">
        <v>772</v>
      </c>
      <c r="D94" s="483" t="str">
        <f>VLOOKUP(F94,'Baumaterialien Matériaux'!$A$10:$AD$432,30,FALSE)</f>
        <v>Colle bicomposant</v>
      </c>
      <c r="E94" s="483" t="str">
        <f>VLOOKUP(F94,'Baumaterialien Matériaux'!$A$10:$AD$432,6,FALSE)</f>
        <v>kg</v>
      </c>
      <c r="F94" s="867" t="s">
        <v>688</v>
      </c>
      <c r="G94" s="484">
        <v>0.4</v>
      </c>
      <c r="H94" s="483"/>
      <c r="I94" s="484">
        <f>$G94*VLOOKUP(F94,'Baumaterialien Matériaux'!$A$10:$AD$432,21,FALSE)</f>
        <v>9.68</v>
      </c>
      <c r="J94" s="484">
        <f>G94*VLOOKUP(F94,'Baumaterialien Matériaux'!$A$10:$AD$432,24,FALSE)</f>
        <v>2.2440000000000002E-2</v>
      </c>
      <c r="K94" s="484">
        <f>G94*VLOOKUP(F94,'Baumaterialien Matériaux'!$A$10:$AD$432,26,FALSE)</f>
        <v>1.8600000000000003</v>
      </c>
      <c r="L94" s="484">
        <f>G94*VLOOKUP(F94,'Baumaterialien Matériaux'!$A$10:$AD$432,27,FALSE)</f>
        <v>7.4800000000000005E-2</v>
      </c>
      <c r="M94" s="484">
        <f>G94*VLOOKUP(F94,'Baumaterialien Matériaux'!$A$10:$AD$432,29,FALSE)</f>
        <v>0</v>
      </c>
      <c r="N94" s="1175"/>
      <c r="O94" s="1176"/>
      <c r="P94" s="1176"/>
      <c r="Q94" s="1176"/>
      <c r="R94" s="1177"/>
      <c r="S94" s="383"/>
      <c r="V94" s="3">
        <v>93</v>
      </c>
      <c r="W94" s="3">
        <f ca="1">MATCH(BillQuantities!$E$31, INDIRECT("A"&amp;V94&amp;":A120"),0)</f>
        <v>12</v>
      </c>
      <c r="X94" s="3" t="str" cm="1">
        <f t="array" aca="1" ref="X94" ca="1">INDEX(C93:C135, W94)</f>
        <v>Parkett 2-Schicht werkversiegelt, 11 mm [m2]</v>
      </c>
    </row>
    <row r="95" spans="1:24" ht="15">
      <c r="F95" s="365"/>
      <c r="I95" s="485">
        <f>SUM(I93:I94)</f>
        <v>35.58</v>
      </c>
      <c r="J95" s="485">
        <f t="shared" ref="J95:M95" si="36">SUM(J93:J94)</f>
        <v>0.46244000000000002</v>
      </c>
      <c r="K95" s="485">
        <f t="shared" si="36"/>
        <v>7.71</v>
      </c>
      <c r="L95" s="485">
        <f t="shared" si="36"/>
        <v>0.59179999999999999</v>
      </c>
      <c r="M95" s="485">
        <f t="shared" si="36"/>
        <v>2.8820000000000001</v>
      </c>
      <c r="N95" s="843">
        <v>30</v>
      </c>
      <c r="O95" s="485">
        <f>I95/$N95</f>
        <v>1.1859999999999999</v>
      </c>
      <c r="P95" s="485">
        <f>J95/$N95</f>
        <v>1.5414666666666667E-2</v>
      </c>
      <c r="Q95" s="485">
        <f>K95/$N95</f>
        <v>0.25700000000000001</v>
      </c>
      <c r="R95" s="485">
        <f>L95/$N95</f>
        <v>1.9726666666666667E-2</v>
      </c>
      <c r="S95" s="485">
        <f>M95/$N95</f>
        <v>9.6066666666666675E-2</v>
      </c>
      <c r="V95" s="3">
        <f ca="1">W94+V94</f>
        <v>105</v>
      </c>
      <c r="W95" s="3">
        <f ca="1">MATCH(BillQuantities!$E$31, INDIRECT("A"&amp;V95&amp;":A120"),0)+W94-1</f>
        <v>12</v>
      </c>
      <c r="X95" s="3" t="str" cm="1">
        <f t="array" aca="1" ref="X95" ca="1">INDEX(C94:C136, W95)</f>
        <v>Klebstoff [kg]</v>
      </c>
    </row>
    <row r="96" spans="1:24">
      <c r="F96" s="366"/>
      <c r="V96" s="3">
        <f t="shared" ref="V96:V101" ca="1" si="37">W95+V95-W94</f>
        <v>105</v>
      </c>
      <c r="W96" s="3">
        <f ca="1">MATCH(BillQuantities!$E$31, INDIRECT("A"&amp;V96&amp;":A120"),0)+W95-1</f>
        <v>12</v>
      </c>
      <c r="X96" s="3" t="str" cm="1">
        <f t="array" aca="1" ref="X96" ca="1">INDEX(C95:C137, W96)</f>
        <v>Zementunterlagsboden 7cm [kg]</v>
      </c>
    </row>
    <row r="97" spans="1:24">
      <c r="A97" s="1162" t="s">
        <v>773</v>
      </c>
      <c r="B97" s="1162" t="s">
        <v>774</v>
      </c>
      <c r="C97" s="868" t="s">
        <v>775</v>
      </c>
      <c r="D97" s="483" t="str">
        <f>VLOOKUP(F97,'Baumaterialien Matériaux'!$A$10:$AD$432,30,FALSE)</f>
        <v>Parquet, 2 plis, vitrifié d'usine, 11 mm</v>
      </c>
      <c r="E97" s="483" t="str">
        <f>VLOOKUP(F97,'Baumaterialien Matériaux'!$A$10:$AD$432,6,FALSE)</f>
        <v>m2</v>
      </c>
      <c r="F97" s="488" t="s">
        <v>776</v>
      </c>
      <c r="G97" s="484">
        <v>1</v>
      </c>
      <c r="H97" s="483"/>
      <c r="I97" s="484">
        <f>$G97*VLOOKUP(F97,'Baumaterialien Matériaux'!$A$10:$AD$432,21,FALSE)</f>
        <v>41.7</v>
      </c>
      <c r="J97" s="484">
        <f>G97*VLOOKUP(F97,'Baumaterialien Matériaux'!$A$10:$AD$432,24,FALSE)</f>
        <v>0.56599999999999995</v>
      </c>
      <c r="K97" s="484">
        <f>G97*VLOOKUP(F97,'Baumaterialien Matériaux'!$A$10:$AD$432,26,FALSE)</f>
        <v>7.49</v>
      </c>
      <c r="L97" s="484">
        <f>G97*VLOOKUP(F97,'Baumaterialien Matériaux'!$A$10:$AD$432,27,FALSE)</f>
        <v>0.33800000000000002</v>
      </c>
      <c r="M97" s="484">
        <f>G97*VLOOKUP(F97,'Baumaterialien Matériaux'!$A$10:$AD$432,29,FALSE)</f>
        <v>9.8633333333333333</v>
      </c>
      <c r="N97" s="1184"/>
      <c r="O97" s="1184"/>
      <c r="P97" s="1184"/>
      <c r="Q97" s="1184"/>
      <c r="R97" s="1184"/>
      <c r="S97" s="383"/>
      <c r="V97" s="3">
        <f t="shared" ca="1" si="37"/>
        <v>105</v>
      </c>
      <c r="W97" s="3">
        <f ca="1">MATCH(BillQuantities!$E$31, INDIRECT("A"&amp;V97&amp;":A120"),0)+W96-1</f>
        <v>12</v>
      </c>
      <c r="X97" s="3" t="str" cm="1">
        <f t="array" aca="1" ref="X97" ca="1">INDEX(C96:C138, W97)</f>
        <v>PE-Folie</v>
      </c>
    </row>
    <row r="98" spans="1:24">
      <c r="A98" s="1162"/>
      <c r="B98" s="1162"/>
      <c r="C98" s="483" t="s">
        <v>772</v>
      </c>
      <c r="D98" s="483" t="str">
        <f>VLOOKUP(F98,'Baumaterialien Matériaux'!$A$10:$AD$432,30,FALSE)</f>
        <v>Colle bicomposant</v>
      </c>
      <c r="E98" s="483" t="str">
        <f>VLOOKUP(F98,'Baumaterialien Matériaux'!$A$10:$AD$432,6,FALSE)</f>
        <v>kg</v>
      </c>
      <c r="F98" s="867" t="s">
        <v>688</v>
      </c>
      <c r="G98" s="484">
        <v>1</v>
      </c>
      <c r="H98" s="483"/>
      <c r="I98" s="484">
        <f>$G98*VLOOKUP(F98,'Baumaterialien Matériaux'!$A$10:$AD$432,21,FALSE)</f>
        <v>24.2</v>
      </c>
      <c r="J98" s="484">
        <f>G98*VLOOKUP(F98,'Baumaterialien Matériaux'!$A$10:$AD$432,24,FALSE)</f>
        <v>5.6099999999999997E-2</v>
      </c>
      <c r="K98" s="484">
        <f>G98*VLOOKUP(F98,'Baumaterialien Matériaux'!$A$10:$AD$432,26,FALSE)</f>
        <v>4.6500000000000004</v>
      </c>
      <c r="L98" s="484">
        <f>G98*VLOOKUP(F98,'Baumaterialien Matériaux'!$A$10:$AD$432,27,FALSE)</f>
        <v>0.187</v>
      </c>
      <c r="M98" s="484">
        <f>G98*VLOOKUP(F98,'Baumaterialien Matériaux'!$A$10:$AD$432,29,FALSE)</f>
        <v>0</v>
      </c>
      <c r="N98" s="1184"/>
      <c r="O98" s="1184"/>
      <c r="P98" s="1184"/>
      <c r="Q98" s="1184"/>
      <c r="R98" s="1184"/>
      <c r="S98" s="383"/>
      <c r="V98" s="3">
        <f t="shared" ca="1" si="37"/>
        <v>105</v>
      </c>
      <c r="W98" s="3">
        <f ca="1">MATCH(BillQuantities!$E$31, INDIRECT("A"&amp;V98&amp;":A120"),0)+W97-1</f>
        <v>12</v>
      </c>
      <c r="X98" s="3" t="str" cm="1">
        <f t="array" aca="1" ref="X98" ca="1">INDEX(C97:C139, W98)</f>
        <v>Trittschall 2cm EPS</v>
      </c>
    </row>
    <row r="99" spans="1:24" ht="15">
      <c r="C99" s="368"/>
      <c r="D99" s="368"/>
      <c r="E99" s="368"/>
      <c r="F99" s="365"/>
      <c r="I99" s="485">
        <f>SUM(I97:I98)</f>
        <v>65.900000000000006</v>
      </c>
      <c r="J99" s="485">
        <f t="shared" ref="J99:M99" si="38">SUM(J97:J98)</f>
        <v>0.62209999999999999</v>
      </c>
      <c r="K99" s="485">
        <f t="shared" si="38"/>
        <v>12.14</v>
      </c>
      <c r="L99" s="485">
        <f t="shared" si="38"/>
        <v>0.52500000000000002</v>
      </c>
      <c r="M99" s="485">
        <f t="shared" si="38"/>
        <v>9.8633333333333333</v>
      </c>
      <c r="N99" s="843">
        <v>30</v>
      </c>
      <c r="O99" s="485">
        <f>I99/$N99</f>
        <v>2.1966666666666668</v>
      </c>
      <c r="P99" s="485">
        <f>J99/$N99</f>
        <v>2.0736666666666667E-2</v>
      </c>
      <c r="Q99" s="485">
        <f>K99/$N99</f>
        <v>0.40466666666666667</v>
      </c>
      <c r="R99" s="485">
        <f>L99/$N99</f>
        <v>1.7500000000000002E-2</v>
      </c>
      <c r="S99" s="485">
        <f>M99/$N99</f>
        <v>0.32877777777777778</v>
      </c>
      <c r="V99" s="3">
        <f t="shared" ca="1" si="37"/>
        <v>105</v>
      </c>
      <c r="W99" s="3">
        <f ca="1">MATCH(BillQuantities!$E$31, INDIRECT("A"&amp;V99&amp;":A120"),0)+W98-1</f>
        <v>12</v>
      </c>
    </row>
    <row r="100" spans="1:24">
      <c r="V100" s="3">
        <f t="shared" ca="1" si="37"/>
        <v>105</v>
      </c>
      <c r="W100" s="3">
        <f ca="1">MATCH(BillQuantities!$E$31, INDIRECT("A"&amp;V100&amp;":A120"),0)+W99-1</f>
        <v>12</v>
      </c>
    </row>
    <row r="101" spans="1:24" ht="29.25">
      <c r="A101" s="483" t="s">
        <v>777</v>
      </c>
      <c r="B101" s="482" t="s">
        <v>414</v>
      </c>
      <c r="C101" s="483"/>
      <c r="D101" s="483"/>
      <c r="E101" s="483"/>
      <c r="F101" s="483"/>
      <c r="G101" s="483"/>
      <c r="H101" s="483"/>
      <c r="I101" s="485">
        <f>AVERAGE(I95,I99)</f>
        <v>50.74</v>
      </c>
      <c r="J101" s="485">
        <f t="shared" ref="J101:M101" si="39">AVERAGE(J95,J99)</f>
        <v>0.54227000000000003</v>
      </c>
      <c r="K101" s="485">
        <f t="shared" si="39"/>
        <v>9.9250000000000007</v>
      </c>
      <c r="L101" s="485">
        <f t="shared" si="39"/>
        <v>0.55840000000000001</v>
      </c>
      <c r="M101" s="485">
        <f t="shared" si="39"/>
        <v>6.3726666666666665</v>
      </c>
      <c r="N101" s="483"/>
      <c r="O101" s="485">
        <f>AVERAGE(O95,O99)</f>
        <v>1.6913333333333334</v>
      </c>
      <c r="P101" s="485">
        <f t="shared" ref="P101:S101" si="40">AVERAGE(P95,P99)</f>
        <v>1.8075666666666667E-2</v>
      </c>
      <c r="Q101" s="485">
        <f t="shared" si="40"/>
        <v>0.33083333333333331</v>
      </c>
      <c r="R101" s="485">
        <f t="shared" si="40"/>
        <v>1.8613333333333336E-2</v>
      </c>
      <c r="S101" s="485">
        <f t="shared" si="40"/>
        <v>0.21242222222222223</v>
      </c>
      <c r="V101" s="3">
        <f t="shared" ca="1" si="37"/>
        <v>105</v>
      </c>
      <c r="W101" s="3">
        <f ca="1">MATCH(BillQuantities!$E$31, INDIRECT("A"&amp;V101&amp;":A120"),0)+W100-1</f>
        <v>12</v>
      </c>
      <c r="X101" s="3" t="str" cm="1">
        <f t="array" aca="1" ref="X101" ca="1">INDEX(C101:C143, W101)</f>
        <v>Klebemörtel [kg]</v>
      </c>
    </row>
    <row r="104" spans="1:24" ht="14.1" customHeight="1">
      <c r="A104" s="482" t="str">
        <f>'Calcul ACV'!$C$74</f>
        <v>Supports et revêtement de sol</v>
      </c>
      <c r="B104" s="1182" t="s">
        <v>778</v>
      </c>
      <c r="C104" s="868" t="s">
        <v>775</v>
      </c>
      <c r="D104" s="483" t="str">
        <f>VLOOKUP(F104,'Baumaterialien Matériaux'!$A$10:$AD$432,30,FALSE)</f>
        <v>Parquet, 2 plis, vitrifié d'usine, 11 mm</v>
      </c>
      <c r="E104" s="483" t="str">
        <f>VLOOKUP(F104,'Baumaterialien Matériaux'!$A$10:$AD$432,6,FALSE)</f>
        <v>m2</v>
      </c>
      <c r="F104" s="488" t="s">
        <v>776</v>
      </c>
      <c r="G104" s="483">
        <v>1</v>
      </c>
      <c r="H104" s="483"/>
      <c r="I104" s="484">
        <f>$G104*VLOOKUP(F104,'Baumaterialien Matériaux'!$A$10:$AD$432,21,FALSE)</f>
        <v>41.7</v>
      </c>
      <c r="J104" s="484">
        <f>G104*VLOOKUP(F104,'Baumaterialien Matériaux'!$A$10:$AD$432,24,FALSE)</f>
        <v>0.56599999999999995</v>
      </c>
      <c r="K104" s="484">
        <f>G104*VLOOKUP(F104,'Baumaterialien Matériaux'!$A$10:$AD$432,26,FALSE)</f>
        <v>7.49</v>
      </c>
      <c r="L104" s="484">
        <f>G104*VLOOKUP(F104,'Baumaterialien Matériaux'!$A$10:$AD$432,27,FALSE)</f>
        <v>0.33800000000000002</v>
      </c>
      <c r="M104" s="484">
        <f>G104*VLOOKUP(F104,'Baumaterialien Matériaux'!$A$10:$AD$432,29,FALSE)</f>
        <v>9.8633333333333333</v>
      </c>
      <c r="N104" s="843">
        <v>30</v>
      </c>
      <c r="O104" s="856"/>
      <c r="P104" s="856"/>
      <c r="Q104" s="856"/>
      <c r="R104" s="856"/>
      <c r="S104" s="383"/>
    </row>
    <row r="105" spans="1:24" ht="14.1" customHeight="1">
      <c r="A105" s="482" t="str">
        <f>'Calcul ACV'!$C$74</f>
        <v>Supports et revêtement de sol</v>
      </c>
      <c r="B105" s="1182"/>
      <c r="C105" s="483" t="s">
        <v>772</v>
      </c>
      <c r="D105" s="483" t="str">
        <f>VLOOKUP(F105,'Baumaterialien Matériaux'!$A$10:$AD$432,30,FALSE)</f>
        <v>Colle bicomposant</v>
      </c>
      <c r="E105" s="483" t="str">
        <f>VLOOKUP(F105,'Baumaterialien Matériaux'!$A$10:$AD$432,6,FALSE)</f>
        <v>kg</v>
      </c>
      <c r="F105" s="867" t="s">
        <v>688</v>
      </c>
      <c r="G105" s="484">
        <v>1</v>
      </c>
      <c r="H105" s="483"/>
      <c r="I105" s="484">
        <f>$G105*VLOOKUP(F105,'Baumaterialien Matériaux'!$A$10:$AD$432,21,FALSE)</f>
        <v>24.2</v>
      </c>
      <c r="J105" s="484">
        <f>G105*VLOOKUP(F105,'Baumaterialien Matériaux'!$A$10:$AD$432,24,FALSE)</f>
        <v>5.6099999999999997E-2</v>
      </c>
      <c r="K105" s="484">
        <f>G105*VLOOKUP(F105,'Baumaterialien Matériaux'!$A$10:$AD$432,26,FALSE)</f>
        <v>4.6500000000000004</v>
      </c>
      <c r="L105" s="484">
        <f>G105*VLOOKUP(F105,'Baumaterialien Matériaux'!$A$10:$AD$432,27,FALSE)</f>
        <v>0.187</v>
      </c>
      <c r="M105" s="484">
        <f>G105*VLOOKUP(F105,'Baumaterialien Matériaux'!$A$10:$AD$432,29,FALSE)</f>
        <v>0</v>
      </c>
      <c r="N105" s="843">
        <v>30</v>
      </c>
      <c r="O105" s="856"/>
      <c r="P105" s="856"/>
      <c r="Q105" s="856"/>
      <c r="R105" s="856"/>
      <c r="S105" s="383"/>
    </row>
    <row r="106" spans="1:24" ht="14.1" customHeight="1">
      <c r="A106" s="482" t="str">
        <f>'Calcul ACV'!$C$74</f>
        <v>Supports et revêtement de sol</v>
      </c>
      <c r="B106" s="1182"/>
      <c r="C106" s="483" t="s">
        <v>779</v>
      </c>
      <c r="D106" s="483" t="str">
        <f>VLOOKUP(F106,'Baumaterialien Matériaux'!$A$10:$AD$432,30,FALSE)</f>
        <v>Chape de ciment, 85 mm</v>
      </c>
      <c r="E106" s="483" t="str">
        <f>VLOOKUP(F106,'Baumaterialien Matériaux'!$A$10:$AD$432,6,FALSE)</f>
        <v>kg</v>
      </c>
      <c r="F106" s="862" t="s">
        <v>780</v>
      </c>
      <c r="G106" s="483">
        <f>1850*0.07</f>
        <v>129.5</v>
      </c>
      <c r="H106" s="483"/>
      <c r="I106" s="484">
        <f>$G106*VLOOKUP(F106,'Baumaterialien Matériaux'!$A$10:$AD$432,21,FALSE)</f>
        <v>23.180499999999999</v>
      </c>
      <c r="J106" s="484">
        <f>G106*VLOOKUP(F106,'Baumaterialien Matériaux'!$A$10:$AD$432,24,FALSE)</f>
        <v>6.8505500000000001</v>
      </c>
      <c r="K106" s="484">
        <f>G106*VLOOKUP(F106,'Baumaterialien Matériaux'!$A$10:$AD$432,26,FALSE)</f>
        <v>13.986000000000001</v>
      </c>
      <c r="L106" s="484">
        <f>G106*VLOOKUP(F106,'Baumaterialien Matériaux'!$A$10:$AD$432,27,FALSE)</f>
        <v>1.6576000000000002</v>
      </c>
      <c r="M106" s="484">
        <f>G106*VLOOKUP(F106,'Baumaterialien Matériaux'!$A$10:$AD$432,29,FALSE)</f>
        <v>0</v>
      </c>
      <c r="N106" s="843">
        <v>30</v>
      </c>
      <c r="O106" s="856"/>
      <c r="P106" s="856"/>
      <c r="Q106" s="856"/>
      <c r="R106" s="856"/>
      <c r="S106" s="383"/>
    </row>
    <row r="107" spans="1:24" ht="14.1" customHeight="1">
      <c r="A107" s="482" t="str">
        <f>'Calcul ACV'!$C$74</f>
        <v>Supports et revêtement de sol</v>
      </c>
      <c r="B107" s="1182"/>
      <c r="C107" s="483" t="s">
        <v>781</v>
      </c>
      <c r="D107" s="483" t="str">
        <f>VLOOKUP(F107,'Baumaterialien Matériaux'!$A$10:$AD$432,30,FALSE)</f>
        <v>Feuille de polyéthylène (PE)</v>
      </c>
      <c r="E107" s="483" t="str">
        <f>VLOOKUP(F107,'Baumaterialien Matériaux'!$A$10:$AD$432,6,FALSE)</f>
        <v>kg</v>
      </c>
      <c r="F107" s="486" t="s">
        <v>716</v>
      </c>
      <c r="G107" s="483">
        <v>0.15</v>
      </c>
      <c r="H107" s="483"/>
      <c r="I107" s="484">
        <f>$G107*VLOOKUP(F107,'Baumaterialien Matériaux'!$A$10:$AD$432,21,FALSE)</f>
        <v>3.69</v>
      </c>
      <c r="J107" s="484">
        <f>G107*VLOOKUP(F107,'Baumaterialien Matériaux'!$A$10:$AD$432,24,FALSE)</f>
        <v>3.15E-2</v>
      </c>
      <c r="K107" s="484">
        <f>G107*VLOOKUP(F107,'Baumaterialien Matériaux'!$A$10:$AD$432,26,FALSE)</f>
        <v>0.41249999999999998</v>
      </c>
      <c r="L107" s="484">
        <f>G107*VLOOKUP(F107,'Baumaterialien Matériaux'!$A$10:$AD$432,27,FALSE)</f>
        <v>0.40049999999999997</v>
      </c>
      <c r="M107" s="484">
        <f>G107*VLOOKUP(F107,'Baumaterialien Matériaux'!$A$10:$AD$432,29,FALSE)</f>
        <v>0</v>
      </c>
      <c r="N107" s="843">
        <v>30</v>
      </c>
      <c r="O107" s="856"/>
      <c r="P107" s="856"/>
      <c r="Q107" s="856"/>
      <c r="R107" s="856"/>
      <c r="S107" s="383"/>
    </row>
    <row r="108" spans="1:24" ht="14.1" customHeight="1">
      <c r="A108" s="482" t="str">
        <f>'Calcul ACV'!$C$74</f>
        <v>Supports et revêtement de sol</v>
      </c>
      <c r="B108" s="1182"/>
      <c r="C108" s="483" t="s">
        <v>782</v>
      </c>
      <c r="D108" s="483" t="str">
        <f>VLOOKUP(F108,'Baumaterialien Matériaux'!$A$10:$AD$432,30,FALSE)</f>
        <v>Polystyrène expansé (EPS)</v>
      </c>
      <c r="E108" s="483" t="str">
        <f>VLOOKUP(F108,'Baumaterialien Matériaux'!$A$10:$AD$432,6,FALSE)</f>
        <v>kg</v>
      </c>
      <c r="F108" s="862" t="s">
        <v>118</v>
      </c>
      <c r="G108" s="483">
        <f>13*0.02</f>
        <v>0.26</v>
      </c>
      <c r="H108" s="483"/>
      <c r="I108" s="484">
        <f>$G108*VLOOKUP(F108,'Baumaterialien Matériaux'!$A$10:$AD$432,21,FALSE)</f>
        <v>7.7480000000000002</v>
      </c>
      <c r="J108" s="484">
        <f>G108*VLOOKUP(F108,'Baumaterialien Matériaux'!$A$10:$AD$432,24,FALSE)</f>
        <v>5.2780000000000007E-2</v>
      </c>
      <c r="K108" s="484">
        <f>G108*VLOOKUP(F108,'Baumaterialien Matériaux'!$A$10:$AD$432,26,FALSE)</f>
        <v>1.1726000000000001</v>
      </c>
      <c r="L108" s="484">
        <f>G108*VLOOKUP(F108,'Baumaterialien Matériaux'!$A$10:$AD$432,27,FALSE)</f>
        <v>0.8034</v>
      </c>
      <c r="M108" s="484">
        <f>G108*VLOOKUP(F108,'Baumaterialien Matériaux'!$A$10:$AD$432,29,FALSE)</f>
        <v>0</v>
      </c>
      <c r="N108" s="843">
        <v>30</v>
      </c>
      <c r="O108" s="856"/>
      <c r="P108" s="856"/>
      <c r="Q108" s="856"/>
      <c r="R108" s="856"/>
      <c r="S108" s="383"/>
    </row>
    <row r="109" spans="1:24" ht="15">
      <c r="I109" s="485">
        <f>SUM(I104:I108)</f>
        <v>100.5185</v>
      </c>
      <c r="J109" s="485">
        <f>SUM(J104:J108)</f>
        <v>7.5569300000000004</v>
      </c>
      <c r="K109" s="485">
        <f>SUM(K104:K108)</f>
        <v>27.711100000000002</v>
      </c>
      <c r="L109" s="485">
        <f>SUM(L104:L108)</f>
        <v>3.3865000000000003</v>
      </c>
      <c r="M109" s="485">
        <f>SUM(M104:M108)</f>
        <v>9.8633333333333333</v>
      </c>
      <c r="N109" s="843">
        <v>30</v>
      </c>
      <c r="O109" s="485">
        <f>I109/$N109</f>
        <v>3.3506166666666668</v>
      </c>
      <c r="P109" s="485">
        <f>J109/$N109</f>
        <v>0.25189766666666669</v>
      </c>
      <c r="Q109" s="485">
        <f>K109/$N109</f>
        <v>0.92370333333333343</v>
      </c>
      <c r="R109" s="485">
        <f>L109/$N109</f>
        <v>0.11288333333333335</v>
      </c>
      <c r="S109" s="485">
        <f>M109/$N109</f>
        <v>0.32877777777777778</v>
      </c>
    </row>
    <row r="110" spans="1:24" ht="15">
      <c r="I110" s="353"/>
      <c r="J110" s="353"/>
      <c r="K110" s="353"/>
      <c r="L110" s="353"/>
      <c r="M110" s="353"/>
    </row>
    <row r="111" spans="1:24" ht="14.1" customHeight="1">
      <c r="A111" s="1163" t="s">
        <v>783</v>
      </c>
      <c r="B111" s="1163" t="s">
        <v>784</v>
      </c>
      <c r="C111" s="868" t="s">
        <v>785</v>
      </c>
      <c r="D111" s="483" t="str">
        <f>VLOOKUP(F111,'Baumaterialien Matériaux'!$A$10:$AD$432,30,FALSE)</f>
        <v>Dalle en céramique/grès, 9 mm</v>
      </c>
      <c r="E111" s="483" t="str">
        <f>VLOOKUP(F111,'Baumaterialien Matériaux'!$A$10:$AD$432,6,FALSE)</f>
        <v>m2</v>
      </c>
      <c r="F111" s="356" t="s">
        <v>786</v>
      </c>
      <c r="G111" s="483">
        <v>1</v>
      </c>
      <c r="H111" s="483"/>
      <c r="I111" s="484">
        <f>$G111*VLOOKUP(F111,'Baumaterialien Matériaux'!$A$10:$AD$432,21,FALSE)</f>
        <v>66.099999999999994</v>
      </c>
      <c r="J111" s="484">
        <f>G111*VLOOKUP(F111,'Baumaterialien Matériaux'!$A$10:$AD$432,24,FALSE)</f>
        <v>17.100000000000001</v>
      </c>
      <c r="K111" s="484">
        <f>G111*VLOOKUP(F111,'Baumaterialien Matériaux'!$A$10:$AD$432,26,FALSE)</f>
        <v>14.1</v>
      </c>
      <c r="L111" s="484">
        <f>G111*VLOOKUP(F111,'Baumaterialien Matériaux'!$A$10:$AD$432,27,FALSE)</f>
        <v>4.1500000000000004</v>
      </c>
      <c r="M111" s="484">
        <f>G111*VLOOKUP(F111,'Baumaterialien Matériaux'!$A$10:$AD$432,29,FALSE)</f>
        <v>0</v>
      </c>
      <c r="N111" s="843">
        <v>30</v>
      </c>
      <c r="O111" s="744"/>
      <c r="P111" s="744"/>
      <c r="Q111" s="744"/>
      <c r="R111" s="745"/>
      <c r="S111" s="388"/>
    </row>
    <row r="112" spans="1:24" ht="14.1" customHeight="1">
      <c r="A112" s="1164"/>
      <c r="B112" s="1164"/>
      <c r="C112" s="868" t="s">
        <v>787</v>
      </c>
      <c r="D112" s="483" t="str">
        <f>VLOOKUP(F112,'Baumaterialien Matériaux'!$A$10:$AD$432,30,FALSE)</f>
        <v xml:space="preserve">Colle de construction/mortier d'enrobage minéral(e) </v>
      </c>
      <c r="E112" s="483" t="str">
        <f>VLOOKUP(F112,'Baumaterialien Matériaux'!$A$10:$AD$432,6,FALSE)</f>
        <v>kg</v>
      </c>
      <c r="F112" s="357" t="s">
        <v>592</v>
      </c>
      <c r="G112" s="483">
        <v>13</v>
      </c>
      <c r="H112" s="483"/>
      <c r="I112" s="484">
        <f>$G112*VLOOKUP(F112,'Baumaterialien Matériaux'!$A$10:$AD$432,21,FALSE)</f>
        <v>19.11</v>
      </c>
      <c r="J112" s="484">
        <f>G112*VLOOKUP(F112,'Baumaterialien Matériaux'!$A$10:$AD$432,24,FALSE)</f>
        <v>0.68509999999999993</v>
      </c>
      <c r="K112" s="484">
        <f>G112*VLOOKUP(F112,'Baumaterialien Matériaux'!$A$10:$AD$432,26,FALSE)</f>
        <v>5.109</v>
      </c>
      <c r="L112" s="484">
        <f>G112*VLOOKUP(F112,'Baumaterialien Matériaux'!$A$10:$AD$432,27,FALSE)</f>
        <v>0.16769999999999999</v>
      </c>
      <c r="M112" s="484">
        <f>G112*VLOOKUP(F112,'Baumaterialien Matériaux'!$A$10:$AD$432,29,FALSE)</f>
        <v>0</v>
      </c>
      <c r="N112" s="843">
        <v>30</v>
      </c>
      <c r="O112" s="746"/>
      <c r="P112" s="746"/>
      <c r="Q112" s="746"/>
      <c r="R112" s="747"/>
      <c r="S112" s="388"/>
    </row>
    <row r="113" spans="1:23" ht="15">
      <c r="A113" s="1164"/>
      <c r="B113" s="1164"/>
      <c r="C113" s="483" t="s">
        <v>779</v>
      </c>
      <c r="D113" s="483" t="str">
        <f>VLOOKUP(F113,'Baumaterialien Matériaux'!$A$10:$AD$432,30,FALSE)</f>
        <v>Chape de ciment, 85 mm</v>
      </c>
      <c r="E113" s="483" t="str">
        <f>VLOOKUP(F113,'Baumaterialien Matériaux'!$A$10:$AD$432,6,FALSE)</f>
        <v>kg</v>
      </c>
      <c r="F113" s="862" t="s">
        <v>780</v>
      </c>
      <c r="G113" s="483">
        <f>1850*0.07</f>
        <v>129.5</v>
      </c>
      <c r="H113" s="483"/>
      <c r="I113" s="484">
        <f>$G113*VLOOKUP(F113,'Baumaterialien Matériaux'!$A$10:$AD$432,21,FALSE)</f>
        <v>23.180499999999999</v>
      </c>
      <c r="J113" s="484">
        <f>G113*VLOOKUP(F113,'Baumaterialien Matériaux'!$A$10:$AD$432,24,FALSE)</f>
        <v>6.8505500000000001</v>
      </c>
      <c r="K113" s="484">
        <f>G113*VLOOKUP(F113,'Baumaterialien Matériaux'!$A$10:$AD$432,26,FALSE)</f>
        <v>13.986000000000001</v>
      </c>
      <c r="L113" s="484">
        <f>G113*VLOOKUP(F113,'Baumaterialien Matériaux'!$A$10:$AD$432,27,FALSE)</f>
        <v>1.6576000000000002</v>
      </c>
      <c r="M113" s="484">
        <f>G113*VLOOKUP(F113,'Baumaterialien Matériaux'!$A$10:$AD$432,29,FALSE)</f>
        <v>0</v>
      </c>
      <c r="N113" s="843">
        <v>30</v>
      </c>
      <c r="O113" s="746"/>
      <c r="P113" s="746"/>
      <c r="Q113" s="746"/>
      <c r="R113" s="747"/>
      <c r="S113" s="388"/>
    </row>
    <row r="114" spans="1:23" ht="15">
      <c r="A114" s="1164"/>
      <c r="B114" s="1164"/>
      <c r="C114" s="483" t="s">
        <v>781</v>
      </c>
      <c r="D114" s="483" t="str">
        <f>VLOOKUP(F114,'Baumaterialien Matériaux'!$A$10:$AD$432,30,FALSE)</f>
        <v>Feuille de polyéthylène (PE)</v>
      </c>
      <c r="E114" s="483" t="str">
        <f>VLOOKUP(F114,'Baumaterialien Matériaux'!$A$10:$AD$432,6,FALSE)</f>
        <v>kg</v>
      </c>
      <c r="F114" s="486" t="s">
        <v>716</v>
      </c>
      <c r="G114" s="483">
        <v>0.15</v>
      </c>
      <c r="H114" s="483"/>
      <c r="I114" s="484">
        <f>$G114*VLOOKUP(F114,'Baumaterialien Matériaux'!$A$10:$AD$432,21,FALSE)</f>
        <v>3.69</v>
      </c>
      <c r="J114" s="484">
        <f>G114*VLOOKUP(F114,'Baumaterialien Matériaux'!$A$10:$AD$432,24,FALSE)</f>
        <v>3.15E-2</v>
      </c>
      <c r="K114" s="484">
        <f>G114*VLOOKUP(F114,'Baumaterialien Matériaux'!$A$10:$AD$432,26,FALSE)</f>
        <v>0.41249999999999998</v>
      </c>
      <c r="L114" s="484">
        <f>G114*VLOOKUP(F114,'Baumaterialien Matériaux'!$A$10:$AD$432,27,FALSE)</f>
        <v>0.40049999999999997</v>
      </c>
      <c r="M114" s="484">
        <f>G114*VLOOKUP(F114,'Baumaterialien Matériaux'!$A$10:$AD$432,29,FALSE)</f>
        <v>0</v>
      </c>
      <c r="N114" s="843">
        <v>30</v>
      </c>
      <c r="O114" s="746"/>
      <c r="P114" s="746"/>
      <c r="Q114" s="746"/>
      <c r="R114" s="747"/>
      <c r="S114" s="388"/>
    </row>
    <row r="115" spans="1:23" ht="15">
      <c r="A115" s="1165"/>
      <c r="B115" s="1165"/>
      <c r="C115" s="483" t="s">
        <v>782</v>
      </c>
      <c r="D115" s="483" t="str">
        <f>VLOOKUP(F115,'Baumaterialien Matériaux'!$A$10:$AD$432,30,FALSE)</f>
        <v>Polystyrène expansé (EPS)</v>
      </c>
      <c r="E115" s="483" t="str">
        <f>VLOOKUP(F115,'Baumaterialien Matériaux'!$A$10:$AD$432,6,FALSE)</f>
        <v>kg</v>
      </c>
      <c r="F115" s="862" t="s">
        <v>118</v>
      </c>
      <c r="G115" s="483">
        <f>13*0.02</f>
        <v>0.26</v>
      </c>
      <c r="H115" s="483"/>
      <c r="I115" s="484">
        <f>$G115*VLOOKUP(F115,'Baumaterialien Matériaux'!$A$10:$AD$432,21,FALSE)</f>
        <v>7.7480000000000002</v>
      </c>
      <c r="J115" s="484">
        <f>G115*VLOOKUP(F115,'Baumaterialien Matériaux'!$A$10:$AD$432,24,FALSE)</f>
        <v>5.2780000000000007E-2</v>
      </c>
      <c r="K115" s="484">
        <f>G115*VLOOKUP(F115,'Baumaterialien Matériaux'!$A$10:$AD$432,26,FALSE)</f>
        <v>1.1726000000000001</v>
      </c>
      <c r="L115" s="484">
        <f>G115*VLOOKUP(F115,'Baumaterialien Matériaux'!$A$10:$AD$432,27,FALSE)</f>
        <v>0.8034</v>
      </c>
      <c r="M115" s="484">
        <f>G115*VLOOKUP(F115,'Baumaterialien Matériaux'!$A$10:$AD$432,29,FALSE)</f>
        <v>0</v>
      </c>
      <c r="N115" s="843">
        <v>30</v>
      </c>
      <c r="O115" s="748"/>
      <c r="P115" s="748"/>
      <c r="Q115" s="748"/>
      <c r="R115" s="749"/>
      <c r="S115" s="388"/>
    </row>
    <row r="116" spans="1:23" ht="15">
      <c r="I116" s="485">
        <f>SUM(I111:I115)</f>
        <v>119.82849999999999</v>
      </c>
      <c r="J116" s="485">
        <f>SUM(J111:J115)</f>
        <v>24.719929999999998</v>
      </c>
      <c r="K116" s="485">
        <f>SUM(K111:K115)</f>
        <v>34.780100000000004</v>
      </c>
      <c r="L116" s="485">
        <f>SUM(L111:L115)</f>
        <v>7.1792000000000007</v>
      </c>
      <c r="M116" s="485">
        <f>SUM(M111:M115)</f>
        <v>0</v>
      </c>
      <c r="N116" s="843">
        <v>30</v>
      </c>
      <c r="O116" s="485">
        <f>I116/$N116</f>
        <v>3.9942833333333332</v>
      </c>
      <c r="P116" s="485">
        <f>J116/$N116</f>
        <v>0.82399766666666663</v>
      </c>
      <c r="Q116" s="485">
        <f>K116/$N116</f>
        <v>1.1593366666666669</v>
      </c>
      <c r="R116" s="485">
        <f>L116/$N116</f>
        <v>0.2393066666666667</v>
      </c>
      <c r="S116" s="485">
        <f>M116/$N116</f>
        <v>0</v>
      </c>
    </row>
    <row r="117" spans="1:23" ht="15">
      <c r="I117" s="353"/>
      <c r="J117" s="353"/>
      <c r="K117" s="353"/>
      <c r="L117" s="353"/>
      <c r="M117" s="353"/>
    </row>
    <row r="118" spans="1:23" ht="29.25">
      <c r="A118" s="483" t="s">
        <v>783</v>
      </c>
      <c r="B118" s="482" t="s">
        <v>416</v>
      </c>
      <c r="C118" s="483"/>
      <c r="D118" s="483"/>
      <c r="E118" s="483"/>
      <c r="F118" s="483"/>
      <c r="G118" s="483"/>
      <c r="H118" s="483"/>
      <c r="I118" s="485">
        <f>AVERAGE(I109,I116)</f>
        <v>110.17349999999999</v>
      </c>
      <c r="J118" s="485">
        <f>AVERAGE(J109,J116)</f>
        <v>16.13843</v>
      </c>
      <c r="K118" s="485">
        <f>(70%*K109)+(30%*K116)</f>
        <v>29.831800000000001</v>
      </c>
      <c r="L118" s="485">
        <f t="shared" ref="L118:M118" si="41">(70%*L109)+(30%*L116)</f>
        <v>4.5243099999999998</v>
      </c>
      <c r="M118" s="485">
        <f t="shared" si="41"/>
        <v>6.9043333333333328</v>
      </c>
      <c r="N118" s="485"/>
      <c r="O118" s="485">
        <f t="shared" ref="O118:P118" si="42">AVERAGE(O109,O116)</f>
        <v>3.67245</v>
      </c>
      <c r="P118" s="485">
        <f t="shared" si="42"/>
        <v>0.53794766666666671</v>
      </c>
      <c r="Q118" s="485">
        <f t="shared" ref="Q118:S118" si="43">(70%*Q109)+(30%*Q116)</f>
        <v>0.99439333333333346</v>
      </c>
      <c r="R118" s="485">
        <f t="shared" si="43"/>
        <v>0.15081033333333335</v>
      </c>
      <c r="S118" s="485">
        <f t="shared" si="43"/>
        <v>0.23014444444444443</v>
      </c>
    </row>
    <row r="122" spans="1:23" ht="17.25">
      <c r="A122" s="350" t="s">
        <v>788</v>
      </c>
      <c r="B122" s="350"/>
      <c r="C122" s="350"/>
      <c r="D122" s="350"/>
      <c r="E122" s="350"/>
      <c r="F122" s="350"/>
      <c r="G122" s="350" t="s">
        <v>554</v>
      </c>
      <c r="H122" s="350"/>
      <c r="I122" s="350"/>
      <c r="J122" s="350"/>
      <c r="K122" s="350"/>
      <c r="L122" s="350"/>
      <c r="M122" s="350"/>
      <c r="N122" s="352"/>
      <c r="O122" s="352"/>
      <c r="P122" s="352"/>
      <c r="Q122" s="352"/>
      <c r="R122" s="352"/>
      <c r="S122" s="352"/>
    </row>
    <row r="123" spans="1:23">
      <c r="V123" s="3" t="s">
        <v>789</v>
      </c>
    </row>
    <row r="124" spans="1:23">
      <c r="A124" s="483" t="str">
        <f>'Calcul ACV'!$C$83</f>
        <v>Balcons y c. dispositifs antichute</v>
      </c>
      <c r="B124" s="1182" t="s">
        <v>790</v>
      </c>
      <c r="C124" s="483" t="s">
        <v>791</v>
      </c>
      <c r="D124" s="483" t="str">
        <f>VLOOKUP(F124,'Baumaterialien Matériaux'!$A$10:$AD$432,30,FALSE)</f>
        <v>Béton pour bâtiment (sans armature)</v>
      </c>
      <c r="E124" s="483" t="str">
        <f>VLOOKUP(F124,'Baumaterialien Matériaux'!$A$10:$AD$432,6,FALSE)</f>
        <v>kg</v>
      </c>
      <c r="F124" s="358">
        <v>1.0019999999999998</v>
      </c>
      <c r="G124" s="484">
        <f>0.326/1.6*2300</f>
        <v>468.62499999999994</v>
      </c>
      <c r="H124" s="483"/>
      <c r="I124" s="484">
        <f>$G124*VLOOKUP(F124,'Baumaterialien Matériaux'!$A$10:$AD$432,21,FALSE)</f>
        <v>58.10949999999999</v>
      </c>
      <c r="J124" s="484">
        <f>G124*VLOOKUP(F124,'Baumaterialien Matériaux'!$A$10:$AD$432,24,FALSE)</f>
        <v>24.181049999999995</v>
      </c>
      <c r="K124" s="484">
        <f>G124*VLOOKUP(F124,'Baumaterialien Matériaux'!$A$10:$AD$432,26,FALSE)</f>
        <v>41.613899999999994</v>
      </c>
      <c r="L124" s="484">
        <f>G124*VLOOKUP(F124,'Baumaterialien Matériaux'!$A$10:$AD$432,27,FALSE)</f>
        <v>5.9515374999999988</v>
      </c>
      <c r="M124" s="484">
        <f>G124*VLOOKUP(F124,'Baumaterialien Matériaux'!$A$10:$AD$432,29,FALSE)</f>
        <v>0</v>
      </c>
      <c r="N124" s="721">
        <v>40</v>
      </c>
      <c r="O124" s="722"/>
      <c r="P124" s="722"/>
      <c r="Q124" s="722"/>
      <c r="R124" s="723"/>
      <c r="S124" s="383"/>
      <c r="V124" s="3">
        <v>124</v>
      </c>
      <c r="W124" s="3">
        <f ca="1">MATCH(BillQuantities!$E$36, INDIRECT("A"&amp;V124&amp;":A131"),0)</f>
        <v>1</v>
      </c>
    </row>
    <row r="125" spans="1:23">
      <c r="A125" s="483" t="str">
        <f>'Calcul ACV'!$C$83</f>
        <v>Balcons y c. dispositifs antichute</v>
      </c>
      <c r="B125" s="1182"/>
      <c r="C125" s="483" t="s">
        <v>792</v>
      </c>
      <c r="D125" s="483" t="str">
        <f>VLOOKUP(F125,'Baumaterialien Matériaux'!$A$10:$AD$432,30,FALSE)</f>
        <v>Acier d'armature</v>
      </c>
      <c r="E125" s="483" t="str">
        <f>VLOOKUP(F125,'Baumaterialien Matériaux'!$A$10:$AD$432,6,FALSE)</f>
        <v>kg</v>
      </c>
      <c r="F125" s="869" t="s">
        <v>497</v>
      </c>
      <c r="G125" s="484">
        <f>28.05/1.6</f>
        <v>17.53125</v>
      </c>
      <c r="H125" s="483"/>
      <c r="I125" s="484">
        <f>$G125*VLOOKUP(F125,'Baumaterialien Matériaux'!$A$10:$AD$432,21,FALSE)</f>
        <v>86.604375000000005</v>
      </c>
      <c r="J125" s="484">
        <f>G125*VLOOKUP(F125,'Baumaterialien Matériaux'!$A$10:$AD$432,24,FALSE)</f>
        <v>0.89058749999999998</v>
      </c>
      <c r="K125" s="484">
        <f>G125*VLOOKUP(F125,'Baumaterialien Matériaux'!$A$10:$AD$432,26,FALSE)</f>
        <v>26.296875</v>
      </c>
      <c r="L125" s="484">
        <f>G125*VLOOKUP(F125,'Baumaterialien Matériaux'!$A$10:$AD$432,27,FALSE)</f>
        <v>0.21738749999999998</v>
      </c>
      <c r="M125" s="484">
        <f>G125*VLOOKUP(F125,'Baumaterialien Matériaux'!$A$10:$AD$432,29,FALSE)</f>
        <v>0</v>
      </c>
      <c r="N125" s="711">
        <v>40</v>
      </c>
      <c r="O125" s="712"/>
      <c r="P125" s="712"/>
      <c r="Q125" s="712"/>
      <c r="R125" s="724"/>
      <c r="S125" s="383"/>
      <c r="V125" s="3">
        <f ca="1">W124+V124</f>
        <v>125</v>
      </c>
      <c r="W125" s="3">
        <f ca="1">MATCH(BillQuantities!$E$36, INDIRECT("A"&amp;V125&amp;":A131"),0)+W124-1</f>
        <v>1</v>
      </c>
    </row>
    <row r="126" spans="1:23">
      <c r="A126" s="483" t="str">
        <f>'Calcul ACV'!$C$83</f>
        <v>Balcons y c. dispositifs antichute</v>
      </c>
      <c r="B126" s="1182"/>
      <c r="C126" s="483" t="s">
        <v>582</v>
      </c>
      <c r="D126" s="483" t="str">
        <f>VLOOKUP(F126,'Baumaterialien Matériaux'!$A$10:$AD$432,30,FALSE)</f>
        <v>Bois massif 3 et 5 plis</v>
      </c>
      <c r="E126" s="483" t="str">
        <f>VLOOKUP(F126,'Baumaterialien Matériaux'!$A$10:$AD$432,6,FALSE)</f>
        <v>kg</v>
      </c>
      <c r="F126" s="483" t="s">
        <v>510</v>
      </c>
      <c r="G126" s="484">
        <f>2/5*0.025*470</f>
        <v>4.7000000000000011</v>
      </c>
      <c r="H126" s="483"/>
      <c r="I126" s="484">
        <f>$G126*VLOOKUP(F126,'Baumaterialien Matériaux'!$A$10:$AD$432,21,FALSE)</f>
        <v>9.8230000000000022</v>
      </c>
      <c r="J126" s="484">
        <f>G126*VLOOKUP(F126,'Baumaterialien Matériaux'!$A$10:$AD$432,24,FALSE)</f>
        <v>0.43569000000000013</v>
      </c>
      <c r="K126" s="484">
        <f>G126*VLOOKUP(F126,'Baumaterialien Matériaux'!$A$10:$AD$432,26,FALSE)</f>
        <v>1.9505000000000003</v>
      </c>
      <c r="L126" s="484">
        <f>G126*VLOOKUP(F126,'Baumaterialien Matériaux'!$A$10:$AD$432,27,FALSE)</f>
        <v>0.26085000000000008</v>
      </c>
      <c r="M126" s="484"/>
      <c r="N126" s="711">
        <v>40</v>
      </c>
      <c r="O126" s="712"/>
      <c r="P126" s="712"/>
      <c r="Q126" s="712"/>
      <c r="R126" s="724"/>
      <c r="S126" s="383"/>
      <c r="V126" s="3">
        <f t="shared" ref="V126:V131" ca="1" si="44">W125+V125-W124</f>
        <v>125</v>
      </c>
      <c r="W126" s="3">
        <f ca="1">MATCH(BillQuantities!$E$36, INDIRECT("A"&amp;V126&amp;":A131"),0)+W125-1</f>
        <v>1</v>
      </c>
    </row>
    <row r="127" spans="1:23">
      <c r="A127" s="483" t="str">
        <f>'Calcul ACV'!$C$83</f>
        <v>Balcons y c. dispositifs antichute</v>
      </c>
      <c r="B127" s="1182"/>
      <c r="C127" s="483" t="s">
        <v>793</v>
      </c>
      <c r="D127" s="483" t="str">
        <f>VLOOKUP(F127,'Baumaterialien Matériaux'!$A$10:$AD$432,30,FALSE)</f>
        <v>Tôle d'acier nickel-chrome 18/8, nue</v>
      </c>
      <c r="E127" s="483" t="str">
        <f>VLOOKUP(F127,'Baumaterialien Matériaux'!$A$10:$AD$432,6,FALSE)</f>
        <v>kg</v>
      </c>
      <c r="F127" s="869" t="s">
        <v>615</v>
      </c>
      <c r="G127" s="484">
        <f>7.52/1.6</f>
        <v>4.6999999999999993</v>
      </c>
      <c r="H127" s="483"/>
      <c r="I127" s="484">
        <f>$G127*VLOOKUP(F127,'Baumaterialien Matériaux'!$A$10:$AD$432,21,FALSE)</f>
        <v>68.149999999999991</v>
      </c>
      <c r="J127" s="484">
        <f>G127*VLOOKUP(F127,'Baumaterialien Matériaux'!$A$10:$AD$432,24,FALSE)</f>
        <v>0.12830999999999998</v>
      </c>
      <c r="K127" s="484">
        <f>G127*VLOOKUP(F127,'Baumaterialien Matériaux'!$A$10:$AD$432,26,FALSE)</f>
        <v>19.363999999999997</v>
      </c>
      <c r="L127" s="484">
        <f>G127*VLOOKUP(F127,'Baumaterialien Matériaux'!$A$10:$AD$432,27,FALSE)</f>
        <v>3.2852999999999993E-2</v>
      </c>
      <c r="M127" s="484">
        <f>G127*VLOOKUP(F127,'Baumaterialien Matériaux'!$A$10:$AD$432,29,FALSE)</f>
        <v>0</v>
      </c>
      <c r="N127" s="711">
        <v>40</v>
      </c>
      <c r="O127" s="712"/>
      <c r="P127" s="712"/>
      <c r="Q127" s="712"/>
      <c r="R127" s="724"/>
      <c r="S127" s="383"/>
      <c r="V127" s="3">
        <f t="shared" ca="1" si="44"/>
        <v>125</v>
      </c>
      <c r="W127" s="3">
        <f ca="1">MATCH(BillQuantities!$E$36, INDIRECT("A"&amp;V127&amp;":A131"),0)+W126-1</f>
        <v>1</v>
      </c>
    </row>
    <row r="128" spans="1:23">
      <c r="A128" s="483" t="str">
        <f>'Calcul ACV'!$C$83</f>
        <v>Balcons y c. dispositifs antichute</v>
      </c>
      <c r="B128" s="1182"/>
      <c r="C128" s="483" t="s">
        <v>794</v>
      </c>
      <c r="D128" s="483" t="str">
        <f>VLOOKUP(F128,'Baumaterialien Matériaux'!$A$10:$AD$432,30,FALSE)</f>
        <v>Polystyrène extrudé (XPS)</v>
      </c>
      <c r="E128" s="483" t="str">
        <f>VLOOKUP(F128,'Baumaterialien Matériaux'!$A$10:$AD$432,6,FALSE)</f>
        <v>kg</v>
      </c>
      <c r="F128" s="869" t="s">
        <v>110</v>
      </c>
      <c r="G128" s="484">
        <f>0.48/1.6</f>
        <v>0.3</v>
      </c>
      <c r="H128" s="483"/>
      <c r="I128" s="484">
        <f>$G128*VLOOKUP(F128,'Baumaterialien Matériaux'!$A$10:$AD$432,21,FALSE)</f>
        <v>8.76</v>
      </c>
      <c r="J128" s="484">
        <f>G128*VLOOKUP(F128,'Baumaterialien Matériaux'!$A$10:$AD$432,24,FALSE)</f>
        <v>6.0900000000000003E-2</v>
      </c>
      <c r="K128" s="484">
        <f>G128*VLOOKUP(F128,'Baumaterialien Matériaux'!$A$10:$AD$432,26,FALSE)</f>
        <v>3.39</v>
      </c>
      <c r="L128" s="484">
        <f>G128*VLOOKUP(F128,'Baumaterialien Matériaux'!$A$10:$AD$432,27,FALSE)</f>
        <v>0.92699999999999994</v>
      </c>
      <c r="M128" s="484">
        <f>G128*VLOOKUP(F128,'Baumaterialien Matériaux'!$A$10:$AD$432,29,FALSE)</f>
        <v>0</v>
      </c>
      <c r="N128" s="711">
        <v>40</v>
      </c>
      <c r="O128" s="712"/>
      <c r="P128" s="712"/>
      <c r="Q128" s="712"/>
      <c r="R128" s="724"/>
      <c r="S128" s="383"/>
      <c r="V128" s="3">
        <f t="shared" ca="1" si="44"/>
        <v>125</v>
      </c>
      <c r="W128" s="3">
        <f ca="1">MATCH(BillQuantities!$E$36, INDIRECT("A"&amp;V128&amp;":A131"),0)+W127-1</f>
        <v>1</v>
      </c>
    </row>
    <row r="129" spans="1:24">
      <c r="A129" s="483" t="str">
        <f>'Calcul ACV'!$C$83</f>
        <v>Balcons y c. dispositifs antichute</v>
      </c>
      <c r="B129" s="1182"/>
      <c r="C129" s="483" t="s">
        <v>795</v>
      </c>
      <c r="D129" s="483" t="str">
        <f>VLOOKUP(F129,'Baumaterialien Matériaux'!$A$10:$AD$432,30,FALSE)</f>
        <v>Béton dur, 1 couche, 27,5 mm</v>
      </c>
      <c r="E129" s="483" t="str">
        <f>VLOOKUP(F129,'Baumaterialien Matériaux'!$A$10:$AD$432,6,FALSE)</f>
        <v>m2</v>
      </c>
      <c r="F129" s="870" t="s">
        <v>796</v>
      </c>
      <c r="G129" s="484">
        <f>0.032/1.6*2100</f>
        <v>42</v>
      </c>
      <c r="H129" s="483"/>
      <c r="I129" s="484">
        <f>$G129*VLOOKUP(F129,'Baumaterialien Matériaux'!$A$10:$AD$432,21,FALSE)/57.8</f>
        <v>31.681660899653981</v>
      </c>
      <c r="J129" s="484">
        <f>G129*VLOOKUP(F129,'Baumaterialien Matériaux'!$A$10:$AD$432,24,FALSE)/57.8</f>
        <v>2.2162629757785468</v>
      </c>
      <c r="K129" s="838">
        <f>G129*VLOOKUP(F129,'Baumaterialien Matériaux'!$A$10:$AD$432,26,FALSE)/57.8</f>
        <v>11.408304498269896</v>
      </c>
      <c r="L129" s="484">
        <f>G129*VLOOKUP(F129,'Baumaterialien Matériaux'!$A$10:$AD$432,27,FALSE)/57.8</f>
        <v>0.53844290657439453</v>
      </c>
      <c r="M129" s="484">
        <f>G129*VLOOKUP(F129,'Baumaterialien Matériaux'!$A$10:$AD$432,29,FALSE)</f>
        <v>0</v>
      </c>
      <c r="N129" s="711">
        <v>40</v>
      </c>
      <c r="O129" s="712"/>
      <c r="P129" s="712"/>
      <c r="Q129" s="712"/>
      <c r="R129" s="724"/>
      <c r="S129" s="383"/>
      <c r="V129" s="3">
        <f t="shared" ca="1" si="44"/>
        <v>125</v>
      </c>
      <c r="W129" s="3">
        <f ca="1">MATCH(BillQuantities!$E$36, INDIRECT("A"&amp;V129&amp;":A131"),0)+W128-1</f>
        <v>1</v>
      </c>
    </row>
    <row r="130" spans="1:24">
      <c r="A130" s="483" t="str">
        <f>'Calcul ACV'!$C$83</f>
        <v>Balcons y c. dispositifs antichute</v>
      </c>
      <c r="B130" s="1182"/>
      <c r="C130" s="483" t="s">
        <v>797</v>
      </c>
      <c r="D130" s="483" t="str">
        <f>VLOOKUP(F130,'Baumaterialien Matériaux'!$A$10:$AD$432,30,FALSE)</f>
        <v>Tôle d'acier, zinguée</v>
      </c>
      <c r="E130" s="483" t="str">
        <f>VLOOKUP(F130,'Baumaterialien Matériaux'!$A$10:$AD$432,6,FALSE)</f>
        <v>kg</v>
      </c>
      <c r="F130" s="869" t="s">
        <v>618</v>
      </c>
      <c r="G130" s="484">
        <f>20.82/1.6</f>
        <v>13.012499999999999</v>
      </c>
      <c r="H130" s="483"/>
      <c r="I130" s="484">
        <f>$G130*VLOOKUP(F130,'Baumaterialien Matériaux'!$A$10:$AD$432,21,FALSE)</f>
        <v>202.99499999999998</v>
      </c>
      <c r="J130" s="484">
        <f>G130*VLOOKUP(F130,'Baumaterialien Matériaux'!$A$10:$AD$432,24,FALSE)</f>
        <v>0.35524125000000001</v>
      </c>
      <c r="K130" s="484">
        <f>G130*VLOOKUP(F130,'Baumaterialien Matériaux'!$A$10:$AD$432,26,FALSE)</f>
        <v>58.426124999999999</v>
      </c>
      <c r="L130" s="484">
        <f>G130*VLOOKUP(F130,'Baumaterialien Matériaux'!$A$10:$AD$432,27,FALSE)</f>
        <v>9.0957374999999993E-2</v>
      </c>
      <c r="M130" s="484">
        <f>G130*VLOOKUP(F130,'Baumaterialien Matériaux'!$A$10:$AD$432,29,FALSE)</f>
        <v>0</v>
      </c>
      <c r="N130" s="717">
        <v>40</v>
      </c>
      <c r="O130" s="718"/>
      <c r="P130" s="718"/>
      <c r="Q130" s="718"/>
      <c r="R130" s="725"/>
      <c r="S130" s="383"/>
      <c r="V130" s="3">
        <f t="shared" ca="1" si="44"/>
        <v>125</v>
      </c>
      <c r="W130" s="3">
        <f ca="1">MATCH(BillQuantities!$E$36, INDIRECT("A"&amp;V130&amp;":A131"),0)+W129-1</f>
        <v>1</v>
      </c>
    </row>
    <row r="131" spans="1:24" ht="15">
      <c r="I131" s="485">
        <f>SUM(I124:I130)</f>
        <v>466.12353589965392</v>
      </c>
      <c r="J131" s="485">
        <f t="shared" ref="J131:M131" si="45">SUM(J124:J130)</f>
        <v>28.268041725778541</v>
      </c>
      <c r="K131" s="485">
        <f t="shared" si="45"/>
        <v>162.44970449826991</v>
      </c>
      <c r="L131" s="485">
        <f t="shared" si="45"/>
        <v>8.0190282815743945</v>
      </c>
      <c r="M131" s="485">
        <f t="shared" si="45"/>
        <v>0</v>
      </c>
      <c r="N131" s="843">
        <v>40</v>
      </c>
      <c r="O131" s="485">
        <f>I131/$N131</f>
        <v>11.653088397491349</v>
      </c>
      <c r="P131" s="485">
        <f>J131/$N131</f>
        <v>0.70670104314446358</v>
      </c>
      <c r="Q131" s="485">
        <f>K131/$N131</f>
        <v>4.0612426124567476</v>
      </c>
      <c r="R131" s="485">
        <f>L131/$N131</f>
        <v>0.20047570703935985</v>
      </c>
      <c r="S131" s="485">
        <f>M131/$N131</f>
        <v>0</v>
      </c>
      <c r="V131" s="3">
        <f t="shared" ca="1" si="44"/>
        <v>125</v>
      </c>
      <c r="W131" s="3">
        <f ca="1">MATCH(BillQuantities!$E$36, INDIRECT("A"&amp;V131&amp;":A131"),0)+W130-1</f>
        <v>1</v>
      </c>
      <c r="X131" s="3" cm="1">
        <f t="array" aca="1" ref="X131" ca="1">INDEX(C131:C173, W131)</f>
        <v>0</v>
      </c>
    </row>
  </sheetData>
  <customSheetViews>
    <customSheetView guid="{B32447E2-AB5B-4CBB-881B-FF11349CA4D6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1"/>
    </customSheetView>
    <customSheetView guid="{9FA74287-E657-475B-BF4B-3C8C757714AE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2"/>
    </customSheetView>
  </customSheetViews>
  <mergeCells count="100">
    <mergeCell ref="S57:S60"/>
    <mergeCell ref="S64:S66"/>
    <mergeCell ref="S67:S70"/>
    <mergeCell ref="S4:S6"/>
    <mergeCell ref="S7:S9"/>
    <mergeCell ref="S12:S13"/>
    <mergeCell ref="S14:S16"/>
    <mergeCell ref="S19:S20"/>
    <mergeCell ref="S21:S23"/>
    <mergeCell ref="S46:S48"/>
    <mergeCell ref="S49:S51"/>
    <mergeCell ref="S54:S56"/>
    <mergeCell ref="Q7:Q9"/>
    <mergeCell ref="R7:R9"/>
    <mergeCell ref="Q12:Q13"/>
    <mergeCell ref="R12:R13"/>
    <mergeCell ref="Q14:Q16"/>
    <mergeCell ref="R14:R16"/>
    <mergeCell ref="B4:B6"/>
    <mergeCell ref="B12:B13"/>
    <mergeCell ref="B7:B9"/>
    <mergeCell ref="O7:O9"/>
    <mergeCell ref="P7:P9"/>
    <mergeCell ref="N12:N13"/>
    <mergeCell ref="O4:O6"/>
    <mergeCell ref="P4:P6"/>
    <mergeCell ref="B39:B40"/>
    <mergeCell ref="B19:B20"/>
    <mergeCell ref="N36:R40"/>
    <mergeCell ref="O49:O51"/>
    <mergeCell ref="P49:P51"/>
    <mergeCell ref="Q49:Q51"/>
    <mergeCell ref="R49:R51"/>
    <mergeCell ref="O46:O48"/>
    <mergeCell ref="N19:N20"/>
    <mergeCell ref="O19:O20"/>
    <mergeCell ref="P19:P20"/>
    <mergeCell ref="O21:O23"/>
    <mergeCell ref="P21:P23"/>
    <mergeCell ref="Q21:Q23"/>
    <mergeCell ref="R21:R23"/>
    <mergeCell ref="Q19:Q20"/>
    <mergeCell ref="Q4:Q6"/>
    <mergeCell ref="R4:R6"/>
    <mergeCell ref="B14:B16"/>
    <mergeCell ref="P46:P48"/>
    <mergeCell ref="Q46:Q48"/>
    <mergeCell ref="R46:R48"/>
    <mergeCell ref="B29:B31"/>
    <mergeCell ref="B36:B38"/>
    <mergeCell ref="B21:B23"/>
    <mergeCell ref="B32:B33"/>
    <mergeCell ref="O12:O13"/>
    <mergeCell ref="P12:P13"/>
    <mergeCell ref="N14:N16"/>
    <mergeCell ref="O14:O16"/>
    <mergeCell ref="P14:P16"/>
    <mergeCell ref="R19:R20"/>
    <mergeCell ref="N93:R94"/>
    <mergeCell ref="N97:R98"/>
    <mergeCell ref="P64:P66"/>
    <mergeCell ref="Q64:Q66"/>
    <mergeCell ref="R64:R66"/>
    <mergeCell ref="N67:N70"/>
    <mergeCell ref="O67:O70"/>
    <mergeCell ref="P67:P70"/>
    <mergeCell ref="Q67:Q70"/>
    <mergeCell ref="N64:N66"/>
    <mergeCell ref="O64:O66"/>
    <mergeCell ref="R67:R70"/>
    <mergeCell ref="N77:R80"/>
    <mergeCell ref="N83:R86"/>
    <mergeCell ref="B124:B130"/>
    <mergeCell ref="B77:B80"/>
    <mergeCell ref="B49:B51"/>
    <mergeCell ref="B73:B74"/>
    <mergeCell ref="B46:B48"/>
    <mergeCell ref="B54:B56"/>
    <mergeCell ref="B57:B60"/>
    <mergeCell ref="B67:B70"/>
    <mergeCell ref="B104:B108"/>
    <mergeCell ref="B111:B115"/>
    <mergeCell ref="A83:A86"/>
    <mergeCell ref="B83:B86"/>
    <mergeCell ref="O54:O56"/>
    <mergeCell ref="P54:P56"/>
    <mergeCell ref="Q54:Q56"/>
    <mergeCell ref="A73:A74"/>
    <mergeCell ref="B64:B66"/>
    <mergeCell ref="A77:A80"/>
    <mergeCell ref="R54:R56"/>
    <mergeCell ref="O57:O60"/>
    <mergeCell ref="P57:P60"/>
    <mergeCell ref="Q57:Q60"/>
    <mergeCell ref="R57:R60"/>
    <mergeCell ref="A111:A115"/>
    <mergeCell ref="B89:G89"/>
    <mergeCell ref="B93:B94"/>
    <mergeCell ref="A97:A98"/>
    <mergeCell ref="B97:B98"/>
  </mergeCells>
  <pageMargins left="0.7" right="0.7" top="0.78740157499999996" bottom="0.78740157499999996" header="0.3" footer="0.3"/>
  <pageSetup paperSize="9" orientation="portrait" r:id="rId3"/>
  <legacy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Q32"/>
  <sheetViews>
    <sheetView zoomScale="70" zoomScaleNormal="70" workbookViewId="0">
      <pane ySplit="1" topLeftCell="A2" activePane="bottomLeft" state="frozen"/>
      <selection activeCell="F113" sqref="F113"/>
      <selection pane="bottomLeft" activeCell="F113" sqref="F113"/>
    </sheetView>
  </sheetViews>
  <sheetFormatPr baseColWidth="10" defaultColWidth="10.875" defaultRowHeight="14.25" outlineLevelCol="1"/>
  <cols>
    <col min="1" max="1" width="28.625" style="3" customWidth="1"/>
    <col min="2" max="2" width="52.125" style="3" customWidth="1"/>
    <col min="3" max="3" width="46.375" style="3" customWidth="1"/>
    <col min="4" max="5" width="10.875" style="3"/>
    <col min="6" max="6" width="3.5" style="3" customWidth="1"/>
    <col min="7" max="8" width="0" style="3" hidden="1" customWidth="1" outlineLevel="1"/>
    <col min="9" max="9" width="10.875" style="3" collapsed="1"/>
    <col min="10" max="11" width="10.875" style="3"/>
    <col min="12" max="13" width="0" style="3" hidden="1" customWidth="1" outlineLevel="1"/>
    <col min="14" max="14" width="10.875" style="3" collapsed="1"/>
    <col min="15" max="16384" width="10.875" style="3"/>
  </cols>
  <sheetData>
    <row r="1" spans="1:17" ht="60">
      <c r="B1" s="1" t="s">
        <v>444</v>
      </c>
      <c r="C1" s="1" t="s">
        <v>445</v>
      </c>
      <c r="D1" s="1" t="s">
        <v>446</v>
      </c>
      <c r="E1" s="1" t="s">
        <v>447</v>
      </c>
      <c r="G1" s="207" t="s">
        <v>448</v>
      </c>
      <c r="H1" s="207" t="s">
        <v>449</v>
      </c>
      <c r="I1" s="207" t="s">
        <v>450</v>
      </c>
      <c r="J1" s="207" t="s">
        <v>451</v>
      </c>
      <c r="K1" s="207" t="s">
        <v>452</v>
      </c>
      <c r="L1" s="207" t="s">
        <v>453</v>
      </c>
      <c r="M1" s="207" t="s">
        <v>454</v>
      </c>
      <c r="N1" s="207" t="s">
        <v>455</v>
      </c>
      <c r="O1" s="207" t="s">
        <v>456</v>
      </c>
    </row>
    <row r="2" spans="1:17" ht="17.25">
      <c r="A2" s="350" t="s">
        <v>798</v>
      </c>
      <c r="B2" s="350"/>
      <c r="C2" s="350"/>
      <c r="D2" s="350"/>
      <c r="E2" s="351" t="s">
        <v>554</v>
      </c>
      <c r="F2" s="350"/>
      <c r="G2" s="352"/>
      <c r="H2" s="352"/>
      <c r="I2" s="352"/>
      <c r="J2" s="352"/>
      <c r="K2" s="352"/>
      <c r="L2" s="352"/>
      <c r="M2" s="352"/>
      <c r="N2" s="352"/>
      <c r="O2" s="352"/>
    </row>
    <row r="3" spans="1:17">
      <c r="A3" s="483" t="s">
        <v>799</v>
      </c>
      <c r="B3" s="483" t="s">
        <v>423</v>
      </c>
      <c r="C3" s="483" t="s">
        <v>422</v>
      </c>
      <c r="D3" s="871" t="s">
        <v>800</v>
      </c>
      <c r="E3" s="483">
        <v>1</v>
      </c>
      <c r="F3" s="483"/>
      <c r="G3" s="484">
        <f>$E3*VLOOKUP(D3,'Gebäudetechnik Technique du bât'!$A$10:$V$403,17,FALSE)</f>
        <v>53.9</v>
      </c>
      <c r="H3" s="484">
        <f>E3*VLOOKUP(D3,'Gebäudetechnik Technique du bât'!$A$10:$V$403,18,FALSE)</f>
        <v>53.2</v>
      </c>
      <c r="I3" s="484">
        <f>E3*VLOOKUP(D3,'Gebäudetechnik Technique du bât'!$A$10:$V$403,20,FALSE)</f>
        <v>13</v>
      </c>
      <c r="J3" s="484">
        <f>E3*VLOOKUP(D3,'Gebäudetechnik Technique du bât'!$A$10:$V$403,21,FALSE)</f>
        <v>9.5299999999999994</v>
      </c>
      <c r="K3" s="483">
        <v>30</v>
      </c>
      <c r="L3" s="484">
        <f>G3/$K3</f>
        <v>1.7966666666666666</v>
      </c>
      <c r="M3" s="484">
        <f t="shared" ref="M3:O3" si="0">H3/$K3</f>
        <v>1.7733333333333334</v>
      </c>
      <c r="N3" s="484">
        <f t="shared" si="0"/>
        <v>0.43333333333333335</v>
      </c>
      <c r="O3" s="484">
        <f t="shared" si="0"/>
        <v>0.31766666666666665</v>
      </c>
    </row>
    <row r="4" spans="1:17">
      <c r="A4" s="483" t="s">
        <v>801</v>
      </c>
      <c r="B4" s="483" t="s">
        <v>425</v>
      </c>
      <c r="C4" s="483" t="s">
        <v>424</v>
      </c>
      <c r="D4" s="871" t="s">
        <v>802</v>
      </c>
      <c r="E4" s="483">
        <v>1</v>
      </c>
      <c r="F4" s="483"/>
      <c r="G4" s="484">
        <f>$E4*VLOOKUP(D4,'Gebäudetechnik Technique du bât'!$A$10:$V$403,17,FALSE)</f>
        <v>106</v>
      </c>
      <c r="H4" s="484">
        <f>E4*VLOOKUP(D4,'Gebäudetechnik Technique du bât'!$A$10:$V$403,18,FALSE)</f>
        <v>105</v>
      </c>
      <c r="I4" s="484">
        <f>E4*VLOOKUP(D4,'Gebäudetechnik Technique du bât'!$A$10:$V$403,20,FALSE)</f>
        <v>24.1</v>
      </c>
      <c r="J4" s="484">
        <f>E4*VLOOKUP(D4,'Gebäudetechnik Technique du bât'!$A$10:$V$403,21,FALSE)</f>
        <v>22.6</v>
      </c>
      <c r="K4" s="483">
        <v>30</v>
      </c>
      <c r="L4" s="484">
        <f t="shared" ref="L4:L5" si="1">G4/$K4</f>
        <v>3.5333333333333332</v>
      </c>
      <c r="M4" s="484">
        <f t="shared" ref="M4" si="2">H4/$K4</f>
        <v>3.5</v>
      </c>
      <c r="N4" s="484">
        <f t="shared" ref="N4:N5" si="3">I4/$K4</f>
        <v>0.80333333333333334</v>
      </c>
      <c r="O4" s="484">
        <f t="shared" ref="O4" si="4">J4/$K4</f>
        <v>0.75333333333333341</v>
      </c>
    </row>
    <row r="5" spans="1:17">
      <c r="A5" s="483" t="s">
        <v>803</v>
      </c>
      <c r="B5" s="483" t="s">
        <v>426</v>
      </c>
      <c r="C5" s="483"/>
      <c r="D5" s="871" t="s">
        <v>804</v>
      </c>
      <c r="E5" s="483">
        <v>1</v>
      </c>
      <c r="F5" s="483"/>
      <c r="G5" s="484">
        <f>0.14*$E5*VLOOKUP(D5,'Gebäudetechnik Technique du bât'!$A$10:$V$403,17,FALSE)</f>
        <v>568.40000000000009</v>
      </c>
      <c r="H5" s="484" t="s">
        <v>805</v>
      </c>
      <c r="I5" s="484">
        <f>E5*VLOOKUP(D5,'Gebäudetechnik Technique du bât'!$A$10:$V$403,20,FALSE)</f>
        <v>1140</v>
      </c>
      <c r="J5" s="484" t="s">
        <v>805</v>
      </c>
      <c r="K5" s="483">
        <v>30</v>
      </c>
      <c r="L5" s="484">
        <f t="shared" si="1"/>
        <v>18.946666666666669</v>
      </c>
      <c r="M5" s="484" t="s">
        <v>805</v>
      </c>
      <c r="N5" s="484">
        <f t="shared" si="3"/>
        <v>38</v>
      </c>
      <c r="O5" s="484" t="s">
        <v>805</v>
      </c>
      <c r="P5" s="3" t="s">
        <v>151</v>
      </c>
      <c r="Q5" s="364" t="s">
        <v>806</v>
      </c>
    </row>
    <row r="6" spans="1:17">
      <c r="D6" s="360"/>
      <c r="G6" s="208"/>
      <c r="H6" s="208"/>
      <c r="I6" s="208"/>
      <c r="J6" s="208"/>
    </row>
    <row r="7" spans="1:17" ht="17.25">
      <c r="A7" s="350" t="s">
        <v>807</v>
      </c>
      <c r="B7" s="350"/>
      <c r="C7" s="350"/>
      <c r="D7" s="350"/>
      <c r="E7" s="351" t="s">
        <v>554</v>
      </c>
      <c r="F7" s="350"/>
      <c r="G7" s="352"/>
      <c r="H7" s="352"/>
      <c r="I7" s="352"/>
      <c r="J7" s="352"/>
      <c r="K7" s="352"/>
      <c r="L7" s="352"/>
      <c r="M7" s="352"/>
      <c r="N7" s="352"/>
      <c r="O7" s="352"/>
    </row>
    <row r="8" spans="1:17" ht="15">
      <c r="A8" s="1"/>
      <c r="E8" s="2"/>
    </row>
    <row r="9" spans="1:17" ht="15">
      <c r="A9" s="483" t="s">
        <v>808</v>
      </c>
      <c r="B9" s="483" t="s">
        <v>427</v>
      </c>
      <c r="C9" s="483" t="s">
        <v>809</v>
      </c>
      <c r="D9" s="871" t="s">
        <v>155</v>
      </c>
      <c r="E9" s="483">
        <v>1</v>
      </c>
      <c r="F9" s="483"/>
      <c r="G9" s="484">
        <f>$E9*VLOOKUP(D9,'Gebäudetechnik Technique du bât'!$A$10:$V$403,17,FALSE)</f>
        <v>9.5</v>
      </c>
      <c r="H9" s="484">
        <f>E9*VLOOKUP(D9,'Gebäudetechnik Technique du bât'!$A$10:$V$403,18,FALSE)</f>
        <v>9.48</v>
      </c>
      <c r="I9" s="484">
        <f>E9*VLOOKUP(D9,'Gebäudetechnik Technique du bât'!$A$10:$V$403,20,FALSE)</f>
        <v>2.57</v>
      </c>
      <c r="J9" s="484">
        <f>E9*VLOOKUP(D9,'Gebäudetechnik Technique du bât'!$A$10:$V$403,21,FALSE)</f>
        <v>2.5499999999999998</v>
      </c>
      <c r="K9" s="843">
        <v>20</v>
      </c>
      <c r="L9" s="485">
        <f>G9/$K9</f>
        <v>0.47499999999999998</v>
      </c>
      <c r="M9" s="485">
        <f t="shared" ref="M9:O9" si="5">H9/$K9</f>
        <v>0.47400000000000003</v>
      </c>
      <c r="N9" s="485">
        <f t="shared" si="5"/>
        <v>0.1285</v>
      </c>
      <c r="O9" s="485">
        <f t="shared" si="5"/>
        <v>0.1275</v>
      </c>
    </row>
    <row r="10" spans="1:17" ht="15">
      <c r="A10" s="1"/>
      <c r="E10" s="2"/>
    </row>
    <row r="11" spans="1:17">
      <c r="A11" s="1162" t="s">
        <v>810</v>
      </c>
      <c r="B11" s="1162" t="s">
        <v>811</v>
      </c>
      <c r="C11" s="483" t="str">
        <f>VLOOKUP(D11,'Gebäudetechnik Technique du bât'!$A$10:$X$403,23,FALSE)</f>
        <v>SRE</v>
      </c>
      <c r="D11" s="872" t="s">
        <v>812</v>
      </c>
      <c r="E11" s="483">
        <v>1</v>
      </c>
      <c r="F11" s="483"/>
      <c r="G11" s="484">
        <f>$E11*VLOOKUP(D11,'Gebäudetechnik Technique du bât'!$A$10:$V$403,17,FALSE)</f>
        <v>13.2</v>
      </c>
      <c r="H11" s="484">
        <f>E11*VLOOKUP(D11,'Gebäudetechnik Technique du bât'!$A$10:$V$403,18,FALSE)</f>
        <v>11.1</v>
      </c>
      <c r="I11" s="484">
        <f>E11*VLOOKUP(D11,'Gebäudetechnik Technique du bât'!$A$10:$V$403,20,FALSE)</f>
        <v>3.46</v>
      </c>
      <c r="J11" s="484">
        <f>E11*VLOOKUP(D11,'Gebäudetechnik Technique du bât'!$A$10:$V$403,21,FALSE)</f>
        <v>2.77</v>
      </c>
      <c r="K11" s="483">
        <v>30</v>
      </c>
      <c r="L11" s="484">
        <f>G11/$K11</f>
        <v>0.44</v>
      </c>
      <c r="M11" s="484">
        <f t="shared" ref="M11:O11" si="6">H11/$K11</f>
        <v>0.37</v>
      </c>
      <c r="N11" s="484">
        <f t="shared" si="6"/>
        <v>0.11533333333333333</v>
      </c>
      <c r="O11" s="484">
        <f t="shared" si="6"/>
        <v>9.2333333333333337E-2</v>
      </c>
    </row>
    <row r="12" spans="1:17">
      <c r="A12" s="1162"/>
      <c r="B12" s="1162"/>
      <c r="C12" s="483" t="str">
        <f>VLOOKUP(D12,'Gebäudetechnik Technique du bât'!$A$10:$X$403,23,FALSE)</f>
        <v>SRE</v>
      </c>
      <c r="D12" s="871" t="s">
        <v>813</v>
      </c>
      <c r="E12" s="483">
        <v>1</v>
      </c>
      <c r="F12" s="483"/>
      <c r="G12" s="484">
        <f>$E12*VLOOKUP(D12,'Gebäudetechnik Technique du bât'!$A$10:$V$403,17,FALSE)</f>
        <v>21.8</v>
      </c>
      <c r="H12" s="484">
        <f>E12*VLOOKUP(D12,'Gebäudetechnik Technique du bât'!$A$10:$V$403,18,FALSE)</f>
        <v>21.8</v>
      </c>
      <c r="I12" s="484">
        <f>E12*VLOOKUP(D12,'Gebäudetechnik Technique du bât'!$A$10:$V$403,20,FALSE)</f>
        <v>5.05</v>
      </c>
      <c r="J12" s="484">
        <f>E12*VLOOKUP(D12,'Gebäudetechnik Technique du bât'!$A$10:$V$403,21,FALSE)</f>
        <v>3.02</v>
      </c>
      <c r="K12" s="483">
        <v>30</v>
      </c>
      <c r="L12" s="484">
        <f>G12/$K12</f>
        <v>0.72666666666666668</v>
      </c>
      <c r="M12" s="484">
        <f t="shared" ref="M12" si="7">H12/$K12</f>
        <v>0.72666666666666668</v>
      </c>
      <c r="N12" s="484">
        <f t="shared" ref="N12" si="8">I12/$K12</f>
        <v>0.16833333333333333</v>
      </c>
      <c r="O12" s="484">
        <f t="shared" ref="O12" si="9">J12/$K12</f>
        <v>0.10066666666666667</v>
      </c>
    </row>
    <row r="13" spans="1:17" ht="15">
      <c r="A13" s="384"/>
      <c r="B13" s="384"/>
      <c r="G13" s="485">
        <f>SUM(G11:G12)</f>
        <v>35</v>
      </c>
      <c r="H13" s="485">
        <f>SUM(H11:H12)</f>
        <v>32.9</v>
      </c>
      <c r="I13" s="485">
        <f>SUM(I11:I12)</f>
        <v>8.51</v>
      </c>
      <c r="J13" s="485">
        <f>SUM(J11:J12)</f>
        <v>5.79</v>
      </c>
      <c r="K13" s="483"/>
      <c r="L13" s="485">
        <f>SUM(L11:L12)</f>
        <v>1.1666666666666667</v>
      </c>
      <c r="M13" s="485">
        <f t="shared" ref="M13:O13" si="10">SUM(M11:M12)</f>
        <v>1.0966666666666667</v>
      </c>
      <c r="N13" s="485">
        <f t="shared" si="10"/>
        <v>0.28366666666666668</v>
      </c>
      <c r="O13" s="485">
        <f t="shared" si="10"/>
        <v>0.193</v>
      </c>
    </row>
    <row r="15" spans="1:17">
      <c r="A15" s="1207" t="s">
        <v>814</v>
      </c>
      <c r="B15" s="1207" t="s">
        <v>431</v>
      </c>
      <c r="C15" s="483" t="str">
        <f>VLOOKUP(D15,'Gebäudetechnik Technique du bât'!$A$10:$X$403,23,FALSE)</f>
        <v>SRE</v>
      </c>
      <c r="D15" s="873" t="s">
        <v>815</v>
      </c>
      <c r="E15" s="483">
        <v>1</v>
      </c>
      <c r="F15" s="483"/>
      <c r="G15" s="484">
        <f>$E15*VLOOKUP(D15,'Gebäudetechnik Technique du bât'!$A$10:$V$403,17,FALSE)</f>
        <v>29.9</v>
      </c>
      <c r="H15" s="484">
        <f>E15*VLOOKUP(D15,'Gebäudetechnik Technique du bât'!$A$10:$V$403,18,FALSE)</f>
        <v>27.3</v>
      </c>
      <c r="I15" s="484">
        <f>E15*VLOOKUP(D15,'Gebäudetechnik Technique du bât'!$A$10:$V$403,20,FALSE)</f>
        <v>9.14</v>
      </c>
      <c r="J15" s="484">
        <f>E15*VLOOKUP(D15,'Gebäudetechnik Technique du bât'!$A$10:$V$403,21,FALSE)</f>
        <v>8.06</v>
      </c>
      <c r="K15" s="483">
        <v>30</v>
      </c>
      <c r="L15" s="484">
        <f>G15/$K15</f>
        <v>0.99666666666666659</v>
      </c>
      <c r="M15" s="484">
        <f t="shared" ref="M15:O15" si="11">H15/$K15</f>
        <v>0.91</v>
      </c>
      <c r="N15" s="484">
        <f t="shared" si="11"/>
        <v>0.3046666666666667</v>
      </c>
      <c r="O15" s="484">
        <f t="shared" si="11"/>
        <v>0.26866666666666666</v>
      </c>
    </row>
    <row r="16" spans="1:17">
      <c r="A16" s="1208"/>
      <c r="B16" s="1208"/>
      <c r="C16" s="483" t="s">
        <v>816</v>
      </c>
      <c r="D16" s="873" t="s">
        <v>817</v>
      </c>
      <c r="E16" s="483">
        <v>1</v>
      </c>
      <c r="F16" s="483"/>
      <c r="G16" s="484">
        <f>$E16*VLOOKUP(D16,'Gebäudetechnik Technique du bât'!$A$10:$V$403,17,FALSE)</f>
        <v>21.1</v>
      </c>
      <c r="H16" s="484">
        <f>E16*VLOOKUP(D16,'Gebäudetechnik Technique du bât'!$A$10:$V$403,18,FALSE)</f>
        <v>21</v>
      </c>
      <c r="I16" s="484">
        <f>E16*VLOOKUP(D16,'Gebäudetechnik Technique du bât'!$A$10:$V$403,20,FALSE)</f>
        <v>6.5</v>
      </c>
      <c r="J16" s="484">
        <f>E16*VLOOKUP(D16,'Gebäudetechnik Technique du bât'!$A$10:$V$403,21,FALSE)</f>
        <v>6.48</v>
      </c>
      <c r="K16" s="483">
        <v>30</v>
      </c>
      <c r="L16" s="484">
        <f>G16/$K16</f>
        <v>0.70333333333333337</v>
      </c>
      <c r="M16" s="484">
        <f t="shared" ref="M16" si="12">H16/$K16</f>
        <v>0.7</v>
      </c>
      <c r="N16" s="484">
        <f t="shared" ref="N16" si="13">I16/$K16</f>
        <v>0.21666666666666667</v>
      </c>
      <c r="O16" s="484">
        <f t="shared" ref="O16" si="14">J16/$K16</f>
        <v>0.21600000000000003</v>
      </c>
    </row>
    <row r="17" spans="1:15" ht="15">
      <c r="G17" s="485">
        <f>SUM(G15:G16)</f>
        <v>51</v>
      </c>
      <c r="H17" s="485">
        <f>SUM(H15:H16)</f>
        <v>48.3</v>
      </c>
      <c r="I17" s="485">
        <f>SUM(I15:I16)</f>
        <v>15.64</v>
      </c>
      <c r="J17" s="485">
        <f>SUM(J15:J16)</f>
        <v>14.540000000000001</v>
      </c>
      <c r="K17" s="485"/>
      <c r="L17" s="485">
        <f t="shared" ref="L17:O17" si="15">SUM(L15:L16)</f>
        <v>1.7</v>
      </c>
      <c r="M17" s="485">
        <f t="shared" si="15"/>
        <v>1.6099999999999999</v>
      </c>
      <c r="N17" s="485">
        <f t="shared" si="15"/>
        <v>0.52133333333333343</v>
      </c>
      <c r="O17" s="485">
        <f t="shared" si="15"/>
        <v>0.48466666666666669</v>
      </c>
    </row>
    <row r="19" spans="1:15" ht="29.25">
      <c r="A19" s="483" t="s">
        <v>818</v>
      </c>
      <c r="B19" s="482"/>
      <c r="C19" s="482" t="s">
        <v>819</v>
      </c>
      <c r="D19" s="483" t="s">
        <v>159</v>
      </c>
      <c r="E19" s="483">
        <v>0.5</v>
      </c>
      <c r="F19" s="483"/>
      <c r="G19" s="484">
        <f>$E19*VLOOKUP(D19,'Gebäudetechnik Technique du bât'!$A$10:$V$403,17,FALSE)</f>
        <v>51</v>
      </c>
      <c r="H19" s="484">
        <f>E19*VLOOKUP(D19,'Gebäudetechnik Technique du bât'!$A$10:$V$403,18,FALSE)</f>
        <v>50.5</v>
      </c>
      <c r="I19" s="484">
        <f>E19*VLOOKUP(D19,'Gebäudetechnik Technique du bât'!$A$10:$V$403,20,FALSE)</f>
        <v>11.6</v>
      </c>
      <c r="J19" s="484">
        <f>E19*VLOOKUP(D19,'Gebäudetechnik Technique du bât'!$A$10:$V$403,21,FALSE)</f>
        <v>10.35</v>
      </c>
      <c r="K19" s="483">
        <v>40</v>
      </c>
      <c r="L19" s="485">
        <f>G19/$K19</f>
        <v>1.2749999999999999</v>
      </c>
      <c r="M19" s="485">
        <f t="shared" ref="M19:O19" si="16">H19/$K19</f>
        <v>1.2625</v>
      </c>
      <c r="N19" s="485">
        <f t="shared" si="16"/>
        <v>0.28999999999999998</v>
      </c>
      <c r="O19" s="485">
        <f t="shared" si="16"/>
        <v>0.25874999999999998</v>
      </c>
    </row>
    <row r="20" spans="1:15">
      <c r="B20" s="2"/>
    </row>
    <row r="21" spans="1:15" ht="15">
      <c r="A21" s="483" t="s">
        <v>820</v>
      </c>
      <c r="B21" s="483" t="s">
        <v>433</v>
      </c>
      <c r="C21" s="483"/>
      <c r="D21" s="871" t="s">
        <v>161</v>
      </c>
      <c r="E21" s="483">
        <v>1</v>
      </c>
      <c r="F21" s="483"/>
      <c r="G21" s="484">
        <f>$E21*VLOOKUP(D21,'Gebäudetechnik Technique du bât'!$A$10:$V$403,17,FALSE)</f>
        <v>667</v>
      </c>
      <c r="H21" s="484" t="s">
        <v>805</v>
      </c>
      <c r="I21" s="484">
        <f>E21*VLOOKUP(D21,'Gebäudetechnik Technique du bât'!$A$10:$V$403,20,FALSE)</f>
        <v>168</v>
      </c>
      <c r="J21" s="484" t="s">
        <v>805</v>
      </c>
      <c r="K21" s="483">
        <v>30</v>
      </c>
      <c r="L21" s="485">
        <f>G21/$K21</f>
        <v>22.233333333333334</v>
      </c>
      <c r="M21" s="485" t="s">
        <v>805</v>
      </c>
      <c r="N21" s="485">
        <f t="shared" ref="N21" si="17">I21/$K21</f>
        <v>5.6</v>
      </c>
      <c r="O21" s="485" t="s">
        <v>805</v>
      </c>
    </row>
    <row r="22" spans="1:15">
      <c r="D22" s="359"/>
      <c r="G22" s="208"/>
      <c r="H22" s="208"/>
      <c r="I22" s="208"/>
      <c r="J22" s="208"/>
    </row>
    <row r="23" spans="1:15" ht="17.25">
      <c r="A23" s="350" t="s">
        <v>821</v>
      </c>
      <c r="B23" s="350"/>
      <c r="C23" s="350"/>
      <c r="D23" s="350"/>
      <c r="E23" s="351" t="s">
        <v>554</v>
      </c>
      <c r="F23" s="350"/>
      <c r="G23" s="352"/>
      <c r="H23" s="352"/>
      <c r="I23" s="352"/>
      <c r="J23" s="352"/>
      <c r="K23" s="352"/>
      <c r="L23" s="352"/>
      <c r="M23" s="352"/>
      <c r="N23" s="352"/>
      <c r="O23" s="352"/>
    </row>
    <row r="24" spans="1:15" ht="15">
      <c r="A24" s="483" t="s">
        <v>434</v>
      </c>
      <c r="B24" s="482" t="s">
        <v>434</v>
      </c>
      <c r="C24" s="483"/>
      <c r="D24" s="871" t="s">
        <v>165</v>
      </c>
      <c r="E24" s="483">
        <v>1</v>
      </c>
      <c r="F24" s="483"/>
      <c r="G24" s="484">
        <f>$E24*VLOOKUP(D24,'Gebäudetechnik Technique du bât'!$A$10:$V$403,17,FALSE)</f>
        <v>13.8</v>
      </c>
      <c r="H24" s="484">
        <f>E24*VLOOKUP(D24,'Gebäudetechnik Technique du bât'!$A$10:$V$403,18,FALSE)</f>
        <v>13.7</v>
      </c>
      <c r="I24" s="484">
        <f>E24*VLOOKUP(D24,'Gebäudetechnik Technique du bât'!$A$10:$V$403,20,FALSE)</f>
        <v>3.64</v>
      </c>
      <c r="J24" s="484">
        <f>E24*VLOOKUP(D24,'Gebäudetechnik Technique du bât'!$A$10:$V$403,21,FALSE)</f>
        <v>3.52</v>
      </c>
      <c r="K24" s="483">
        <v>30</v>
      </c>
      <c r="L24" s="485">
        <f>G24/$K24</f>
        <v>0.46</v>
      </c>
      <c r="M24" s="485">
        <f t="shared" ref="M24:O25" si="18">H24/$K24</f>
        <v>0.45666666666666667</v>
      </c>
      <c r="N24" s="485">
        <f t="shared" si="18"/>
        <v>0.12133333333333333</v>
      </c>
      <c r="O24" s="485">
        <f t="shared" si="18"/>
        <v>0.11733333333333333</v>
      </c>
    </row>
    <row r="25" spans="1:15" ht="15">
      <c r="A25" s="483" t="s">
        <v>822</v>
      </c>
      <c r="B25" s="482" t="s">
        <v>436</v>
      </c>
      <c r="C25" s="483" t="str">
        <f>VLOOKUP(D25,'Gebäudetechnik Technique du bât'!$A$10:$X$403,23,FALSE)</f>
        <v>SRE</v>
      </c>
      <c r="D25" s="871" t="s">
        <v>823</v>
      </c>
      <c r="E25" s="483">
        <v>1</v>
      </c>
      <c r="F25" s="483"/>
      <c r="G25" s="484">
        <f>$E25*VLOOKUP(D25,'Gebäudetechnik Technique du bât'!$A$10:$V$403,17,FALSE)</f>
        <v>50.5</v>
      </c>
      <c r="H25" s="484">
        <f>E25*VLOOKUP(D25,'Gebäudetechnik Technique du bât'!$A$10:$V$403,18,FALSE)</f>
        <v>50.3</v>
      </c>
      <c r="I25" s="484">
        <f>E25*VLOOKUP(D25,'Gebäudetechnik Technique du bât'!$A$10:$V$403,20,FALSE)</f>
        <v>15</v>
      </c>
      <c r="J25" s="484">
        <f>E25*VLOOKUP(D25,'Gebäudetechnik Technique du bât'!$A$10:$V$403,21,FALSE)</f>
        <v>14.6</v>
      </c>
      <c r="K25" s="483">
        <v>30</v>
      </c>
      <c r="L25" s="485">
        <f>G25/$K25</f>
        <v>1.6833333333333333</v>
      </c>
      <c r="M25" s="485">
        <f t="shared" si="18"/>
        <v>1.6766666666666665</v>
      </c>
      <c r="N25" s="485">
        <f t="shared" si="18"/>
        <v>0.5</v>
      </c>
      <c r="O25" s="485">
        <f t="shared" si="18"/>
        <v>0.48666666666666664</v>
      </c>
    </row>
    <row r="26" spans="1:15">
      <c r="A26" s="483" t="s">
        <v>824</v>
      </c>
      <c r="B26" s="482" t="s">
        <v>825</v>
      </c>
      <c r="C26" s="483" t="str">
        <f>VLOOKUP(D26,'Gebäudetechnik Technique du bât'!$A$10:$X$403,23,FALSE)</f>
        <v>SRE</v>
      </c>
      <c r="D26" s="871" t="s">
        <v>826</v>
      </c>
      <c r="E26" s="483">
        <v>1</v>
      </c>
      <c r="F26" s="483"/>
      <c r="G26" s="484">
        <f>$E26*VLOOKUP(D26,'Gebäudetechnik Technique du bât'!$A$10:$V$403,17,FALSE)</f>
        <v>68.2</v>
      </c>
      <c r="H26" s="484">
        <f>E26*VLOOKUP(D26,'Gebäudetechnik Technique du bât'!$A$10:$V$403,18,FALSE)</f>
        <v>68</v>
      </c>
      <c r="I26" s="484">
        <f>E26*VLOOKUP(D26,'Gebäudetechnik Technique du bât'!$A$10:$V$403,20,FALSE)</f>
        <v>20.2</v>
      </c>
      <c r="J26" s="484">
        <f>E26*VLOOKUP(D26,'Gebäudetechnik Technique du bât'!$A$10:$V$403,21,FALSE)</f>
        <v>19.7</v>
      </c>
      <c r="K26" s="1198">
        <v>30</v>
      </c>
      <c r="L26" s="1209">
        <f>AVERAGE(G26:G27)/$K26</f>
        <v>2.8699999999999997</v>
      </c>
      <c r="M26" s="1209">
        <f t="shared" ref="M26:O26" si="19">AVERAGE(H26:H27)/$K26</f>
        <v>2.85</v>
      </c>
      <c r="N26" s="1209">
        <f t="shared" si="19"/>
        <v>0.84666666666666657</v>
      </c>
      <c r="O26" s="1209">
        <f t="shared" si="19"/>
        <v>0.82499999999999996</v>
      </c>
    </row>
    <row r="27" spans="1:15">
      <c r="A27" s="483" t="s">
        <v>827</v>
      </c>
      <c r="B27" s="482" t="s">
        <v>828</v>
      </c>
      <c r="C27" s="483"/>
      <c r="D27" s="871" t="s">
        <v>829</v>
      </c>
      <c r="E27" s="483">
        <v>1</v>
      </c>
      <c r="F27" s="483"/>
      <c r="G27" s="484">
        <f>$E27*VLOOKUP(D27,'Gebäudetechnik Technique du bât'!$A$10:$V$403,17,FALSE)</f>
        <v>104</v>
      </c>
      <c r="H27" s="484">
        <f>E27*VLOOKUP(D27,'Gebäudetechnik Technique du bât'!$A$10:$V$403,18,FALSE)</f>
        <v>103</v>
      </c>
      <c r="I27" s="484">
        <f>E27*VLOOKUP(D27,'Gebäudetechnik Technique du bât'!$A$10:$V$403,20,FALSE)</f>
        <v>30.6</v>
      </c>
      <c r="J27" s="484">
        <f>E27*VLOOKUP(D27,'Gebäudetechnik Technique du bât'!$A$10:$V$403,21,FALSE)</f>
        <v>29.8</v>
      </c>
      <c r="K27" s="1198"/>
      <c r="L27" s="1209"/>
      <c r="M27" s="1209"/>
      <c r="N27" s="1209"/>
      <c r="O27" s="1209"/>
    </row>
    <row r="28" spans="1:15">
      <c r="B28" s="2"/>
    </row>
    <row r="29" spans="1:15" ht="17.25">
      <c r="A29" s="350" t="s">
        <v>830</v>
      </c>
      <c r="B29" s="350"/>
      <c r="C29" s="350"/>
      <c r="D29" s="350"/>
      <c r="E29" s="351" t="s">
        <v>554</v>
      </c>
      <c r="F29" s="350"/>
      <c r="G29" s="352"/>
      <c r="H29" s="352"/>
      <c r="I29" s="352"/>
      <c r="J29" s="352"/>
      <c r="K29" s="352"/>
      <c r="L29" s="352"/>
      <c r="M29" s="352"/>
      <c r="N29" s="352"/>
      <c r="O29" s="352"/>
    </row>
    <row r="30" spans="1:15" ht="15">
      <c r="A30" s="483" t="s">
        <v>799</v>
      </c>
      <c r="B30" s="482" t="s">
        <v>440</v>
      </c>
      <c r="C30" s="483" t="str">
        <f>VLOOKUP(D30,'Gebäudetechnik Technique du bât'!$A$10:$X$403,23,FALSE)</f>
        <v>SRE</v>
      </c>
      <c r="D30" s="871" t="s">
        <v>831</v>
      </c>
      <c r="E30" s="483">
        <v>1</v>
      </c>
      <c r="F30" s="483"/>
      <c r="G30" s="484">
        <f>$E30*VLOOKUP(D30,'Gebäudetechnik Technique du bât'!$A$10:$V$403,17,FALSE)</f>
        <v>46.1</v>
      </c>
      <c r="H30" s="484">
        <f>E30*VLOOKUP(D30,'Gebäudetechnik Technique du bât'!$A$10:$V$403,18,FALSE)</f>
        <v>45.8</v>
      </c>
      <c r="I30" s="484">
        <f>E30*VLOOKUP(D30,'Gebäudetechnik Technique du bât'!$A$10:$V$403,20,FALSE)</f>
        <v>12.5</v>
      </c>
      <c r="J30" s="484">
        <f>E30*VLOOKUP(D30,'Gebäudetechnik Technique du bât'!$A$10:$V$403,21,FALSE)</f>
        <v>11</v>
      </c>
      <c r="K30" s="483">
        <v>30</v>
      </c>
      <c r="L30" s="485">
        <f>G30/$K30</f>
        <v>1.5366666666666666</v>
      </c>
      <c r="M30" s="485">
        <f t="shared" ref="M30:O30" si="20">H30/$K30</f>
        <v>1.5266666666666666</v>
      </c>
      <c r="N30" s="485">
        <f t="shared" si="20"/>
        <v>0.41666666666666669</v>
      </c>
      <c r="O30" s="485">
        <f t="shared" si="20"/>
        <v>0.36666666666666664</v>
      </c>
    </row>
    <row r="31" spans="1:15">
      <c r="A31" s="483" t="s">
        <v>832</v>
      </c>
      <c r="B31" s="482" t="s">
        <v>833</v>
      </c>
      <c r="C31" s="483" t="str">
        <f>VLOOKUP(D31,'Gebäudetechnik Technique du bât'!$A$10:$X$403,23,FALSE)</f>
        <v>SRE</v>
      </c>
      <c r="D31" s="871" t="s">
        <v>834</v>
      </c>
      <c r="E31" s="483">
        <v>1</v>
      </c>
      <c r="F31" s="483"/>
      <c r="G31" s="484">
        <f>$E31*VLOOKUP(D31,'Gebäudetechnik Technique du bât'!$A$10:$V$403,17,FALSE)</f>
        <v>19.100000000000001</v>
      </c>
      <c r="H31" s="484">
        <f>E31*VLOOKUP(D31,'Gebäudetechnik Technique du bât'!$A$10:$V$403,18,FALSE)</f>
        <v>18.899999999999999</v>
      </c>
      <c r="I31" s="484">
        <f>E31*VLOOKUP(D31,'Gebäudetechnik Technique du bât'!$A$10:$V$403,20,FALSE)</f>
        <v>4.7300000000000004</v>
      </c>
      <c r="J31" s="484">
        <f>E31*VLOOKUP(D31,'Gebäudetechnik Technique du bât'!$A$10:$V$403,21,FALSE)</f>
        <v>3.58</v>
      </c>
      <c r="K31" s="1210">
        <v>30</v>
      </c>
      <c r="L31" s="1212">
        <f>AVERAGE(G31:G32)/$K31</f>
        <v>1.0783333333333334</v>
      </c>
      <c r="M31" s="1212">
        <f t="shared" ref="M31:O31" si="21">AVERAGE(H31:H32)/$K31</f>
        <v>1.0666666666666667</v>
      </c>
      <c r="N31" s="1212">
        <f t="shared" si="21"/>
        <v>0.28383333333333333</v>
      </c>
      <c r="O31" s="1212">
        <f t="shared" si="21"/>
        <v>0.20166666666666666</v>
      </c>
    </row>
    <row r="32" spans="1:15" ht="28.5">
      <c r="A32" s="483" t="s">
        <v>835</v>
      </c>
      <c r="B32" s="482" t="s">
        <v>836</v>
      </c>
      <c r="C32" s="483" t="str">
        <f>VLOOKUP(D32,'Gebäudetechnik Technique du bât'!$A$10:$X$403,23,FALSE)</f>
        <v>SRE</v>
      </c>
      <c r="D32" s="871" t="s">
        <v>837</v>
      </c>
      <c r="E32" s="483">
        <v>1</v>
      </c>
      <c r="F32" s="483"/>
      <c r="G32" s="484">
        <f>$E32*VLOOKUP(D32,'Gebäudetechnik Technique du bât'!$A$10:$V$403,17,FALSE)</f>
        <v>45.6</v>
      </c>
      <c r="H32" s="484">
        <f>E32*VLOOKUP(D32,'Gebäudetechnik Technique du bât'!$A$10:$V$403,18,FALSE)</f>
        <v>45.1</v>
      </c>
      <c r="I32" s="484">
        <f>E32*VLOOKUP(D32,'Gebäudetechnik Technique du bât'!$A$10:$V$403,20,FALSE)</f>
        <v>12.3</v>
      </c>
      <c r="J32" s="484">
        <f>E32*VLOOKUP(D32,'Gebäudetechnik Technique du bât'!$A$10:$V$403,21,FALSE)</f>
        <v>8.52</v>
      </c>
      <c r="K32" s="1211"/>
      <c r="L32" s="1213"/>
      <c r="M32" s="1213"/>
      <c r="N32" s="1213"/>
      <c r="O32" s="1213"/>
    </row>
  </sheetData>
  <customSheetViews>
    <customSheetView guid="{B32447E2-AB5B-4CBB-881B-FF11349CA4D6}" scale="95">
      <pane ySplit="1" topLeftCell="A2" activePane="bottomLeft" state="frozen"/>
      <selection pane="bottomLeft" activeCell="N26" sqref="N26:N27"/>
      <pageMargins left="0" right="0" top="0" bottom="0" header="0" footer="0"/>
    </customSheetView>
    <customSheetView guid="{9FA74287-E657-475B-BF4B-3C8C757714AE}" scale="95">
      <pane ySplit="1" topLeftCell="A2" activePane="bottomLeft" state="frozen"/>
      <selection pane="bottomLeft" activeCell="N26" sqref="N26:N27"/>
      <pageMargins left="0" right="0" top="0" bottom="0" header="0" footer="0"/>
    </customSheetView>
  </customSheetViews>
  <mergeCells count="14">
    <mergeCell ref="B11:B12"/>
    <mergeCell ref="A11:A12"/>
    <mergeCell ref="A15:A16"/>
    <mergeCell ref="B15:B16"/>
    <mergeCell ref="K26:K27"/>
    <mergeCell ref="L26:L27"/>
    <mergeCell ref="M26:M27"/>
    <mergeCell ref="N26:N27"/>
    <mergeCell ref="O26:O27"/>
    <mergeCell ref="K31:K32"/>
    <mergeCell ref="L31:L32"/>
    <mergeCell ref="M31:M32"/>
    <mergeCell ref="N31:N32"/>
    <mergeCell ref="O31:O32"/>
  </mergeCells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  <outlinePr summaryRight="0"/>
    <pageSetUpPr autoPageBreaks="0" fitToPage="1"/>
  </sheetPr>
  <dimension ref="A1:AN318"/>
  <sheetViews>
    <sheetView zoomScale="99" zoomScaleSheetLayoutView="75" workbookViewId="0">
      <pane xSplit="6" ySplit="9" topLeftCell="AF306" activePane="bottomRight" state="frozen"/>
      <selection pane="topRight" activeCell="F113" sqref="F113"/>
      <selection pane="bottomLeft" activeCell="F113" sqref="F113"/>
      <selection pane="bottomRight" activeCell="E313" sqref="E313"/>
    </sheetView>
  </sheetViews>
  <sheetFormatPr baseColWidth="10" defaultColWidth="10.875" defaultRowHeight="12.75" outlineLevelRow="1" outlineLevelCol="1"/>
  <cols>
    <col min="1" max="1" width="10.625" style="180" customWidth="1"/>
    <col min="2" max="2" width="53.125" style="181" customWidth="1" collapsed="1"/>
    <col min="3" max="3" width="11.5" style="180" hidden="1" customWidth="1" outlineLevel="1"/>
    <col min="4" max="4" width="74.125" style="181" hidden="1" customWidth="1" outlineLevel="1" collapsed="1"/>
    <col min="5" max="5" width="12" style="182" customWidth="1"/>
    <col min="6" max="6" width="7.125" style="180" customWidth="1"/>
    <col min="7" max="8" width="10.625" style="180" customWidth="1"/>
    <col min="9" max="9" width="10.625" style="180" customWidth="1" collapsed="1"/>
    <col min="10" max="14" width="10.625" style="180" hidden="1" customWidth="1" outlineLevel="1"/>
    <col min="15" max="29" width="10.625" style="180" customWidth="1"/>
    <col min="30" max="30" width="63.875" style="183" customWidth="1"/>
    <col min="31" max="31" width="0" style="180" hidden="1" customWidth="1"/>
    <col min="32" max="16384" width="10.875" style="180"/>
  </cols>
  <sheetData>
    <row r="1" spans="1:38" s="12" customFormat="1" ht="21">
      <c r="A1" s="4"/>
      <c r="B1" s="5" t="s">
        <v>838</v>
      </c>
      <c r="C1" s="6"/>
      <c r="D1" s="7"/>
      <c r="E1" s="8"/>
      <c r="F1" s="9"/>
      <c r="G1" s="10"/>
      <c r="H1" s="6"/>
      <c r="I1" s="6"/>
      <c r="J1" s="10"/>
      <c r="K1" s="6"/>
      <c r="L1" s="6"/>
      <c r="M1" s="6"/>
      <c r="N1" s="6"/>
      <c r="O1" s="10" t="s">
        <v>839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1" t="s">
        <v>840</v>
      </c>
      <c r="AF1" s="1214" t="s">
        <v>841</v>
      </c>
      <c r="AG1" s="1214"/>
      <c r="AH1" s="1214"/>
      <c r="AI1" s="1214"/>
      <c r="AJ1" s="1214"/>
      <c r="AK1" s="1214"/>
      <c r="AL1" s="1214"/>
    </row>
    <row r="2" spans="1:38" s="20" customFormat="1" ht="15.75">
      <c r="A2" s="13"/>
      <c r="B2" s="14"/>
      <c r="C2" s="15"/>
      <c r="D2" s="16"/>
      <c r="E2" s="17"/>
      <c r="F2" s="17"/>
      <c r="G2" s="16"/>
      <c r="H2" s="15"/>
      <c r="I2" s="15"/>
      <c r="J2" s="15"/>
      <c r="K2" s="15"/>
      <c r="L2" s="15"/>
      <c r="M2" s="15"/>
      <c r="N2" s="18"/>
      <c r="O2" s="15"/>
      <c r="P2" s="15"/>
      <c r="Q2" s="15"/>
      <c r="R2" s="15"/>
      <c r="S2" s="18"/>
      <c r="T2" s="18"/>
      <c r="U2" s="15"/>
      <c r="V2" s="15"/>
      <c r="W2" s="15"/>
      <c r="X2" s="15"/>
      <c r="Y2" s="15"/>
      <c r="Z2" s="15"/>
      <c r="AA2" s="15"/>
      <c r="AB2" s="15"/>
      <c r="AC2" s="15"/>
      <c r="AD2" s="19"/>
      <c r="AF2" s="785" t="s">
        <v>842</v>
      </c>
    </row>
    <row r="3" spans="1:38" s="25" customFormat="1" ht="12.75" hidden="1" customHeight="1" outlineLevel="1">
      <c r="A3" s="21"/>
      <c r="B3" s="22"/>
      <c r="C3" s="23"/>
      <c r="D3" s="24"/>
      <c r="E3" s="24"/>
      <c r="G3" s="26"/>
      <c r="H3" s="25" t="s">
        <v>843</v>
      </c>
      <c r="I3" s="25" t="s">
        <v>843</v>
      </c>
      <c r="K3" s="25" t="s">
        <v>843</v>
      </c>
      <c r="N3" s="25" t="s">
        <v>843</v>
      </c>
      <c r="P3" s="25" t="s">
        <v>844</v>
      </c>
      <c r="S3" s="25" t="s">
        <v>844</v>
      </c>
      <c r="U3" s="25" t="s">
        <v>845</v>
      </c>
      <c r="X3" s="27" t="s">
        <v>845</v>
      </c>
      <c r="Z3" s="25" t="s">
        <v>846</v>
      </c>
      <c r="AA3" s="25" t="s">
        <v>846</v>
      </c>
      <c r="AD3" s="28"/>
    </row>
    <row r="4" spans="1:38" s="25" customFormat="1" ht="25.5" customHeight="1" collapsed="1">
      <c r="A4" s="29" t="s">
        <v>847</v>
      </c>
      <c r="B4" s="1253" t="s">
        <v>848</v>
      </c>
      <c r="C4" s="30" t="s">
        <v>849</v>
      </c>
      <c r="D4" s="1215" t="s">
        <v>850</v>
      </c>
      <c r="E4" s="1217" t="s">
        <v>851</v>
      </c>
      <c r="F4" s="1219" t="s">
        <v>852</v>
      </c>
      <c r="G4" s="1222" t="s">
        <v>853</v>
      </c>
      <c r="H4" s="1223"/>
      <c r="I4" s="1224"/>
      <c r="J4" s="1228" t="s">
        <v>854</v>
      </c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30"/>
      <c r="Y4" s="1233" t="s">
        <v>855</v>
      </c>
      <c r="Z4" s="1234"/>
      <c r="AA4" s="1235"/>
      <c r="AB4" s="378" t="s">
        <v>856</v>
      </c>
      <c r="AC4" s="378"/>
      <c r="AD4" s="1236" t="s">
        <v>857</v>
      </c>
    </row>
    <row r="5" spans="1:38" s="25" customFormat="1" ht="12.75" customHeight="1">
      <c r="A5" s="1243" t="s">
        <v>858</v>
      </c>
      <c r="B5" s="1254"/>
      <c r="C5" s="1245" t="s">
        <v>859</v>
      </c>
      <c r="D5" s="1216"/>
      <c r="E5" s="1218"/>
      <c r="F5" s="1220"/>
      <c r="G5" s="1246" t="s">
        <v>860</v>
      </c>
      <c r="H5" s="1247"/>
      <c r="I5" s="1248"/>
      <c r="J5" s="1238" t="s">
        <v>861</v>
      </c>
      <c r="K5" s="1238"/>
      <c r="L5" s="1238"/>
      <c r="M5" s="1238"/>
      <c r="N5" s="1238"/>
      <c r="O5" s="1252" t="s">
        <v>862</v>
      </c>
      <c r="P5" s="1252"/>
      <c r="Q5" s="1252"/>
      <c r="R5" s="1252"/>
      <c r="S5" s="1252"/>
      <c r="T5" s="1238" t="s">
        <v>863</v>
      </c>
      <c r="U5" s="1238"/>
      <c r="V5" s="1238"/>
      <c r="W5" s="1238"/>
      <c r="X5" s="1238"/>
      <c r="Y5" s="1239" t="s">
        <v>864</v>
      </c>
      <c r="Z5" s="1240"/>
      <c r="AA5" s="1241"/>
      <c r="AB5" s="379"/>
      <c r="AC5" s="379"/>
      <c r="AD5" s="1237"/>
    </row>
    <row r="6" spans="1:38" s="25" customFormat="1" ht="12.75" customHeight="1">
      <c r="A6" s="1244"/>
      <c r="B6" s="1254"/>
      <c r="C6" s="1245"/>
      <c r="D6" s="1216"/>
      <c r="E6" s="1218" t="s">
        <v>865</v>
      </c>
      <c r="F6" s="1220"/>
      <c r="G6" s="1249"/>
      <c r="H6" s="1250"/>
      <c r="I6" s="1251"/>
      <c r="J6" s="1231" t="s">
        <v>866</v>
      </c>
      <c r="K6" s="1231"/>
      <c r="L6" s="1231"/>
      <c r="M6" s="1231"/>
      <c r="N6" s="1231"/>
      <c r="O6" s="1232" t="s">
        <v>867</v>
      </c>
      <c r="P6" s="1232"/>
      <c r="Q6" s="1232"/>
      <c r="R6" s="1232"/>
      <c r="S6" s="1232"/>
      <c r="T6" s="1231" t="s">
        <v>868</v>
      </c>
      <c r="U6" s="1231"/>
      <c r="V6" s="1231"/>
      <c r="W6" s="1231"/>
      <c r="X6" s="1231"/>
      <c r="Y6" s="1225" t="s">
        <v>869</v>
      </c>
      <c r="Z6" s="1226"/>
      <c r="AA6" s="1227"/>
      <c r="AB6" s="380"/>
      <c r="AC6" s="380"/>
      <c r="AD6" s="1237"/>
    </row>
    <row r="7" spans="1:38" s="25" customFormat="1" ht="18.75" customHeight="1">
      <c r="A7" s="31"/>
      <c r="B7" s="1255" t="s">
        <v>870</v>
      </c>
      <c r="C7" s="23"/>
      <c r="D7" s="32" t="s">
        <v>403</v>
      </c>
      <c r="E7" s="1220"/>
      <c r="F7" s="1220"/>
      <c r="G7" s="33" t="s">
        <v>843</v>
      </c>
      <c r="H7" s="34" t="s">
        <v>871</v>
      </c>
      <c r="I7" s="34" t="s">
        <v>850</v>
      </c>
      <c r="J7" s="35" t="s">
        <v>843</v>
      </c>
      <c r="K7" s="36" t="s">
        <v>871</v>
      </c>
      <c r="L7" s="374" t="s">
        <v>872</v>
      </c>
      <c r="M7" s="374" t="s">
        <v>873</v>
      </c>
      <c r="N7" s="36" t="s">
        <v>850</v>
      </c>
      <c r="O7" s="35" t="s">
        <v>843</v>
      </c>
      <c r="P7" s="36" t="s">
        <v>871</v>
      </c>
      <c r="Q7" s="374" t="s">
        <v>874</v>
      </c>
      <c r="R7" s="374" t="s">
        <v>873</v>
      </c>
      <c r="S7" s="36" t="s">
        <v>850</v>
      </c>
      <c r="T7" s="35" t="s">
        <v>843</v>
      </c>
      <c r="U7" s="36" t="s">
        <v>871</v>
      </c>
      <c r="V7" s="374" t="s">
        <v>874</v>
      </c>
      <c r="W7" s="374" t="s">
        <v>873</v>
      </c>
      <c r="X7" s="36" t="s">
        <v>850</v>
      </c>
      <c r="Y7" s="35" t="s">
        <v>843</v>
      </c>
      <c r="Z7" s="36" t="s">
        <v>871</v>
      </c>
      <c r="AA7" s="36" t="s">
        <v>850</v>
      </c>
      <c r="AB7" s="374" t="s">
        <v>875</v>
      </c>
      <c r="AC7" s="374" t="s">
        <v>875</v>
      </c>
      <c r="AD7" s="1242" t="s">
        <v>876</v>
      </c>
      <c r="AF7" s="755" t="s">
        <v>843</v>
      </c>
      <c r="AG7" s="756" t="s">
        <v>871</v>
      </c>
      <c r="AH7" s="756" t="s">
        <v>850</v>
      </c>
    </row>
    <row r="8" spans="1:38" s="42" customFormat="1" ht="18.75" customHeight="1">
      <c r="A8" s="37"/>
      <c r="B8" s="1255"/>
      <c r="C8" s="23"/>
      <c r="D8" s="32"/>
      <c r="E8" s="1220"/>
      <c r="F8" s="1220"/>
      <c r="G8" s="38" t="s">
        <v>843</v>
      </c>
      <c r="H8" s="39" t="s">
        <v>877</v>
      </c>
      <c r="I8" s="39" t="s">
        <v>878</v>
      </c>
      <c r="J8" s="40" t="s">
        <v>843</v>
      </c>
      <c r="K8" s="41" t="s">
        <v>877</v>
      </c>
      <c r="L8" s="375"/>
      <c r="M8" s="375"/>
      <c r="N8" s="41" t="s">
        <v>878</v>
      </c>
      <c r="O8" s="40" t="s">
        <v>843</v>
      </c>
      <c r="P8" s="41" t="s">
        <v>877</v>
      </c>
      <c r="Q8" s="377" t="s">
        <v>879</v>
      </c>
      <c r="R8" s="377" t="s">
        <v>880</v>
      </c>
      <c r="S8" s="41" t="s">
        <v>878</v>
      </c>
      <c r="T8" s="40" t="s">
        <v>843</v>
      </c>
      <c r="U8" s="41" t="s">
        <v>877</v>
      </c>
      <c r="V8" s="377" t="s">
        <v>879</v>
      </c>
      <c r="W8" s="377" t="s">
        <v>880</v>
      </c>
      <c r="X8" s="41" t="s">
        <v>878</v>
      </c>
      <c r="Y8" s="40" t="s">
        <v>843</v>
      </c>
      <c r="Z8" s="41" t="s">
        <v>877</v>
      </c>
      <c r="AA8" s="41" t="s">
        <v>878</v>
      </c>
      <c r="AB8" s="377" t="s">
        <v>881</v>
      </c>
      <c r="AC8" s="377" t="s">
        <v>881</v>
      </c>
      <c r="AD8" s="1242"/>
      <c r="AF8" s="757" t="s">
        <v>843</v>
      </c>
      <c r="AG8" s="758" t="s">
        <v>877</v>
      </c>
      <c r="AH8" s="758" t="s">
        <v>878</v>
      </c>
    </row>
    <row r="9" spans="1:38" s="42" customFormat="1" ht="18.75" customHeight="1">
      <c r="A9" s="43"/>
      <c r="B9" s="44"/>
      <c r="C9" s="23"/>
      <c r="D9" s="32"/>
      <c r="E9" s="45"/>
      <c r="F9" s="1221"/>
      <c r="G9" s="46" t="s">
        <v>860</v>
      </c>
      <c r="H9" s="46" t="s">
        <v>860</v>
      </c>
      <c r="I9" s="46" t="s">
        <v>860</v>
      </c>
      <c r="J9" s="47" t="s">
        <v>882</v>
      </c>
      <c r="K9" s="47" t="s">
        <v>882</v>
      </c>
      <c r="L9" s="376" t="s">
        <v>882</v>
      </c>
      <c r="M9" s="376" t="s">
        <v>882</v>
      </c>
      <c r="N9" s="47" t="s">
        <v>882</v>
      </c>
      <c r="O9" s="47" t="s">
        <v>882</v>
      </c>
      <c r="P9" s="47" t="s">
        <v>882</v>
      </c>
      <c r="Q9" s="376" t="s">
        <v>882</v>
      </c>
      <c r="R9" s="376" t="s">
        <v>882</v>
      </c>
      <c r="S9" s="47" t="s">
        <v>882</v>
      </c>
      <c r="T9" s="47" t="s">
        <v>882</v>
      </c>
      <c r="U9" s="47" t="s">
        <v>882</v>
      </c>
      <c r="V9" s="376" t="s">
        <v>882</v>
      </c>
      <c r="W9" s="376" t="s">
        <v>882</v>
      </c>
      <c r="X9" s="47" t="s">
        <v>882</v>
      </c>
      <c r="Y9" s="48" t="s">
        <v>883</v>
      </c>
      <c r="Z9" s="48" t="s">
        <v>883</v>
      </c>
      <c r="AA9" s="48" t="s">
        <v>883</v>
      </c>
      <c r="AB9" s="381" t="s">
        <v>884</v>
      </c>
      <c r="AC9" s="381" t="s">
        <v>885</v>
      </c>
      <c r="AD9" s="49"/>
      <c r="AF9" s="754" t="s">
        <v>886</v>
      </c>
      <c r="AG9" s="754" t="s">
        <v>886</v>
      </c>
      <c r="AH9" s="754" t="s">
        <v>886</v>
      </c>
    </row>
    <row r="10" spans="1:38" s="25" customFormat="1">
      <c r="A10" s="50">
        <v>0</v>
      </c>
      <c r="B10" s="51" t="s">
        <v>887</v>
      </c>
      <c r="C10" s="52">
        <v>3</v>
      </c>
      <c r="D10" s="51">
        <v>4</v>
      </c>
      <c r="E10" s="53">
        <v>5</v>
      </c>
      <c r="F10" s="54">
        <v>6</v>
      </c>
      <c r="G10" s="54">
        <v>7</v>
      </c>
      <c r="H10" s="54">
        <v>8</v>
      </c>
      <c r="I10" s="54">
        <v>9</v>
      </c>
      <c r="J10" s="55">
        <v>10</v>
      </c>
      <c r="K10" s="56">
        <v>11</v>
      </c>
      <c r="L10" s="56">
        <v>12</v>
      </c>
      <c r="M10" s="56">
        <v>13</v>
      </c>
      <c r="N10" s="57">
        <v>14</v>
      </c>
      <c r="O10" s="55">
        <v>15</v>
      </c>
      <c r="P10" s="56">
        <v>16</v>
      </c>
      <c r="Q10" s="56">
        <v>17</v>
      </c>
      <c r="R10" s="56">
        <v>18</v>
      </c>
      <c r="S10" s="57">
        <v>19</v>
      </c>
      <c r="T10" s="58">
        <v>20</v>
      </c>
      <c r="U10" s="56">
        <v>21</v>
      </c>
      <c r="V10" s="56">
        <v>22</v>
      </c>
      <c r="W10" s="56">
        <v>23</v>
      </c>
      <c r="X10" s="56">
        <v>24</v>
      </c>
      <c r="Y10" s="58">
        <v>25</v>
      </c>
      <c r="Z10" s="56">
        <v>26</v>
      </c>
      <c r="AA10" s="56">
        <v>27</v>
      </c>
      <c r="AB10" s="56">
        <v>28</v>
      </c>
      <c r="AC10" s="56">
        <f>44/12</f>
        <v>3.6666666666666665</v>
      </c>
      <c r="AD10" s="59" t="s">
        <v>888</v>
      </c>
    </row>
    <row r="11" spans="1:38" s="69" customFormat="1">
      <c r="A11" s="60" t="s">
        <v>889</v>
      </c>
      <c r="B11" s="61" t="s">
        <v>890</v>
      </c>
      <c r="C11" s="61" t="s">
        <v>891</v>
      </c>
      <c r="D11" s="61" t="s">
        <v>892</v>
      </c>
      <c r="E11" s="62" t="s">
        <v>893</v>
      </c>
      <c r="F11" s="63" t="s">
        <v>39</v>
      </c>
      <c r="G11" s="370">
        <v>1390000</v>
      </c>
      <c r="H11" s="371">
        <v>1230000</v>
      </c>
      <c r="I11" s="372">
        <v>169000</v>
      </c>
      <c r="J11" s="66">
        <v>2360</v>
      </c>
      <c r="K11" s="67">
        <v>2100</v>
      </c>
      <c r="L11" s="67">
        <v>2100</v>
      </c>
      <c r="M11" s="67">
        <v>0</v>
      </c>
      <c r="N11" s="67">
        <v>258</v>
      </c>
      <c r="O11" s="66">
        <v>134</v>
      </c>
      <c r="P11" s="67">
        <v>125</v>
      </c>
      <c r="Q11" s="67">
        <v>125</v>
      </c>
      <c r="R11" s="67">
        <v>0</v>
      </c>
      <c r="S11" s="67">
        <v>9.15</v>
      </c>
      <c r="T11" s="66">
        <v>2230</v>
      </c>
      <c r="U11" s="67">
        <v>1980</v>
      </c>
      <c r="V11" s="67">
        <v>1980</v>
      </c>
      <c r="W11" s="67">
        <v>0</v>
      </c>
      <c r="X11" s="67">
        <v>249</v>
      </c>
      <c r="Y11" s="66">
        <v>911</v>
      </c>
      <c r="Z11" s="67">
        <v>850</v>
      </c>
      <c r="AA11" s="67">
        <v>61.1</v>
      </c>
      <c r="AB11" s="67">
        <v>0</v>
      </c>
      <c r="AC11" s="67">
        <f>AB11*$AC$10</f>
        <v>0</v>
      </c>
      <c r="AD11" s="68" t="s">
        <v>894</v>
      </c>
      <c r="AE11" s="69" t="s">
        <v>895</v>
      </c>
      <c r="AF11" s="759">
        <v>210</v>
      </c>
      <c r="AG11" s="760">
        <v>197</v>
      </c>
      <c r="AH11" s="760">
        <v>12.9</v>
      </c>
      <c r="AI11" s="786">
        <f>(Y11-AF11)/Y11</f>
        <v>0.7694840834248079</v>
      </c>
    </row>
    <row r="12" spans="1:38" s="69" customFormat="1">
      <c r="A12" s="60" t="s">
        <v>896</v>
      </c>
      <c r="B12" s="61" t="s">
        <v>897</v>
      </c>
      <c r="C12" s="61" t="s">
        <v>898</v>
      </c>
      <c r="D12" s="61" t="s">
        <v>899</v>
      </c>
      <c r="E12" s="62" t="s">
        <v>893</v>
      </c>
      <c r="F12" s="63" t="s">
        <v>39</v>
      </c>
      <c r="G12" s="370">
        <v>1320000</v>
      </c>
      <c r="H12" s="371">
        <v>1160000</v>
      </c>
      <c r="I12" s="372">
        <v>169000</v>
      </c>
      <c r="J12" s="66">
        <v>2160</v>
      </c>
      <c r="K12" s="67">
        <v>1910</v>
      </c>
      <c r="L12" s="67">
        <v>1910</v>
      </c>
      <c r="M12" s="67">
        <v>0</v>
      </c>
      <c r="N12" s="67">
        <v>258</v>
      </c>
      <c r="O12" s="66">
        <v>120</v>
      </c>
      <c r="P12" s="67">
        <v>110</v>
      </c>
      <c r="Q12" s="67">
        <v>110</v>
      </c>
      <c r="R12" s="67">
        <v>0</v>
      </c>
      <c r="S12" s="67">
        <v>9.15</v>
      </c>
      <c r="T12" s="66">
        <v>2040</v>
      </c>
      <c r="U12" s="67">
        <v>1800</v>
      </c>
      <c r="V12" s="67">
        <v>1800</v>
      </c>
      <c r="W12" s="67">
        <v>0</v>
      </c>
      <c r="X12" s="67">
        <v>249</v>
      </c>
      <c r="Y12" s="66">
        <v>872</v>
      </c>
      <c r="Z12" s="67">
        <v>810</v>
      </c>
      <c r="AA12" s="67">
        <v>61.1</v>
      </c>
      <c r="AB12" s="67">
        <v>0</v>
      </c>
      <c r="AC12" s="67">
        <f t="shared" ref="AC12:AC43" si="0">AB12*$AC$10</f>
        <v>0</v>
      </c>
      <c r="AD12" s="68" t="s">
        <v>900</v>
      </c>
      <c r="AE12" s="69" t="s">
        <v>901</v>
      </c>
      <c r="AF12" s="759">
        <v>195</v>
      </c>
      <c r="AG12" s="760">
        <v>182</v>
      </c>
      <c r="AH12" s="760">
        <v>12.9</v>
      </c>
      <c r="AI12" s="786">
        <f t="shared" ref="AI12:AI75" si="1">(Y12-AF12)/Y12</f>
        <v>0.77637614678899081</v>
      </c>
    </row>
    <row r="13" spans="1:38" s="69" customFormat="1">
      <c r="A13" s="60" t="s">
        <v>902</v>
      </c>
      <c r="B13" s="61" t="s">
        <v>903</v>
      </c>
      <c r="C13" s="61" t="s">
        <v>904</v>
      </c>
      <c r="D13" s="61" t="s">
        <v>905</v>
      </c>
      <c r="E13" s="62" t="s">
        <v>893</v>
      </c>
      <c r="F13" s="63" t="s">
        <v>39</v>
      </c>
      <c r="G13" s="370">
        <v>1000000</v>
      </c>
      <c r="H13" s="371">
        <v>889000</v>
      </c>
      <c r="I13" s="372">
        <v>111000</v>
      </c>
      <c r="J13" s="70">
        <v>1680</v>
      </c>
      <c r="K13" s="71">
        <v>1510</v>
      </c>
      <c r="L13" s="71">
        <v>1510</v>
      </c>
      <c r="M13" s="71">
        <v>0</v>
      </c>
      <c r="N13" s="71">
        <v>170</v>
      </c>
      <c r="O13" s="70">
        <v>111</v>
      </c>
      <c r="P13" s="71">
        <v>105</v>
      </c>
      <c r="Q13" s="71">
        <v>105</v>
      </c>
      <c r="R13" s="71">
        <v>0</v>
      </c>
      <c r="S13" s="71">
        <v>6.04</v>
      </c>
      <c r="T13" s="70">
        <v>1570</v>
      </c>
      <c r="U13" s="71">
        <v>1410</v>
      </c>
      <c r="V13" s="71">
        <v>1410</v>
      </c>
      <c r="W13" s="71">
        <v>0</v>
      </c>
      <c r="X13" s="71">
        <v>164</v>
      </c>
      <c r="Y13" s="70">
        <v>620</v>
      </c>
      <c r="Z13" s="71">
        <v>579</v>
      </c>
      <c r="AA13" s="71">
        <v>40.4</v>
      </c>
      <c r="AB13" s="71">
        <v>0</v>
      </c>
      <c r="AC13" s="67">
        <f t="shared" si="0"/>
        <v>0</v>
      </c>
      <c r="AD13" s="72" t="s">
        <v>906</v>
      </c>
      <c r="AE13" s="69" t="s">
        <v>907</v>
      </c>
      <c r="AF13" s="759">
        <v>140</v>
      </c>
      <c r="AG13" s="760">
        <v>131</v>
      </c>
      <c r="AH13" s="760">
        <v>8.5399999999999991</v>
      </c>
      <c r="AI13" s="786">
        <f t="shared" si="1"/>
        <v>0.77419354838709675</v>
      </c>
    </row>
    <row r="14" spans="1:38" s="69" customFormat="1">
      <c r="A14" s="60" t="s">
        <v>908</v>
      </c>
      <c r="B14" s="61" t="s">
        <v>909</v>
      </c>
      <c r="C14" s="61" t="s">
        <v>910</v>
      </c>
      <c r="D14" s="61" t="s">
        <v>911</v>
      </c>
      <c r="E14" s="62" t="s">
        <v>893</v>
      </c>
      <c r="F14" s="63" t="s">
        <v>39</v>
      </c>
      <c r="G14" s="370">
        <v>222000</v>
      </c>
      <c r="H14" s="371">
        <v>198000</v>
      </c>
      <c r="I14" s="372">
        <v>24500</v>
      </c>
      <c r="J14" s="70">
        <v>361</v>
      </c>
      <c r="K14" s="71">
        <v>323</v>
      </c>
      <c r="L14" s="71">
        <v>323</v>
      </c>
      <c r="M14" s="71">
        <v>0</v>
      </c>
      <c r="N14" s="71">
        <v>37.4</v>
      </c>
      <c r="O14" s="70">
        <v>24.3</v>
      </c>
      <c r="P14" s="71">
        <v>23</v>
      </c>
      <c r="Q14" s="71">
        <v>23</v>
      </c>
      <c r="R14" s="71">
        <v>0</v>
      </c>
      <c r="S14" s="71">
        <v>1.33</v>
      </c>
      <c r="T14" s="70">
        <v>336</v>
      </c>
      <c r="U14" s="71">
        <v>300</v>
      </c>
      <c r="V14" s="71">
        <v>300</v>
      </c>
      <c r="W14" s="71">
        <v>0</v>
      </c>
      <c r="X14" s="71">
        <v>36.1</v>
      </c>
      <c r="Y14" s="70">
        <v>140</v>
      </c>
      <c r="Z14" s="71">
        <v>131</v>
      </c>
      <c r="AA14" s="71">
        <v>8.8699999999999992</v>
      </c>
      <c r="AB14" s="71">
        <v>0</v>
      </c>
      <c r="AC14" s="67">
        <f t="shared" si="0"/>
        <v>0</v>
      </c>
      <c r="AD14" s="72" t="s">
        <v>912</v>
      </c>
      <c r="AE14" s="69" t="s">
        <v>913</v>
      </c>
      <c r="AF14" s="759">
        <v>31</v>
      </c>
      <c r="AG14" s="760">
        <v>29.1</v>
      </c>
      <c r="AH14" s="760">
        <v>1.88</v>
      </c>
      <c r="AI14" s="786">
        <f t="shared" si="1"/>
        <v>0.77857142857142858</v>
      </c>
    </row>
    <row r="15" spans="1:38" s="69" customFormat="1">
      <c r="A15" s="60" t="s">
        <v>464</v>
      </c>
      <c r="B15" s="61" t="s">
        <v>914</v>
      </c>
      <c r="C15" s="61" t="s">
        <v>915</v>
      </c>
      <c r="D15" s="61" t="s">
        <v>916</v>
      </c>
      <c r="E15" s="62" t="s">
        <v>893</v>
      </c>
      <c r="F15" s="63" t="s">
        <v>39</v>
      </c>
      <c r="G15" s="370">
        <v>447000</v>
      </c>
      <c r="H15" s="371">
        <v>407000</v>
      </c>
      <c r="I15" s="372">
        <v>39300</v>
      </c>
      <c r="J15" s="70">
        <v>994</v>
      </c>
      <c r="K15" s="71">
        <v>934</v>
      </c>
      <c r="L15" s="71">
        <v>934</v>
      </c>
      <c r="M15" s="71">
        <v>0</v>
      </c>
      <c r="N15" s="71">
        <v>60</v>
      </c>
      <c r="O15" s="70">
        <v>108</v>
      </c>
      <c r="P15" s="71">
        <v>106</v>
      </c>
      <c r="Q15" s="71">
        <v>106</v>
      </c>
      <c r="R15" s="71">
        <v>0</v>
      </c>
      <c r="S15" s="71">
        <v>2.15</v>
      </c>
      <c r="T15" s="70">
        <v>886</v>
      </c>
      <c r="U15" s="71">
        <v>828</v>
      </c>
      <c r="V15" s="71">
        <v>828</v>
      </c>
      <c r="W15" s="71">
        <v>0</v>
      </c>
      <c r="X15" s="71">
        <v>57.9</v>
      </c>
      <c r="Y15" s="70">
        <v>276</v>
      </c>
      <c r="Z15" s="71">
        <v>262</v>
      </c>
      <c r="AA15" s="71">
        <v>14.4</v>
      </c>
      <c r="AB15" s="71">
        <v>0</v>
      </c>
      <c r="AC15" s="67">
        <f t="shared" si="0"/>
        <v>0</v>
      </c>
      <c r="AD15" s="72" t="s">
        <v>917</v>
      </c>
      <c r="AE15" s="69" t="s">
        <v>918</v>
      </c>
      <c r="AF15" s="759">
        <v>78.400000000000006</v>
      </c>
      <c r="AG15" s="760">
        <v>75.400000000000006</v>
      </c>
      <c r="AH15" s="760">
        <v>3.03</v>
      </c>
      <c r="AI15" s="786">
        <f t="shared" si="1"/>
        <v>0.71594202898550718</v>
      </c>
    </row>
    <row r="16" spans="1:38" s="69" customFormat="1">
      <c r="A16" s="60" t="s">
        <v>465</v>
      </c>
      <c r="B16" s="61" t="s">
        <v>919</v>
      </c>
      <c r="C16" s="61" t="s">
        <v>920</v>
      </c>
      <c r="D16" s="61" t="s">
        <v>921</v>
      </c>
      <c r="E16" s="62" t="s">
        <v>893</v>
      </c>
      <c r="F16" s="63" t="s">
        <v>39</v>
      </c>
      <c r="G16" s="370">
        <v>317000</v>
      </c>
      <c r="H16" s="371">
        <v>294000</v>
      </c>
      <c r="I16" s="372">
        <v>23000</v>
      </c>
      <c r="J16" s="70">
        <v>698</v>
      </c>
      <c r="K16" s="71">
        <v>663</v>
      </c>
      <c r="L16" s="71">
        <v>663</v>
      </c>
      <c r="M16" s="71">
        <v>0</v>
      </c>
      <c r="N16" s="71">
        <v>35.200000000000003</v>
      </c>
      <c r="O16" s="70">
        <v>47.3</v>
      </c>
      <c r="P16" s="71">
        <v>46.1</v>
      </c>
      <c r="Q16" s="71">
        <v>46.1</v>
      </c>
      <c r="R16" s="71">
        <v>0</v>
      </c>
      <c r="S16" s="71">
        <v>1.25</v>
      </c>
      <c r="T16" s="70">
        <v>651</v>
      </c>
      <c r="U16" s="71">
        <v>617</v>
      </c>
      <c r="V16" s="71">
        <v>617</v>
      </c>
      <c r="W16" s="71">
        <v>0</v>
      </c>
      <c r="X16" s="71">
        <v>33.9</v>
      </c>
      <c r="Y16" s="70">
        <v>193</v>
      </c>
      <c r="Z16" s="71">
        <v>185</v>
      </c>
      <c r="AA16" s="71">
        <v>8.34</v>
      </c>
      <c r="AB16" s="71">
        <v>0</v>
      </c>
      <c r="AC16" s="67">
        <f t="shared" si="0"/>
        <v>0</v>
      </c>
      <c r="AD16" s="72" t="s">
        <v>922</v>
      </c>
      <c r="AE16" s="69" t="s">
        <v>923</v>
      </c>
      <c r="AF16" s="759">
        <v>55.8</v>
      </c>
      <c r="AG16" s="760">
        <v>54.1</v>
      </c>
      <c r="AH16" s="760">
        <v>1.76</v>
      </c>
      <c r="AI16" s="786">
        <f t="shared" si="1"/>
        <v>0.71088082901554395</v>
      </c>
    </row>
    <row r="17" spans="1:35" s="69" customFormat="1">
      <c r="A17" s="60" t="s">
        <v>466</v>
      </c>
      <c r="B17" s="61" t="s">
        <v>924</v>
      </c>
      <c r="C17" s="61" t="s">
        <v>925</v>
      </c>
      <c r="D17" s="61" t="s">
        <v>926</v>
      </c>
      <c r="E17" s="62" t="s">
        <v>893</v>
      </c>
      <c r="F17" s="63" t="s">
        <v>39</v>
      </c>
      <c r="G17" s="370">
        <v>340000</v>
      </c>
      <c r="H17" s="371">
        <v>313000</v>
      </c>
      <c r="I17" s="372">
        <v>26600</v>
      </c>
      <c r="J17" s="70">
        <v>711</v>
      </c>
      <c r="K17" s="71">
        <v>671</v>
      </c>
      <c r="L17" s="71">
        <v>671</v>
      </c>
      <c r="M17" s="71">
        <v>0</v>
      </c>
      <c r="N17" s="71">
        <v>40.6</v>
      </c>
      <c r="O17" s="70">
        <v>46.5</v>
      </c>
      <c r="P17" s="71">
        <v>45.1</v>
      </c>
      <c r="Q17" s="71">
        <v>45.1</v>
      </c>
      <c r="R17" s="71">
        <v>0</v>
      </c>
      <c r="S17" s="71">
        <v>1.44</v>
      </c>
      <c r="T17" s="70">
        <v>665</v>
      </c>
      <c r="U17" s="71">
        <v>626</v>
      </c>
      <c r="V17" s="71">
        <v>626</v>
      </c>
      <c r="W17" s="71">
        <v>0</v>
      </c>
      <c r="X17" s="71">
        <v>39.200000000000003</v>
      </c>
      <c r="Y17" s="70">
        <v>208</v>
      </c>
      <c r="Z17" s="71">
        <v>199</v>
      </c>
      <c r="AA17" s="71">
        <v>9.6300000000000008</v>
      </c>
      <c r="AB17" s="71">
        <v>0</v>
      </c>
      <c r="AC17" s="67">
        <f t="shared" si="0"/>
        <v>0</v>
      </c>
      <c r="AD17" s="72" t="s">
        <v>927</v>
      </c>
      <c r="AE17" s="69" t="s">
        <v>928</v>
      </c>
      <c r="AF17" s="759">
        <v>56.7</v>
      </c>
      <c r="AG17" s="760">
        <v>54.7</v>
      </c>
      <c r="AH17" s="760">
        <v>2.04</v>
      </c>
      <c r="AI17" s="786">
        <f t="shared" si="1"/>
        <v>0.72740384615384623</v>
      </c>
    </row>
    <row r="18" spans="1:35" s="69" customFormat="1">
      <c r="A18" s="60" t="s">
        <v>467</v>
      </c>
      <c r="B18" s="61" t="s">
        <v>929</v>
      </c>
      <c r="C18" s="61" t="s">
        <v>930</v>
      </c>
      <c r="D18" s="61" t="s">
        <v>931</v>
      </c>
      <c r="E18" s="62" t="s">
        <v>893</v>
      </c>
      <c r="F18" s="63" t="s">
        <v>39</v>
      </c>
      <c r="G18" s="370">
        <v>913000</v>
      </c>
      <c r="H18" s="371">
        <v>828000</v>
      </c>
      <c r="I18" s="372">
        <v>84800</v>
      </c>
      <c r="J18" s="70">
        <v>1410</v>
      </c>
      <c r="K18" s="71">
        <v>1290</v>
      </c>
      <c r="L18" s="71">
        <v>1290</v>
      </c>
      <c r="M18" s="71">
        <v>0</v>
      </c>
      <c r="N18" s="71">
        <v>129</v>
      </c>
      <c r="O18" s="70">
        <v>96.2</v>
      </c>
      <c r="P18" s="71">
        <v>91.6</v>
      </c>
      <c r="Q18" s="71">
        <v>91.6</v>
      </c>
      <c r="R18" s="71">
        <v>0</v>
      </c>
      <c r="S18" s="71">
        <v>4.5999999999999996</v>
      </c>
      <c r="T18" s="70">
        <v>1320</v>
      </c>
      <c r="U18" s="71">
        <v>1190</v>
      </c>
      <c r="V18" s="71">
        <v>1190</v>
      </c>
      <c r="W18" s="71">
        <v>0</v>
      </c>
      <c r="X18" s="71">
        <v>125</v>
      </c>
      <c r="Y18" s="70">
        <v>497</v>
      </c>
      <c r="Z18" s="71">
        <v>467</v>
      </c>
      <c r="AA18" s="71">
        <v>30.6</v>
      </c>
      <c r="AB18" s="71">
        <v>0</v>
      </c>
      <c r="AC18" s="67">
        <f t="shared" si="0"/>
        <v>0</v>
      </c>
      <c r="AD18" s="72" t="s">
        <v>932</v>
      </c>
      <c r="AE18" s="69" t="s">
        <v>933</v>
      </c>
      <c r="AF18" s="759">
        <v>125</v>
      </c>
      <c r="AG18" s="760">
        <v>118</v>
      </c>
      <c r="AH18" s="760">
        <v>6.34</v>
      </c>
      <c r="AI18" s="786">
        <f t="shared" si="1"/>
        <v>0.74849094567404428</v>
      </c>
    </row>
    <row r="19" spans="1:35" s="69" customFormat="1">
      <c r="A19" s="60" t="s">
        <v>468</v>
      </c>
      <c r="B19" s="61" t="s">
        <v>934</v>
      </c>
      <c r="C19" s="61" t="s">
        <v>935</v>
      </c>
      <c r="D19" s="61" t="s">
        <v>936</v>
      </c>
      <c r="E19" s="62" t="s">
        <v>893</v>
      </c>
      <c r="F19" s="63" t="s">
        <v>39</v>
      </c>
      <c r="G19" s="370">
        <v>1650000</v>
      </c>
      <c r="H19" s="371">
        <v>1480000</v>
      </c>
      <c r="I19" s="372">
        <v>167000</v>
      </c>
      <c r="J19" s="70">
        <v>2580</v>
      </c>
      <c r="K19" s="71">
        <v>2320</v>
      </c>
      <c r="L19" s="71">
        <v>2320</v>
      </c>
      <c r="M19" s="71">
        <v>0</v>
      </c>
      <c r="N19" s="71">
        <v>255</v>
      </c>
      <c r="O19" s="70">
        <v>182</v>
      </c>
      <c r="P19" s="71">
        <v>173</v>
      </c>
      <c r="Q19" s="71">
        <v>173</v>
      </c>
      <c r="R19" s="71">
        <v>0</v>
      </c>
      <c r="S19" s="71">
        <v>9.07</v>
      </c>
      <c r="T19" s="70">
        <v>2400</v>
      </c>
      <c r="U19" s="71">
        <v>2150</v>
      </c>
      <c r="V19" s="71">
        <v>2150</v>
      </c>
      <c r="W19" s="71">
        <v>0</v>
      </c>
      <c r="X19" s="71">
        <v>246</v>
      </c>
      <c r="Y19" s="70">
        <v>957</v>
      </c>
      <c r="Z19" s="71">
        <v>897</v>
      </c>
      <c r="AA19" s="71">
        <v>60.4</v>
      </c>
      <c r="AB19" s="71">
        <v>0</v>
      </c>
      <c r="AC19" s="67">
        <f t="shared" si="0"/>
        <v>0</v>
      </c>
      <c r="AD19" s="72" t="s">
        <v>937</v>
      </c>
      <c r="AE19" s="69" t="s">
        <v>938</v>
      </c>
      <c r="AF19" s="759">
        <v>226</v>
      </c>
      <c r="AG19" s="760">
        <v>213</v>
      </c>
      <c r="AH19" s="760">
        <v>12.6</v>
      </c>
      <c r="AI19" s="786">
        <f t="shared" si="1"/>
        <v>0.76384535005224663</v>
      </c>
    </row>
    <row r="20" spans="1:35" s="69" customFormat="1">
      <c r="A20" s="60" t="s">
        <v>469</v>
      </c>
      <c r="B20" s="61" t="s">
        <v>939</v>
      </c>
      <c r="C20" s="61" t="s">
        <v>940</v>
      </c>
      <c r="D20" s="61" t="s">
        <v>941</v>
      </c>
      <c r="E20" s="62" t="s">
        <v>893</v>
      </c>
      <c r="F20" s="63" t="s">
        <v>39</v>
      </c>
      <c r="G20" s="370">
        <v>289000</v>
      </c>
      <c r="H20" s="371">
        <v>287000</v>
      </c>
      <c r="I20" s="372">
        <v>1710</v>
      </c>
      <c r="J20" s="70">
        <v>778</v>
      </c>
      <c r="K20" s="71">
        <v>773</v>
      </c>
      <c r="L20" s="71">
        <v>773</v>
      </c>
      <c r="M20" s="71">
        <v>0</v>
      </c>
      <c r="N20" s="71">
        <v>4.2699999999999996</v>
      </c>
      <c r="O20" s="70">
        <v>44.4</v>
      </c>
      <c r="P20" s="71">
        <v>44.3</v>
      </c>
      <c r="Q20" s="71">
        <v>44.3</v>
      </c>
      <c r="R20" s="71">
        <v>0</v>
      </c>
      <c r="S20" s="71">
        <v>8.8599999999999998E-2</v>
      </c>
      <c r="T20" s="70">
        <v>733</v>
      </c>
      <c r="U20" s="71">
        <v>729</v>
      </c>
      <c r="V20" s="71">
        <v>729</v>
      </c>
      <c r="W20" s="71">
        <v>0</v>
      </c>
      <c r="X20" s="71">
        <v>4.18</v>
      </c>
      <c r="Y20" s="70">
        <v>170</v>
      </c>
      <c r="Z20" s="71">
        <v>169</v>
      </c>
      <c r="AA20" s="71">
        <v>1.07</v>
      </c>
      <c r="AB20" s="71">
        <v>0</v>
      </c>
      <c r="AC20" s="67">
        <f t="shared" si="0"/>
        <v>0</v>
      </c>
      <c r="AD20" s="72" t="s">
        <v>942</v>
      </c>
      <c r="AE20" s="69" t="s">
        <v>943</v>
      </c>
      <c r="AF20" s="759">
        <v>52.5</v>
      </c>
      <c r="AG20" s="760">
        <v>52.5</v>
      </c>
      <c r="AH20" s="760">
        <v>0</v>
      </c>
      <c r="AI20" s="786">
        <f t="shared" si="1"/>
        <v>0.69117647058823528</v>
      </c>
    </row>
    <row r="21" spans="1:35" s="69" customFormat="1">
      <c r="A21" s="60" t="s">
        <v>470</v>
      </c>
      <c r="B21" s="61" t="s">
        <v>944</v>
      </c>
      <c r="C21" s="61" t="s">
        <v>945</v>
      </c>
      <c r="D21" s="61" t="s">
        <v>946</v>
      </c>
      <c r="E21" s="62" t="s">
        <v>893</v>
      </c>
      <c r="F21" s="63" t="s">
        <v>39</v>
      </c>
      <c r="G21" s="370">
        <v>163000</v>
      </c>
      <c r="H21" s="371">
        <v>162000</v>
      </c>
      <c r="I21" s="372">
        <v>935</v>
      </c>
      <c r="J21" s="70">
        <v>438</v>
      </c>
      <c r="K21" s="71">
        <v>436</v>
      </c>
      <c r="L21" s="71">
        <v>436</v>
      </c>
      <c r="M21" s="71">
        <v>0</v>
      </c>
      <c r="N21" s="71">
        <v>2.34</v>
      </c>
      <c r="O21" s="70">
        <v>24.4</v>
      </c>
      <c r="P21" s="71">
        <v>24.4</v>
      </c>
      <c r="Q21" s="71">
        <v>24.4</v>
      </c>
      <c r="R21" s="71">
        <v>0</v>
      </c>
      <c r="S21" s="71">
        <v>4.8399999999999999E-2</v>
      </c>
      <c r="T21" s="70">
        <v>413</v>
      </c>
      <c r="U21" s="71">
        <v>411</v>
      </c>
      <c r="V21" s="71">
        <v>411</v>
      </c>
      <c r="W21" s="71">
        <v>0</v>
      </c>
      <c r="X21" s="71">
        <v>2.29</v>
      </c>
      <c r="Y21" s="70">
        <v>96.3</v>
      </c>
      <c r="Z21" s="71">
        <v>95.7</v>
      </c>
      <c r="AA21" s="71">
        <v>0.58499999999999996</v>
      </c>
      <c r="AB21" s="71">
        <v>0</v>
      </c>
      <c r="AC21" s="67">
        <f t="shared" si="0"/>
        <v>0</v>
      </c>
      <c r="AD21" s="72" t="s">
        <v>947</v>
      </c>
      <c r="AE21" s="69" t="s">
        <v>948</v>
      </c>
      <c r="AF21" s="759">
        <v>29.4</v>
      </c>
      <c r="AG21" s="760">
        <v>29.4</v>
      </c>
      <c r="AH21" s="760">
        <v>0</v>
      </c>
      <c r="AI21" s="786">
        <f t="shared" si="1"/>
        <v>0.69470404984423684</v>
      </c>
    </row>
    <row r="22" spans="1:35" s="69" customFormat="1">
      <c r="A22" s="60" t="s">
        <v>471</v>
      </c>
      <c r="B22" s="61" t="s">
        <v>949</v>
      </c>
      <c r="C22" s="61" t="s">
        <v>950</v>
      </c>
      <c r="D22" s="61" t="s">
        <v>951</v>
      </c>
      <c r="E22" s="62" t="s">
        <v>893</v>
      </c>
      <c r="F22" s="63" t="s">
        <v>39</v>
      </c>
      <c r="G22" s="370">
        <v>327000</v>
      </c>
      <c r="H22" s="371">
        <v>321000</v>
      </c>
      <c r="I22" s="372">
        <v>5500</v>
      </c>
      <c r="J22" s="70">
        <v>853</v>
      </c>
      <c r="K22" s="71">
        <v>843</v>
      </c>
      <c r="L22" s="71">
        <v>843</v>
      </c>
      <c r="M22" s="71">
        <v>0</v>
      </c>
      <c r="N22" s="71">
        <v>10.3</v>
      </c>
      <c r="O22" s="70">
        <v>53.7</v>
      </c>
      <c r="P22" s="71">
        <v>53.4</v>
      </c>
      <c r="Q22" s="71">
        <v>53.4</v>
      </c>
      <c r="R22" s="71">
        <v>0</v>
      </c>
      <c r="S22" s="71">
        <v>0.29399999999999998</v>
      </c>
      <c r="T22" s="70">
        <v>800</v>
      </c>
      <c r="U22" s="71">
        <v>789</v>
      </c>
      <c r="V22" s="71">
        <v>789</v>
      </c>
      <c r="W22" s="71">
        <v>0</v>
      </c>
      <c r="X22" s="71">
        <v>10</v>
      </c>
      <c r="Y22" s="70">
        <v>190</v>
      </c>
      <c r="Z22" s="71">
        <v>188</v>
      </c>
      <c r="AA22" s="71">
        <v>2.52</v>
      </c>
      <c r="AB22" s="71">
        <v>0</v>
      </c>
      <c r="AC22" s="67">
        <f t="shared" si="0"/>
        <v>0</v>
      </c>
      <c r="AD22" s="72" t="s">
        <v>952</v>
      </c>
      <c r="AE22" s="69" t="s">
        <v>953</v>
      </c>
      <c r="AF22" s="759">
        <v>59.6</v>
      </c>
      <c r="AG22" s="760">
        <v>59.6</v>
      </c>
      <c r="AH22" s="760">
        <v>0</v>
      </c>
      <c r="AI22" s="786">
        <f t="shared" si="1"/>
        <v>0.68631578947368421</v>
      </c>
    </row>
    <row r="23" spans="1:35" s="69" customFormat="1">
      <c r="A23" s="60" t="s">
        <v>474</v>
      </c>
      <c r="B23" s="61" t="s">
        <v>954</v>
      </c>
      <c r="C23" s="61" t="s">
        <v>955</v>
      </c>
      <c r="D23" s="61" t="s">
        <v>956</v>
      </c>
      <c r="E23" s="62" t="s">
        <v>893</v>
      </c>
      <c r="F23" s="63" t="s">
        <v>160</v>
      </c>
      <c r="G23" s="373">
        <v>59800</v>
      </c>
      <c r="H23" s="371">
        <v>59800</v>
      </c>
      <c r="I23" s="371">
        <v>0</v>
      </c>
      <c r="J23" s="70">
        <v>127</v>
      </c>
      <c r="K23" s="71">
        <v>127</v>
      </c>
      <c r="L23" s="71">
        <v>127</v>
      </c>
      <c r="M23" s="71">
        <v>0</v>
      </c>
      <c r="N23" s="71">
        <v>0</v>
      </c>
      <c r="O23" s="70">
        <v>8.68</v>
      </c>
      <c r="P23" s="71">
        <v>8.68</v>
      </c>
      <c r="Q23" s="71">
        <v>8.68</v>
      </c>
      <c r="R23" s="71">
        <v>0</v>
      </c>
      <c r="S23" s="71">
        <v>0</v>
      </c>
      <c r="T23" s="70">
        <v>118</v>
      </c>
      <c r="U23" s="71">
        <v>118</v>
      </c>
      <c r="V23" s="71">
        <v>118</v>
      </c>
      <c r="W23" s="71">
        <v>0</v>
      </c>
      <c r="X23" s="71">
        <v>0</v>
      </c>
      <c r="Y23" s="70">
        <v>35.4</v>
      </c>
      <c r="Z23" s="71">
        <v>35.4</v>
      </c>
      <c r="AA23" s="71">
        <v>0</v>
      </c>
      <c r="AB23" s="71">
        <v>0</v>
      </c>
      <c r="AC23" s="67">
        <f t="shared" si="0"/>
        <v>0</v>
      </c>
      <c r="AD23" s="72" t="s">
        <v>957</v>
      </c>
      <c r="AE23" s="69" t="s">
        <v>958</v>
      </c>
      <c r="AF23" s="759">
        <v>9.51</v>
      </c>
      <c r="AG23" s="760">
        <v>9.51</v>
      </c>
      <c r="AH23" s="760">
        <v>0</v>
      </c>
      <c r="AI23" s="786">
        <f t="shared" si="1"/>
        <v>0.7313559322033899</v>
      </c>
    </row>
    <row r="24" spans="1:35" s="69" customFormat="1">
      <c r="A24" s="60" t="s">
        <v>959</v>
      </c>
      <c r="B24" s="61" t="s">
        <v>960</v>
      </c>
      <c r="C24" s="61" t="s">
        <v>961</v>
      </c>
      <c r="D24" s="61" t="s">
        <v>962</v>
      </c>
      <c r="E24" s="62" t="s">
        <v>893</v>
      </c>
      <c r="F24" s="63" t="s">
        <v>160</v>
      </c>
      <c r="G24" s="373">
        <v>296000</v>
      </c>
      <c r="H24" s="371">
        <v>296000</v>
      </c>
      <c r="I24" s="371">
        <v>0</v>
      </c>
      <c r="J24" s="70">
        <v>442</v>
      </c>
      <c r="K24" s="71">
        <v>442</v>
      </c>
      <c r="L24" s="71">
        <v>442</v>
      </c>
      <c r="M24" s="71">
        <v>0</v>
      </c>
      <c r="N24" s="71">
        <v>0</v>
      </c>
      <c r="O24" s="70">
        <v>30.4</v>
      </c>
      <c r="P24" s="71">
        <v>30.4</v>
      </c>
      <c r="Q24" s="71">
        <v>30.4</v>
      </c>
      <c r="R24" s="71">
        <v>0</v>
      </c>
      <c r="S24" s="71">
        <v>0</v>
      </c>
      <c r="T24" s="70">
        <v>411</v>
      </c>
      <c r="U24" s="71">
        <v>411</v>
      </c>
      <c r="V24" s="71">
        <v>411</v>
      </c>
      <c r="W24" s="71">
        <v>0</v>
      </c>
      <c r="X24" s="71">
        <v>0</v>
      </c>
      <c r="Y24" s="70">
        <v>184</v>
      </c>
      <c r="Z24" s="71">
        <v>184</v>
      </c>
      <c r="AA24" s="71">
        <v>0</v>
      </c>
      <c r="AB24" s="71">
        <v>0</v>
      </c>
      <c r="AC24" s="67">
        <f t="shared" si="0"/>
        <v>0</v>
      </c>
      <c r="AD24" s="72" t="s">
        <v>963</v>
      </c>
      <c r="AE24" s="69" t="s">
        <v>964</v>
      </c>
      <c r="AF24" s="759">
        <v>41.8</v>
      </c>
      <c r="AG24" s="760">
        <v>41.8</v>
      </c>
      <c r="AH24" s="760">
        <v>0</v>
      </c>
      <c r="AI24" s="786">
        <f t="shared" si="1"/>
        <v>0.77282608695652166</v>
      </c>
    </row>
    <row r="25" spans="1:35" s="69" customFormat="1">
      <c r="A25" s="60" t="s">
        <v>475</v>
      </c>
      <c r="B25" s="61" t="s">
        <v>965</v>
      </c>
      <c r="C25" s="61" t="s">
        <v>966</v>
      </c>
      <c r="D25" s="61" t="s">
        <v>967</v>
      </c>
      <c r="E25" s="62" t="s">
        <v>893</v>
      </c>
      <c r="F25" s="63" t="s">
        <v>160</v>
      </c>
      <c r="G25" s="373">
        <v>435000</v>
      </c>
      <c r="H25" s="371">
        <v>435000</v>
      </c>
      <c r="I25" s="371">
        <v>0</v>
      </c>
      <c r="J25" s="70">
        <v>619</v>
      </c>
      <c r="K25" s="71">
        <v>619</v>
      </c>
      <c r="L25" s="71">
        <v>619</v>
      </c>
      <c r="M25" s="71">
        <v>0</v>
      </c>
      <c r="N25" s="71">
        <v>0</v>
      </c>
      <c r="O25" s="70">
        <v>46.9</v>
      </c>
      <c r="P25" s="71">
        <v>46.9</v>
      </c>
      <c r="Q25" s="71">
        <v>46.9</v>
      </c>
      <c r="R25" s="71">
        <v>0</v>
      </c>
      <c r="S25" s="71">
        <v>0</v>
      </c>
      <c r="T25" s="70">
        <v>572</v>
      </c>
      <c r="U25" s="71">
        <v>572</v>
      </c>
      <c r="V25" s="71">
        <v>572</v>
      </c>
      <c r="W25" s="71">
        <v>0</v>
      </c>
      <c r="X25" s="71">
        <v>0</v>
      </c>
      <c r="Y25" s="70">
        <v>275</v>
      </c>
      <c r="Z25" s="71">
        <v>275</v>
      </c>
      <c r="AA25" s="71">
        <v>0</v>
      </c>
      <c r="AB25" s="71">
        <v>0</v>
      </c>
      <c r="AC25" s="67">
        <f t="shared" si="0"/>
        <v>0</v>
      </c>
      <c r="AD25" s="72" t="s">
        <v>968</v>
      </c>
      <c r="AE25" s="69" t="s">
        <v>969</v>
      </c>
      <c r="AF25" s="759">
        <v>62.4</v>
      </c>
      <c r="AG25" s="760">
        <v>62.4</v>
      </c>
      <c r="AH25" s="760">
        <v>0</v>
      </c>
      <c r="AI25" s="786">
        <f t="shared" si="1"/>
        <v>0.77309090909090905</v>
      </c>
    </row>
    <row r="26" spans="1:35" s="69" customFormat="1">
      <c r="A26" s="60" t="s">
        <v>970</v>
      </c>
      <c r="B26" s="61" t="s">
        <v>971</v>
      </c>
      <c r="C26" s="61" t="s">
        <v>972</v>
      </c>
      <c r="D26" s="61" t="s">
        <v>973</v>
      </c>
      <c r="E26" s="62" t="s">
        <v>893</v>
      </c>
      <c r="F26" s="63" t="s">
        <v>160</v>
      </c>
      <c r="G26" s="373">
        <v>670000</v>
      </c>
      <c r="H26" s="371">
        <v>670000</v>
      </c>
      <c r="I26" s="371">
        <v>0</v>
      </c>
      <c r="J26" s="70">
        <v>931</v>
      </c>
      <c r="K26" s="71">
        <v>931</v>
      </c>
      <c r="L26" s="71">
        <v>931</v>
      </c>
      <c r="M26" s="71">
        <v>0</v>
      </c>
      <c r="N26" s="71">
        <v>0</v>
      </c>
      <c r="O26" s="70">
        <v>74.099999999999994</v>
      </c>
      <c r="P26" s="71">
        <v>74.099999999999994</v>
      </c>
      <c r="Q26" s="71">
        <v>74.099999999999994</v>
      </c>
      <c r="R26" s="71">
        <v>0</v>
      </c>
      <c r="S26" s="71">
        <v>0</v>
      </c>
      <c r="T26" s="70">
        <v>856</v>
      </c>
      <c r="U26" s="71">
        <v>856</v>
      </c>
      <c r="V26" s="71">
        <v>856</v>
      </c>
      <c r="W26" s="71">
        <v>0</v>
      </c>
      <c r="X26" s="71">
        <v>0</v>
      </c>
      <c r="Y26" s="70">
        <v>428</v>
      </c>
      <c r="Z26" s="71">
        <v>428</v>
      </c>
      <c r="AA26" s="71">
        <v>0</v>
      </c>
      <c r="AB26" s="71">
        <v>0</v>
      </c>
      <c r="AC26" s="67">
        <f t="shared" si="0"/>
        <v>0</v>
      </c>
      <c r="AD26" s="72" t="s">
        <v>974</v>
      </c>
      <c r="AE26" s="69" t="s">
        <v>975</v>
      </c>
      <c r="AF26" s="759">
        <v>96.9</v>
      </c>
      <c r="AG26" s="760">
        <v>96.9</v>
      </c>
      <c r="AH26" s="760">
        <v>0</v>
      </c>
      <c r="AI26" s="786">
        <f t="shared" si="1"/>
        <v>0.7735981308411215</v>
      </c>
    </row>
    <row r="27" spans="1:35" s="69" customFormat="1">
      <c r="A27" s="60" t="s">
        <v>976</v>
      </c>
      <c r="B27" s="61" t="s">
        <v>977</v>
      </c>
      <c r="C27" s="61" t="s">
        <v>978</v>
      </c>
      <c r="D27" s="61" t="s">
        <v>979</v>
      </c>
      <c r="E27" s="62" t="s">
        <v>893</v>
      </c>
      <c r="F27" s="63" t="s">
        <v>160</v>
      </c>
      <c r="G27" s="373">
        <v>149000</v>
      </c>
      <c r="H27" s="371">
        <v>149000</v>
      </c>
      <c r="I27" s="371">
        <v>0</v>
      </c>
      <c r="J27" s="70">
        <v>261</v>
      </c>
      <c r="K27" s="71">
        <v>261</v>
      </c>
      <c r="L27" s="71">
        <v>261</v>
      </c>
      <c r="M27" s="71">
        <v>0</v>
      </c>
      <c r="N27" s="71">
        <v>0</v>
      </c>
      <c r="O27" s="70">
        <v>14.9</v>
      </c>
      <c r="P27" s="71">
        <v>14.9</v>
      </c>
      <c r="Q27" s="71">
        <v>14.9</v>
      </c>
      <c r="R27" s="71">
        <v>0</v>
      </c>
      <c r="S27" s="71">
        <v>0</v>
      </c>
      <c r="T27" s="70">
        <v>246</v>
      </c>
      <c r="U27" s="71">
        <v>246</v>
      </c>
      <c r="V27" s="71">
        <v>246</v>
      </c>
      <c r="W27" s="71">
        <v>0</v>
      </c>
      <c r="X27" s="71">
        <v>0</v>
      </c>
      <c r="Y27" s="70">
        <v>91</v>
      </c>
      <c r="Z27" s="71">
        <v>91</v>
      </c>
      <c r="AA27" s="71">
        <v>0</v>
      </c>
      <c r="AB27" s="71">
        <v>0</v>
      </c>
      <c r="AC27" s="67">
        <f t="shared" si="0"/>
        <v>0</v>
      </c>
      <c r="AD27" s="72" t="s">
        <v>980</v>
      </c>
      <c r="AE27" s="69" t="s">
        <v>981</v>
      </c>
      <c r="AF27" s="759">
        <v>19.5</v>
      </c>
      <c r="AG27" s="760">
        <v>19.5</v>
      </c>
      <c r="AH27" s="760">
        <v>0</v>
      </c>
      <c r="AI27" s="786">
        <f t="shared" si="1"/>
        <v>0.7857142857142857</v>
      </c>
    </row>
    <row r="28" spans="1:35" s="69" customFormat="1">
      <c r="A28" s="60" t="s">
        <v>477</v>
      </c>
      <c r="B28" s="61" t="s">
        <v>982</v>
      </c>
      <c r="C28" s="61" t="s">
        <v>983</v>
      </c>
      <c r="D28" s="61" t="s">
        <v>984</v>
      </c>
      <c r="E28" s="62" t="s">
        <v>893</v>
      </c>
      <c r="F28" s="63" t="s">
        <v>160</v>
      </c>
      <c r="G28" s="373">
        <v>187000</v>
      </c>
      <c r="H28" s="371">
        <v>187000</v>
      </c>
      <c r="I28" s="371">
        <v>0</v>
      </c>
      <c r="J28" s="70">
        <v>315</v>
      </c>
      <c r="K28" s="71">
        <v>315</v>
      </c>
      <c r="L28" s="71">
        <v>315</v>
      </c>
      <c r="M28" s="71">
        <v>0</v>
      </c>
      <c r="N28" s="71">
        <v>0</v>
      </c>
      <c r="O28" s="70">
        <v>19.5</v>
      </c>
      <c r="P28" s="71">
        <v>19.5</v>
      </c>
      <c r="Q28" s="71">
        <v>19.5</v>
      </c>
      <c r="R28" s="71">
        <v>0</v>
      </c>
      <c r="S28" s="71">
        <v>0</v>
      </c>
      <c r="T28" s="70">
        <v>296</v>
      </c>
      <c r="U28" s="71">
        <v>296</v>
      </c>
      <c r="V28" s="71">
        <v>296</v>
      </c>
      <c r="W28" s="71">
        <v>0</v>
      </c>
      <c r="X28" s="71">
        <v>0</v>
      </c>
      <c r="Y28" s="70">
        <v>115</v>
      </c>
      <c r="Z28" s="71">
        <v>115</v>
      </c>
      <c r="AA28" s="71">
        <v>0</v>
      </c>
      <c r="AB28" s="71">
        <v>0</v>
      </c>
      <c r="AC28" s="67">
        <f t="shared" si="0"/>
        <v>0</v>
      </c>
      <c r="AD28" s="72" t="s">
        <v>985</v>
      </c>
      <c r="AE28" s="69" t="s">
        <v>986</v>
      </c>
      <c r="AF28" s="759">
        <v>24.8</v>
      </c>
      <c r="AG28" s="760">
        <v>24.8</v>
      </c>
      <c r="AH28" s="760">
        <v>0</v>
      </c>
      <c r="AI28" s="786">
        <f t="shared" si="1"/>
        <v>0.78434782608695652</v>
      </c>
    </row>
    <row r="29" spans="1:35" s="69" customFormat="1">
      <c r="A29" s="60" t="s">
        <v>478</v>
      </c>
      <c r="B29" s="61" t="s">
        <v>987</v>
      </c>
      <c r="C29" s="61" t="s">
        <v>988</v>
      </c>
      <c r="D29" s="61" t="s">
        <v>989</v>
      </c>
      <c r="E29" s="62" t="s">
        <v>893</v>
      </c>
      <c r="F29" s="63" t="s">
        <v>160</v>
      </c>
      <c r="G29" s="373">
        <v>30900</v>
      </c>
      <c r="H29" s="371">
        <v>30900</v>
      </c>
      <c r="I29" s="371">
        <v>0</v>
      </c>
      <c r="J29" s="70">
        <v>30.5</v>
      </c>
      <c r="K29" s="71">
        <v>30.5</v>
      </c>
      <c r="L29" s="71">
        <v>30.5</v>
      </c>
      <c r="M29" s="71">
        <v>0</v>
      </c>
      <c r="N29" s="71">
        <v>0</v>
      </c>
      <c r="O29" s="70">
        <v>1.53</v>
      </c>
      <c r="P29" s="71">
        <v>1.53</v>
      </c>
      <c r="Q29" s="71">
        <v>1.53</v>
      </c>
      <c r="R29" s="71">
        <v>0</v>
      </c>
      <c r="S29" s="71">
        <v>0</v>
      </c>
      <c r="T29" s="70">
        <v>28.9</v>
      </c>
      <c r="U29" s="71">
        <v>28.9</v>
      </c>
      <c r="V29" s="71">
        <v>28.9</v>
      </c>
      <c r="W29" s="71">
        <v>0</v>
      </c>
      <c r="X29" s="71">
        <v>0</v>
      </c>
      <c r="Y29" s="70">
        <v>6.82</v>
      </c>
      <c r="Z29" s="71">
        <v>6.82</v>
      </c>
      <c r="AA29" s="71">
        <v>0</v>
      </c>
      <c r="AB29" s="71">
        <v>0</v>
      </c>
      <c r="AC29" s="67">
        <f t="shared" si="0"/>
        <v>0</v>
      </c>
      <c r="AD29" s="72" t="s">
        <v>990</v>
      </c>
      <c r="AE29" s="69" t="s">
        <v>991</v>
      </c>
      <c r="AF29" s="759">
        <v>1.71</v>
      </c>
      <c r="AG29" s="760">
        <v>1.71</v>
      </c>
      <c r="AH29" s="760">
        <v>0</v>
      </c>
      <c r="AI29" s="786">
        <f t="shared" si="1"/>
        <v>0.74926686217008798</v>
      </c>
    </row>
    <row r="30" spans="1:35" s="69" customFormat="1">
      <c r="A30" s="60" t="s">
        <v>480</v>
      </c>
      <c r="B30" s="61" t="s">
        <v>992</v>
      </c>
      <c r="C30" s="61" t="s">
        <v>993</v>
      </c>
      <c r="D30" s="61" t="s">
        <v>994</v>
      </c>
      <c r="E30" s="62" t="s">
        <v>893</v>
      </c>
      <c r="F30" s="63" t="s">
        <v>160</v>
      </c>
      <c r="G30" s="373">
        <v>51400</v>
      </c>
      <c r="H30" s="371">
        <v>51400</v>
      </c>
      <c r="I30" s="371">
        <v>0</v>
      </c>
      <c r="J30" s="70">
        <v>72.099999999999994</v>
      </c>
      <c r="K30" s="71">
        <v>72.099999999999994</v>
      </c>
      <c r="L30" s="71">
        <v>72.099999999999994</v>
      </c>
      <c r="M30" s="71">
        <v>0</v>
      </c>
      <c r="N30" s="71">
        <v>0</v>
      </c>
      <c r="O30" s="70">
        <v>5.62</v>
      </c>
      <c r="P30" s="71">
        <v>5.62</v>
      </c>
      <c r="Q30" s="71">
        <v>5.62</v>
      </c>
      <c r="R30" s="71">
        <v>0</v>
      </c>
      <c r="S30" s="71">
        <v>0</v>
      </c>
      <c r="T30" s="70">
        <v>66.5</v>
      </c>
      <c r="U30" s="71">
        <v>66.5</v>
      </c>
      <c r="V30" s="71">
        <v>66.5</v>
      </c>
      <c r="W30" s="71">
        <v>0</v>
      </c>
      <c r="X30" s="71">
        <v>0</v>
      </c>
      <c r="Y30" s="70">
        <v>32.9</v>
      </c>
      <c r="Z30" s="71">
        <v>32.9</v>
      </c>
      <c r="AA30" s="71">
        <v>0</v>
      </c>
      <c r="AB30" s="71">
        <v>0</v>
      </c>
      <c r="AC30" s="67">
        <f t="shared" si="0"/>
        <v>0</v>
      </c>
      <c r="AD30" s="72" t="s">
        <v>995</v>
      </c>
      <c r="AE30" s="69" t="s">
        <v>996</v>
      </c>
      <c r="AF30" s="759">
        <v>7.44</v>
      </c>
      <c r="AG30" s="760">
        <v>7.44</v>
      </c>
      <c r="AH30" s="760">
        <v>0</v>
      </c>
      <c r="AI30" s="786">
        <f t="shared" si="1"/>
        <v>0.77386018237082066</v>
      </c>
    </row>
    <row r="31" spans="1:35" s="69" customFormat="1">
      <c r="A31" s="60" t="s">
        <v>997</v>
      </c>
      <c r="B31" s="61" t="s">
        <v>998</v>
      </c>
      <c r="C31" s="61" t="s">
        <v>999</v>
      </c>
      <c r="D31" s="61" t="s">
        <v>1000</v>
      </c>
      <c r="E31" s="62" t="s">
        <v>893</v>
      </c>
      <c r="F31" s="73" t="s">
        <v>98</v>
      </c>
      <c r="G31" s="373">
        <v>21</v>
      </c>
      <c r="H31" s="371">
        <v>21</v>
      </c>
      <c r="I31" s="371">
        <v>0</v>
      </c>
      <c r="J31" s="70">
        <v>0.106</v>
      </c>
      <c r="K31" s="71">
        <v>0.106</v>
      </c>
      <c r="L31" s="71">
        <v>0.106</v>
      </c>
      <c r="M31" s="71">
        <v>0</v>
      </c>
      <c r="N31" s="71">
        <v>0</v>
      </c>
      <c r="O31" s="70">
        <v>2.23E-2</v>
      </c>
      <c r="P31" s="71">
        <v>2.23E-2</v>
      </c>
      <c r="Q31" s="71">
        <v>2.23E-2</v>
      </c>
      <c r="R31" s="71">
        <v>0</v>
      </c>
      <c r="S31" s="71">
        <v>0</v>
      </c>
      <c r="T31" s="70">
        <v>8.3699999999999997E-2</v>
      </c>
      <c r="U31" s="71">
        <v>8.3699999999999997E-2</v>
      </c>
      <c r="V31" s="71">
        <v>8.3699999999999997E-2</v>
      </c>
      <c r="W31" s="71">
        <v>0</v>
      </c>
      <c r="X31" s="71">
        <v>0</v>
      </c>
      <c r="Y31" s="70">
        <v>5.1599999999999997E-3</v>
      </c>
      <c r="Z31" s="71">
        <v>5.1599999999999997E-3</v>
      </c>
      <c r="AA31" s="71">
        <v>0</v>
      </c>
      <c r="AB31" s="71">
        <v>0</v>
      </c>
      <c r="AC31" s="67">
        <f t="shared" si="0"/>
        <v>0</v>
      </c>
      <c r="AD31" s="72" t="s">
        <v>1001</v>
      </c>
      <c r="AE31" s="69" t="s">
        <v>1002</v>
      </c>
      <c r="AF31" s="759">
        <v>1.8799999999999999E-3</v>
      </c>
      <c r="AG31" s="760">
        <v>1.8799999999999999E-3</v>
      </c>
      <c r="AH31" s="760">
        <v>0</v>
      </c>
      <c r="AI31" s="786">
        <f t="shared" si="1"/>
        <v>0.63565891472868219</v>
      </c>
    </row>
    <row r="32" spans="1:35" s="69" customFormat="1">
      <c r="A32" s="60" t="s">
        <v>1003</v>
      </c>
      <c r="B32" s="61" t="s">
        <v>1004</v>
      </c>
      <c r="C32" s="61" t="s">
        <v>1005</v>
      </c>
      <c r="D32" s="61" t="s">
        <v>1006</v>
      </c>
      <c r="E32" s="62" t="s">
        <v>893</v>
      </c>
      <c r="F32" s="73" t="s">
        <v>98</v>
      </c>
      <c r="G32" s="373">
        <v>24.6</v>
      </c>
      <c r="H32" s="371">
        <v>24.6</v>
      </c>
      <c r="I32" s="371">
        <v>0</v>
      </c>
      <c r="J32" s="70">
        <v>0.124</v>
      </c>
      <c r="K32" s="71">
        <v>0.124</v>
      </c>
      <c r="L32" s="71">
        <v>0.124</v>
      </c>
      <c r="M32" s="71">
        <v>0</v>
      </c>
      <c r="N32" s="71">
        <v>0</v>
      </c>
      <c r="O32" s="70">
        <v>2.6200000000000001E-2</v>
      </c>
      <c r="P32" s="71">
        <v>2.6200000000000001E-2</v>
      </c>
      <c r="Q32" s="71">
        <v>2.6200000000000001E-2</v>
      </c>
      <c r="R32" s="71">
        <v>0</v>
      </c>
      <c r="S32" s="71">
        <v>0</v>
      </c>
      <c r="T32" s="70">
        <v>9.8199999999999996E-2</v>
      </c>
      <c r="U32" s="71">
        <v>9.8199999999999996E-2</v>
      </c>
      <c r="V32" s="71">
        <v>9.8199999999999996E-2</v>
      </c>
      <c r="W32" s="71">
        <v>0</v>
      </c>
      <c r="X32" s="71">
        <v>0</v>
      </c>
      <c r="Y32" s="70">
        <v>6.0299999999999998E-3</v>
      </c>
      <c r="Z32" s="71">
        <v>6.0299999999999998E-3</v>
      </c>
      <c r="AA32" s="71">
        <v>0</v>
      </c>
      <c r="AB32" s="71">
        <v>0</v>
      </c>
      <c r="AC32" s="67">
        <f t="shared" si="0"/>
        <v>0</v>
      </c>
      <c r="AD32" s="72" t="s">
        <v>1007</v>
      </c>
      <c r="AE32" s="69" t="s">
        <v>1008</v>
      </c>
      <c r="AF32" s="759">
        <v>2.2000000000000001E-3</v>
      </c>
      <c r="AG32" s="760">
        <v>2.2000000000000001E-3</v>
      </c>
      <c r="AH32" s="760">
        <v>0</v>
      </c>
      <c r="AI32" s="786">
        <f t="shared" si="1"/>
        <v>0.63515754560530679</v>
      </c>
    </row>
    <row r="33" spans="1:40" s="69" customFormat="1">
      <c r="A33" s="60" t="s">
        <v>1009</v>
      </c>
      <c r="B33" s="61" t="s">
        <v>1010</v>
      </c>
      <c r="C33" s="61" t="s">
        <v>1011</v>
      </c>
      <c r="D33" s="61" t="s">
        <v>1012</v>
      </c>
      <c r="E33" s="62" t="s">
        <v>893</v>
      </c>
      <c r="F33" s="73" t="s">
        <v>98</v>
      </c>
      <c r="G33" s="373">
        <v>28.6</v>
      </c>
      <c r="H33" s="371">
        <v>28.6</v>
      </c>
      <c r="I33" s="371">
        <v>0</v>
      </c>
      <c r="J33" s="70">
        <v>0.14499999999999999</v>
      </c>
      <c r="K33" s="71">
        <v>0.14499999999999999</v>
      </c>
      <c r="L33" s="71">
        <v>0.14499999999999999</v>
      </c>
      <c r="M33" s="71">
        <v>0</v>
      </c>
      <c r="N33" s="71">
        <v>0</v>
      </c>
      <c r="O33" s="70">
        <v>3.0499999999999999E-2</v>
      </c>
      <c r="P33" s="71">
        <v>3.0499999999999999E-2</v>
      </c>
      <c r="Q33" s="71">
        <v>3.0499999999999999E-2</v>
      </c>
      <c r="R33" s="71">
        <v>0</v>
      </c>
      <c r="S33" s="71">
        <v>0</v>
      </c>
      <c r="T33" s="70">
        <v>0.114</v>
      </c>
      <c r="U33" s="71">
        <v>0.114</v>
      </c>
      <c r="V33" s="71">
        <v>0.114</v>
      </c>
      <c r="W33" s="71">
        <v>0</v>
      </c>
      <c r="X33" s="71">
        <v>0</v>
      </c>
      <c r="Y33" s="70">
        <v>7.0000000000000001E-3</v>
      </c>
      <c r="Z33" s="71">
        <v>7.0000000000000001E-3</v>
      </c>
      <c r="AA33" s="71">
        <v>0</v>
      </c>
      <c r="AB33" s="71">
        <v>0</v>
      </c>
      <c r="AC33" s="67">
        <f t="shared" si="0"/>
        <v>0</v>
      </c>
      <c r="AD33" s="72" t="s">
        <v>1013</v>
      </c>
      <c r="AE33" s="69" t="s">
        <v>1014</v>
      </c>
      <c r="AF33" s="759">
        <v>2.5500000000000002E-3</v>
      </c>
      <c r="AG33" s="760">
        <v>2.5500000000000002E-3</v>
      </c>
      <c r="AH33" s="760">
        <v>0</v>
      </c>
      <c r="AI33" s="786">
        <f t="shared" si="1"/>
        <v>0.63571428571428568</v>
      </c>
    </row>
    <row r="34" spans="1:40" s="69" customFormat="1">
      <c r="A34" s="60" t="s">
        <v>1015</v>
      </c>
      <c r="B34" s="61" t="s">
        <v>1016</v>
      </c>
      <c r="C34" s="61" t="s">
        <v>1017</v>
      </c>
      <c r="D34" s="61" t="s">
        <v>1018</v>
      </c>
      <c r="E34" s="62" t="s">
        <v>893</v>
      </c>
      <c r="F34" s="73" t="s">
        <v>98</v>
      </c>
      <c r="G34" s="373">
        <v>32.9</v>
      </c>
      <c r="H34" s="371">
        <v>32.9</v>
      </c>
      <c r="I34" s="371">
        <v>0</v>
      </c>
      <c r="J34" s="70">
        <v>0.16700000000000001</v>
      </c>
      <c r="K34" s="71">
        <v>0.16700000000000001</v>
      </c>
      <c r="L34" s="71">
        <v>0.16700000000000001</v>
      </c>
      <c r="M34" s="71">
        <v>0</v>
      </c>
      <c r="N34" s="71">
        <v>0</v>
      </c>
      <c r="O34" s="70">
        <v>3.5099999999999999E-2</v>
      </c>
      <c r="P34" s="71">
        <v>3.5099999999999999E-2</v>
      </c>
      <c r="Q34" s="71">
        <v>3.5099999999999999E-2</v>
      </c>
      <c r="R34" s="71">
        <v>0</v>
      </c>
      <c r="S34" s="71">
        <v>0</v>
      </c>
      <c r="T34" s="70">
        <v>0.13200000000000001</v>
      </c>
      <c r="U34" s="71">
        <v>0.13200000000000001</v>
      </c>
      <c r="V34" s="71">
        <v>0.13200000000000001</v>
      </c>
      <c r="W34" s="71">
        <v>0</v>
      </c>
      <c r="X34" s="71">
        <v>0</v>
      </c>
      <c r="Y34" s="70">
        <v>8.0499999999999999E-3</v>
      </c>
      <c r="Z34" s="71">
        <v>8.0499999999999999E-3</v>
      </c>
      <c r="AA34" s="71">
        <v>0</v>
      </c>
      <c r="AB34" s="71">
        <v>0</v>
      </c>
      <c r="AC34" s="67">
        <f t="shared" si="0"/>
        <v>0</v>
      </c>
      <c r="AD34" s="72" t="s">
        <v>1019</v>
      </c>
      <c r="AE34" s="69" t="s">
        <v>1020</v>
      </c>
      <c r="AF34" s="759">
        <v>2.9299999999999999E-3</v>
      </c>
      <c r="AG34" s="760">
        <v>2.9299999999999999E-3</v>
      </c>
      <c r="AH34" s="760">
        <v>0</v>
      </c>
      <c r="AI34" s="786">
        <f t="shared" si="1"/>
        <v>0.63602484472049681</v>
      </c>
    </row>
    <row r="35" spans="1:40" s="42" customFormat="1" ht="14.25" customHeight="1">
      <c r="A35" s="74" t="s">
        <v>1021</v>
      </c>
      <c r="B35" s="51" t="s">
        <v>1022</v>
      </c>
      <c r="C35" s="75"/>
      <c r="D35" s="76"/>
      <c r="E35" s="77" t="s">
        <v>1023</v>
      </c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9"/>
      <c r="U35" s="80"/>
      <c r="V35" s="80"/>
      <c r="W35" s="80"/>
      <c r="X35" s="80"/>
      <c r="Y35" s="78"/>
      <c r="Z35" s="78"/>
      <c r="AA35" s="78"/>
      <c r="AB35" s="78"/>
      <c r="AC35" s="78"/>
      <c r="AD35" s="59" t="s">
        <v>1024</v>
      </c>
      <c r="AE35" s="25"/>
      <c r="AF35" s="25"/>
      <c r="AG35" s="25"/>
      <c r="AH35" s="25"/>
      <c r="AI35" s="786"/>
      <c r="AJ35" s="25"/>
      <c r="AK35" s="25"/>
      <c r="AL35" s="25"/>
      <c r="AM35" s="25"/>
      <c r="AN35" s="25"/>
    </row>
    <row r="36" spans="1:40" s="42" customFormat="1">
      <c r="A36" s="81">
        <v>1.0009999999999999</v>
      </c>
      <c r="B36" s="61" t="s">
        <v>1025</v>
      </c>
      <c r="C36" s="82" t="s">
        <v>1026</v>
      </c>
      <c r="D36" s="83" t="s">
        <v>1027</v>
      </c>
      <c r="E36" s="84">
        <v>2150</v>
      </c>
      <c r="F36" s="85" t="s">
        <v>202</v>
      </c>
      <c r="G36" s="86">
        <v>105</v>
      </c>
      <c r="H36" s="87">
        <v>68.900000000000006</v>
      </c>
      <c r="I36" s="87">
        <v>35.6</v>
      </c>
      <c r="J36" s="88">
        <v>0.13900000000000001</v>
      </c>
      <c r="K36" s="62">
        <v>8.5000000000000006E-2</v>
      </c>
      <c r="L36" s="62">
        <v>8.5000000000000006E-2</v>
      </c>
      <c r="M36" s="62">
        <v>0</v>
      </c>
      <c r="N36" s="62">
        <v>5.3800000000000001E-2</v>
      </c>
      <c r="O36" s="88">
        <v>1.01E-2</v>
      </c>
      <c r="P36" s="62">
        <v>8.2199999999999999E-3</v>
      </c>
      <c r="Q36" s="62">
        <v>8.2199999999999999E-3</v>
      </c>
      <c r="R36" s="62">
        <v>0</v>
      </c>
      <c r="S36" s="62">
        <v>1.9E-3</v>
      </c>
      <c r="T36" s="88">
        <v>0.129</v>
      </c>
      <c r="U36" s="62">
        <v>7.6799999999999993E-2</v>
      </c>
      <c r="V36" s="62">
        <v>7.6799999999999993E-2</v>
      </c>
      <c r="W36" s="62">
        <v>0</v>
      </c>
      <c r="X36" s="62">
        <v>5.1900000000000002E-2</v>
      </c>
      <c r="Y36" s="89">
        <v>6.3E-2</v>
      </c>
      <c r="Z36" s="90">
        <v>5.0200000000000002E-2</v>
      </c>
      <c r="AA36" s="91">
        <v>1.2800000000000001E-2</v>
      </c>
      <c r="AB36" s="91">
        <v>0</v>
      </c>
      <c r="AC36" s="67">
        <f t="shared" si="0"/>
        <v>0</v>
      </c>
      <c r="AD36" s="72" t="s">
        <v>1028</v>
      </c>
      <c r="AE36" s="25" t="s">
        <v>1029</v>
      </c>
      <c r="AF36" s="761">
        <v>1.44E-2</v>
      </c>
      <c r="AG36" s="762">
        <v>1.21E-2</v>
      </c>
      <c r="AH36" s="763">
        <v>2.32E-3</v>
      </c>
      <c r="AI36" s="786">
        <f t="shared" si="1"/>
        <v>0.77142857142857146</v>
      </c>
      <c r="AJ36" s="25"/>
      <c r="AK36" s="25"/>
      <c r="AL36" s="25"/>
      <c r="AM36" s="25"/>
      <c r="AN36" s="25"/>
    </row>
    <row r="37" spans="1:40" s="42" customFormat="1" ht="12.75" customHeight="1">
      <c r="A37" s="81">
        <v>1.0019999999999998</v>
      </c>
      <c r="B37" s="61" t="s">
        <v>1030</v>
      </c>
      <c r="C37" s="81" t="s">
        <v>1026</v>
      </c>
      <c r="D37" s="83" t="s">
        <v>1027</v>
      </c>
      <c r="E37" s="84">
        <v>2300</v>
      </c>
      <c r="F37" s="85" t="s">
        <v>202</v>
      </c>
      <c r="G37" s="86">
        <v>154</v>
      </c>
      <c r="H37" s="87">
        <v>118</v>
      </c>
      <c r="I37" s="87">
        <v>35.4</v>
      </c>
      <c r="J37" s="88">
        <v>0.19</v>
      </c>
      <c r="K37" s="62">
        <v>0.13600000000000001</v>
      </c>
      <c r="L37" s="62">
        <v>0.13600000000000001</v>
      </c>
      <c r="M37" s="62">
        <v>0</v>
      </c>
      <c r="N37" s="62">
        <v>5.3499999999999999E-2</v>
      </c>
      <c r="O37" s="88">
        <v>1.47E-2</v>
      </c>
      <c r="P37" s="62">
        <v>1.2800000000000001E-2</v>
      </c>
      <c r="Q37" s="62">
        <v>1.2800000000000001E-2</v>
      </c>
      <c r="R37" s="62">
        <v>0</v>
      </c>
      <c r="S37" s="62">
        <v>1.89E-3</v>
      </c>
      <c r="T37" s="88">
        <v>0.17499999999999999</v>
      </c>
      <c r="U37" s="62">
        <v>0.124</v>
      </c>
      <c r="V37" s="62">
        <v>0.124</v>
      </c>
      <c r="W37" s="62">
        <v>0</v>
      </c>
      <c r="X37" s="62">
        <v>5.16E-2</v>
      </c>
      <c r="Y37" s="89">
        <v>0.10100000000000001</v>
      </c>
      <c r="Z37" s="90">
        <v>8.8800000000000004E-2</v>
      </c>
      <c r="AA37" s="90">
        <v>1.2699999999999999E-2</v>
      </c>
      <c r="AB37" s="90">
        <v>0</v>
      </c>
      <c r="AC37" s="67">
        <f t="shared" si="0"/>
        <v>0</v>
      </c>
      <c r="AD37" s="92" t="s">
        <v>1031</v>
      </c>
      <c r="AE37" s="25" t="s">
        <v>1029</v>
      </c>
      <c r="AF37" s="761">
        <v>2.35E-2</v>
      </c>
      <c r="AG37" s="762">
        <v>2.0799999999999999E-2</v>
      </c>
      <c r="AH37" s="762">
        <v>2.6800000000000001E-3</v>
      </c>
      <c r="AI37" s="786">
        <f t="shared" si="1"/>
        <v>0.76732673267326745</v>
      </c>
      <c r="AJ37" s="25"/>
      <c r="AK37" s="25"/>
      <c r="AL37" s="25"/>
      <c r="AM37" s="25"/>
      <c r="AN37" s="25"/>
    </row>
    <row r="38" spans="1:40" s="42" customFormat="1">
      <c r="A38" s="81">
        <v>1.0029999999999997</v>
      </c>
      <c r="B38" s="61" t="s">
        <v>1032</v>
      </c>
      <c r="C38" s="93" t="s">
        <v>1026</v>
      </c>
      <c r="D38" s="83" t="s">
        <v>1027</v>
      </c>
      <c r="E38" s="84">
        <v>2350</v>
      </c>
      <c r="F38" s="85" t="s">
        <v>202</v>
      </c>
      <c r="G38" s="94">
        <v>164</v>
      </c>
      <c r="H38" s="87">
        <v>128</v>
      </c>
      <c r="I38" s="87">
        <v>35.4</v>
      </c>
      <c r="J38" s="88">
        <v>0.20499999999999999</v>
      </c>
      <c r="K38" s="62">
        <v>0.152</v>
      </c>
      <c r="L38" s="62">
        <v>0.152</v>
      </c>
      <c r="M38" s="62">
        <v>0</v>
      </c>
      <c r="N38" s="62">
        <v>5.3400000000000003E-2</v>
      </c>
      <c r="O38" s="88">
        <v>1.5699999999999999E-2</v>
      </c>
      <c r="P38" s="62">
        <v>1.38E-2</v>
      </c>
      <c r="Q38" s="62">
        <v>1.38E-2</v>
      </c>
      <c r="R38" s="62">
        <v>0</v>
      </c>
      <c r="S38" s="62">
        <v>1.89E-3</v>
      </c>
      <c r="T38" s="88">
        <v>0.189</v>
      </c>
      <c r="U38" s="62">
        <v>0.13800000000000001</v>
      </c>
      <c r="V38" s="62">
        <v>0.13800000000000001</v>
      </c>
      <c r="W38" s="62">
        <v>0</v>
      </c>
      <c r="X38" s="62">
        <v>5.1499999999999997E-2</v>
      </c>
      <c r="Y38" s="88">
        <v>0.109</v>
      </c>
      <c r="Z38" s="62">
        <v>9.6299999999999997E-2</v>
      </c>
      <c r="AA38" s="90">
        <v>1.2699999999999999E-2</v>
      </c>
      <c r="AB38" s="90">
        <v>0</v>
      </c>
      <c r="AC38" s="67">
        <f t="shared" si="0"/>
        <v>0</v>
      </c>
      <c r="AD38" s="92" t="s">
        <v>1033</v>
      </c>
      <c r="AE38" s="25" t="s">
        <v>1029</v>
      </c>
      <c r="AF38" s="764">
        <v>2.58E-2</v>
      </c>
      <c r="AG38" s="765">
        <v>2.3199999999999998E-2</v>
      </c>
      <c r="AH38" s="762">
        <v>2.6800000000000001E-3</v>
      </c>
      <c r="AI38" s="786">
        <f t="shared" si="1"/>
        <v>0.76330275229357791</v>
      </c>
      <c r="AJ38" s="25"/>
      <c r="AK38" s="25"/>
      <c r="AL38" s="25"/>
      <c r="AM38" s="25"/>
      <c r="AN38" s="25"/>
    </row>
    <row r="39" spans="1:40" s="42" customFormat="1">
      <c r="A39" s="81">
        <v>1.0039999999999996</v>
      </c>
      <c r="B39" s="61" t="s">
        <v>1034</v>
      </c>
      <c r="C39" s="93" t="s">
        <v>1026</v>
      </c>
      <c r="D39" s="83" t="s">
        <v>1027</v>
      </c>
      <c r="E39" s="84">
        <v>2325</v>
      </c>
      <c r="F39" s="85" t="s">
        <v>202</v>
      </c>
      <c r="G39" s="94">
        <v>175</v>
      </c>
      <c r="H39" s="95">
        <v>139</v>
      </c>
      <c r="I39" s="87">
        <v>35.299999999999997</v>
      </c>
      <c r="J39" s="88">
        <v>0.214</v>
      </c>
      <c r="K39" s="62">
        <v>0.161</v>
      </c>
      <c r="L39" s="62">
        <v>0.161</v>
      </c>
      <c r="M39" s="62">
        <v>0</v>
      </c>
      <c r="N39" s="62">
        <v>5.33E-2</v>
      </c>
      <c r="O39" s="88">
        <v>1.6899999999999998E-2</v>
      </c>
      <c r="P39" s="62">
        <v>1.4999999999999999E-2</v>
      </c>
      <c r="Q39" s="62">
        <v>1.4999999999999999E-2</v>
      </c>
      <c r="R39" s="62">
        <v>0</v>
      </c>
      <c r="S39" s="62">
        <v>1.89E-3</v>
      </c>
      <c r="T39" s="88">
        <v>0.19800000000000001</v>
      </c>
      <c r="U39" s="62">
        <v>0.14599999999999999</v>
      </c>
      <c r="V39" s="62">
        <v>0.14599999999999999</v>
      </c>
      <c r="W39" s="62">
        <v>0</v>
      </c>
      <c r="X39" s="62">
        <v>5.1400000000000001E-2</v>
      </c>
      <c r="Y39" s="88">
        <v>0.11899999999999999</v>
      </c>
      <c r="Z39" s="62">
        <v>0.107</v>
      </c>
      <c r="AA39" s="90">
        <v>1.26E-2</v>
      </c>
      <c r="AB39" s="90">
        <v>0</v>
      </c>
      <c r="AC39" s="67">
        <f t="shared" si="0"/>
        <v>0</v>
      </c>
      <c r="AD39" s="92" t="s">
        <v>1035</v>
      </c>
      <c r="AE39" s="25" t="s">
        <v>1029</v>
      </c>
      <c r="AF39" s="764">
        <v>2.7699999999999999E-2</v>
      </c>
      <c r="AG39" s="765">
        <v>2.5100000000000001E-2</v>
      </c>
      <c r="AH39" s="762">
        <v>2.6700000000000001E-3</v>
      </c>
      <c r="AI39" s="786">
        <f t="shared" si="1"/>
        <v>0.76722689075630246</v>
      </c>
      <c r="AJ39" s="25"/>
      <c r="AK39" s="25"/>
      <c r="AL39" s="25"/>
      <c r="AM39" s="25"/>
      <c r="AN39" s="25"/>
    </row>
    <row r="40" spans="1:40" s="69" customFormat="1" ht="12.75" customHeight="1">
      <c r="A40" s="60" t="s">
        <v>1036</v>
      </c>
      <c r="B40" s="61" t="s">
        <v>1037</v>
      </c>
      <c r="C40" s="96" t="s">
        <v>1026</v>
      </c>
      <c r="D40" s="61" t="s">
        <v>1027</v>
      </c>
      <c r="E40" s="84">
        <v>2770</v>
      </c>
      <c r="F40" s="63" t="s">
        <v>202</v>
      </c>
      <c r="G40" s="97">
        <v>589</v>
      </c>
      <c r="H40" s="98">
        <v>558</v>
      </c>
      <c r="I40" s="98">
        <v>31.2</v>
      </c>
      <c r="J40" s="88">
        <v>0.95199999999999996</v>
      </c>
      <c r="K40" s="62">
        <v>0.90500000000000003</v>
      </c>
      <c r="L40" s="62">
        <v>0.90500000000000003</v>
      </c>
      <c r="M40" s="62">
        <v>0</v>
      </c>
      <c r="N40" s="62">
        <v>4.7199999999999999E-2</v>
      </c>
      <c r="O40" s="88">
        <v>8.1900000000000001E-2</v>
      </c>
      <c r="P40" s="62">
        <v>8.0199999999999994E-2</v>
      </c>
      <c r="Q40" s="62">
        <v>8.0199999999999994E-2</v>
      </c>
      <c r="R40" s="62">
        <v>0</v>
      </c>
      <c r="S40" s="62">
        <v>1.67E-3</v>
      </c>
      <c r="T40" s="88">
        <v>0.871</v>
      </c>
      <c r="U40" s="62">
        <v>0.82499999999999996</v>
      </c>
      <c r="V40" s="62">
        <v>0.82499999999999996</v>
      </c>
      <c r="W40" s="62">
        <v>0</v>
      </c>
      <c r="X40" s="62">
        <v>4.5499999999999999E-2</v>
      </c>
      <c r="Y40" s="88">
        <v>0.35799999999999998</v>
      </c>
      <c r="Z40" s="90">
        <v>0.34699999999999998</v>
      </c>
      <c r="AA40" s="91">
        <v>1.12E-2</v>
      </c>
      <c r="AB40" s="91">
        <v>0</v>
      </c>
      <c r="AC40" s="67">
        <f t="shared" si="0"/>
        <v>0</v>
      </c>
      <c r="AD40" s="92" t="s">
        <v>1038</v>
      </c>
      <c r="AE40" s="69" t="s">
        <v>1029</v>
      </c>
      <c r="AF40" s="766">
        <v>4.4200000000000003E-2</v>
      </c>
      <c r="AG40" s="767">
        <v>4.1799999999999997E-2</v>
      </c>
      <c r="AH40" s="768">
        <v>2.3600000000000001E-3</v>
      </c>
      <c r="AI40" s="786">
        <f t="shared" si="1"/>
        <v>0.876536312849162</v>
      </c>
    </row>
    <row r="41" spans="1:40" s="69" customFormat="1">
      <c r="A41" s="60" t="s">
        <v>586</v>
      </c>
      <c r="B41" s="61" t="s">
        <v>1039</v>
      </c>
      <c r="C41" s="96" t="s">
        <v>1026</v>
      </c>
      <c r="D41" s="61" t="s">
        <v>1027</v>
      </c>
      <c r="E41" s="84">
        <v>2500</v>
      </c>
      <c r="F41" s="63" t="s">
        <v>202</v>
      </c>
      <c r="G41" s="97">
        <v>330</v>
      </c>
      <c r="H41" s="98">
        <v>296</v>
      </c>
      <c r="I41" s="98">
        <v>34.200000000000003</v>
      </c>
      <c r="J41" s="88">
        <v>0.58499999999999996</v>
      </c>
      <c r="K41" s="62">
        <v>0.53400000000000003</v>
      </c>
      <c r="L41" s="62">
        <v>0.53400000000000003</v>
      </c>
      <c r="M41" s="62">
        <v>0</v>
      </c>
      <c r="N41" s="62">
        <v>5.16E-2</v>
      </c>
      <c r="O41" s="88">
        <v>9.64E-2</v>
      </c>
      <c r="P41" s="62">
        <v>9.4600000000000004E-2</v>
      </c>
      <c r="Q41" s="62">
        <v>9.4600000000000004E-2</v>
      </c>
      <c r="R41" s="62">
        <v>0</v>
      </c>
      <c r="S41" s="62">
        <v>1.83E-3</v>
      </c>
      <c r="T41" s="88">
        <v>0.48899999999999999</v>
      </c>
      <c r="U41" s="62">
        <v>0.439</v>
      </c>
      <c r="V41" s="62">
        <v>0.439</v>
      </c>
      <c r="W41" s="62">
        <v>0</v>
      </c>
      <c r="X41" s="62">
        <v>4.9799999999999997E-2</v>
      </c>
      <c r="Y41" s="88">
        <v>0.20399999999999999</v>
      </c>
      <c r="Z41" s="90">
        <v>0.191</v>
      </c>
      <c r="AA41" s="91">
        <v>1.2200000000000001E-2</v>
      </c>
      <c r="AB41" s="91">
        <v>0</v>
      </c>
      <c r="AC41" s="67">
        <f t="shared" si="0"/>
        <v>0</v>
      </c>
      <c r="AD41" s="92" t="s">
        <v>1040</v>
      </c>
      <c r="AE41" s="69" t="s">
        <v>1029</v>
      </c>
      <c r="AF41" s="766">
        <v>4.0099999999999997E-2</v>
      </c>
      <c r="AG41" s="767">
        <v>3.7499999999999999E-2</v>
      </c>
      <c r="AH41" s="768">
        <v>2.5899999999999999E-3</v>
      </c>
      <c r="AI41" s="786">
        <f t="shared" si="1"/>
        <v>0.80343137254901964</v>
      </c>
    </row>
    <row r="42" spans="1:40" s="69" customFormat="1">
      <c r="A42" s="99" t="s">
        <v>1041</v>
      </c>
      <c r="B42" s="61" t="s">
        <v>1042</v>
      </c>
      <c r="C42" s="100" t="s">
        <v>1043</v>
      </c>
      <c r="D42" s="61" t="s">
        <v>1044</v>
      </c>
      <c r="E42" s="84">
        <v>600</v>
      </c>
      <c r="F42" s="63" t="s">
        <v>202</v>
      </c>
      <c r="G42" s="97">
        <v>665</v>
      </c>
      <c r="H42" s="98">
        <v>663</v>
      </c>
      <c r="I42" s="98">
        <v>1.69</v>
      </c>
      <c r="J42" s="88">
        <v>1.86</v>
      </c>
      <c r="K42" s="62">
        <v>1.86</v>
      </c>
      <c r="L42" s="62">
        <v>1.02</v>
      </c>
      <c r="M42" s="62">
        <v>0.83899999999999997</v>
      </c>
      <c r="N42" s="62">
        <v>3.1199999999999999E-4</v>
      </c>
      <c r="O42" s="88">
        <v>0.89900000000000002</v>
      </c>
      <c r="P42" s="62">
        <v>0.89900000000000002</v>
      </c>
      <c r="Q42" s="62">
        <v>6.0600000000000001E-2</v>
      </c>
      <c r="R42" s="62">
        <v>0.83899999999999997</v>
      </c>
      <c r="S42" s="62">
        <v>1.5999999999999999E-5</v>
      </c>
      <c r="T42" s="88">
        <v>0.95899999999999996</v>
      </c>
      <c r="U42" s="62">
        <v>0.95899999999999996</v>
      </c>
      <c r="V42" s="62">
        <v>0.95899999999999996</v>
      </c>
      <c r="W42" s="62">
        <v>0</v>
      </c>
      <c r="X42" s="62">
        <v>2.9599999999999998E-4</v>
      </c>
      <c r="Y42" s="88">
        <v>0.32400000000000001</v>
      </c>
      <c r="Z42" s="90">
        <v>0.32400000000000001</v>
      </c>
      <c r="AA42" s="91">
        <v>7.3200000000000004E-5</v>
      </c>
      <c r="AB42" s="91">
        <v>6.4899999999999999E-2</v>
      </c>
      <c r="AC42" s="67">
        <f t="shared" si="0"/>
        <v>0.23796666666666666</v>
      </c>
      <c r="AD42" s="72" t="s">
        <v>1045</v>
      </c>
      <c r="AE42" s="69" t="s">
        <v>1046</v>
      </c>
      <c r="AF42" s="769">
        <v>0.28799999999999998</v>
      </c>
      <c r="AG42" s="770">
        <v>0.28799999999999998</v>
      </c>
      <c r="AH42" s="771">
        <v>1.4999999999999999E-4</v>
      </c>
      <c r="AI42" s="786">
        <f t="shared" si="1"/>
        <v>0.1111111111111112</v>
      </c>
    </row>
    <row r="43" spans="1:40" s="69" customFormat="1" ht="12.75" customHeight="1" outlineLevel="1">
      <c r="A43" s="101" t="s">
        <v>1047</v>
      </c>
      <c r="B43" s="102" t="s">
        <v>1048</v>
      </c>
      <c r="C43" s="103" t="s">
        <v>1043</v>
      </c>
      <c r="D43" s="102" t="s">
        <v>1044</v>
      </c>
      <c r="E43" s="104">
        <v>600</v>
      </c>
      <c r="F43" s="105" t="s">
        <v>202</v>
      </c>
      <c r="G43" s="106">
        <v>639</v>
      </c>
      <c r="H43" s="107">
        <v>638</v>
      </c>
      <c r="I43" s="107">
        <v>1.69</v>
      </c>
      <c r="J43" s="108">
        <v>1.79</v>
      </c>
      <c r="K43" s="109">
        <v>1.79</v>
      </c>
      <c r="L43" s="109">
        <v>0.94799999999999995</v>
      </c>
      <c r="M43" s="109">
        <v>0.83899999999999997</v>
      </c>
      <c r="N43" s="110">
        <v>3.1199999999999999E-4</v>
      </c>
      <c r="O43" s="108">
        <v>0.86499999999999999</v>
      </c>
      <c r="P43" s="109">
        <v>0.86499999999999999</v>
      </c>
      <c r="Q43" s="109">
        <v>2.5999999999999999E-2</v>
      </c>
      <c r="R43" s="109">
        <v>0.83899999999999997</v>
      </c>
      <c r="S43" s="110">
        <v>1.5999999999999999E-5</v>
      </c>
      <c r="T43" s="108">
        <v>0.92200000000000004</v>
      </c>
      <c r="U43" s="109">
        <v>0.92200000000000004</v>
      </c>
      <c r="V43" s="109">
        <v>0.92200000000000004</v>
      </c>
      <c r="W43" s="109">
        <v>0</v>
      </c>
      <c r="X43" s="110">
        <v>2.9599999999999998E-4</v>
      </c>
      <c r="Y43" s="111">
        <v>0.312</v>
      </c>
      <c r="Z43" s="110">
        <v>0.312</v>
      </c>
      <c r="AA43" s="112">
        <v>7.3200000000000004E-5</v>
      </c>
      <c r="AB43" s="112">
        <v>6.4899999999999999E-2</v>
      </c>
      <c r="AC43" s="67">
        <f t="shared" si="0"/>
        <v>0.23796666666666666</v>
      </c>
      <c r="AD43" s="102" t="s">
        <v>1049</v>
      </c>
      <c r="AE43" s="69" t="s">
        <v>1046</v>
      </c>
      <c r="AI43" s="786"/>
    </row>
    <row r="44" spans="1:40" s="25" customFormat="1" ht="14.25">
      <c r="A44" s="113" t="s">
        <v>1050</v>
      </c>
      <c r="B44" s="76" t="s">
        <v>1051</v>
      </c>
      <c r="C44" s="75"/>
      <c r="D44" s="76"/>
      <c r="E44" s="77" t="s">
        <v>1023</v>
      </c>
      <c r="F44" s="78"/>
      <c r="G44" s="78"/>
      <c r="H44" s="78"/>
      <c r="I44" s="78"/>
      <c r="J44" s="114"/>
      <c r="K44" s="80"/>
      <c r="L44" s="80"/>
      <c r="M44" s="80"/>
      <c r="N44" s="115"/>
      <c r="O44" s="114"/>
      <c r="P44" s="80"/>
      <c r="Q44" s="80"/>
      <c r="R44" s="80"/>
      <c r="S44" s="115"/>
      <c r="T44" s="79"/>
      <c r="U44" s="80"/>
      <c r="V44" s="80"/>
      <c r="W44" s="80"/>
      <c r="X44" s="80"/>
      <c r="Y44" s="79"/>
      <c r="Z44" s="80"/>
      <c r="AA44" s="80"/>
      <c r="AB44" s="80"/>
      <c r="AC44" s="80"/>
      <c r="AD44" s="116" t="s">
        <v>1052</v>
      </c>
      <c r="AI44" s="786"/>
    </row>
    <row r="45" spans="1:40" s="25" customFormat="1">
      <c r="A45" s="93" t="s">
        <v>569</v>
      </c>
      <c r="B45" s="83" t="s">
        <v>1053</v>
      </c>
      <c r="C45" s="82" t="s">
        <v>1054</v>
      </c>
      <c r="D45" s="83" t="s">
        <v>1055</v>
      </c>
      <c r="E45" s="117">
        <v>900</v>
      </c>
      <c r="F45" s="85" t="s">
        <v>202</v>
      </c>
      <c r="G45" s="94">
        <v>372</v>
      </c>
      <c r="H45" s="95">
        <v>329</v>
      </c>
      <c r="I45" s="87">
        <v>42.7</v>
      </c>
      <c r="J45" s="118">
        <v>0.86799999999999999</v>
      </c>
      <c r="K45" s="119">
        <v>0.81299999999999994</v>
      </c>
      <c r="L45" s="119">
        <v>0.81299999999999994</v>
      </c>
      <c r="M45" s="119">
        <v>0</v>
      </c>
      <c r="N45" s="62">
        <v>5.5E-2</v>
      </c>
      <c r="O45" s="118">
        <v>0.08</v>
      </c>
      <c r="P45" s="119">
        <v>7.7799999999999994E-2</v>
      </c>
      <c r="Q45" s="119">
        <v>7.7799999999999994E-2</v>
      </c>
      <c r="R45" s="119">
        <v>0</v>
      </c>
      <c r="S45" s="62">
        <v>2.1900000000000001E-3</v>
      </c>
      <c r="T45" s="118">
        <v>0.78800000000000003</v>
      </c>
      <c r="U45" s="119">
        <v>0.73499999999999999</v>
      </c>
      <c r="V45" s="119">
        <v>0.73499999999999999</v>
      </c>
      <c r="W45" s="119">
        <v>0</v>
      </c>
      <c r="X45" s="62">
        <v>5.2900000000000003E-2</v>
      </c>
      <c r="Y45" s="88">
        <v>0.26700000000000002</v>
      </c>
      <c r="Z45" s="62">
        <v>0.254</v>
      </c>
      <c r="AA45" s="91">
        <v>1.2800000000000001E-2</v>
      </c>
      <c r="AB45" s="91">
        <v>0</v>
      </c>
      <c r="AC45" s="67">
        <f t="shared" ref="AC45:AC108" si="2">AB45*$AC$10</f>
        <v>0</v>
      </c>
      <c r="AD45" s="120" t="s">
        <v>1056</v>
      </c>
      <c r="AE45" s="25" t="s">
        <v>1057</v>
      </c>
      <c r="AF45" s="766">
        <v>4.0899999999999999E-2</v>
      </c>
      <c r="AG45" s="772">
        <v>3.8399999999999997E-2</v>
      </c>
      <c r="AH45" s="768">
        <v>2.5500000000000002E-3</v>
      </c>
      <c r="AI45" s="786">
        <f t="shared" si="1"/>
        <v>0.84681647940074911</v>
      </c>
    </row>
    <row r="46" spans="1:40" s="25" customFormat="1">
      <c r="A46" s="93" t="s">
        <v>1058</v>
      </c>
      <c r="B46" s="83" t="s">
        <v>1059</v>
      </c>
      <c r="C46" s="82" t="s">
        <v>1054</v>
      </c>
      <c r="D46" s="83" t="s">
        <v>1055</v>
      </c>
      <c r="E46" s="117">
        <v>575</v>
      </c>
      <c r="F46" s="85" t="s">
        <v>202</v>
      </c>
      <c r="G46" s="94">
        <v>421</v>
      </c>
      <c r="H46" s="95">
        <v>378</v>
      </c>
      <c r="I46" s="87">
        <v>42.7</v>
      </c>
      <c r="J46" s="118">
        <v>1.02</v>
      </c>
      <c r="K46" s="119">
        <v>0.96399999999999997</v>
      </c>
      <c r="L46" s="119">
        <v>0.96399999999999997</v>
      </c>
      <c r="M46" s="119">
        <v>0</v>
      </c>
      <c r="N46" s="62">
        <v>5.5E-2</v>
      </c>
      <c r="O46" s="118">
        <v>0.105</v>
      </c>
      <c r="P46" s="119">
        <v>0.10299999999999999</v>
      </c>
      <c r="Q46" s="119">
        <v>0.10299999999999999</v>
      </c>
      <c r="R46" s="119">
        <v>0</v>
      </c>
      <c r="S46" s="62">
        <v>2.1900000000000001E-3</v>
      </c>
      <c r="T46" s="118">
        <v>0.91400000000000003</v>
      </c>
      <c r="U46" s="119">
        <v>0.86099999999999999</v>
      </c>
      <c r="V46" s="119">
        <v>0.86099999999999999</v>
      </c>
      <c r="W46" s="119">
        <v>0</v>
      </c>
      <c r="X46" s="62">
        <v>5.2900000000000003E-2</v>
      </c>
      <c r="Y46" s="88">
        <v>0.28299999999999997</v>
      </c>
      <c r="Z46" s="62">
        <v>0.27</v>
      </c>
      <c r="AA46" s="91">
        <v>1.2800000000000001E-2</v>
      </c>
      <c r="AB46" s="91">
        <v>0</v>
      </c>
      <c r="AC46" s="67">
        <f t="shared" si="2"/>
        <v>0</v>
      </c>
      <c r="AD46" s="120" t="s">
        <v>1060</v>
      </c>
      <c r="AE46" s="25" t="s">
        <v>1057</v>
      </c>
      <c r="AI46" s="786"/>
    </row>
    <row r="47" spans="1:40" s="25" customFormat="1">
      <c r="A47" s="93" t="s">
        <v>729</v>
      </c>
      <c r="B47" s="83" t="s">
        <v>1061</v>
      </c>
      <c r="C47" s="82" t="s">
        <v>1054</v>
      </c>
      <c r="D47" s="83" t="s">
        <v>1055</v>
      </c>
      <c r="E47" s="117">
        <v>1400</v>
      </c>
      <c r="F47" s="85" t="s">
        <v>202</v>
      </c>
      <c r="G47" s="121">
        <v>259</v>
      </c>
      <c r="H47" s="122">
        <v>216</v>
      </c>
      <c r="I47" s="123">
        <v>42.7</v>
      </c>
      <c r="J47" s="124">
        <v>0.42899999999999999</v>
      </c>
      <c r="K47" s="125">
        <v>0.374</v>
      </c>
      <c r="L47" s="125">
        <v>0.374</v>
      </c>
      <c r="M47" s="125">
        <v>0</v>
      </c>
      <c r="N47" s="126">
        <v>5.5E-2</v>
      </c>
      <c r="O47" s="124">
        <v>3.8699999999999998E-2</v>
      </c>
      <c r="P47" s="125">
        <v>3.6499999999999998E-2</v>
      </c>
      <c r="Q47" s="125">
        <v>3.6499999999999998E-2</v>
      </c>
      <c r="R47" s="125">
        <v>0</v>
      </c>
      <c r="S47" s="126">
        <v>2.1900000000000001E-3</v>
      </c>
      <c r="T47" s="124">
        <v>0.39</v>
      </c>
      <c r="U47" s="125">
        <v>0.33700000000000002</v>
      </c>
      <c r="V47" s="125">
        <v>0.33700000000000002</v>
      </c>
      <c r="W47" s="125">
        <v>0</v>
      </c>
      <c r="X47" s="126">
        <v>5.2900000000000003E-2</v>
      </c>
      <c r="Y47" s="127">
        <v>0.16200000000000001</v>
      </c>
      <c r="Z47" s="126">
        <v>0.14899999999999999</v>
      </c>
      <c r="AA47" s="128">
        <v>1.2800000000000001E-2</v>
      </c>
      <c r="AB47" s="128">
        <v>0</v>
      </c>
      <c r="AC47" s="67">
        <f t="shared" si="2"/>
        <v>0</v>
      </c>
      <c r="AD47" s="120" t="s">
        <v>1062</v>
      </c>
      <c r="AE47" s="25" t="s">
        <v>1057</v>
      </c>
      <c r="AF47" s="769">
        <v>0.123</v>
      </c>
      <c r="AG47" s="773">
        <v>0.121</v>
      </c>
      <c r="AH47" s="771">
        <v>2.4099999999999998E-3</v>
      </c>
      <c r="AI47" s="786">
        <f t="shared" si="1"/>
        <v>0.24074074074074078</v>
      </c>
    </row>
    <row r="48" spans="1:40" s="69" customFormat="1" ht="12.75" customHeight="1" outlineLevel="1">
      <c r="A48" s="101" t="s">
        <v>1063</v>
      </c>
      <c r="B48" s="102" t="s">
        <v>1064</v>
      </c>
      <c r="C48" s="103" t="s">
        <v>1054</v>
      </c>
      <c r="D48" s="102" t="s">
        <v>1055</v>
      </c>
      <c r="E48" s="104" t="s">
        <v>1065</v>
      </c>
      <c r="F48" s="105" t="s">
        <v>202</v>
      </c>
      <c r="G48" s="106">
        <v>196</v>
      </c>
      <c r="H48" s="107">
        <v>153</v>
      </c>
      <c r="I48" s="107">
        <v>42.7</v>
      </c>
      <c r="J48" s="108">
        <v>0.35</v>
      </c>
      <c r="K48" s="109">
        <v>0.29499999999999998</v>
      </c>
      <c r="L48" s="109">
        <v>0.29499999999999998</v>
      </c>
      <c r="M48" s="109">
        <v>0</v>
      </c>
      <c r="N48" s="110">
        <v>5.5E-2</v>
      </c>
      <c r="O48" s="108">
        <v>3.4700000000000002E-2</v>
      </c>
      <c r="P48" s="109">
        <v>3.2500000000000001E-2</v>
      </c>
      <c r="Q48" s="109">
        <v>3.2500000000000001E-2</v>
      </c>
      <c r="R48" s="109">
        <v>0</v>
      </c>
      <c r="S48" s="110">
        <v>2.1900000000000001E-3</v>
      </c>
      <c r="T48" s="108">
        <v>0.315</v>
      </c>
      <c r="U48" s="109">
        <v>0.26300000000000001</v>
      </c>
      <c r="V48" s="109">
        <v>0.26300000000000001</v>
      </c>
      <c r="W48" s="109">
        <v>0</v>
      </c>
      <c r="X48" s="110">
        <v>5.2900000000000003E-2</v>
      </c>
      <c r="Y48" s="111">
        <v>0.115</v>
      </c>
      <c r="Z48" s="110">
        <v>0.10199999999999999</v>
      </c>
      <c r="AA48" s="112">
        <v>1.2800000000000001E-2</v>
      </c>
      <c r="AB48" s="112">
        <v>0</v>
      </c>
      <c r="AC48" s="67">
        <f t="shared" si="2"/>
        <v>0</v>
      </c>
      <c r="AD48" s="102" t="s">
        <v>1066</v>
      </c>
      <c r="AE48" s="69" t="s">
        <v>1057</v>
      </c>
      <c r="AI48" s="786"/>
    </row>
    <row r="49" spans="1:35" s="69" customFormat="1" ht="12.75" customHeight="1" outlineLevel="1">
      <c r="A49" s="101" t="s">
        <v>1067</v>
      </c>
      <c r="B49" s="102" t="s">
        <v>1068</v>
      </c>
      <c r="C49" s="103" t="s">
        <v>1054</v>
      </c>
      <c r="D49" s="102" t="s">
        <v>1055</v>
      </c>
      <c r="E49" s="104" t="s">
        <v>1065</v>
      </c>
      <c r="F49" s="105" t="s">
        <v>202</v>
      </c>
      <c r="G49" s="106">
        <v>191</v>
      </c>
      <c r="H49" s="107">
        <v>148</v>
      </c>
      <c r="I49" s="107">
        <v>42.7</v>
      </c>
      <c r="J49" s="108">
        <v>0.30399999999999999</v>
      </c>
      <c r="K49" s="109">
        <v>0.249</v>
      </c>
      <c r="L49" s="109">
        <v>0.249</v>
      </c>
      <c r="M49" s="109">
        <v>0</v>
      </c>
      <c r="N49" s="110">
        <v>5.5E-2</v>
      </c>
      <c r="O49" s="108">
        <v>1.66E-2</v>
      </c>
      <c r="P49" s="109">
        <v>1.4500000000000001E-2</v>
      </c>
      <c r="Q49" s="109">
        <v>1.4500000000000001E-2</v>
      </c>
      <c r="R49" s="109">
        <v>0</v>
      </c>
      <c r="S49" s="110">
        <v>2.1900000000000001E-3</v>
      </c>
      <c r="T49" s="108">
        <v>0.28799999999999998</v>
      </c>
      <c r="U49" s="109">
        <v>0.23499999999999999</v>
      </c>
      <c r="V49" s="109">
        <v>0.23499999999999999</v>
      </c>
      <c r="W49" s="109">
        <v>0</v>
      </c>
      <c r="X49" s="110">
        <v>5.2900000000000003E-2</v>
      </c>
      <c r="Y49" s="111">
        <v>0.107</v>
      </c>
      <c r="Z49" s="110">
        <v>9.3799999999999994E-2</v>
      </c>
      <c r="AA49" s="112">
        <v>1.2800000000000001E-2</v>
      </c>
      <c r="AB49" s="112">
        <v>0</v>
      </c>
      <c r="AC49" s="67">
        <f t="shared" si="2"/>
        <v>0</v>
      </c>
      <c r="AD49" s="102" t="s">
        <v>1069</v>
      </c>
      <c r="AE49" s="69" t="s">
        <v>1057</v>
      </c>
      <c r="AI49" s="786"/>
    </row>
    <row r="50" spans="1:35" s="25" customFormat="1">
      <c r="A50" s="93" t="s">
        <v>1070</v>
      </c>
      <c r="B50" s="83" t="s">
        <v>1071</v>
      </c>
      <c r="C50" s="82" t="s">
        <v>1054</v>
      </c>
      <c r="D50" s="83" t="s">
        <v>1055</v>
      </c>
      <c r="E50" s="117">
        <v>700</v>
      </c>
      <c r="F50" s="85" t="s">
        <v>202</v>
      </c>
      <c r="G50" s="121">
        <v>354</v>
      </c>
      <c r="H50" s="122">
        <v>311</v>
      </c>
      <c r="I50" s="123">
        <v>42.7</v>
      </c>
      <c r="J50" s="124">
        <v>1.56</v>
      </c>
      <c r="K50" s="125">
        <v>1.5</v>
      </c>
      <c r="L50" s="125">
        <v>1.5</v>
      </c>
      <c r="M50" s="125">
        <v>0</v>
      </c>
      <c r="N50" s="126">
        <v>5.5E-2</v>
      </c>
      <c r="O50" s="124">
        <v>0.79300000000000004</v>
      </c>
      <c r="P50" s="125">
        <v>0.79</v>
      </c>
      <c r="Q50" s="125">
        <v>0.79</v>
      </c>
      <c r="R50" s="125">
        <v>0</v>
      </c>
      <c r="S50" s="126">
        <v>2.1900000000000001E-3</v>
      </c>
      <c r="T50" s="124">
        <v>0.76400000000000001</v>
      </c>
      <c r="U50" s="125">
        <v>0.71199999999999997</v>
      </c>
      <c r="V50" s="125">
        <v>0.71199999999999997</v>
      </c>
      <c r="W50" s="125">
        <v>0</v>
      </c>
      <c r="X50" s="126">
        <v>5.2900000000000003E-2</v>
      </c>
      <c r="Y50" s="127">
        <v>0.18</v>
      </c>
      <c r="Z50" s="126">
        <v>0.16700000000000001</v>
      </c>
      <c r="AA50" s="128">
        <v>1.2800000000000001E-2</v>
      </c>
      <c r="AB50" s="128">
        <v>0</v>
      </c>
      <c r="AC50" s="67">
        <f t="shared" si="2"/>
        <v>0</v>
      </c>
      <c r="AD50" s="120" t="s">
        <v>1072</v>
      </c>
      <c r="AE50" s="25" t="s">
        <v>1057</v>
      </c>
      <c r="AF50" s="769">
        <v>0.15</v>
      </c>
      <c r="AG50" s="773">
        <v>0.14799999999999999</v>
      </c>
      <c r="AH50" s="771">
        <v>2.5500000000000002E-3</v>
      </c>
      <c r="AI50" s="786">
        <f t="shared" si="1"/>
        <v>0.16666666666666666</v>
      </c>
    </row>
    <row r="51" spans="1:35" s="25" customFormat="1">
      <c r="A51" s="93" t="s">
        <v>1073</v>
      </c>
      <c r="B51" s="83" t="s">
        <v>1074</v>
      </c>
      <c r="C51" s="82" t="s">
        <v>1054</v>
      </c>
      <c r="D51" s="83" t="s">
        <v>1055</v>
      </c>
      <c r="E51" s="117">
        <v>1200</v>
      </c>
      <c r="F51" s="85" t="s">
        <v>202</v>
      </c>
      <c r="G51" s="121">
        <v>610</v>
      </c>
      <c r="H51" s="122">
        <v>568</v>
      </c>
      <c r="I51" s="123">
        <v>42.7</v>
      </c>
      <c r="J51" s="124">
        <v>1.48</v>
      </c>
      <c r="K51" s="125">
        <v>1.43</v>
      </c>
      <c r="L51" s="125">
        <v>1.43</v>
      </c>
      <c r="M51" s="125">
        <v>0</v>
      </c>
      <c r="N51" s="126">
        <v>5.5E-2</v>
      </c>
      <c r="O51" s="124">
        <v>5.5399999999999998E-2</v>
      </c>
      <c r="P51" s="125">
        <v>5.3199999999999997E-2</v>
      </c>
      <c r="Q51" s="125">
        <v>5.3199999999999997E-2</v>
      </c>
      <c r="R51" s="125">
        <v>0</v>
      </c>
      <c r="S51" s="126">
        <v>2.1900000000000001E-3</v>
      </c>
      <c r="T51" s="124">
        <v>1.43</v>
      </c>
      <c r="U51" s="125">
        <v>1.37</v>
      </c>
      <c r="V51" s="125">
        <v>1.37</v>
      </c>
      <c r="W51" s="125">
        <v>0</v>
      </c>
      <c r="X51" s="126">
        <v>5.2900000000000003E-2</v>
      </c>
      <c r="Y51" s="127">
        <v>0.42899999999999999</v>
      </c>
      <c r="Z51" s="126">
        <v>0.41599999999999998</v>
      </c>
      <c r="AA51" s="128">
        <v>1.2800000000000001E-2</v>
      </c>
      <c r="AB51" s="128">
        <v>0</v>
      </c>
      <c r="AC51" s="67">
        <f t="shared" si="2"/>
        <v>0</v>
      </c>
      <c r="AD51" s="120" t="s">
        <v>1075</v>
      </c>
      <c r="AE51" s="25" t="s">
        <v>1057</v>
      </c>
      <c r="AF51" s="769">
        <v>0.29599999999999999</v>
      </c>
      <c r="AG51" s="773">
        <v>0.29299999999999998</v>
      </c>
      <c r="AH51" s="771">
        <v>2.6199999999999999E-3</v>
      </c>
      <c r="AI51" s="786">
        <f t="shared" si="1"/>
        <v>0.31002331002331007</v>
      </c>
    </row>
    <row r="52" spans="1:35" s="25" customFormat="1">
      <c r="A52" s="93" t="s">
        <v>1076</v>
      </c>
      <c r="B52" s="83" t="s">
        <v>1077</v>
      </c>
      <c r="C52" s="82" t="s">
        <v>1054</v>
      </c>
      <c r="D52" s="83" t="s">
        <v>1055</v>
      </c>
      <c r="E52" s="117">
        <v>1200</v>
      </c>
      <c r="F52" s="85" t="s">
        <v>202</v>
      </c>
      <c r="G52" s="121">
        <v>323</v>
      </c>
      <c r="H52" s="122">
        <v>280</v>
      </c>
      <c r="I52" s="123">
        <v>42.7</v>
      </c>
      <c r="J52" s="124">
        <v>0.4</v>
      </c>
      <c r="K52" s="125">
        <v>0.34499999999999997</v>
      </c>
      <c r="L52" s="125">
        <v>0.34499999999999997</v>
      </c>
      <c r="M52" s="125">
        <v>0</v>
      </c>
      <c r="N52" s="126">
        <v>5.5E-2</v>
      </c>
      <c r="O52" s="124">
        <v>3.61E-2</v>
      </c>
      <c r="P52" s="125">
        <v>3.39E-2</v>
      </c>
      <c r="Q52" s="125">
        <v>3.39E-2</v>
      </c>
      <c r="R52" s="125">
        <v>0</v>
      </c>
      <c r="S52" s="126">
        <v>2.1900000000000001E-3</v>
      </c>
      <c r="T52" s="124">
        <v>0.36399999999999999</v>
      </c>
      <c r="U52" s="125">
        <v>0.311</v>
      </c>
      <c r="V52" s="125">
        <v>0.311</v>
      </c>
      <c r="W52" s="125">
        <v>0</v>
      </c>
      <c r="X52" s="126">
        <v>5.2900000000000003E-2</v>
      </c>
      <c r="Y52" s="127">
        <v>0.21299999999999999</v>
      </c>
      <c r="Z52" s="126">
        <v>0.2</v>
      </c>
      <c r="AA52" s="128">
        <v>1.2800000000000001E-2</v>
      </c>
      <c r="AB52" s="128">
        <v>0</v>
      </c>
      <c r="AC52" s="67">
        <f t="shared" si="2"/>
        <v>0</v>
      </c>
      <c r="AD52" s="120" t="s">
        <v>1078</v>
      </c>
      <c r="AE52" s="25" t="s">
        <v>1057</v>
      </c>
      <c r="AF52" s="769">
        <v>4.5400000000000003E-2</v>
      </c>
      <c r="AG52" s="773">
        <v>4.2799999999999998E-2</v>
      </c>
      <c r="AH52" s="771">
        <v>2.6199999999999999E-3</v>
      </c>
      <c r="AI52" s="786">
        <f t="shared" si="1"/>
        <v>0.7868544600938967</v>
      </c>
    </row>
    <row r="53" spans="1:35" s="25" customFormat="1">
      <c r="A53" s="93" t="s">
        <v>1079</v>
      </c>
      <c r="B53" s="83" t="s">
        <v>1080</v>
      </c>
      <c r="C53" s="82" t="s">
        <v>1054</v>
      </c>
      <c r="D53" s="83" t="s">
        <v>1055</v>
      </c>
      <c r="E53" s="117">
        <v>500</v>
      </c>
      <c r="F53" s="85" t="s">
        <v>202</v>
      </c>
      <c r="G53" s="121">
        <v>574</v>
      </c>
      <c r="H53" s="122">
        <v>531</v>
      </c>
      <c r="I53" s="123">
        <v>42.7</v>
      </c>
      <c r="J53" s="124">
        <v>0.93</v>
      </c>
      <c r="K53" s="125">
        <v>0.875</v>
      </c>
      <c r="L53" s="125">
        <v>0.875</v>
      </c>
      <c r="M53" s="125">
        <v>0</v>
      </c>
      <c r="N53" s="126">
        <v>5.5E-2</v>
      </c>
      <c r="O53" s="124">
        <v>6.9500000000000006E-2</v>
      </c>
      <c r="P53" s="125">
        <v>6.7299999999999999E-2</v>
      </c>
      <c r="Q53" s="125">
        <v>6.7299999999999999E-2</v>
      </c>
      <c r="R53" s="125">
        <v>0</v>
      </c>
      <c r="S53" s="126">
        <v>2.1900000000000001E-3</v>
      </c>
      <c r="T53" s="124">
        <v>0.86</v>
      </c>
      <c r="U53" s="125">
        <v>0.80700000000000005</v>
      </c>
      <c r="V53" s="125">
        <v>0.80700000000000005</v>
      </c>
      <c r="W53" s="125">
        <v>0</v>
      </c>
      <c r="X53" s="126">
        <v>5.2900000000000003E-2</v>
      </c>
      <c r="Y53" s="127">
        <v>0.42699999999999999</v>
      </c>
      <c r="Z53" s="126">
        <v>0.41399999999999998</v>
      </c>
      <c r="AA53" s="128">
        <v>1.2800000000000001E-2</v>
      </c>
      <c r="AB53" s="128">
        <v>0</v>
      </c>
      <c r="AC53" s="67">
        <f t="shared" si="2"/>
        <v>0</v>
      </c>
      <c r="AD53" s="120" t="s">
        <v>1081</v>
      </c>
      <c r="AE53" s="25" t="s">
        <v>1057</v>
      </c>
      <c r="AF53" s="769">
        <v>0.20100000000000001</v>
      </c>
      <c r="AG53" s="773">
        <v>0.19800000000000001</v>
      </c>
      <c r="AH53" s="771">
        <v>2.5500000000000002E-3</v>
      </c>
      <c r="AI53" s="786">
        <f t="shared" si="1"/>
        <v>0.52927400468384067</v>
      </c>
    </row>
    <row r="54" spans="1:35" s="25" customFormat="1">
      <c r="A54" s="93" t="s">
        <v>1082</v>
      </c>
      <c r="B54" s="83" t="s">
        <v>1083</v>
      </c>
      <c r="C54" s="82" t="s">
        <v>1054</v>
      </c>
      <c r="D54" s="83" t="s">
        <v>1055</v>
      </c>
      <c r="E54" s="117">
        <v>1700</v>
      </c>
      <c r="F54" s="85" t="s">
        <v>202</v>
      </c>
      <c r="G54" s="121">
        <v>215</v>
      </c>
      <c r="H54" s="122">
        <v>172</v>
      </c>
      <c r="I54" s="123">
        <v>42.7</v>
      </c>
      <c r="J54" s="124">
        <v>0.252</v>
      </c>
      <c r="K54" s="126">
        <v>0.19700000000000001</v>
      </c>
      <c r="L54" s="126">
        <v>0.19700000000000001</v>
      </c>
      <c r="M54" s="126">
        <v>0</v>
      </c>
      <c r="N54" s="126">
        <v>5.5E-2</v>
      </c>
      <c r="O54" s="124">
        <v>2.5899999999999999E-2</v>
      </c>
      <c r="P54" s="126">
        <v>2.3699999999999999E-2</v>
      </c>
      <c r="Q54" s="126">
        <v>2.3699999999999999E-2</v>
      </c>
      <c r="R54" s="126">
        <v>0</v>
      </c>
      <c r="S54" s="126">
        <v>2.1900000000000001E-3</v>
      </c>
      <c r="T54" s="127">
        <v>0.22600000000000001</v>
      </c>
      <c r="U54" s="126">
        <v>0.17299999999999999</v>
      </c>
      <c r="V54" s="126">
        <v>0.17299999999999999</v>
      </c>
      <c r="W54" s="126">
        <v>0</v>
      </c>
      <c r="X54" s="126">
        <v>5.2900000000000003E-2</v>
      </c>
      <c r="Y54" s="127">
        <v>0.127</v>
      </c>
      <c r="Z54" s="126">
        <v>0.114</v>
      </c>
      <c r="AA54" s="128">
        <v>1.2800000000000001E-2</v>
      </c>
      <c r="AB54" s="128">
        <v>0</v>
      </c>
      <c r="AC54" s="67">
        <f t="shared" si="2"/>
        <v>0</v>
      </c>
      <c r="AD54" s="120" t="s">
        <v>1084</v>
      </c>
      <c r="AE54" s="25" t="s">
        <v>1057</v>
      </c>
      <c r="AF54" s="769">
        <v>2.8899999999999999E-2</v>
      </c>
      <c r="AG54" s="773">
        <v>2.6599999999999999E-2</v>
      </c>
      <c r="AH54" s="771">
        <v>2.3400000000000001E-3</v>
      </c>
      <c r="AI54" s="786">
        <f t="shared" si="1"/>
        <v>0.77244094488188986</v>
      </c>
    </row>
    <row r="55" spans="1:35" s="25" customFormat="1">
      <c r="A55" s="93" t="s">
        <v>1085</v>
      </c>
      <c r="B55" s="83" t="s">
        <v>1086</v>
      </c>
      <c r="C55" s="82" t="s">
        <v>1087</v>
      </c>
      <c r="D55" s="83" t="s">
        <v>1088</v>
      </c>
      <c r="E55" s="117">
        <v>1850</v>
      </c>
      <c r="F55" s="85" t="s">
        <v>202</v>
      </c>
      <c r="G55" s="121">
        <v>136</v>
      </c>
      <c r="H55" s="122">
        <v>84</v>
      </c>
      <c r="I55" s="123">
        <v>51.6</v>
      </c>
      <c r="J55" s="124">
        <v>0.152</v>
      </c>
      <c r="K55" s="126">
        <v>0.13900000000000001</v>
      </c>
      <c r="L55" s="126">
        <v>0.13200000000000001</v>
      </c>
      <c r="M55" s="126">
        <v>7.0099999999999997E-3</v>
      </c>
      <c r="N55" s="126">
        <v>1.2999999999999999E-2</v>
      </c>
      <c r="O55" s="124">
        <v>0.01</v>
      </c>
      <c r="P55" s="126">
        <v>0.01</v>
      </c>
      <c r="Q55" s="126">
        <v>5.7299999999999999E-3</v>
      </c>
      <c r="R55" s="126">
        <v>4.2700000000000004E-3</v>
      </c>
      <c r="S55" s="126">
        <v>0</v>
      </c>
      <c r="T55" s="127">
        <v>0.14199999999999999</v>
      </c>
      <c r="U55" s="126">
        <v>0.129</v>
      </c>
      <c r="V55" s="126">
        <v>0.126</v>
      </c>
      <c r="W55" s="126">
        <v>2.7399999999999998E-3</v>
      </c>
      <c r="X55" s="126">
        <v>1.2999999999999999E-2</v>
      </c>
      <c r="Y55" s="127">
        <v>5.7000000000000002E-2</v>
      </c>
      <c r="Z55" s="126">
        <v>5.3999999999999999E-2</v>
      </c>
      <c r="AA55" s="128">
        <v>3.0000000000000001E-3</v>
      </c>
      <c r="AB55" s="128">
        <v>0</v>
      </c>
      <c r="AC55" s="67">
        <f t="shared" si="2"/>
        <v>0</v>
      </c>
      <c r="AD55" s="120" t="s">
        <v>1089</v>
      </c>
      <c r="AE55" s="25" t="s">
        <v>1090</v>
      </c>
      <c r="AI55" s="786"/>
    </row>
    <row r="56" spans="1:35" s="25" customFormat="1">
      <c r="A56" s="93" t="s">
        <v>1091</v>
      </c>
      <c r="B56" s="83" t="s">
        <v>1092</v>
      </c>
      <c r="C56" s="82" t="s">
        <v>1093</v>
      </c>
      <c r="D56" s="83" t="s">
        <v>1094</v>
      </c>
      <c r="E56" s="117">
        <v>300</v>
      </c>
      <c r="F56" s="85" t="s">
        <v>202</v>
      </c>
      <c r="G56" s="121">
        <v>824</v>
      </c>
      <c r="H56" s="122">
        <v>751</v>
      </c>
      <c r="I56" s="123">
        <v>72.099999999999994</v>
      </c>
      <c r="J56" s="124">
        <v>3.72</v>
      </c>
      <c r="K56" s="126">
        <v>3.57</v>
      </c>
      <c r="L56" s="126">
        <v>1.86</v>
      </c>
      <c r="M56" s="126">
        <v>1.72</v>
      </c>
      <c r="N56" s="126">
        <v>0.14899999999999999</v>
      </c>
      <c r="O56" s="124">
        <v>1.81</v>
      </c>
      <c r="P56" s="126">
        <v>1.8</v>
      </c>
      <c r="Q56" s="126">
        <v>8.7300000000000003E-2</v>
      </c>
      <c r="R56" s="126">
        <v>1.72</v>
      </c>
      <c r="S56" s="126">
        <v>4.3099999999999996E-3</v>
      </c>
      <c r="T56" s="127">
        <v>1.91</v>
      </c>
      <c r="U56" s="126">
        <v>1.77</v>
      </c>
      <c r="V56" s="126">
        <v>1.77</v>
      </c>
      <c r="W56" s="126">
        <v>0</v>
      </c>
      <c r="X56" s="126">
        <v>0.14499999999999999</v>
      </c>
      <c r="Y56" s="127">
        <v>0.372</v>
      </c>
      <c r="Z56" s="126">
        <v>0.33800000000000002</v>
      </c>
      <c r="AA56" s="128">
        <v>3.3399999999999999E-2</v>
      </c>
      <c r="AB56" s="128">
        <v>0.15</v>
      </c>
      <c r="AC56" s="67">
        <f t="shared" si="2"/>
        <v>0.54999999999999993</v>
      </c>
      <c r="AD56" s="120" t="s">
        <v>1095</v>
      </c>
      <c r="AE56" s="25" t="s">
        <v>1096</v>
      </c>
      <c r="AI56" s="786"/>
    </row>
    <row r="57" spans="1:35" s="25" customFormat="1" ht="14.25">
      <c r="A57" s="113" t="s">
        <v>1097</v>
      </c>
      <c r="B57" s="76" t="s">
        <v>1098</v>
      </c>
      <c r="C57" s="75"/>
      <c r="D57" s="76"/>
      <c r="E57" s="77" t="s">
        <v>1023</v>
      </c>
      <c r="F57" s="78"/>
      <c r="G57" s="78"/>
      <c r="H57" s="78"/>
      <c r="I57" s="78"/>
      <c r="J57" s="114"/>
      <c r="K57" s="80"/>
      <c r="L57" s="80"/>
      <c r="M57" s="80"/>
      <c r="N57" s="115"/>
      <c r="O57" s="114"/>
      <c r="P57" s="80"/>
      <c r="Q57" s="80"/>
      <c r="R57" s="80"/>
      <c r="S57" s="115"/>
      <c r="T57" s="79"/>
      <c r="U57" s="80"/>
      <c r="V57" s="80"/>
      <c r="W57" s="80"/>
      <c r="X57" s="80"/>
      <c r="Y57" s="79"/>
      <c r="Z57" s="80"/>
      <c r="AA57" s="80"/>
      <c r="AB57" s="80"/>
      <c r="AC57" s="80"/>
      <c r="AD57" s="116" t="s">
        <v>1099</v>
      </c>
      <c r="AI57" s="786"/>
    </row>
    <row r="58" spans="1:35" s="25" customFormat="1">
      <c r="A58" s="93" t="s">
        <v>1100</v>
      </c>
      <c r="B58" s="83" t="s">
        <v>1101</v>
      </c>
      <c r="C58" s="82" t="s">
        <v>1102</v>
      </c>
      <c r="D58" s="83" t="s">
        <v>1103</v>
      </c>
      <c r="E58" s="117">
        <v>2500</v>
      </c>
      <c r="F58" s="85" t="s">
        <v>202</v>
      </c>
      <c r="G58" s="121">
        <v>43.6</v>
      </c>
      <c r="H58" s="122">
        <v>3.18</v>
      </c>
      <c r="I58" s="123">
        <v>40.4</v>
      </c>
      <c r="J58" s="124">
        <v>6.5600000000000006E-2</v>
      </c>
      <c r="K58" s="125">
        <v>1.0500000000000001E-2</v>
      </c>
      <c r="L58" s="125">
        <v>1.0500000000000001E-2</v>
      </c>
      <c r="M58" s="125">
        <v>0</v>
      </c>
      <c r="N58" s="126">
        <v>5.5100000000000003E-2</v>
      </c>
      <c r="O58" s="124">
        <v>3.6900000000000001E-3</v>
      </c>
      <c r="P58" s="125">
        <v>1.4499999999999999E-3</v>
      </c>
      <c r="Q58" s="125">
        <v>1.4499999999999999E-3</v>
      </c>
      <c r="R58" s="125">
        <v>0</v>
      </c>
      <c r="S58" s="126">
        <v>2.2399999999999998E-3</v>
      </c>
      <c r="T58" s="124">
        <v>6.1899999999999997E-2</v>
      </c>
      <c r="U58" s="125">
        <v>9.0699999999999999E-3</v>
      </c>
      <c r="V58" s="125">
        <v>9.0699999999999999E-3</v>
      </c>
      <c r="W58" s="125">
        <v>0</v>
      </c>
      <c r="X58" s="126">
        <v>5.28E-2</v>
      </c>
      <c r="Y58" s="127">
        <v>1.41E-2</v>
      </c>
      <c r="Z58" s="126">
        <v>1.33E-3</v>
      </c>
      <c r="AA58" s="128">
        <v>1.2800000000000001E-2</v>
      </c>
      <c r="AB58" s="128">
        <v>0</v>
      </c>
      <c r="AC58" s="67">
        <f t="shared" si="2"/>
        <v>0</v>
      </c>
      <c r="AD58" s="120" t="s">
        <v>1104</v>
      </c>
      <c r="AE58" s="25" t="s">
        <v>1105</v>
      </c>
      <c r="AI58" s="786"/>
    </row>
    <row r="59" spans="1:35" s="25" customFormat="1">
      <c r="A59" s="93" t="s">
        <v>1106</v>
      </c>
      <c r="B59" s="83" t="s">
        <v>1107</v>
      </c>
      <c r="C59" s="82" t="s">
        <v>1054</v>
      </c>
      <c r="D59" s="83" t="s">
        <v>1055</v>
      </c>
      <c r="E59" s="117">
        <v>2300</v>
      </c>
      <c r="F59" s="85" t="s">
        <v>202</v>
      </c>
      <c r="G59" s="121">
        <v>327</v>
      </c>
      <c r="H59" s="122">
        <v>284</v>
      </c>
      <c r="I59" s="123">
        <v>42.7</v>
      </c>
      <c r="J59" s="124">
        <v>0.50600000000000001</v>
      </c>
      <c r="K59" s="125">
        <v>0.45100000000000001</v>
      </c>
      <c r="L59" s="125">
        <v>0.45100000000000001</v>
      </c>
      <c r="M59" s="125">
        <v>0</v>
      </c>
      <c r="N59" s="126">
        <v>5.5E-2</v>
      </c>
      <c r="O59" s="124">
        <v>3.7400000000000003E-2</v>
      </c>
      <c r="P59" s="125">
        <v>3.5200000000000002E-2</v>
      </c>
      <c r="Q59" s="125">
        <v>3.5200000000000002E-2</v>
      </c>
      <c r="R59" s="125">
        <v>0</v>
      </c>
      <c r="S59" s="126">
        <v>2.1900000000000001E-3</v>
      </c>
      <c r="T59" s="124">
        <v>0.46899999999999997</v>
      </c>
      <c r="U59" s="125">
        <v>0.41599999999999998</v>
      </c>
      <c r="V59" s="125">
        <v>0.41599999999999998</v>
      </c>
      <c r="W59" s="125">
        <v>0</v>
      </c>
      <c r="X59" s="126">
        <v>5.2900000000000003E-2</v>
      </c>
      <c r="Y59" s="127">
        <v>0.20899999999999999</v>
      </c>
      <c r="Z59" s="126">
        <v>0.19600000000000001</v>
      </c>
      <c r="AA59" s="128">
        <v>1.2800000000000001E-2</v>
      </c>
      <c r="AB59" s="128">
        <v>0</v>
      </c>
      <c r="AC59" s="67">
        <f t="shared" si="2"/>
        <v>0</v>
      </c>
      <c r="AD59" s="120" t="s">
        <v>1108</v>
      </c>
      <c r="AE59" s="25" t="s">
        <v>1057</v>
      </c>
      <c r="AF59" s="769">
        <v>6.4199999999999993E-2</v>
      </c>
      <c r="AG59" s="773">
        <v>6.1699999999999998E-2</v>
      </c>
      <c r="AH59" s="771">
        <v>2.5500000000000002E-3</v>
      </c>
      <c r="AI59" s="786">
        <f t="shared" si="1"/>
        <v>0.69282296650717701</v>
      </c>
    </row>
    <row r="60" spans="1:35" s="25" customFormat="1">
      <c r="A60" s="93" t="s">
        <v>1109</v>
      </c>
      <c r="B60" s="83" t="s">
        <v>1110</v>
      </c>
      <c r="C60" s="82" t="s">
        <v>1111</v>
      </c>
      <c r="D60" s="83" t="s">
        <v>1112</v>
      </c>
      <c r="E60" s="117">
        <v>1800</v>
      </c>
      <c r="F60" s="85" t="s">
        <v>202</v>
      </c>
      <c r="G60" s="121">
        <v>1100</v>
      </c>
      <c r="H60" s="122">
        <v>1040</v>
      </c>
      <c r="I60" s="123">
        <v>68</v>
      </c>
      <c r="J60" s="129">
        <v>2.65</v>
      </c>
      <c r="K60" s="130">
        <v>2.6</v>
      </c>
      <c r="L60" s="130">
        <v>2.6</v>
      </c>
      <c r="M60" s="130">
        <v>0</v>
      </c>
      <c r="N60" s="126">
        <v>5.4600000000000003E-2</v>
      </c>
      <c r="O60" s="129">
        <v>0.49</v>
      </c>
      <c r="P60" s="130">
        <v>0.48899999999999999</v>
      </c>
      <c r="Q60" s="130">
        <v>0.48899999999999999</v>
      </c>
      <c r="R60" s="130">
        <v>0</v>
      </c>
      <c r="S60" s="126">
        <v>1.6000000000000001E-3</v>
      </c>
      <c r="T60" s="124">
        <v>2.16</v>
      </c>
      <c r="U60" s="125">
        <v>2.11</v>
      </c>
      <c r="V60" s="125">
        <v>2.11</v>
      </c>
      <c r="W60" s="125">
        <v>0</v>
      </c>
      <c r="X60" s="126">
        <v>5.2999999999999999E-2</v>
      </c>
      <c r="Y60" s="127">
        <v>0.7</v>
      </c>
      <c r="Z60" s="126">
        <v>0.68700000000000006</v>
      </c>
      <c r="AA60" s="131">
        <v>1.3299999999999999E-2</v>
      </c>
      <c r="AB60" s="131">
        <v>0</v>
      </c>
      <c r="AC60" s="67">
        <f t="shared" si="2"/>
        <v>0</v>
      </c>
      <c r="AD60" s="120" t="s">
        <v>1113</v>
      </c>
      <c r="AE60" s="25" t="s">
        <v>1114</v>
      </c>
      <c r="AF60" s="769">
        <v>0.24399999999999999</v>
      </c>
      <c r="AG60" s="773">
        <v>0.24199999999999999</v>
      </c>
      <c r="AH60" s="770">
        <v>2.6199999999999999E-3</v>
      </c>
      <c r="AI60" s="786">
        <f t="shared" si="1"/>
        <v>0.65142857142857147</v>
      </c>
    </row>
    <row r="61" spans="1:35" s="25" customFormat="1">
      <c r="A61" s="93" t="s">
        <v>626</v>
      </c>
      <c r="B61" s="83" t="s">
        <v>1115</v>
      </c>
      <c r="C61" s="82" t="s">
        <v>1111</v>
      </c>
      <c r="D61" s="83" t="s">
        <v>1112</v>
      </c>
      <c r="E61" s="117">
        <v>1800</v>
      </c>
      <c r="F61" s="85" t="s">
        <v>202</v>
      </c>
      <c r="G61" s="132">
        <v>1520</v>
      </c>
      <c r="H61" s="133">
        <v>1450</v>
      </c>
      <c r="I61" s="123">
        <v>68</v>
      </c>
      <c r="J61" s="129">
        <v>3.54</v>
      </c>
      <c r="K61" s="130">
        <v>3.49</v>
      </c>
      <c r="L61" s="130">
        <v>3.49</v>
      </c>
      <c r="M61" s="130">
        <v>0</v>
      </c>
      <c r="N61" s="126">
        <v>5.4600000000000003E-2</v>
      </c>
      <c r="O61" s="129">
        <v>0.61399999999999999</v>
      </c>
      <c r="P61" s="130">
        <v>0.61299999999999999</v>
      </c>
      <c r="Q61" s="130">
        <v>0.61299999999999999</v>
      </c>
      <c r="R61" s="130">
        <v>0</v>
      </c>
      <c r="S61" s="126">
        <v>1.6000000000000001E-3</v>
      </c>
      <c r="T61" s="129">
        <v>2.93</v>
      </c>
      <c r="U61" s="130">
        <v>2.87</v>
      </c>
      <c r="V61" s="130">
        <v>2.87</v>
      </c>
      <c r="W61" s="130">
        <v>0</v>
      </c>
      <c r="X61" s="126">
        <v>5.2999999999999999E-2</v>
      </c>
      <c r="Y61" s="124">
        <v>1.04</v>
      </c>
      <c r="Z61" s="125">
        <v>1.02</v>
      </c>
      <c r="AA61" s="131">
        <v>1.3299999999999999E-2</v>
      </c>
      <c r="AB61" s="131">
        <v>0</v>
      </c>
      <c r="AC61" s="67">
        <f t="shared" si="2"/>
        <v>0</v>
      </c>
      <c r="AD61" s="120" t="s">
        <v>1116</v>
      </c>
      <c r="AE61" s="25" t="s">
        <v>1114</v>
      </c>
      <c r="AF61" s="774">
        <v>0.377</v>
      </c>
      <c r="AG61" s="775">
        <v>0.374</v>
      </c>
      <c r="AH61" s="770">
        <v>2.6199999999999999E-3</v>
      </c>
      <c r="AI61" s="786">
        <f t="shared" si="1"/>
        <v>0.63749999999999996</v>
      </c>
    </row>
    <row r="62" spans="1:35" s="25" customFormat="1">
      <c r="A62" s="93" t="s">
        <v>128</v>
      </c>
      <c r="B62" s="83" t="s">
        <v>1117</v>
      </c>
      <c r="C62" s="82" t="s">
        <v>1111</v>
      </c>
      <c r="D62" s="83" t="s">
        <v>1112</v>
      </c>
      <c r="E62" s="117">
        <v>1800</v>
      </c>
      <c r="F62" s="85" t="s">
        <v>202</v>
      </c>
      <c r="G62" s="121">
        <v>1060</v>
      </c>
      <c r="H62" s="122">
        <v>992</v>
      </c>
      <c r="I62" s="123">
        <v>68</v>
      </c>
      <c r="J62" s="124">
        <v>2.33</v>
      </c>
      <c r="K62" s="125">
        <v>2.2799999999999998</v>
      </c>
      <c r="L62" s="125">
        <v>2.2799999999999998</v>
      </c>
      <c r="M62" s="125">
        <v>0</v>
      </c>
      <c r="N62" s="126">
        <v>5.4600000000000003E-2</v>
      </c>
      <c r="O62" s="124">
        <v>0.55200000000000005</v>
      </c>
      <c r="P62" s="125">
        <v>0.55000000000000004</v>
      </c>
      <c r="Q62" s="125">
        <v>0.55000000000000004</v>
      </c>
      <c r="R62" s="125">
        <v>0</v>
      </c>
      <c r="S62" s="126">
        <v>1.6000000000000001E-3</v>
      </c>
      <c r="T62" s="124">
        <v>1.78</v>
      </c>
      <c r="U62" s="125">
        <v>1.73</v>
      </c>
      <c r="V62" s="125">
        <v>1.73</v>
      </c>
      <c r="W62" s="125">
        <v>0</v>
      </c>
      <c r="X62" s="126">
        <v>5.2999999999999999E-2</v>
      </c>
      <c r="Y62" s="127">
        <v>0.65</v>
      </c>
      <c r="Z62" s="126">
        <v>0.63600000000000001</v>
      </c>
      <c r="AA62" s="131">
        <v>1.3299999999999999E-2</v>
      </c>
      <c r="AB62" s="131">
        <v>0</v>
      </c>
      <c r="AC62" s="67">
        <f t="shared" si="2"/>
        <v>0</v>
      </c>
      <c r="AD62" s="120" t="s">
        <v>1118</v>
      </c>
      <c r="AE62" s="25" t="s">
        <v>1114</v>
      </c>
      <c r="AF62" s="769">
        <v>0.192</v>
      </c>
      <c r="AG62" s="773">
        <v>0.189</v>
      </c>
      <c r="AH62" s="770">
        <v>2.6199999999999999E-3</v>
      </c>
      <c r="AI62" s="786">
        <f t="shared" si="1"/>
        <v>0.70461538461538464</v>
      </c>
    </row>
    <row r="63" spans="1:35" s="25" customFormat="1">
      <c r="A63" s="93" t="s">
        <v>647</v>
      </c>
      <c r="B63" s="83" t="s">
        <v>1119</v>
      </c>
      <c r="C63" s="82" t="s">
        <v>1120</v>
      </c>
      <c r="D63" s="83" t="s">
        <v>1121</v>
      </c>
      <c r="E63" s="117">
        <v>2500</v>
      </c>
      <c r="F63" s="85" t="s">
        <v>202</v>
      </c>
      <c r="G63" s="64">
        <v>2000</v>
      </c>
      <c r="H63" s="65">
        <v>1930</v>
      </c>
      <c r="I63" s="87">
        <v>69.2</v>
      </c>
      <c r="J63" s="134">
        <v>4.9000000000000004</v>
      </c>
      <c r="K63" s="135">
        <v>4.78</v>
      </c>
      <c r="L63" s="135">
        <v>4.78</v>
      </c>
      <c r="M63" s="135">
        <v>0</v>
      </c>
      <c r="N63" s="62">
        <v>0.121</v>
      </c>
      <c r="O63" s="134">
        <v>0.255</v>
      </c>
      <c r="P63" s="135">
        <v>0.24299999999999999</v>
      </c>
      <c r="Q63" s="135">
        <v>0.24299999999999999</v>
      </c>
      <c r="R63" s="135">
        <v>0</v>
      </c>
      <c r="S63" s="62">
        <v>1.18E-2</v>
      </c>
      <c r="T63" s="134">
        <v>4.6399999999999997</v>
      </c>
      <c r="U63" s="135">
        <v>4.53</v>
      </c>
      <c r="V63" s="135">
        <v>4.53</v>
      </c>
      <c r="W63" s="135">
        <v>0</v>
      </c>
      <c r="X63" s="62">
        <v>0.109</v>
      </c>
      <c r="Y63" s="118">
        <v>1.2</v>
      </c>
      <c r="Z63" s="119">
        <v>1.19</v>
      </c>
      <c r="AA63" s="90">
        <v>1.9300000000000001E-2</v>
      </c>
      <c r="AB63" s="90">
        <v>0</v>
      </c>
      <c r="AC63" s="67">
        <f t="shared" si="2"/>
        <v>0</v>
      </c>
      <c r="AD63" s="120" t="s">
        <v>1122</v>
      </c>
      <c r="AE63" s="25" t="s">
        <v>1123</v>
      </c>
      <c r="AF63" s="774">
        <v>0.246</v>
      </c>
      <c r="AG63" s="775">
        <v>0.24199999999999999</v>
      </c>
      <c r="AH63" s="770">
        <v>3.48E-3</v>
      </c>
      <c r="AI63" s="786">
        <f t="shared" si="1"/>
        <v>0.79500000000000004</v>
      </c>
    </row>
    <row r="64" spans="1:35" s="25" customFormat="1">
      <c r="A64" s="93" t="s">
        <v>1124</v>
      </c>
      <c r="B64" s="83" t="s">
        <v>1125</v>
      </c>
      <c r="C64" s="82" t="s">
        <v>1120</v>
      </c>
      <c r="D64" s="83" t="s">
        <v>1121</v>
      </c>
      <c r="E64" s="117">
        <v>2500</v>
      </c>
      <c r="F64" s="85" t="s">
        <v>202</v>
      </c>
      <c r="G64" s="64">
        <v>1790</v>
      </c>
      <c r="H64" s="65">
        <v>1720</v>
      </c>
      <c r="I64" s="87">
        <v>69.2</v>
      </c>
      <c r="J64" s="134">
        <v>4.22</v>
      </c>
      <c r="K64" s="135">
        <v>4.0999999999999996</v>
      </c>
      <c r="L64" s="135">
        <v>4.0999999999999996</v>
      </c>
      <c r="M64" s="135">
        <v>0</v>
      </c>
      <c r="N64" s="62">
        <v>0.121</v>
      </c>
      <c r="O64" s="134">
        <v>0.13900000000000001</v>
      </c>
      <c r="P64" s="135">
        <v>0.127</v>
      </c>
      <c r="Q64" s="135">
        <v>0.127</v>
      </c>
      <c r="R64" s="135">
        <v>0</v>
      </c>
      <c r="S64" s="62">
        <v>1.18E-2</v>
      </c>
      <c r="T64" s="134">
        <v>4.08</v>
      </c>
      <c r="U64" s="135">
        <v>3.97</v>
      </c>
      <c r="V64" s="135">
        <v>3.97</v>
      </c>
      <c r="W64" s="135">
        <v>0</v>
      </c>
      <c r="X64" s="62">
        <v>0.109</v>
      </c>
      <c r="Y64" s="88">
        <v>1.1399999999999999</v>
      </c>
      <c r="Z64" s="62">
        <v>1.1200000000000001</v>
      </c>
      <c r="AA64" s="90">
        <v>1.9300000000000001E-2</v>
      </c>
      <c r="AB64" s="90">
        <v>0</v>
      </c>
      <c r="AC64" s="67">
        <f t="shared" si="2"/>
        <v>0</v>
      </c>
      <c r="AD64" s="120" t="s">
        <v>1126</v>
      </c>
      <c r="AE64" s="25" t="s">
        <v>1123</v>
      </c>
      <c r="AF64" s="766">
        <v>0.22600000000000001</v>
      </c>
      <c r="AG64" s="772">
        <v>0.222</v>
      </c>
      <c r="AH64" s="767">
        <v>3.48E-3</v>
      </c>
      <c r="AI64" s="786">
        <f t="shared" si="1"/>
        <v>0.80175438596491233</v>
      </c>
    </row>
    <row r="65" spans="1:35" s="25" customFormat="1">
      <c r="A65" s="93" t="s">
        <v>739</v>
      </c>
      <c r="B65" s="83" t="s">
        <v>1127</v>
      </c>
      <c r="C65" s="82" t="s">
        <v>1128</v>
      </c>
      <c r="D65" s="83" t="s">
        <v>1129</v>
      </c>
      <c r="E65" s="117">
        <v>1200</v>
      </c>
      <c r="F65" s="85" t="s">
        <v>202</v>
      </c>
      <c r="G65" s="94">
        <v>875</v>
      </c>
      <c r="H65" s="95">
        <v>803</v>
      </c>
      <c r="I65" s="87">
        <v>71.8</v>
      </c>
      <c r="J65" s="118">
        <v>2.57</v>
      </c>
      <c r="K65" s="119">
        <v>2.4900000000000002</v>
      </c>
      <c r="L65" s="119">
        <v>2.4900000000000002</v>
      </c>
      <c r="M65" s="119">
        <v>0</v>
      </c>
      <c r="N65" s="62">
        <v>8.2600000000000007E-2</v>
      </c>
      <c r="O65" s="118">
        <v>9.8000000000000004E-2</v>
      </c>
      <c r="P65" s="119">
        <v>9.3799999999999994E-2</v>
      </c>
      <c r="Q65" s="119">
        <v>9.3799999999999994E-2</v>
      </c>
      <c r="R65" s="119">
        <v>0</v>
      </c>
      <c r="S65" s="62">
        <v>4.1399999999999996E-3</v>
      </c>
      <c r="T65" s="118">
        <v>2.4700000000000002</v>
      </c>
      <c r="U65" s="119">
        <v>2.4</v>
      </c>
      <c r="V65" s="119">
        <v>2.4</v>
      </c>
      <c r="W65" s="119">
        <v>0</v>
      </c>
      <c r="X65" s="62">
        <v>7.85E-2</v>
      </c>
      <c r="Y65" s="88">
        <v>0.55300000000000005</v>
      </c>
      <c r="Z65" s="62">
        <v>0.53400000000000003</v>
      </c>
      <c r="AA65" s="90">
        <v>1.8800000000000001E-2</v>
      </c>
      <c r="AB65" s="90">
        <v>4.4900000000000002E-2</v>
      </c>
      <c r="AC65" s="67">
        <f t="shared" si="2"/>
        <v>0.16463333333333333</v>
      </c>
      <c r="AD65" s="120" t="s">
        <v>1130</v>
      </c>
      <c r="AE65" s="25" t="s">
        <v>1131</v>
      </c>
      <c r="AF65" s="769">
        <v>0.52500000000000002</v>
      </c>
      <c r="AG65" s="773">
        <v>0.52100000000000002</v>
      </c>
      <c r="AH65" s="770">
        <v>3.32E-3</v>
      </c>
      <c r="AI65" s="786">
        <f t="shared" si="1"/>
        <v>5.0632911392405104E-2</v>
      </c>
    </row>
    <row r="66" spans="1:35" s="25" customFormat="1">
      <c r="A66" s="93" t="s">
        <v>107</v>
      </c>
      <c r="B66" s="83" t="s">
        <v>1132</v>
      </c>
      <c r="C66" s="82" t="s">
        <v>1133</v>
      </c>
      <c r="D66" s="83" t="s">
        <v>1134</v>
      </c>
      <c r="E66" s="117">
        <v>850</v>
      </c>
      <c r="F66" s="85" t="s">
        <v>202</v>
      </c>
      <c r="G66" s="94">
        <v>525</v>
      </c>
      <c r="H66" s="95">
        <v>453</v>
      </c>
      <c r="I66" s="87">
        <v>72.099999999999994</v>
      </c>
      <c r="J66" s="118">
        <v>1.42</v>
      </c>
      <c r="K66" s="119">
        <v>1.34</v>
      </c>
      <c r="L66" s="119">
        <v>1.34</v>
      </c>
      <c r="M66" s="119">
        <v>0</v>
      </c>
      <c r="N66" s="62">
        <v>8.2299999999999998E-2</v>
      </c>
      <c r="O66" s="118">
        <v>8.8999999999999996E-2</v>
      </c>
      <c r="P66" s="119">
        <v>8.48E-2</v>
      </c>
      <c r="Q66" s="119">
        <v>8.48E-2</v>
      </c>
      <c r="R66" s="119">
        <v>0</v>
      </c>
      <c r="S66" s="62">
        <v>4.13E-3</v>
      </c>
      <c r="T66" s="118">
        <v>1.33</v>
      </c>
      <c r="U66" s="119">
        <v>1.26</v>
      </c>
      <c r="V66" s="119">
        <v>1.26</v>
      </c>
      <c r="W66" s="119">
        <v>0</v>
      </c>
      <c r="X66" s="62">
        <v>7.8200000000000006E-2</v>
      </c>
      <c r="Y66" s="88">
        <v>0.30199999999999999</v>
      </c>
      <c r="Z66" s="62">
        <v>0.28299999999999997</v>
      </c>
      <c r="AA66" s="90">
        <v>1.89E-2</v>
      </c>
      <c r="AB66" s="90">
        <v>1.7999999999999999E-2</v>
      </c>
      <c r="AC66" s="67">
        <f t="shared" si="2"/>
        <v>6.5999999999999989E-2</v>
      </c>
      <c r="AD66" s="120" t="s">
        <v>1135</v>
      </c>
      <c r="AE66" s="25" t="s">
        <v>1136</v>
      </c>
      <c r="AF66" s="766">
        <v>0.182</v>
      </c>
      <c r="AG66" s="772">
        <v>0.17899999999999999</v>
      </c>
      <c r="AH66" s="767">
        <v>3.29E-3</v>
      </c>
      <c r="AI66" s="786">
        <f t="shared" si="1"/>
        <v>0.39735099337748342</v>
      </c>
    </row>
    <row r="67" spans="1:35" s="25" customFormat="1">
      <c r="A67" s="93" t="s">
        <v>1137</v>
      </c>
      <c r="B67" s="61" t="s">
        <v>1138</v>
      </c>
      <c r="C67" s="82" t="s">
        <v>1139</v>
      </c>
      <c r="D67" s="61" t="s">
        <v>1140</v>
      </c>
      <c r="E67" s="117">
        <v>1000</v>
      </c>
      <c r="F67" s="85" t="s">
        <v>202</v>
      </c>
      <c r="G67" s="94">
        <v>531</v>
      </c>
      <c r="H67" s="95">
        <v>459</v>
      </c>
      <c r="I67" s="87">
        <v>71.7</v>
      </c>
      <c r="J67" s="118">
        <v>1.48</v>
      </c>
      <c r="K67" s="119">
        <v>1.4</v>
      </c>
      <c r="L67" s="119">
        <v>1.4</v>
      </c>
      <c r="M67" s="119">
        <v>0</v>
      </c>
      <c r="N67" s="62">
        <v>8.2799999999999999E-2</v>
      </c>
      <c r="O67" s="118">
        <v>3.2300000000000002E-2</v>
      </c>
      <c r="P67" s="119">
        <v>2.81E-2</v>
      </c>
      <c r="Q67" s="119">
        <v>2.81E-2</v>
      </c>
      <c r="R67" s="119">
        <v>0</v>
      </c>
      <c r="S67" s="62">
        <v>4.15E-3</v>
      </c>
      <c r="T67" s="118">
        <v>1.45</v>
      </c>
      <c r="U67" s="119">
        <v>1.37</v>
      </c>
      <c r="V67" s="119">
        <v>1.37</v>
      </c>
      <c r="W67" s="119">
        <v>0</v>
      </c>
      <c r="X67" s="62">
        <v>7.8700000000000006E-2</v>
      </c>
      <c r="Y67" s="88">
        <v>0.317</v>
      </c>
      <c r="Z67" s="62">
        <v>0.29799999999999999</v>
      </c>
      <c r="AA67" s="90">
        <v>1.8700000000000001E-2</v>
      </c>
      <c r="AB67" s="90">
        <v>0</v>
      </c>
      <c r="AC67" s="67">
        <f t="shared" si="2"/>
        <v>0</v>
      </c>
      <c r="AD67" s="72" t="s">
        <v>1141</v>
      </c>
      <c r="AE67" s="25" t="s">
        <v>1142</v>
      </c>
      <c r="AF67" s="769">
        <v>0.30099999999999999</v>
      </c>
      <c r="AG67" s="773">
        <v>0.29699999999999999</v>
      </c>
      <c r="AH67" s="770">
        <v>3.2699999999999999E-3</v>
      </c>
      <c r="AI67" s="786">
        <f t="shared" si="1"/>
        <v>5.0473186119873864E-2</v>
      </c>
    </row>
    <row r="68" spans="1:35" s="25" customFormat="1">
      <c r="A68" s="93" t="s">
        <v>634</v>
      </c>
      <c r="B68" s="61" t="s">
        <v>1143</v>
      </c>
      <c r="C68" s="82" t="s">
        <v>1054</v>
      </c>
      <c r="D68" s="83" t="s">
        <v>1055</v>
      </c>
      <c r="E68" s="117">
        <v>2500</v>
      </c>
      <c r="F68" s="85" t="s">
        <v>202</v>
      </c>
      <c r="G68" s="136">
        <v>113</v>
      </c>
      <c r="H68" s="123">
        <v>70</v>
      </c>
      <c r="I68" s="123">
        <v>42.7</v>
      </c>
      <c r="J68" s="124">
        <v>0.32100000000000001</v>
      </c>
      <c r="K68" s="125">
        <v>0.26600000000000001</v>
      </c>
      <c r="L68" s="125">
        <v>0.26600000000000001</v>
      </c>
      <c r="M68" s="125">
        <v>0</v>
      </c>
      <c r="N68" s="126">
        <v>5.5E-2</v>
      </c>
      <c r="O68" s="124">
        <v>4.5100000000000001E-2</v>
      </c>
      <c r="P68" s="125">
        <v>4.2900000000000001E-2</v>
      </c>
      <c r="Q68" s="125">
        <v>4.2900000000000001E-2</v>
      </c>
      <c r="R68" s="125">
        <v>0</v>
      </c>
      <c r="S68" s="126">
        <v>2.1900000000000001E-3</v>
      </c>
      <c r="T68" s="124">
        <v>0.27600000000000002</v>
      </c>
      <c r="U68" s="126">
        <v>0.223</v>
      </c>
      <c r="V68" s="126">
        <v>0.223</v>
      </c>
      <c r="W68" s="126">
        <v>0</v>
      </c>
      <c r="X68" s="126">
        <v>5.2900000000000003E-2</v>
      </c>
      <c r="Y68" s="137">
        <v>4.1099999999999998E-2</v>
      </c>
      <c r="Z68" s="131">
        <v>2.8299999999999999E-2</v>
      </c>
      <c r="AA68" s="128">
        <v>1.2800000000000001E-2</v>
      </c>
      <c r="AB68" s="128">
        <v>0</v>
      </c>
      <c r="AC68" s="67">
        <f t="shared" si="2"/>
        <v>0</v>
      </c>
      <c r="AD68" s="72" t="s">
        <v>1144</v>
      </c>
      <c r="AE68" s="25" t="s">
        <v>1057</v>
      </c>
      <c r="AF68" s="776">
        <v>1.3100000000000001E-2</v>
      </c>
      <c r="AG68" s="770">
        <v>1.0699999999999999E-2</v>
      </c>
      <c r="AH68" s="771">
        <v>2.4099999999999998E-3</v>
      </c>
      <c r="AI68" s="786">
        <f t="shared" si="1"/>
        <v>0.68126520681265201</v>
      </c>
    </row>
    <row r="69" spans="1:35" s="25" customFormat="1" outlineLevel="1">
      <c r="A69" s="93" t="s">
        <v>1145</v>
      </c>
      <c r="B69" s="61" t="s">
        <v>1146</v>
      </c>
      <c r="C69" s="82" t="s">
        <v>1054</v>
      </c>
      <c r="D69" s="83" t="s">
        <v>1055</v>
      </c>
      <c r="E69" s="117">
        <v>2500</v>
      </c>
      <c r="F69" s="85" t="s">
        <v>202</v>
      </c>
      <c r="G69" s="136">
        <v>141</v>
      </c>
      <c r="H69" s="123">
        <v>98.3</v>
      </c>
      <c r="I69" s="123">
        <v>42.7</v>
      </c>
      <c r="J69" s="124">
        <v>0.36499999999999999</v>
      </c>
      <c r="K69" s="125">
        <v>0.31</v>
      </c>
      <c r="L69" s="125">
        <v>0.31</v>
      </c>
      <c r="M69" s="125">
        <v>0</v>
      </c>
      <c r="N69" s="126">
        <v>5.5E-2</v>
      </c>
      <c r="O69" s="124">
        <v>2.6100000000000002E-2</v>
      </c>
      <c r="P69" s="125">
        <v>2.3900000000000001E-2</v>
      </c>
      <c r="Q69" s="125">
        <v>2.3900000000000001E-2</v>
      </c>
      <c r="R69" s="125">
        <v>0</v>
      </c>
      <c r="S69" s="126">
        <v>2.1900000000000001E-3</v>
      </c>
      <c r="T69" s="124">
        <v>0.33900000000000002</v>
      </c>
      <c r="U69" s="125">
        <v>0.28599999999999998</v>
      </c>
      <c r="V69" s="125">
        <v>0.28599999999999998</v>
      </c>
      <c r="W69" s="125">
        <v>0</v>
      </c>
      <c r="X69" s="126">
        <v>5.2900000000000003E-2</v>
      </c>
      <c r="Y69" s="137">
        <v>7.3800000000000004E-2</v>
      </c>
      <c r="Z69" s="131">
        <v>6.0999999999999999E-2</v>
      </c>
      <c r="AA69" s="128">
        <v>1.2800000000000001E-2</v>
      </c>
      <c r="AB69" s="128">
        <v>0</v>
      </c>
      <c r="AC69" s="67">
        <f t="shared" si="2"/>
        <v>0</v>
      </c>
      <c r="AD69" s="72" t="s">
        <v>1147</v>
      </c>
      <c r="AE69" s="25" t="s">
        <v>1057</v>
      </c>
      <c r="AF69" s="776">
        <v>5.9499999999999997E-2</v>
      </c>
      <c r="AG69" s="770">
        <v>5.7000000000000002E-2</v>
      </c>
      <c r="AH69" s="771">
        <v>2.4099999999999998E-3</v>
      </c>
      <c r="AI69" s="786">
        <f t="shared" si="1"/>
        <v>0.19376693766937678</v>
      </c>
    </row>
    <row r="70" spans="1:35" s="25" customFormat="1">
      <c r="A70" s="93" t="s">
        <v>1148</v>
      </c>
      <c r="B70" s="83" t="s">
        <v>1149</v>
      </c>
      <c r="C70" s="82" t="s">
        <v>1054</v>
      </c>
      <c r="D70" s="83" t="s">
        <v>1055</v>
      </c>
      <c r="E70" s="117">
        <v>2600</v>
      </c>
      <c r="F70" s="85" t="s">
        <v>202</v>
      </c>
      <c r="G70" s="132">
        <v>4110</v>
      </c>
      <c r="H70" s="133">
        <v>4060</v>
      </c>
      <c r="I70" s="123">
        <v>42.7</v>
      </c>
      <c r="J70" s="129">
        <v>3.93</v>
      </c>
      <c r="K70" s="130">
        <v>3.88</v>
      </c>
      <c r="L70" s="130">
        <v>3.88</v>
      </c>
      <c r="M70" s="130">
        <v>0</v>
      </c>
      <c r="N70" s="126">
        <v>5.5E-2</v>
      </c>
      <c r="O70" s="129">
        <v>0.20799999999999999</v>
      </c>
      <c r="P70" s="130">
        <v>0.20599999999999999</v>
      </c>
      <c r="Q70" s="130">
        <v>0.20599999999999999</v>
      </c>
      <c r="R70" s="130">
        <v>0</v>
      </c>
      <c r="S70" s="126">
        <v>2.1900000000000001E-3</v>
      </c>
      <c r="T70" s="129">
        <v>3.73</v>
      </c>
      <c r="U70" s="130">
        <v>3.67</v>
      </c>
      <c r="V70" s="130">
        <v>3.67</v>
      </c>
      <c r="W70" s="130">
        <v>0</v>
      </c>
      <c r="X70" s="126">
        <v>5.2900000000000003E-2</v>
      </c>
      <c r="Y70" s="127">
        <v>0.79600000000000004</v>
      </c>
      <c r="Z70" s="126">
        <v>0.78300000000000003</v>
      </c>
      <c r="AA70" s="128">
        <v>1.2800000000000001E-2</v>
      </c>
      <c r="AB70" s="128">
        <v>0</v>
      </c>
      <c r="AC70" s="67">
        <f t="shared" si="2"/>
        <v>0</v>
      </c>
      <c r="AD70" s="120" t="s">
        <v>1150</v>
      </c>
      <c r="AE70" s="25" t="s">
        <v>1057</v>
      </c>
      <c r="AF70" s="769">
        <v>0.59199999999999997</v>
      </c>
      <c r="AG70" s="773">
        <v>0.58899999999999997</v>
      </c>
      <c r="AH70" s="771">
        <v>2.5500000000000002E-3</v>
      </c>
      <c r="AI70" s="786">
        <f t="shared" si="1"/>
        <v>0.25628140703517593</v>
      </c>
    </row>
    <row r="71" spans="1:35" s="25" customFormat="1">
      <c r="A71" s="93" t="s">
        <v>750</v>
      </c>
      <c r="B71" s="83" t="s">
        <v>1151</v>
      </c>
      <c r="C71" s="82" t="s">
        <v>1102</v>
      </c>
      <c r="D71" s="83" t="s">
        <v>1103</v>
      </c>
      <c r="E71" s="117">
        <v>2000</v>
      </c>
      <c r="F71" s="85" t="s">
        <v>202</v>
      </c>
      <c r="G71" s="86">
        <v>65.2</v>
      </c>
      <c r="H71" s="87">
        <v>24.8</v>
      </c>
      <c r="I71" s="87">
        <v>40.4</v>
      </c>
      <c r="J71" s="88">
        <v>9.2700000000000005E-2</v>
      </c>
      <c r="K71" s="62">
        <v>3.7600000000000001E-2</v>
      </c>
      <c r="L71" s="62">
        <v>3.7600000000000001E-2</v>
      </c>
      <c r="M71" s="62">
        <v>0</v>
      </c>
      <c r="N71" s="62">
        <v>5.5100000000000003E-2</v>
      </c>
      <c r="O71" s="88">
        <v>7.6299999999999996E-3</v>
      </c>
      <c r="P71" s="62">
        <v>5.3899999999999998E-3</v>
      </c>
      <c r="Q71" s="62">
        <v>5.3899999999999998E-3</v>
      </c>
      <c r="R71" s="62">
        <v>0</v>
      </c>
      <c r="S71" s="62">
        <v>2.2399999999999998E-3</v>
      </c>
      <c r="T71" s="88">
        <v>8.5099999999999995E-2</v>
      </c>
      <c r="U71" s="62">
        <v>3.2199999999999999E-2</v>
      </c>
      <c r="V71" s="62">
        <v>3.2199999999999999E-2</v>
      </c>
      <c r="W71" s="62">
        <v>0</v>
      </c>
      <c r="X71" s="62">
        <v>5.28E-2</v>
      </c>
      <c r="Y71" s="89">
        <v>1.78E-2</v>
      </c>
      <c r="Z71" s="91">
        <v>5.0800000000000003E-3</v>
      </c>
      <c r="AA71" s="91">
        <v>1.2800000000000001E-2</v>
      </c>
      <c r="AB71" s="91">
        <v>0</v>
      </c>
      <c r="AC71" s="67">
        <f t="shared" si="2"/>
        <v>0</v>
      </c>
      <c r="AD71" s="120" t="s">
        <v>1152</v>
      </c>
      <c r="AE71" s="25" t="s">
        <v>1105</v>
      </c>
      <c r="AF71" s="776">
        <v>4.3899999999999998E-3</v>
      </c>
      <c r="AG71" s="771">
        <v>2.0400000000000001E-3</v>
      </c>
      <c r="AH71" s="771">
        <v>2.3600000000000001E-3</v>
      </c>
      <c r="AI71" s="786">
        <f t="shared" si="1"/>
        <v>0.75337078651685396</v>
      </c>
    </row>
    <row r="72" spans="1:35" s="25" customFormat="1">
      <c r="A72" s="93" t="s">
        <v>1153</v>
      </c>
      <c r="B72" s="83" t="s">
        <v>1154</v>
      </c>
      <c r="C72" s="82" t="s">
        <v>1102</v>
      </c>
      <c r="D72" s="83" t="s">
        <v>1103</v>
      </c>
      <c r="E72" s="117">
        <v>2400</v>
      </c>
      <c r="F72" s="85" t="s">
        <v>202</v>
      </c>
      <c r="G72" s="86">
        <v>41.3</v>
      </c>
      <c r="H72" s="87">
        <v>0.82899999999999996</v>
      </c>
      <c r="I72" s="87">
        <v>40.4</v>
      </c>
      <c r="J72" s="88">
        <v>5.5599999999999997E-2</v>
      </c>
      <c r="K72" s="62">
        <v>5.22E-4</v>
      </c>
      <c r="L72" s="62">
        <v>5.22E-4</v>
      </c>
      <c r="M72" s="62">
        <v>0</v>
      </c>
      <c r="N72" s="62">
        <v>5.5100000000000003E-2</v>
      </c>
      <c r="O72" s="88">
        <v>2.31E-3</v>
      </c>
      <c r="P72" s="62">
        <v>6.5099999999999997E-5</v>
      </c>
      <c r="Q72" s="62">
        <v>6.5099999999999997E-5</v>
      </c>
      <c r="R72" s="62">
        <v>0</v>
      </c>
      <c r="S72" s="62">
        <v>2.2399999999999998E-3</v>
      </c>
      <c r="T72" s="88">
        <v>5.33E-2</v>
      </c>
      <c r="U72" s="62">
        <v>4.57E-4</v>
      </c>
      <c r="V72" s="62">
        <v>4.57E-4</v>
      </c>
      <c r="W72" s="62">
        <v>0</v>
      </c>
      <c r="X72" s="62">
        <v>5.28E-2</v>
      </c>
      <c r="Y72" s="89">
        <v>1.35E-2</v>
      </c>
      <c r="Z72" s="91">
        <v>7.1100000000000004E-4</v>
      </c>
      <c r="AA72" s="91">
        <v>1.2800000000000001E-2</v>
      </c>
      <c r="AB72" s="91">
        <v>0</v>
      </c>
      <c r="AC72" s="67">
        <f t="shared" si="2"/>
        <v>0</v>
      </c>
      <c r="AD72" s="120" t="s">
        <v>1155</v>
      </c>
      <c r="AE72" s="25" t="s">
        <v>1105</v>
      </c>
      <c r="AI72" s="786"/>
    </row>
    <row r="73" spans="1:35" s="25" customFormat="1">
      <c r="A73" s="93" t="s">
        <v>530</v>
      </c>
      <c r="B73" s="83" t="s">
        <v>1156</v>
      </c>
      <c r="C73" s="82" t="s">
        <v>1102</v>
      </c>
      <c r="D73" s="83" t="s">
        <v>1103</v>
      </c>
      <c r="E73" s="117">
        <v>2000</v>
      </c>
      <c r="F73" s="85" t="s">
        <v>202</v>
      </c>
      <c r="G73" s="86">
        <v>59.7</v>
      </c>
      <c r="H73" s="87">
        <v>19.3</v>
      </c>
      <c r="I73" s="87">
        <v>40.4</v>
      </c>
      <c r="J73" s="88">
        <v>7.2499999999999995E-2</v>
      </c>
      <c r="K73" s="90">
        <v>1.7399999999999999E-2</v>
      </c>
      <c r="L73" s="90">
        <v>1.7399999999999999E-2</v>
      </c>
      <c r="M73" s="90">
        <v>0</v>
      </c>
      <c r="N73" s="62">
        <v>5.5100000000000003E-2</v>
      </c>
      <c r="O73" s="88">
        <v>4.0000000000000001E-3</v>
      </c>
      <c r="P73" s="90">
        <v>1.7600000000000001E-3</v>
      </c>
      <c r="Q73" s="90">
        <v>1.7600000000000001E-3</v>
      </c>
      <c r="R73" s="90">
        <v>0</v>
      </c>
      <c r="S73" s="62">
        <v>2.2399999999999998E-3</v>
      </c>
      <c r="T73" s="88">
        <v>6.8500000000000005E-2</v>
      </c>
      <c r="U73" s="90">
        <v>1.5699999999999999E-2</v>
      </c>
      <c r="V73" s="90">
        <v>1.5699999999999999E-2</v>
      </c>
      <c r="W73" s="90">
        <v>0</v>
      </c>
      <c r="X73" s="62">
        <v>5.28E-2</v>
      </c>
      <c r="Y73" s="89">
        <v>1.5900000000000001E-2</v>
      </c>
      <c r="Z73" s="91">
        <v>3.0799999999999998E-3</v>
      </c>
      <c r="AA73" s="91">
        <v>1.2800000000000001E-2</v>
      </c>
      <c r="AB73" s="91">
        <v>0</v>
      </c>
      <c r="AC73" s="67">
        <f t="shared" si="2"/>
        <v>0</v>
      </c>
      <c r="AD73" s="120" t="s">
        <v>1157</v>
      </c>
      <c r="AE73" s="25" t="s">
        <v>1105</v>
      </c>
      <c r="AF73" s="776">
        <v>3.3899999999999998E-3</v>
      </c>
      <c r="AG73" s="771">
        <v>1.0300000000000001E-3</v>
      </c>
      <c r="AH73" s="771">
        <v>2.3600000000000001E-3</v>
      </c>
      <c r="AI73" s="786">
        <f t="shared" si="1"/>
        <v>0.78679245283018862</v>
      </c>
    </row>
    <row r="74" spans="1:35" s="25" customFormat="1">
      <c r="A74" s="93" t="s">
        <v>699</v>
      </c>
      <c r="B74" s="83" t="s">
        <v>1158</v>
      </c>
      <c r="C74" s="82" t="s">
        <v>1102</v>
      </c>
      <c r="D74" s="83" t="s">
        <v>1103</v>
      </c>
      <c r="E74" s="117">
        <v>2000</v>
      </c>
      <c r="F74" s="85" t="s">
        <v>202</v>
      </c>
      <c r="G74" s="86">
        <v>59.7</v>
      </c>
      <c r="H74" s="87">
        <v>19.3</v>
      </c>
      <c r="I74" s="87">
        <v>40.4</v>
      </c>
      <c r="J74" s="88">
        <v>7.2499999999999995E-2</v>
      </c>
      <c r="K74" s="90">
        <v>1.7399999999999999E-2</v>
      </c>
      <c r="L74" s="90">
        <v>1.7399999999999999E-2</v>
      </c>
      <c r="M74" s="90">
        <v>0</v>
      </c>
      <c r="N74" s="62">
        <v>5.5100000000000003E-2</v>
      </c>
      <c r="O74" s="88">
        <v>4.0000000000000001E-3</v>
      </c>
      <c r="P74" s="90">
        <v>1.7600000000000001E-3</v>
      </c>
      <c r="Q74" s="90">
        <v>1.7600000000000001E-3</v>
      </c>
      <c r="R74" s="90">
        <v>0</v>
      </c>
      <c r="S74" s="62">
        <v>2.2399999999999998E-3</v>
      </c>
      <c r="T74" s="88">
        <v>6.8500000000000005E-2</v>
      </c>
      <c r="U74" s="90">
        <v>1.5699999999999999E-2</v>
      </c>
      <c r="V74" s="90">
        <v>1.5699999999999999E-2</v>
      </c>
      <c r="W74" s="90">
        <v>0</v>
      </c>
      <c r="X74" s="62">
        <v>5.28E-2</v>
      </c>
      <c r="Y74" s="89">
        <v>1.5900000000000001E-2</v>
      </c>
      <c r="Z74" s="91">
        <v>3.0799999999999998E-3</v>
      </c>
      <c r="AA74" s="90">
        <v>1.2800000000000001E-2</v>
      </c>
      <c r="AB74" s="90">
        <v>0</v>
      </c>
      <c r="AC74" s="67">
        <f t="shared" si="2"/>
        <v>0</v>
      </c>
      <c r="AD74" s="120" t="s">
        <v>1159</v>
      </c>
      <c r="AE74" s="25" t="s">
        <v>1105</v>
      </c>
      <c r="AF74" s="776">
        <v>1.56E-3</v>
      </c>
      <c r="AG74" s="771">
        <v>1.0300000000000001E-3</v>
      </c>
      <c r="AH74" s="770">
        <v>5.2800000000000004E-4</v>
      </c>
      <c r="AI74" s="786">
        <f t="shared" si="1"/>
        <v>0.90188679245283021</v>
      </c>
    </row>
    <row r="75" spans="1:35" s="25" customFormat="1">
      <c r="A75" s="93" t="s">
        <v>1160</v>
      </c>
      <c r="B75" s="83" t="s">
        <v>1161</v>
      </c>
      <c r="C75" s="82" t="s">
        <v>1054</v>
      </c>
      <c r="D75" s="83" t="s">
        <v>1055</v>
      </c>
      <c r="E75" s="117">
        <v>2000</v>
      </c>
      <c r="F75" s="85" t="s">
        <v>202</v>
      </c>
      <c r="G75" s="132">
        <v>4690</v>
      </c>
      <c r="H75" s="133">
        <v>4650</v>
      </c>
      <c r="I75" s="123">
        <v>42.7</v>
      </c>
      <c r="J75" s="129">
        <v>11.5</v>
      </c>
      <c r="K75" s="130">
        <v>11.4</v>
      </c>
      <c r="L75" s="130">
        <v>11.4</v>
      </c>
      <c r="M75" s="130">
        <v>0</v>
      </c>
      <c r="N75" s="126">
        <v>5.5E-2</v>
      </c>
      <c r="O75" s="129">
        <v>0.35499999999999998</v>
      </c>
      <c r="P75" s="130">
        <v>0.35299999999999998</v>
      </c>
      <c r="Q75" s="130">
        <v>0.35299999999999998</v>
      </c>
      <c r="R75" s="130">
        <v>0</v>
      </c>
      <c r="S75" s="126">
        <v>2.1900000000000001E-3</v>
      </c>
      <c r="T75" s="129">
        <v>11.1</v>
      </c>
      <c r="U75" s="130">
        <v>11.1</v>
      </c>
      <c r="V75" s="130">
        <v>11.1</v>
      </c>
      <c r="W75" s="130">
        <v>0</v>
      </c>
      <c r="X75" s="126">
        <v>5.2900000000000003E-2</v>
      </c>
      <c r="Y75" s="124">
        <v>2.38</v>
      </c>
      <c r="Z75" s="125">
        <v>2.37</v>
      </c>
      <c r="AA75" s="128">
        <v>1.2800000000000001E-2</v>
      </c>
      <c r="AB75" s="128">
        <v>0</v>
      </c>
      <c r="AC75" s="67">
        <f t="shared" si="2"/>
        <v>0</v>
      </c>
      <c r="AD75" s="120" t="s">
        <v>1162</v>
      </c>
      <c r="AE75" s="25" t="s">
        <v>1057</v>
      </c>
      <c r="AF75" s="774">
        <v>1.9</v>
      </c>
      <c r="AG75" s="775">
        <v>1.89</v>
      </c>
      <c r="AH75" s="771">
        <v>2.5500000000000002E-3</v>
      </c>
      <c r="AI75" s="786">
        <f t="shared" si="1"/>
        <v>0.20168067226890757</v>
      </c>
    </row>
    <row r="76" spans="1:35" s="69" customFormat="1">
      <c r="A76" s="99" t="s">
        <v>1163</v>
      </c>
      <c r="B76" s="61" t="s">
        <v>1164</v>
      </c>
      <c r="C76" s="138" t="s">
        <v>1054</v>
      </c>
      <c r="D76" s="61" t="s">
        <v>1055</v>
      </c>
      <c r="E76" s="84">
        <v>2000</v>
      </c>
      <c r="F76" s="63" t="s">
        <v>202</v>
      </c>
      <c r="G76" s="64">
        <v>80.099999999999994</v>
      </c>
      <c r="H76" s="65">
        <v>32</v>
      </c>
      <c r="I76" s="87">
        <v>48.2</v>
      </c>
      <c r="J76" s="134">
        <v>8.4599999999999995E-2</v>
      </c>
      <c r="K76" s="135">
        <v>7.9399999999999998E-2</v>
      </c>
      <c r="L76" s="135">
        <v>7.9399999999999998E-2</v>
      </c>
      <c r="M76" s="135">
        <v>0</v>
      </c>
      <c r="N76" s="62">
        <v>5.2300000000000003E-3</v>
      </c>
      <c r="O76" s="134">
        <v>5.1399999999999996E-3</v>
      </c>
      <c r="P76" s="135">
        <v>4.8700000000000002E-3</v>
      </c>
      <c r="Q76" s="135">
        <v>4.8700000000000002E-3</v>
      </c>
      <c r="R76" s="135">
        <v>0</v>
      </c>
      <c r="S76" s="62">
        <v>2.7E-4</v>
      </c>
      <c r="T76" s="134">
        <v>7.9500000000000001E-2</v>
      </c>
      <c r="U76" s="135">
        <v>7.4499999999999997E-2</v>
      </c>
      <c r="V76" s="135">
        <v>7.4499999999999997E-2</v>
      </c>
      <c r="W76" s="135">
        <v>0</v>
      </c>
      <c r="X76" s="62">
        <v>4.96E-3</v>
      </c>
      <c r="Y76" s="118">
        <v>1.9400000000000001E-2</v>
      </c>
      <c r="Z76" s="119">
        <v>1.83E-2</v>
      </c>
      <c r="AA76" s="91">
        <v>1.15E-3</v>
      </c>
      <c r="AB76" s="91">
        <v>0</v>
      </c>
      <c r="AC76" s="67">
        <f t="shared" si="2"/>
        <v>0</v>
      </c>
      <c r="AD76" s="72" t="s">
        <v>1165</v>
      </c>
      <c r="AE76" s="69" t="s">
        <v>1057</v>
      </c>
      <c r="AF76" s="774">
        <v>1.9099999999999999E-2</v>
      </c>
      <c r="AG76" s="775">
        <v>1.6299999999999999E-2</v>
      </c>
      <c r="AH76" s="771">
        <v>2.8400000000000001E-3</v>
      </c>
      <c r="AI76" s="786">
        <f t="shared" ref="AI76:AI139" si="3">(Y76-AF76)/Y76</f>
        <v>1.5463917525773281E-2</v>
      </c>
    </row>
    <row r="77" spans="1:35" s="25" customFormat="1">
      <c r="A77" s="93" t="s">
        <v>651</v>
      </c>
      <c r="B77" s="83" t="s">
        <v>1166</v>
      </c>
      <c r="C77" s="82" t="s">
        <v>1167</v>
      </c>
      <c r="D77" s="83" t="s">
        <v>1168</v>
      </c>
      <c r="E77" s="117">
        <v>1700</v>
      </c>
      <c r="F77" s="85" t="s">
        <v>202</v>
      </c>
      <c r="G77" s="94">
        <v>515</v>
      </c>
      <c r="H77" s="95">
        <v>480</v>
      </c>
      <c r="I77" s="87">
        <v>35.9</v>
      </c>
      <c r="J77" s="118">
        <v>1.1499999999999999</v>
      </c>
      <c r="K77" s="119">
        <v>1.1000000000000001</v>
      </c>
      <c r="L77" s="119">
        <v>1.1000000000000001</v>
      </c>
      <c r="M77" s="119">
        <v>0</v>
      </c>
      <c r="N77" s="62">
        <v>5.4100000000000002E-2</v>
      </c>
      <c r="O77" s="118">
        <v>3.4700000000000002E-2</v>
      </c>
      <c r="P77" s="119">
        <v>3.2800000000000003E-2</v>
      </c>
      <c r="Q77" s="119">
        <v>3.2800000000000003E-2</v>
      </c>
      <c r="R77" s="119">
        <v>0</v>
      </c>
      <c r="S77" s="62">
        <v>1.92E-3</v>
      </c>
      <c r="T77" s="118">
        <v>1.1200000000000001</v>
      </c>
      <c r="U77" s="119">
        <v>1.06</v>
      </c>
      <c r="V77" s="119">
        <v>1.06</v>
      </c>
      <c r="W77" s="119">
        <v>0</v>
      </c>
      <c r="X77" s="62">
        <v>5.2200000000000003E-2</v>
      </c>
      <c r="Y77" s="88">
        <v>0.38600000000000001</v>
      </c>
      <c r="Z77" s="62">
        <v>0.373</v>
      </c>
      <c r="AA77" s="91">
        <v>1.2800000000000001E-2</v>
      </c>
      <c r="AB77" s="91">
        <v>0</v>
      </c>
      <c r="AC77" s="67">
        <f t="shared" si="2"/>
        <v>0</v>
      </c>
      <c r="AD77" s="120" t="s">
        <v>1169</v>
      </c>
      <c r="AE77" s="25" t="s">
        <v>1170</v>
      </c>
      <c r="AF77" s="769">
        <v>0.31900000000000001</v>
      </c>
      <c r="AG77" s="773">
        <v>0.316</v>
      </c>
      <c r="AH77" s="771">
        <v>2.5500000000000002E-3</v>
      </c>
      <c r="AI77" s="786">
        <f t="shared" si="3"/>
        <v>0.17357512953367876</v>
      </c>
    </row>
    <row r="78" spans="1:35" s="25" customFormat="1" ht="14.25">
      <c r="A78" s="113" t="s">
        <v>1171</v>
      </c>
      <c r="B78" s="76" t="s">
        <v>1172</v>
      </c>
      <c r="C78" s="75"/>
      <c r="D78" s="76"/>
      <c r="E78" s="77" t="s">
        <v>1023</v>
      </c>
      <c r="F78" s="78"/>
      <c r="G78" s="78"/>
      <c r="H78" s="78"/>
      <c r="I78" s="78"/>
      <c r="J78" s="114"/>
      <c r="K78" s="80"/>
      <c r="L78" s="80"/>
      <c r="M78" s="80"/>
      <c r="N78" s="115"/>
      <c r="O78" s="114"/>
      <c r="P78" s="80"/>
      <c r="Q78" s="80"/>
      <c r="R78" s="80"/>
      <c r="S78" s="115"/>
      <c r="T78" s="79"/>
      <c r="U78" s="80"/>
      <c r="V78" s="80"/>
      <c r="W78" s="80"/>
      <c r="X78" s="80"/>
      <c r="Y78" s="79"/>
      <c r="Z78" s="80"/>
      <c r="AA78" s="80"/>
      <c r="AB78" s="80"/>
      <c r="AC78" s="80"/>
      <c r="AD78" s="116" t="s">
        <v>1173</v>
      </c>
      <c r="AI78" s="786"/>
    </row>
    <row r="79" spans="1:35" s="25" customFormat="1">
      <c r="A79" s="93" t="s">
        <v>592</v>
      </c>
      <c r="B79" s="61" t="s">
        <v>1174</v>
      </c>
      <c r="C79" s="138" t="s">
        <v>1175</v>
      </c>
      <c r="D79" s="61" t="s">
        <v>1176</v>
      </c>
      <c r="E79" s="84">
        <v>1400</v>
      </c>
      <c r="F79" s="85" t="s">
        <v>202</v>
      </c>
      <c r="G79" s="94">
        <v>634</v>
      </c>
      <c r="H79" s="95">
        <v>591</v>
      </c>
      <c r="I79" s="87">
        <v>42.7</v>
      </c>
      <c r="J79" s="118">
        <v>1.7</v>
      </c>
      <c r="K79" s="119">
        <v>1.65</v>
      </c>
      <c r="L79" s="119">
        <v>1.65</v>
      </c>
      <c r="M79" s="119">
        <v>0</v>
      </c>
      <c r="N79" s="62">
        <v>5.4699999999999999E-2</v>
      </c>
      <c r="O79" s="118">
        <v>0.17299999999999999</v>
      </c>
      <c r="P79" s="119">
        <v>0.17100000000000001</v>
      </c>
      <c r="Q79" s="119">
        <v>0.17100000000000001</v>
      </c>
      <c r="R79" s="119">
        <v>0</v>
      </c>
      <c r="S79" s="62">
        <v>2.0600000000000002E-3</v>
      </c>
      <c r="T79" s="118">
        <v>1.53</v>
      </c>
      <c r="U79" s="119">
        <v>1.47</v>
      </c>
      <c r="V79" s="119">
        <v>1.47</v>
      </c>
      <c r="W79" s="119">
        <v>0</v>
      </c>
      <c r="X79" s="62">
        <v>5.2699999999999997E-2</v>
      </c>
      <c r="Y79" s="88">
        <v>0.40600000000000003</v>
      </c>
      <c r="Z79" s="62">
        <v>0.39300000000000002</v>
      </c>
      <c r="AA79" s="91">
        <v>1.29E-2</v>
      </c>
      <c r="AB79" s="91">
        <v>0</v>
      </c>
      <c r="AC79" s="67">
        <f t="shared" si="2"/>
        <v>0</v>
      </c>
      <c r="AD79" s="72" t="s">
        <v>1177</v>
      </c>
      <c r="AE79" s="25" t="s">
        <v>1178</v>
      </c>
      <c r="AF79" s="769">
        <v>0.216</v>
      </c>
      <c r="AG79" s="773">
        <v>0.21299999999999999</v>
      </c>
      <c r="AH79" s="771">
        <v>3.2699999999999999E-3</v>
      </c>
      <c r="AI79" s="786">
        <f t="shared" si="3"/>
        <v>0.4679802955665025</v>
      </c>
    </row>
    <row r="80" spans="1:35" s="69" customFormat="1">
      <c r="A80" s="99" t="s">
        <v>605</v>
      </c>
      <c r="B80" s="61" t="s">
        <v>1179</v>
      </c>
      <c r="C80" s="138" t="s">
        <v>1175</v>
      </c>
      <c r="D80" s="61" t="s">
        <v>1176</v>
      </c>
      <c r="E80" s="84">
        <v>1100</v>
      </c>
      <c r="F80" s="63" t="s">
        <v>202</v>
      </c>
      <c r="G80" s="94">
        <v>639</v>
      </c>
      <c r="H80" s="95">
        <v>596</v>
      </c>
      <c r="I80" s="87">
        <v>42.7</v>
      </c>
      <c r="J80" s="118">
        <v>1.76</v>
      </c>
      <c r="K80" s="119">
        <v>1.71</v>
      </c>
      <c r="L80" s="119">
        <v>1.71</v>
      </c>
      <c r="M80" s="119">
        <v>0</v>
      </c>
      <c r="N80" s="62">
        <v>5.4699999999999999E-2</v>
      </c>
      <c r="O80" s="118">
        <v>0.153</v>
      </c>
      <c r="P80" s="119">
        <v>0.15</v>
      </c>
      <c r="Q80" s="119">
        <v>0.15</v>
      </c>
      <c r="R80" s="119">
        <v>0</v>
      </c>
      <c r="S80" s="62">
        <v>2.0600000000000002E-3</v>
      </c>
      <c r="T80" s="118">
        <v>1.61</v>
      </c>
      <c r="U80" s="119">
        <v>1.56</v>
      </c>
      <c r="V80" s="119">
        <v>1.56</v>
      </c>
      <c r="W80" s="119">
        <v>0</v>
      </c>
      <c r="X80" s="62">
        <v>5.2699999999999997E-2</v>
      </c>
      <c r="Y80" s="88">
        <v>0.42699999999999999</v>
      </c>
      <c r="Z80" s="62">
        <v>0.41399999999999998</v>
      </c>
      <c r="AA80" s="91">
        <v>1.29E-2</v>
      </c>
      <c r="AB80" s="91">
        <v>0</v>
      </c>
      <c r="AC80" s="67">
        <f t="shared" si="2"/>
        <v>0</v>
      </c>
      <c r="AD80" s="72" t="s">
        <v>1180</v>
      </c>
      <c r="AE80" s="69" t="s">
        <v>1178</v>
      </c>
      <c r="AF80" s="769">
        <v>0.216</v>
      </c>
      <c r="AG80" s="773">
        <v>0.21199999999999999</v>
      </c>
      <c r="AH80" s="771">
        <v>3.2699999999999999E-3</v>
      </c>
      <c r="AI80" s="786">
        <f t="shared" si="3"/>
        <v>0.49414519906323184</v>
      </c>
    </row>
    <row r="81" spans="1:35" s="25" customFormat="1">
      <c r="A81" s="93" t="s">
        <v>1181</v>
      </c>
      <c r="B81" s="61" t="s">
        <v>1182</v>
      </c>
      <c r="C81" s="138" t="s">
        <v>1175</v>
      </c>
      <c r="D81" s="61" t="s">
        <v>1176</v>
      </c>
      <c r="E81" s="84">
        <v>1670</v>
      </c>
      <c r="F81" s="85" t="s">
        <v>202</v>
      </c>
      <c r="G81" s="64">
        <v>1400</v>
      </c>
      <c r="H81" s="65">
        <v>1350</v>
      </c>
      <c r="I81" s="87">
        <v>42.7</v>
      </c>
      <c r="J81" s="134">
        <v>4.3099999999999996</v>
      </c>
      <c r="K81" s="135">
        <v>4.26</v>
      </c>
      <c r="L81" s="135">
        <v>4.26</v>
      </c>
      <c r="M81" s="135">
        <v>0</v>
      </c>
      <c r="N81" s="62">
        <v>5.4699999999999999E-2</v>
      </c>
      <c r="O81" s="134">
        <v>0.161</v>
      </c>
      <c r="P81" s="135">
        <v>0.159</v>
      </c>
      <c r="Q81" s="135">
        <v>0.159</v>
      </c>
      <c r="R81" s="135">
        <v>0</v>
      </c>
      <c r="S81" s="62">
        <v>2.0600000000000002E-3</v>
      </c>
      <c r="T81" s="134">
        <v>4.1500000000000004</v>
      </c>
      <c r="U81" s="135">
        <v>4.0999999999999996</v>
      </c>
      <c r="V81" s="135">
        <v>4.0999999999999996</v>
      </c>
      <c r="W81" s="135">
        <v>0</v>
      </c>
      <c r="X81" s="62">
        <v>5.2699999999999997E-2</v>
      </c>
      <c r="Y81" s="118">
        <v>0.77900000000000003</v>
      </c>
      <c r="Z81" s="119">
        <v>0.76600000000000001</v>
      </c>
      <c r="AA81" s="91">
        <v>1.29E-2</v>
      </c>
      <c r="AB81" s="91">
        <v>0</v>
      </c>
      <c r="AC81" s="67">
        <f t="shared" si="2"/>
        <v>0</v>
      </c>
      <c r="AD81" s="72" t="s">
        <v>1183</v>
      </c>
      <c r="AE81" s="25" t="s">
        <v>1178</v>
      </c>
      <c r="AF81" s="774">
        <v>0.64200000000000002</v>
      </c>
      <c r="AG81" s="775">
        <v>0.63900000000000001</v>
      </c>
      <c r="AH81" s="771">
        <v>3.2699999999999999E-3</v>
      </c>
      <c r="AI81" s="786">
        <f t="shared" si="3"/>
        <v>0.17586649550706035</v>
      </c>
    </row>
    <row r="82" spans="1:35" s="69" customFormat="1">
      <c r="A82" s="99" t="s">
        <v>577</v>
      </c>
      <c r="B82" s="61" t="s">
        <v>1184</v>
      </c>
      <c r="C82" s="138" t="s">
        <v>1175</v>
      </c>
      <c r="D82" s="61" t="s">
        <v>1176</v>
      </c>
      <c r="E82" s="84">
        <v>925</v>
      </c>
      <c r="F82" s="63" t="s">
        <v>202</v>
      </c>
      <c r="G82" s="94">
        <v>251</v>
      </c>
      <c r="H82" s="95">
        <v>209</v>
      </c>
      <c r="I82" s="87">
        <v>42.7</v>
      </c>
      <c r="J82" s="118">
        <v>0.73899999999999999</v>
      </c>
      <c r="K82" s="119">
        <v>0.68500000000000005</v>
      </c>
      <c r="L82" s="119">
        <v>0.68500000000000005</v>
      </c>
      <c r="M82" s="119">
        <v>0</v>
      </c>
      <c r="N82" s="62">
        <v>5.4699999999999999E-2</v>
      </c>
      <c r="O82" s="118">
        <v>6.4899999999999999E-2</v>
      </c>
      <c r="P82" s="119">
        <v>6.2899999999999998E-2</v>
      </c>
      <c r="Q82" s="119">
        <v>6.2899999999999998E-2</v>
      </c>
      <c r="R82" s="119">
        <v>0</v>
      </c>
      <c r="S82" s="62">
        <v>2.0600000000000002E-3</v>
      </c>
      <c r="T82" s="118">
        <v>0.67500000000000004</v>
      </c>
      <c r="U82" s="119">
        <v>0.622</v>
      </c>
      <c r="V82" s="119">
        <v>0.622</v>
      </c>
      <c r="W82" s="119">
        <v>0</v>
      </c>
      <c r="X82" s="62">
        <v>5.2699999999999997E-2</v>
      </c>
      <c r="Y82" s="88">
        <v>0.158</v>
      </c>
      <c r="Z82" s="62">
        <v>0.14499999999999999</v>
      </c>
      <c r="AA82" s="91">
        <v>1.29E-2</v>
      </c>
      <c r="AB82" s="91">
        <v>0</v>
      </c>
      <c r="AC82" s="67">
        <f t="shared" si="2"/>
        <v>0</v>
      </c>
      <c r="AD82" s="72" t="s">
        <v>1185</v>
      </c>
      <c r="AE82" s="69" t="s">
        <v>1178</v>
      </c>
      <c r="AF82" s="769">
        <v>0.14899999999999999</v>
      </c>
      <c r="AG82" s="773">
        <v>0.14499999999999999</v>
      </c>
      <c r="AH82" s="771">
        <v>3.2699999999999999E-3</v>
      </c>
      <c r="AI82" s="786">
        <f t="shared" si="3"/>
        <v>5.6962025316455743E-2</v>
      </c>
    </row>
    <row r="83" spans="1:35" s="25" customFormat="1">
      <c r="A83" s="93">
        <v>4.0010000000000003</v>
      </c>
      <c r="B83" s="83" t="s">
        <v>1186</v>
      </c>
      <c r="C83" s="138" t="s">
        <v>1175</v>
      </c>
      <c r="D83" s="61" t="s">
        <v>1176</v>
      </c>
      <c r="E83" s="84">
        <v>1100</v>
      </c>
      <c r="F83" s="85" t="s">
        <v>202</v>
      </c>
      <c r="G83" s="64">
        <v>242</v>
      </c>
      <c r="H83" s="65">
        <v>199</v>
      </c>
      <c r="I83" s="87">
        <v>42.7</v>
      </c>
      <c r="J83" s="134">
        <v>0.74399999999999999</v>
      </c>
      <c r="K83" s="135">
        <v>0.68899999999999995</v>
      </c>
      <c r="L83" s="135">
        <v>0.68899999999999995</v>
      </c>
      <c r="M83" s="135">
        <v>0</v>
      </c>
      <c r="N83" s="62">
        <v>5.4699999999999999E-2</v>
      </c>
      <c r="O83" s="134">
        <v>6.3299999999999995E-2</v>
      </c>
      <c r="P83" s="135">
        <v>6.1199999999999997E-2</v>
      </c>
      <c r="Q83" s="135">
        <v>6.1199999999999997E-2</v>
      </c>
      <c r="R83" s="135">
        <v>0</v>
      </c>
      <c r="S83" s="62">
        <v>2.0600000000000002E-3</v>
      </c>
      <c r="T83" s="134">
        <v>0.68100000000000005</v>
      </c>
      <c r="U83" s="135">
        <v>0.628</v>
      </c>
      <c r="V83" s="135">
        <v>0.628</v>
      </c>
      <c r="W83" s="135">
        <v>0</v>
      </c>
      <c r="X83" s="62">
        <v>5.2699999999999997E-2</v>
      </c>
      <c r="Y83" s="118">
        <v>0.151</v>
      </c>
      <c r="Z83" s="119">
        <v>0.13800000000000001</v>
      </c>
      <c r="AA83" s="91">
        <v>1.29E-2</v>
      </c>
      <c r="AB83" s="91">
        <v>0</v>
      </c>
      <c r="AC83" s="67">
        <f t="shared" si="2"/>
        <v>0</v>
      </c>
      <c r="AD83" s="120" t="s">
        <v>1187</v>
      </c>
      <c r="AE83" s="25" t="s">
        <v>1178</v>
      </c>
      <c r="AF83" s="774">
        <v>0.14199999999999999</v>
      </c>
      <c r="AG83" s="775">
        <v>0.13800000000000001</v>
      </c>
      <c r="AH83" s="771">
        <v>3.2699999999999999E-3</v>
      </c>
      <c r="AI83" s="786">
        <f t="shared" si="3"/>
        <v>5.9602649006622571E-2</v>
      </c>
    </row>
    <row r="84" spans="1:35" s="25" customFormat="1">
      <c r="A84" s="93">
        <v>4.0030000000000001</v>
      </c>
      <c r="B84" s="61" t="s">
        <v>1188</v>
      </c>
      <c r="C84" s="138" t="s">
        <v>1175</v>
      </c>
      <c r="D84" s="61" t="s">
        <v>1176</v>
      </c>
      <c r="E84" s="84">
        <v>1540</v>
      </c>
      <c r="F84" s="85" t="s">
        <v>202</v>
      </c>
      <c r="G84" s="94">
        <v>1740</v>
      </c>
      <c r="H84" s="95">
        <v>1700</v>
      </c>
      <c r="I84" s="87">
        <v>42.7</v>
      </c>
      <c r="J84" s="118">
        <v>5.44</v>
      </c>
      <c r="K84" s="119">
        <v>5.39</v>
      </c>
      <c r="L84" s="119">
        <v>4.6100000000000003</v>
      </c>
      <c r="M84" s="119">
        <v>0.77900000000000003</v>
      </c>
      <c r="N84" s="62">
        <v>5.4699999999999999E-2</v>
      </c>
      <c r="O84" s="118">
        <v>0.23599999999999999</v>
      </c>
      <c r="P84" s="119">
        <v>0.23400000000000001</v>
      </c>
      <c r="Q84" s="119">
        <v>0.23400000000000001</v>
      </c>
      <c r="R84" s="119">
        <v>0</v>
      </c>
      <c r="S84" s="62">
        <v>2.0600000000000002E-3</v>
      </c>
      <c r="T84" s="118">
        <v>5.2</v>
      </c>
      <c r="U84" s="119">
        <v>5.15</v>
      </c>
      <c r="V84" s="119">
        <v>4.37</v>
      </c>
      <c r="W84" s="119">
        <v>0.77900000000000003</v>
      </c>
      <c r="X84" s="62">
        <v>5.2699999999999997E-2</v>
      </c>
      <c r="Y84" s="88">
        <v>0.97199999999999998</v>
      </c>
      <c r="Z84" s="62">
        <v>0.95899999999999996</v>
      </c>
      <c r="AA84" s="91">
        <v>1.29E-2</v>
      </c>
      <c r="AB84" s="91">
        <v>0</v>
      </c>
      <c r="AC84" s="67">
        <f t="shared" si="2"/>
        <v>0</v>
      </c>
      <c r="AD84" s="72" t="s">
        <v>1189</v>
      </c>
      <c r="AE84" s="25" t="s">
        <v>1178</v>
      </c>
      <c r="AF84" s="769">
        <v>0.84599999999999997</v>
      </c>
      <c r="AG84" s="773">
        <v>0.84299999999999997</v>
      </c>
      <c r="AH84" s="771">
        <v>3.2699999999999999E-3</v>
      </c>
      <c r="AI84" s="786">
        <f t="shared" si="3"/>
        <v>0.12962962962962962</v>
      </c>
    </row>
    <row r="85" spans="1:35" s="69" customFormat="1">
      <c r="A85" s="99" t="s">
        <v>563</v>
      </c>
      <c r="B85" s="61" t="s">
        <v>1190</v>
      </c>
      <c r="C85" s="138" t="s">
        <v>1175</v>
      </c>
      <c r="D85" s="61" t="s">
        <v>1176</v>
      </c>
      <c r="E85" s="84">
        <v>1550</v>
      </c>
      <c r="F85" s="63" t="s">
        <v>202</v>
      </c>
      <c r="G85" s="94">
        <v>396</v>
      </c>
      <c r="H85" s="95">
        <v>354</v>
      </c>
      <c r="I85" s="87">
        <v>42.7</v>
      </c>
      <c r="J85" s="118">
        <v>0.85099999999999998</v>
      </c>
      <c r="K85" s="119">
        <v>0.79600000000000004</v>
      </c>
      <c r="L85" s="119">
        <v>0.79600000000000004</v>
      </c>
      <c r="M85" s="119">
        <v>0</v>
      </c>
      <c r="N85" s="62">
        <v>5.4699999999999999E-2</v>
      </c>
      <c r="O85" s="118">
        <v>0.13500000000000001</v>
      </c>
      <c r="P85" s="119">
        <v>0.13300000000000001</v>
      </c>
      <c r="Q85" s="119">
        <v>0.13300000000000001</v>
      </c>
      <c r="R85" s="119">
        <v>0</v>
      </c>
      <c r="S85" s="62">
        <v>2.0600000000000002E-3</v>
      </c>
      <c r="T85" s="118">
        <v>0.71599999999999997</v>
      </c>
      <c r="U85" s="119">
        <v>0.66300000000000003</v>
      </c>
      <c r="V85" s="119">
        <v>0.66300000000000003</v>
      </c>
      <c r="W85" s="119">
        <v>0</v>
      </c>
      <c r="X85" s="62">
        <v>5.2699999999999997E-2</v>
      </c>
      <c r="Y85" s="88">
        <v>0.26400000000000001</v>
      </c>
      <c r="Z85" s="62">
        <v>0.251</v>
      </c>
      <c r="AA85" s="91">
        <v>1.29E-2</v>
      </c>
      <c r="AB85" s="91">
        <v>0</v>
      </c>
      <c r="AC85" s="67">
        <f t="shared" si="2"/>
        <v>0</v>
      </c>
      <c r="AD85" s="72" t="s">
        <v>1191</v>
      </c>
      <c r="AE85" s="69" t="s">
        <v>1178</v>
      </c>
      <c r="AF85" s="769">
        <v>0.16</v>
      </c>
      <c r="AG85" s="773">
        <v>0.156</v>
      </c>
      <c r="AH85" s="771">
        <v>3.2699999999999999E-3</v>
      </c>
      <c r="AI85" s="786">
        <f t="shared" si="3"/>
        <v>0.39393939393939398</v>
      </c>
    </row>
    <row r="86" spans="1:35" s="25" customFormat="1">
      <c r="A86" s="93" t="s">
        <v>1192</v>
      </c>
      <c r="B86" s="83" t="s">
        <v>1193</v>
      </c>
      <c r="C86" s="82" t="s">
        <v>1175</v>
      </c>
      <c r="D86" s="83" t="s">
        <v>1176</v>
      </c>
      <c r="E86" s="117">
        <v>1800</v>
      </c>
      <c r="F86" s="85" t="s">
        <v>202</v>
      </c>
      <c r="G86" s="136">
        <v>96.5</v>
      </c>
      <c r="H86" s="123">
        <v>53.8</v>
      </c>
      <c r="I86" s="123">
        <v>42.7</v>
      </c>
      <c r="J86" s="127">
        <v>0.191</v>
      </c>
      <c r="K86" s="126">
        <v>0.13700000000000001</v>
      </c>
      <c r="L86" s="126">
        <v>0.13700000000000001</v>
      </c>
      <c r="M86" s="126">
        <v>0</v>
      </c>
      <c r="N86" s="126">
        <v>5.4699999999999999E-2</v>
      </c>
      <c r="O86" s="127">
        <v>1.8599999999999998E-2</v>
      </c>
      <c r="P86" s="126">
        <v>1.6500000000000001E-2</v>
      </c>
      <c r="Q86" s="126">
        <v>1.6500000000000001E-2</v>
      </c>
      <c r="R86" s="126">
        <v>0</v>
      </c>
      <c r="S86" s="126">
        <v>2.0600000000000002E-3</v>
      </c>
      <c r="T86" s="127">
        <v>0.17299999999999999</v>
      </c>
      <c r="U86" s="126">
        <v>0.12</v>
      </c>
      <c r="V86" s="126">
        <v>0.12</v>
      </c>
      <c r="W86" s="126">
        <v>0</v>
      </c>
      <c r="X86" s="126">
        <v>5.2699999999999997E-2</v>
      </c>
      <c r="Y86" s="127">
        <v>3.2500000000000001E-2</v>
      </c>
      <c r="Z86" s="126">
        <v>1.9599999999999999E-2</v>
      </c>
      <c r="AA86" s="128">
        <v>1.29E-2</v>
      </c>
      <c r="AB86" s="128">
        <v>0</v>
      </c>
      <c r="AC86" s="67">
        <f t="shared" si="2"/>
        <v>0</v>
      </c>
      <c r="AD86" s="120" t="s">
        <v>1194</v>
      </c>
      <c r="AE86" s="25" t="s">
        <v>1178</v>
      </c>
      <c r="AF86" s="769">
        <v>1.4E-2</v>
      </c>
      <c r="AG86" s="773">
        <v>1.26E-2</v>
      </c>
      <c r="AH86" s="771">
        <v>1.4E-3</v>
      </c>
      <c r="AI86" s="786">
        <f t="shared" si="3"/>
        <v>0.56923076923076932</v>
      </c>
    </row>
    <row r="87" spans="1:35" s="69" customFormat="1">
      <c r="A87" s="99" t="s">
        <v>1195</v>
      </c>
      <c r="B87" s="61" t="s">
        <v>1196</v>
      </c>
      <c r="C87" s="138" t="s">
        <v>1175</v>
      </c>
      <c r="D87" s="61" t="s">
        <v>1176</v>
      </c>
      <c r="E87" s="84">
        <v>1000</v>
      </c>
      <c r="F87" s="63" t="s">
        <v>202</v>
      </c>
      <c r="G87" s="94">
        <v>575</v>
      </c>
      <c r="H87" s="95">
        <v>533</v>
      </c>
      <c r="I87" s="87">
        <v>42.7</v>
      </c>
      <c r="J87" s="118">
        <v>1.4</v>
      </c>
      <c r="K87" s="119">
        <v>1.34</v>
      </c>
      <c r="L87" s="119">
        <v>1.34</v>
      </c>
      <c r="M87" s="119">
        <v>0</v>
      </c>
      <c r="N87" s="62">
        <v>5.4699999999999999E-2</v>
      </c>
      <c r="O87" s="118">
        <v>0.16300000000000001</v>
      </c>
      <c r="P87" s="119">
        <v>0.161</v>
      </c>
      <c r="Q87" s="119">
        <v>0.161</v>
      </c>
      <c r="R87" s="119">
        <v>0</v>
      </c>
      <c r="S87" s="62">
        <v>2.0600000000000002E-3</v>
      </c>
      <c r="T87" s="118">
        <v>1.23</v>
      </c>
      <c r="U87" s="119">
        <v>1.18</v>
      </c>
      <c r="V87" s="119">
        <v>1.18</v>
      </c>
      <c r="W87" s="119">
        <v>0</v>
      </c>
      <c r="X87" s="62">
        <v>5.2699999999999997E-2</v>
      </c>
      <c r="Y87" s="88">
        <v>0.373</v>
      </c>
      <c r="Z87" s="62">
        <v>0.36</v>
      </c>
      <c r="AA87" s="91">
        <v>1.29E-2</v>
      </c>
      <c r="AB87" s="91">
        <v>0</v>
      </c>
      <c r="AC87" s="67">
        <f t="shared" si="2"/>
        <v>0</v>
      </c>
      <c r="AD87" s="72" t="s">
        <v>1197</v>
      </c>
      <c r="AE87" s="69" t="s">
        <v>1178</v>
      </c>
      <c r="AF87" s="769">
        <v>0.19700000000000001</v>
      </c>
      <c r="AG87" s="773">
        <v>0.19400000000000001</v>
      </c>
      <c r="AH87" s="771">
        <v>3.2699999999999999E-3</v>
      </c>
      <c r="AI87" s="786">
        <f t="shared" si="3"/>
        <v>0.47184986595174261</v>
      </c>
    </row>
    <row r="88" spans="1:35" s="69" customFormat="1">
      <c r="A88" s="99" t="s">
        <v>1198</v>
      </c>
      <c r="B88" s="61" t="s">
        <v>1199</v>
      </c>
      <c r="C88" s="138" t="s">
        <v>1175</v>
      </c>
      <c r="D88" s="61" t="s">
        <v>1176</v>
      </c>
      <c r="E88" s="84">
        <v>1880</v>
      </c>
      <c r="F88" s="63" t="s">
        <v>202</v>
      </c>
      <c r="G88" s="94">
        <v>1880</v>
      </c>
      <c r="H88" s="95">
        <v>1840</v>
      </c>
      <c r="I88" s="87">
        <v>42.7</v>
      </c>
      <c r="J88" s="118">
        <v>5.77</v>
      </c>
      <c r="K88" s="119">
        <v>5.71</v>
      </c>
      <c r="L88" s="119">
        <v>5.71</v>
      </c>
      <c r="M88" s="119">
        <v>0</v>
      </c>
      <c r="N88" s="62">
        <v>5.4699999999999999E-2</v>
      </c>
      <c r="O88" s="118">
        <v>0.27500000000000002</v>
      </c>
      <c r="P88" s="119">
        <v>0.27300000000000002</v>
      </c>
      <c r="Q88" s="119">
        <v>0.27300000000000002</v>
      </c>
      <c r="R88" s="119">
        <v>0</v>
      </c>
      <c r="S88" s="62">
        <v>2.0600000000000002E-3</v>
      </c>
      <c r="T88" s="118">
        <v>5.49</v>
      </c>
      <c r="U88" s="119">
        <v>5.44</v>
      </c>
      <c r="V88" s="119">
        <v>5.44</v>
      </c>
      <c r="W88" s="119">
        <v>0</v>
      </c>
      <c r="X88" s="62">
        <v>5.2699999999999997E-2</v>
      </c>
      <c r="Y88" s="89">
        <v>1.08</v>
      </c>
      <c r="Z88" s="90">
        <v>1.07</v>
      </c>
      <c r="AA88" s="91">
        <v>1.29E-2</v>
      </c>
      <c r="AB88" s="91">
        <v>0</v>
      </c>
      <c r="AC88" s="67">
        <f t="shared" si="2"/>
        <v>0</v>
      </c>
      <c r="AD88" s="72" t="s">
        <v>1200</v>
      </c>
      <c r="AE88" s="69" t="s">
        <v>1178</v>
      </c>
      <c r="AF88" s="776">
        <v>0.94</v>
      </c>
      <c r="AG88" s="770">
        <v>0.93700000000000006</v>
      </c>
      <c r="AH88" s="771">
        <v>3.2699999999999999E-3</v>
      </c>
      <c r="AI88" s="786">
        <f t="shared" si="3"/>
        <v>0.12962962962962973</v>
      </c>
    </row>
    <row r="89" spans="1:35" s="69" customFormat="1">
      <c r="A89" s="99" t="s">
        <v>1201</v>
      </c>
      <c r="B89" s="61" t="s">
        <v>1202</v>
      </c>
      <c r="C89" s="138" t="s">
        <v>1175</v>
      </c>
      <c r="D89" s="61" t="s">
        <v>1176</v>
      </c>
      <c r="E89" s="84">
        <v>1670</v>
      </c>
      <c r="F89" s="63" t="s">
        <v>202</v>
      </c>
      <c r="G89" s="94">
        <v>2010</v>
      </c>
      <c r="H89" s="95">
        <v>1970</v>
      </c>
      <c r="I89" s="87">
        <v>42.7</v>
      </c>
      <c r="J89" s="118">
        <v>6.45</v>
      </c>
      <c r="K89" s="119">
        <v>6.4</v>
      </c>
      <c r="L89" s="119">
        <v>6.4</v>
      </c>
      <c r="M89" s="119">
        <v>0</v>
      </c>
      <c r="N89" s="62">
        <v>5.4699999999999999E-2</v>
      </c>
      <c r="O89" s="118">
        <v>0.35799999999999998</v>
      </c>
      <c r="P89" s="119">
        <v>0.35499999999999998</v>
      </c>
      <c r="Q89" s="119">
        <v>0.35499999999999998</v>
      </c>
      <c r="R89" s="119">
        <v>0</v>
      </c>
      <c r="S89" s="62">
        <v>2.0600000000000002E-3</v>
      </c>
      <c r="T89" s="118">
        <v>6.09</v>
      </c>
      <c r="U89" s="119">
        <v>6.04</v>
      </c>
      <c r="V89" s="119">
        <v>6.04</v>
      </c>
      <c r="W89" s="119">
        <v>0</v>
      </c>
      <c r="X89" s="62">
        <v>5.2699999999999997E-2</v>
      </c>
      <c r="Y89" s="89">
        <v>1.1399999999999999</v>
      </c>
      <c r="Z89" s="90">
        <v>1.1299999999999999</v>
      </c>
      <c r="AA89" s="91">
        <v>1.29E-2</v>
      </c>
      <c r="AB89" s="91">
        <v>0</v>
      </c>
      <c r="AC89" s="67">
        <f t="shared" si="2"/>
        <v>0</v>
      </c>
      <c r="AD89" s="72" t="s">
        <v>1203</v>
      </c>
      <c r="AE89" s="69" t="s">
        <v>1178</v>
      </c>
      <c r="AF89" s="776">
        <v>0.99099999999999999</v>
      </c>
      <c r="AG89" s="770">
        <v>0.98699999999999999</v>
      </c>
      <c r="AH89" s="771">
        <v>3.2699999999999999E-3</v>
      </c>
      <c r="AI89" s="786">
        <f t="shared" si="3"/>
        <v>0.13070175438596485</v>
      </c>
    </row>
    <row r="90" spans="1:35" s="69" customFormat="1">
      <c r="A90" s="99" t="s">
        <v>1204</v>
      </c>
      <c r="B90" s="61" t="s">
        <v>1205</v>
      </c>
      <c r="C90" s="138" t="s">
        <v>1175</v>
      </c>
      <c r="D90" s="61" t="s">
        <v>1176</v>
      </c>
      <c r="E90" s="84">
        <v>1350</v>
      </c>
      <c r="F90" s="63" t="s">
        <v>202</v>
      </c>
      <c r="G90" s="94">
        <v>747</v>
      </c>
      <c r="H90" s="95">
        <v>704</v>
      </c>
      <c r="I90" s="87">
        <v>42.7</v>
      </c>
      <c r="J90" s="118">
        <v>1.9</v>
      </c>
      <c r="K90" s="119">
        <v>1.84</v>
      </c>
      <c r="L90" s="119">
        <v>1.84</v>
      </c>
      <c r="M90" s="119">
        <v>0</v>
      </c>
      <c r="N90" s="62">
        <v>5.4699999999999999E-2</v>
      </c>
      <c r="O90" s="118">
        <v>0.129</v>
      </c>
      <c r="P90" s="119">
        <v>0.127</v>
      </c>
      <c r="Q90" s="119">
        <v>0.127</v>
      </c>
      <c r="R90" s="119">
        <v>0</v>
      </c>
      <c r="S90" s="62">
        <v>2.0600000000000002E-3</v>
      </c>
      <c r="T90" s="118">
        <v>1.77</v>
      </c>
      <c r="U90" s="119">
        <v>1.72</v>
      </c>
      <c r="V90" s="119">
        <v>1.72</v>
      </c>
      <c r="W90" s="119">
        <v>0</v>
      </c>
      <c r="X90" s="62">
        <v>5.2699999999999997E-2</v>
      </c>
      <c r="Y90" s="89">
        <v>0.51100000000000001</v>
      </c>
      <c r="Z90" s="90">
        <v>0.498</v>
      </c>
      <c r="AA90" s="91">
        <v>1.29E-2</v>
      </c>
      <c r="AB90" s="91">
        <v>0</v>
      </c>
      <c r="AC90" s="67">
        <f t="shared" si="2"/>
        <v>0</v>
      </c>
      <c r="AD90" s="72" t="s">
        <v>1206</v>
      </c>
      <c r="AE90" s="69" t="s">
        <v>1178</v>
      </c>
      <c r="AF90" s="776">
        <v>0.442</v>
      </c>
      <c r="AG90" s="770">
        <v>0.438</v>
      </c>
      <c r="AH90" s="771">
        <v>3.2699999999999999E-3</v>
      </c>
      <c r="AI90" s="786">
        <f t="shared" si="3"/>
        <v>0.13502935420743642</v>
      </c>
    </row>
    <row r="91" spans="1:35" s="25" customFormat="1">
      <c r="A91" s="93" t="s">
        <v>1207</v>
      </c>
      <c r="B91" s="61" t="s">
        <v>1208</v>
      </c>
      <c r="C91" s="138" t="s">
        <v>1054</v>
      </c>
      <c r="D91" s="61" t="s">
        <v>1055</v>
      </c>
      <c r="E91" s="117">
        <v>2000</v>
      </c>
      <c r="F91" s="85" t="s">
        <v>202</v>
      </c>
      <c r="G91" s="94">
        <v>216</v>
      </c>
      <c r="H91" s="87">
        <v>173</v>
      </c>
      <c r="I91" s="87">
        <v>42.7</v>
      </c>
      <c r="J91" s="118">
        <v>0.46200000000000002</v>
      </c>
      <c r="K91" s="119">
        <v>0.40699999999999997</v>
      </c>
      <c r="L91" s="119">
        <v>0.40699999999999997</v>
      </c>
      <c r="M91" s="119">
        <v>0</v>
      </c>
      <c r="N91" s="62">
        <v>5.5E-2</v>
      </c>
      <c r="O91" s="118">
        <v>3.1699999999999999E-2</v>
      </c>
      <c r="P91" s="119">
        <v>2.9499999999999998E-2</v>
      </c>
      <c r="Q91" s="119">
        <v>2.9499999999999998E-2</v>
      </c>
      <c r="R91" s="119">
        <v>0</v>
      </c>
      <c r="S91" s="62">
        <v>2.1900000000000001E-3</v>
      </c>
      <c r="T91" s="118">
        <v>0.43</v>
      </c>
      <c r="U91" s="119">
        <v>0.377</v>
      </c>
      <c r="V91" s="119">
        <v>0.377</v>
      </c>
      <c r="W91" s="119">
        <v>0</v>
      </c>
      <c r="X91" s="62">
        <v>5.2900000000000003E-2</v>
      </c>
      <c r="Y91" s="89">
        <v>9.1600000000000001E-2</v>
      </c>
      <c r="Z91" s="90">
        <v>7.8799999999999995E-2</v>
      </c>
      <c r="AA91" s="90">
        <v>1.2800000000000001E-2</v>
      </c>
      <c r="AB91" s="90">
        <v>0</v>
      </c>
      <c r="AC91" s="67">
        <f t="shared" si="2"/>
        <v>0</v>
      </c>
      <c r="AD91" s="72" t="s">
        <v>1209</v>
      </c>
      <c r="AE91" s="25" t="s">
        <v>1057</v>
      </c>
      <c r="AF91" s="776">
        <v>6.1699999999999998E-2</v>
      </c>
      <c r="AG91" s="770">
        <v>5.8200000000000002E-2</v>
      </c>
      <c r="AH91" s="770">
        <v>3.5300000000000002E-3</v>
      </c>
      <c r="AI91" s="786">
        <f t="shared" si="3"/>
        <v>0.32641921397379914</v>
      </c>
    </row>
    <row r="92" spans="1:35" s="25" customFormat="1">
      <c r="A92" s="93" t="s">
        <v>780</v>
      </c>
      <c r="B92" s="61" t="s">
        <v>1210</v>
      </c>
      <c r="C92" s="138" t="s">
        <v>1054</v>
      </c>
      <c r="D92" s="61" t="s">
        <v>1055</v>
      </c>
      <c r="E92" s="117">
        <v>1850</v>
      </c>
      <c r="F92" s="85" t="s">
        <v>202</v>
      </c>
      <c r="G92" s="94">
        <v>206</v>
      </c>
      <c r="H92" s="95">
        <v>163</v>
      </c>
      <c r="I92" s="87">
        <v>42.7</v>
      </c>
      <c r="J92" s="118">
        <v>0.26800000000000002</v>
      </c>
      <c r="K92" s="119">
        <v>0.21299999999999999</v>
      </c>
      <c r="L92" s="119">
        <v>0.21299999999999999</v>
      </c>
      <c r="M92" s="119">
        <v>0</v>
      </c>
      <c r="N92" s="62">
        <v>5.5E-2</v>
      </c>
      <c r="O92" s="118">
        <v>3.6200000000000003E-2</v>
      </c>
      <c r="P92" s="119">
        <v>3.4000000000000002E-2</v>
      </c>
      <c r="Q92" s="119">
        <v>3.4000000000000002E-2</v>
      </c>
      <c r="R92" s="119">
        <v>0</v>
      </c>
      <c r="S92" s="62">
        <v>2.1900000000000001E-3</v>
      </c>
      <c r="T92" s="118">
        <v>0.23200000000000001</v>
      </c>
      <c r="U92" s="62">
        <v>0.17899999999999999</v>
      </c>
      <c r="V92" s="62">
        <v>0.17899999999999999</v>
      </c>
      <c r="W92" s="62">
        <v>0</v>
      </c>
      <c r="X92" s="62">
        <v>5.2900000000000003E-2</v>
      </c>
      <c r="Y92" s="88">
        <v>0.12</v>
      </c>
      <c r="Z92" s="62">
        <v>0.108</v>
      </c>
      <c r="AA92" s="91">
        <v>1.2800000000000001E-2</v>
      </c>
      <c r="AB92" s="91">
        <v>0</v>
      </c>
      <c r="AC92" s="67">
        <f t="shared" si="2"/>
        <v>0</v>
      </c>
      <c r="AD92" s="72" t="s">
        <v>1211</v>
      </c>
      <c r="AE92" s="25" t="s">
        <v>1057</v>
      </c>
      <c r="AF92" s="769">
        <v>2.7799999999999998E-2</v>
      </c>
      <c r="AG92" s="773">
        <v>2.46E-2</v>
      </c>
      <c r="AH92" s="771">
        <v>3.2699999999999999E-3</v>
      </c>
      <c r="AI92" s="786">
        <f t="shared" si="3"/>
        <v>0.76833333333333342</v>
      </c>
    </row>
    <row r="93" spans="1:35" s="25" customFormat="1">
      <c r="A93" s="93" t="s">
        <v>1212</v>
      </c>
      <c r="B93" s="83" t="s">
        <v>1213</v>
      </c>
      <c r="C93" s="138" t="s">
        <v>1175</v>
      </c>
      <c r="D93" s="61" t="s">
        <v>1176</v>
      </c>
      <c r="E93" s="117">
        <v>250</v>
      </c>
      <c r="F93" s="85" t="s">
        <v>202</v>
      </c>
      <c r="G93" s="94">
        <v>965</v>
      </c>
      <c r="H93" s="95">
        <v>922</v>
      </c>
      <c r="I93" s="87">
        <v>42.7</v>
      </c>
      <c r="J93" s="118">
        <v>1.94</v>
      </c>
      <c r="K93" s="119">
        <v>1.88</v>
      </c>
      <c r="L93" s="119">
        <v>1.46</v>
      </c>
      <c r="M93" s="119">
        <v>0.42399999999999999</v>
      </c>
      <c r="N93" s="62">
        <v>5.4699999999999999E-2</v>
      </c>
      <c r="O93" s="118">
        <v>0.14899999999999999</v>
      </c>
      <c r="P93" s="119">
        <v>0.14699999999999999</v>
      </c>
      <c r="Q93" s="119">
        <v>0.14699999999999999</v>
      </c>
      <c r="R93" s="119">
        <v>0</v>
      </c>
      <c r="S93" s="62">
        <v>2.0600000000000002E-3</v>
      </c>
      <c r="T93" s="118">
        <v>1.79</v>
      </c>
      <c r="U93" s="119">
        <v>1.74</v>
      </c>
      <c r="V93" s="119">
        <v>1.31</v>
      </c>
      <c r="W93" s="119">
        <v>0.42399999999999999</v>
      </c>
      <c r="X93" s="62">
        <v>5.2699999999999997E-2</v>
      </c>
      <c r="Y93" s="88">
        <v>0.72699999999999998</v>
      </c>
      <c r="Z93" s="62">
        <v>0.71499999999999997</v>
      </c>
      <c r="AA93" s="91">
        <v>1.29E-2</v>
      </c>
      <c r="AB93" s="91">
        <v>0</v>
      </c>
      <c r="AC93" s="67">
        <f t="shared" si="2"/>
        <v>0</v>
      </c>
      <c r="AD93" s="120" t="s">
        <v>1214</v>
      </c>
      <c r="AE93" s="25" t="s">
        <v>1178</v>
      </c>
      <c r="AF93" s="769">
        <v>0.20699999999999999</v>
      </c>
      <c r="AG93" s="773">
        <v>0.20399999999999999</v>
      </c>
      <c r="AH93" s="771">
        <v>3.2699999999999999E-3</v>
      </c>
      <c r="AI93" s="786">
        <f t="shared" si="3"/>
        <v>0.71526822558459424</v>
      </c>
    </row>
    <row r="94" spans="1:35" s="69" customFormat="1">
      <c r="A94" s="99" t="s">
        <v>119</v>
      </c>
      <c r="B94" s="61" t="s">
        <v>1215</v>
      </c>
      <c r="C94" s="138" t="s">
        <v>1175</v>
      </c>
      <c r="D94" s="61" t="s">
        <v>1176</v>
      </c>
      <c r="E94" s="84">
        <v>1550</v>
      </c>
      <c r="F94" s="63" t="s">
        <v>202</v>
      </c>
      <c r="G94" s="94">
        <v>508</v>
      </c>
      <c r="H94" s="95">
        <v>465</v>
      </c>
      <c r="I94" s="87">
        <v>42.7</v>
      </c>
      <c r="J94" s="118">
        <v>1.04</v>
      </c>
      <c r="K94" s="119">
        <v>0.98699999999999999</v>
      </c>
      <c r="L94" s="119">
        <v>0.98699999999999999</v>
      </c>
      <c r="M94" s="119">
        <v>0</v>
      </c>
      <c r="N94" s="62">
        <v>5.4699999999999999E-2</v>
      </c>
      <c r="O94" s="118">
        <v>0.13900000000000001</v>
      </c>
      <c r="P94" s="119">
        <v>0.13700000000000001</v>
      </c>
      <c r="Q94" s="119">
        <v>0.13700000000000001</v>
      </c>
      <c r="R94" s="119">
        <v>0</v>
      </c>
      <c r="S94" s="62">
        <v>2.0600000000000002E-3</v>
      </c>
      <c r="T94" s="118">
        <v>0.90200000000000002</v>
      </c>
      <c r="U94" s="119">
        <v>0.84899999999999998</v>
      </c>
      <c r="V94" s="119">
        <v>0.84899999999999998</v>
      </c>
      <c r="W94" s="119">
        <v>0</v>
      </c>
      <c r="X94" s="62">
        <v>5.2699999999999997E-2</v>
      </c>
      <c r="Y94" s="88">
        <v>0.35399999999999998</v>
      </c>
      <c r="Z94" s="62">
        <v>0.34100000000000003</v>
      </c>
      <c r="AA94" s="91">
        <v>1.29E-2</v>
      </c>
      <c r="AB94" s="91">
        <v>0</v>
      </c>
      <c r="AC94" s="67">
        <f t="shared" si="2"/>
        <v>0</v>
      </c>
      <c r="AD94" s="72" t="s">
        <v>1216</v>
      </c>
      <c r="AE94" s="69" t="s">
        <v>1178</v>
      </c>
      <c r="AF94" s="769">
        <v>0.30299999999999999</v>
      </c>
      <c r="AG94" s="773">
        <v>0.3</v>
      </c>
      <c r="AH94" s="771">
        <v>3.2699999999999999E-3</v>
      </c>
      <c r="AI94" s="786">
        <f t="shared" si="3"/>
        <v>0.14406779661016947</v>
      </c>
    </row>
    <row r="95" spans="1:35" s="25" customFormat="1">
      <c r="A95" s="93">
        <v>4.0090000000000003</v>
      </c>
      <c r="B95" s="83" t="s">
        <v>1217</v>
      </c>
      <c r="C95" s="138" t="s">
        <v>1175</v>
      </c>
      <c r="D95" s="61" t="s">
        <v>1176</v>
      </c>
      <c r="E95" s="84">
        <v>1550</v>
      </c>
      <c r="F95" s="85" t="s">
        <v>202</v>
      </c>
      <c r="G95" s="94">
        <v>392</v>
      </c>
      <c r="H95" s="95">
        <v>349</v>
      </c>
      <c r="I95" s="87">
        <v>42.7</v>
      </c>
      <c r="J95" s="118">
        <v>0.78200000000000003</v>
      </c>
      <c r="K95" s="119">
        <v>0.72699999999999998</v>
      </c>
      <c r="L95" s="119">
        <v>0.72699999999999998</v>
      </c>
      <c r="M95" s="119">
        <v>0</v>
      </c>
      <c r="N95" s="62">
        <v>5.4699999999999999E-2</v>
      </c>
      <c r="O95" s="118">
        <v>0.127</v>
      </c>
      <c r="P95" s="119">
        <v>0.125</v>
      </c>
      <c r="Q95" s="119">
        <v>0.125</v>
      </c>
      <c r="R95" s="119">
        <v>0</v>
      </c>
      <c r="S95" s="62">
        <v>2.0600000000000002E-3</v>
      </c>
      <c r="T95" s="118">
        <v>0.65500000000000003</v>
      </c>
      <c r="U95" s="119">
        <v>0.60199999999999998</v>
      </c>
      <c r="V95" s="119">
        <v>0.60199999999999998</v>
      </c>
      <c r="W95" s="119">
        <v>0</v>
      </c>
      <c r="X95" s="62">
        <v>5.2699999999999997E-2</v>
      </c>
      <c r="Y95" s="88">
        <v>0.26100000000000001</v>
      </c>
      <c r="Z95" s="62">
        <v>0.249</v>
      </c>
      <c r="AA95" s="91">
        <v>1.29E-2</v>
      </c>
      <c r="AB95" s="91">
        <v>0</v>
      </c>
      <c r="AC95" s="67">
        <f t="shared" si="2"/>
        <v>0</v>
      </c>
      <c r="AD95" s="120" t="s">
        <v>1218</v>
      </c>
      <c r="AE95" s="25" t="s">
        <v>1178</v>
      </c>
      <c r="AF95" s="769">
        <v>9.6699999999999994E-2</v>
      </c>
      <c r="AG95" s="773">
        <v>9.35E-2</v>
      </c>
      <c r="AH95" s="771">
        <v>3.2699999999999999E-3</v>
      </c>
      <c r="AI95" s="786">
        <f t="shared" si="3"/>
        <v>0.6295019157088122</v>
      </c>
    </row>
    <row r="96" spans="1:35" s="25" customFormat="1" ht="14.25">
      <c r="A96" s="113" t="s">
        <v>1219</v>
      </c>
      <c r="B96" s="113" t="s">
        <v>1220</v>
      </c>
      <c r="C96" s="75"/>
      <c r="D96" s="76"/>
      <c r="E96" s="77" t="s">
        <v>1221</v>
      </c>
      <c r="F96" s="78"/>
      <c r="G96" s="78"/>
      <c r="H96" s="78"/>
      <c r="I96" s="78"/>
      <c r="J96" s="114"/>
      <c r="K96" s="139"/>
      <c r="L96" s="139"/>
      <c r="M96" s="139"/>
      <c r="N96" s="115"/>
      <c r="O96" s="114"/>
      <c r="P96" s="139"/>
      <c r="Q96" s="139"/>
      <c r="R96" s="139"/>
      <c r="S96" s="115"/>
      <c r="T96" s="79"/>
      <c r="U96" s="80"/>
      <c r="V96" s="80"/>
      <c r="W96" s="80"/>
      <c r="X96" s="80"/>
      <c r="Y96" s="79"/>
      <c r="Z96" s="80"/>
      <c r="AA96" s="80"/>
      <c r="AB96" s="80"/>
      <c r="AC96" s="80"/>
      <c r="AD96" s="116" t="s">
        <v>1222</v>
      </c>
      <c r="AI96" s="786"/>
    </row>
    <row r="97" spans="1:35" s="25" customFormat="1">
      <c r="A97" s="93" t="s">
        <v>658</v>
      </c>
      <c r="B97" s="83" t="s">
        <v>1223</v>
      </c>
      <c r="C97" s="100" t="s">
        <v>1224</v>
      </c>
      <c r="D97" s="61" t="s">
        <v>1225</v>
      </c>
      <c r="E97" s="85" t="s">
        <v>893</v>
      </c>
      <c r="F97" s="85" t="s">
        <v>39</v>
      </c>
      <c r="G97" s="132">
        <v>349000</v>
      </c>
      <c r="H97" s="133">
        <v>334000</v>
      </c>
      <c r="I97" s="133">
        <v>15500</v>
      </c>
      <c r="J97" s="140">
        <v>798</v>
      </c>
      <c r="K97" s="117">
        <v>792</v>
      </c>
      <c r="L97" s="117">
        <v>792</v>
      </c>
      <c r="M97" s="117">
        <v>0</v>
      </c>
      <c r="N97" s="141">
        <v>5.72</v>
      </c>
      <c r="O97" s="140">
        <v>74.3</v>
      </c>
      <c r="P97" s="117">
        <v>73.8</v>
      </c>
      <c r="Q97" s="117">
        <v>73.8</v>
      </c>
      <c r="R97" s="117">
        <v>0</v>
      </c>
      <c r="S97" s="141">
        <v>0.48099999999999998</v>
      </c>
      <c r="T97" s="140">
        <v>723</v>
      </c>
      <c r="U97" s="117">
        <v>718</v>
      </c>
      <c r="V97" s="117">
        <v>718</v>
      </c>
      <c r="W97" s="117">
        <v>0</v>
      </c>
      <c r="X97" s="141">
        <v>5.24</v>
      </c>
      <c r="Y97" s="142">
        <v>193</v>
      </c>
      <c r="Z97" s="141">
        <v>180</v>
      </c>
      <c r="AA97" s="141">
        <v>13.1</v>
      </c>
      <c r="AB97" s="141">
        <v>0</v>
      </c>
      <c r="AC97" s="67">
        <f t="shared" si="2"/>
        <v>0</v>
      </c>
      <c r="AD97" s="120" t="s">
        <v>1226</v>
      </c>
      <c r="AE97" s="25" t="s">
        <v>1227</v>
      </c>
      <c r="AF97" s="759">
        <v>108</v>
      </c>
      <c r="AG97" s="760">
        <v>96.1</v>
      </c>
      <c r="AH97" s="760">
        <v>11.7</v>
      </c>
      <c r="AI97" s="786">
        <f t="shared" si="3"/>
        <v>0.44041450777202074</v>
      </c>
    </row>
    <row r="98" spans="1:35" s="69" customFormat="1" ht="14.25" customHeight="1">
      <c r="A98" s="99" t="s">
        <v>642</v>
      </c>
      <c r="B98" s="61" t="s">
        <v>641</v>
      </c>
      <c r="C98" s="138" t="s">
        <v>1228</v>
      </c>
      <c r="D98" s="61" t="s">
        <v>1229</v>
      </c>
      <c r="E98" s="63">
        <v>7.1</v>
      </c>
      <c r="F98" s="63" t="s">
        <v>39</v>
      </c>
      <c r="G98" s="64">
        <v>74900</v>
      </c>
      <c r="H98" s="65">
        <v>66700</v>
      </c>
      <c r="I98" s="65">
        <v>8270</v>
      </c>
      <c r="J98" s="143">
        <v>216</v>
      </c>
      <c r="K98" s="84">
        <v>215</v>
      </c>
      <c r="L98" s="84">
        <v>215</v>
      </c>
      <c r="M98" s="84">
        <v>0</v>
      </c>
      <c r="N98" s="71">
        <v>0.92400000000000004</v>
      </c>
      <c r="O98" s="143">
        <v>23.9</v>
      </c>
      <c r="P98" s="84">
        <v>23.8</v>
      </c>
      <c r="Q98" s="84">
        <v>23.8</v>
      </c>
      <c r="R98" s="84">
        <v>0</v>
      </c>
      <c r="S98" s="71">
        <v>5.04E-2</v>
      </c>
      <c r="T98" s="143">
        <v>192</v>
      </c>
      <c r="U98" s="84">
        <v>192</v>
      </c>
      <c r="V98" s="84">
        <v>192</v>
      </c>
      <c r="W98" s="84">
        <v>0</v>
      </c>
      <c r="X98" s="71">
        <v>0.874</v>
      </c>
      <c r="Y98" s="70">
        <v>43.4</v>
      </c>
      <c r="Z98" s="71">
        <v>35.700000000000003</v>
      </c>
      <c r="AA98" s="71">
        <v>7.65</v>
      </c>
      <c r="AB98" s="71">
        <v>0</v>
      </c>
      <c r="AC98" s="67">
        <f t="shared" si="2"/>
        <v>0</v>
      </c>
      <c r="AD98" s="72" t="s">
        <v>1230</v>
      </c>
      <c r="AE98" s="69" t="s">
        <v>1231</v>
      </c>
      <c r="AF98" s="759">
        <v>29.7</v>
      </c>
      <c r="AG98" s="760">
        <v>21.2</v>
      </c>
      <c r="AH98" s="760">
        <v>8.5299999999999994</v>
      </c>
      <c r="AI98" s="786">
        <f t="shared" si="3"/>
        <v>0.31566820276497698</v>
      </c>
    </row>
    <row r="99" spans="1:35" s="69" customFormat="1" ht="14.25" customHeight="1">
      <c r="A99" s="99" t="s">
        <v>1232</v>
      </c>
      <c r="B99" s="61" t="s">
        <v>1233</v>
      </c>
      <c r="C99" s="138" t="s">
        <v>1234</v>
      </c>
      <c r="D99" s="61" t="s">
        <v>1235</v>
      </c>
      <c r="E99" s="63">
        <v>11.6</v>
      </c>
      <c r="F99" s="63" t="s">
        <v>39</v>
      </c>
      <c r="G99" s="64">
        <v>73400</v>
      </c>
      <c r="H99" s="65">
        <v>58400</v>
      </c>
      <c r="I99" s="65">
        <v>15000</v>
      </c>
      <c r="J99" s="143">
        <v>282</v>
      </c>
      <c r="K99" s="84">
        <v>278</v>
      </c>
      <c r="L99" s="84">
        <v>215</v>
      </c>
      <c r="M99" s="84">
        <v>63.2</v>
      </c>
      <c r="N99" s="71">
        <v>3.27</v>
      </c>
      <c r="O99" s="143">
        <v>83.7</v>
      </c>
      <c r="P99" s="84">
        <v>83.5</v>
      </c>
      <c r="Q99" s="84">
        <v>46.7</v>
      </c>
      <c r="R99" s="84">
        <v>36.700000000000003</v>
      </c>
      <c r="S99" s="71">
        <v>0.20200000000000001</v>
      </c>
      <c r="T99" s="143">
        <v>198</v>
      </c>
      <c r="U99" s="84">
        <v>195</v>
      </c>
      <c r="V99" s="84">
        <v>168</v>
      </c>
      <c r="W99" s="84">
        <v>26.5</v>
      </c>
      <c r="X99" s="71">
        <v>3.07</v>
      </c>
      <c r="Y99" s="70">
        <v>46</v>
      </c>
      <c r="Z99" s="71">
        <v>33.4</v>
      </c>
      <c r="AA99" s="71">
        <v>12.6</v>
      </c>
      <c r="AB99" s="71">
        <v>3.28</v>
      </c>
      <c r="AC99" s="67">
        <f t="shared" si="2"/>
        <v>12.026666666666666</v>
      </c>
      <c r="AD99" s="72" t="s">
        <v>1236</v>
      </c>
      <c r="AE99" s="69" t="s">
        <v>1237</v>
      </c>
      <c r="AF99" s="759">
        <v>30.6</v>
      </c>
      <c r="AG99" s="760">
        <v>27.8</v>
      </c>
      <c r="AH99" s="760">
        <v>2.81</v>
      </c>
      <c r="AI99" s="786">
        <f t="shared" si="3"/>
        <v>0.33478260869565213</v>
      </c>
    </row>
    <row r="100" spans="1:35" s="69" customFormat="1">
      <c r="A100" s="99" t="s">
        <v>1238</v>
      </c>
      <c r="B100" s="61" t="s">
        <v>1239</v>
      </c>
      <c r="C100" s="138" t="s">
        <v>1240</v>
      </c>
      <c r="D100" s="61" t="s">
        <v>1241</v>
      </c>
      <c r="E100" s="84">
        <v>78</v>
      </c>
      <c r="F100" s="63" t="s">
        <v>39</v>
      </c>
      <c r="G100" s="86">
        <v>11000</v>
      </c>
      <c r="H100" s="87">
        <v>7670</v>
      </c>
      <c r="I100" s="87">
        <v>3330</v>
      </c>
      <c r="J100" s="118">
        <v>28.5</v>
      </c>
      <c r="K100" s="119">
        <v>24.2</v>
      </c>
      <c r="L100" s="119">
        <v>24.2</v>
      </c>
      <c r="M100" s="119">
        <v>0</v>
      </c>
      <c r="N100" s="62">
        <v>4.29</v>
      </c>
      <c r="O100" s="118">
        <v>2.04</v>
      </c>
      <c r="P100" s="119">
        <v>1.87</v>
      </c>
      <c r="Q100" s="119">
        <v>1.87</v>
      </c>
      <c r="R100" s="119">
        <v>0</v>
      </c>
      <c r="S100" s="62">
        <v>0.17100000000000001</v>
      </c>
      <c r="T100" s="118">
        <v>26.4</v>
      </c>
      <c r="U100" s="119">
        <v>22.3</v>
      </c>
      <c r="V100" s="119">
        <v>22.3</v>
      </c>
      <c r="W100" s="119">
        <v>0</v>
      </c>
      <c r="X100" s="62">
        <v>4.12</v>
      </c>
      <c r="Y100" s="89">
        <v>5.75</v>
      </c>
      <c r="Z100" s="90">
        <v>4.75</v>
      </c>
      <c r="AA100" s="91">
        <v>1</v>
      </c>
      <c r="AB100" s="91">
        <v>0</v>
      </c>
      <c r="AC100" s="67">
        <f t="shared" si="2"/>
        <v>0</v>
      </c>
      <c r="AD100" s="72" t="s">
        <v>1242</v>
      </c>
      <c r="AE100" s="69" t="s">
        <v>1243</v>
      </c>
      <c r="AF100" s="776">
        <v>4.6399999999999997</v>
      </c>
      <c r="AG100" s="770">
        <v>4.45</v>
      </c>
      <c r="AH100" s="771">
        <v>0.188</v>
      </c>
      <c r="AI100" s="786">
        <f t="shared" si="3"/>
        <v>0.19304347826086962</v>
      </c>
    </row>
    <row r="101" spans="1:35" s="69" customFormat="1" ht="14.25" customHeight="1">
      <c r="A101" s="99" t="s">
        <v>1244</v>
      </c>
      <c r="B101" s="61" t="s">
        <v>1245</v>
      </c>
      <c r="C101" s="61" t="s">
        <v>1246</v>
      </c>
      <c r="D101" s="61" t="s">
        <v>1247</v>
      </c>
      <c r="E101" s="63">
        <v>2.4</v>
      </c>
      <c r="F101" s="63" t="s">
        <v>39</v>
      </c>
      <c r="G101" s="64">
        <v>31700</v>
      </c>
      <c r="H101" s="65">
        <v>25700</v>
      </c>
      <c r="I101" s="65">
        <v>6010</v>
      </c>
      <c r="J101" s="143">
        <v>79</v>
      </c>
      <c r="K101" s="84">
        <v>78.3</v>
      </c>
      <c r="L101" s="84">
        <v>69.3</v>
      </c>
      <c r="M101" s="84">
        <v>9.02</v>
      </c>
      <c r="N101" s="71">
        <v>0.68600000000000005</v>
      </c>
      <c r="O101" s="143">
        <v>3.55</v>
      </c>
      <c r="P101" s="84">
        <v>3.52</v>
      </c>
      <c r="Q101" s="84">
        <v>3.52</v>
      </c>
      <c r="R101" s="84">
        <v>0</v>
      </c>
      <c r="S101" s="71">
        <v>2.8899999999999999E-2</v>
      </c>
      <c r="T101" s="143">
        <v>75.400000000000006</v>
      </c>
      <c r="U101" s="84">
        <v>74.8</v>
      </c>
      <c r="V101" s="84">
        <v>65.8</v>
      </c>
      <c r="W101" s="84">
        <v>9.02</v>
      </c>
      <c r="X101" s="71">
        <v>0.65700000000000003</v>
      </c>
      <c r="Y101" s="70">
        <v>22.2</v>
      </c>
      <c r="Z101" s="71">
        <v>16.600000000000001</v>
      </c>
      <c r="AA101" s="71">
        <v>5.51</v>
      </c>
      <c r="AB101" s="71">
        <v>0</v>
      </c>
      <c r="AC101" s="67">
        <f t="shared" si="2"/>
        <v>0</v>
      </c>
      <c r="AD101" s="72" t="s">
        <v>1248</v>
      </c>
      <c r="AE101" s="69" t="s">
        <v>1249</v>
      </c>
      <c r="AF101" s="759">
        <v>14.8</v>
      </c>
      <c r="AG101" s="760">
        <v>13.6</v>
      </c>
      <c r="AH101" s="760">
        <v>1.1100000000000001</v>
      </c>
      <c r="AI101" s="786">
        <f t="shared" si="3"/>
        <v>0.33333333333333326</v>
      </c>
    </row>
    <row r="102" spans="1:35" s="25" customFormat="1" ht="14.25" customHeight="1">
      <c r="A102" s="93" t="s">
        <v>1250</v>
      </c>
      <c r="B102" s="61" t="s">
        <v>1251</v>
      </c>
      <c r="C102" s="138" t="s">
        <v>1252</v>
      </c>
      <c r="D102" s="61" t="s">
        <v>1253</v>
      </c>
      <c r="E102" s="85">
        <v>50.7</v>
      </c>
      <c r="F102" s="85" t="s">
        <v>39</v>
      </c>
      <c r="G102" s="64">
        <v>247000</v>
      </c>
      <c r="H102" s="65">
        <v>230000</v>
      </c>
      <c r="I102" s="65">
        <v>16200</v>
      </c>
      <c r="J102" s="143">
        <v>631</v>
      </c>
      <c r="K102" s="84">
        <v>629</v>
      </c>
      <c r="L102" s="84">
        <v>629</v>
      </c>
      <c r="M102" s="84">
        <v>0</v>
      </c>
      <c r="N102" s="71">
        <v>2.09</v>
      </c>
      <c r="O102" s="143">
        <v>77.099999999999994</v>
      </c>
      <c r="P102" s="84">
        <v>77</v>
      </c>
      <c r="Q102" s="84">
        <v>77</v>
      </c>
      <c r="R102" s="84">
        <v>0</v>
      </c>
      <c r="S102" s="71">
        <v>0.105</v>
      </c>
      <c r="T102" s="143">
        <v>554</v>
      </c>
      <c r="U102" s="84">
        <v>552</v>
      </c>
      <c r="V102" s="84">
        <v>552</v>
      </c>
      <c r="W102" s="84">
        <v>0</v>
      </c>
      <c r="X102" s="71">
        <v>1.99</v>
      </c>
      <c r="Y102" s="70">
        <v>133</v>
      </c>
      <c r="Z102" s="71">
        <v>118</v>
      </c>
      <c r="AA102" s="71">
        <v>14.9</v>
      </c>
      <c r="AB102" s="71">
        <v>0</v>
      </c>
      <c r="AC102" s="67">
        <f t="shared" si="2"/>
        <v>0</v>
      </c>
      <c r="AD102" s="72" t="s">
        <v>1254</v>
      </c>
      <c r="AE102" s="25" t="s">
        <v>1255</v>
      </c>
      <c r="AF102" s="759">
        <v>200</v>
      </c>
      <c r="AG102" s="760">
        <v>192</v>
      </c>
      <c r="AH102" s="760">
        <v>8.44</v>
      </c>
      <c r="AI102" s="786">
        <f t="shared" si="3"/>
        <v>-0.50375939849624063</v>
      </c>
    </row>
    <row r="103" spans="1:35" s="69" customFormat="1" ht="14.25" customHeight="1" outlineLevel="1">
      <c r="A103" s="101" t="s">
        <v>1256</v>
      </c>
      <c r="B103" s="102" t="s">
        <v>1257</v>
      </c>
      <c r="C103" s="102" t="s">
        <v>1258</v>
      </c>
      <c r="D103" s="102" t="s">
        <v>1259</v>
      </c>
      <c r="E103" s="104" t="s">
        <v>893</v>
      </c>
      <c r="F103" s="105" t="s">
        <v>39</v>
      </c>
      <c r="G103" s="106">
        <v>177000</v>
      </c>
      <c r="H103" s="107">
        <v>171000</v>
      </c>
      <c r="I103" s="107">
        <v>6240</v>
      </c>
      <c r="J103" s="108">
        <v>247</v>
      </c>
      <c r="K103" s="109">
        <v>247</v>
      </c>
      <c r="L103" s="109">
        <v>247</v>
      </c>
      <c r="M103" s="109">
        <v>0</v>
      </c>
      <c r="N103" s="110">
        <v>0.495</v>
      </c>
      <c r="O103" s="108">
        <v>53.9</v>
      </c>
      <c r="P103" s="109">
        <v>53.9</v>
      </c>
      <c r="Q103" s="109">
        <v>53.9</v>
      </c>
      <c r="R103" s="109">
        <v>0</v>
      </c>
      <c r="S103" s="110">
        <v>1.5599999999999999E-2</v>
      </c>
      <c r="T103" s="108">
        <v>193</v>
      </c>
      <c r="U103" s="109">
        <v>193</v>
      </c>
      <c r="V103" s="109">
        <v>193</v>
      </c>
      <c r="W103" s="109">
        <v>0</v>
      </c>
      <c r="X103" s="110">
        <v>0.48</v>
      </c>
      <c r="Y103" s="111">
        <v>55.6</v>
      </c>
      <c r="Z103" s="110">
        <v>49.6</v>
      </c>
      <c r="AA103" s="112">
        <v>5.98</v>
      </c>
      <c r="AB103" s="112">
        <v>0</v>
      </c>
      <c r="AC103" s="67">
        <f t="shared" si="2"/>
        <v>0</v>
      </c>
      <c r="AD103" s="144" t="s">
        <v>1260</v>
      </c>
      <c r="AE103" s="69" t="s">
        <v>1261</v>
      </c>
      <c r="AI103" s="786"/>
    </row>
    <row r="104" spans="1:35" s="25" customFormat="1">
      <c r="A104" s="93" t="s">
        <v>546</v>
      </c>
      <c r="B104" s="61" t="s">
        <v>1262</v>
      </c>
      <c r="C104" s="82" t="s">
        <v>1263</v>
      </c>
      <c r="D104" s="83" t="s">
        <v>1264</v>
      </c>
      <c r="E104" s="85">
        <v>80.2</v>
      </c>
      <c r="F104" s="85" t="s">
        <v>39</v>
      </c>
      <c r="G104" s="132">
        <v>78000</v>
      </c>
      <c r="H104" s="133">
        <v>70800</v>
      </c>
      <c r="I104" s="133">
        <v>7130</v>
      </c>
      <c r="J104" s="140">
        <v>362</v>
      </c>
      <c r="K104" s="117">
        <v>360</v>
      </c>
      <c r="L104" s="117">
        <v>264</v>
      </c>
      <c r="M104" s="117">
        <v>95.5</v>
      </c>
      <c r="N104" s="130">
        <v>2.0499999999999998</v>
      </c>
      <c r="O104" s="140">
        <v>190</v>
      </c>
      <c r="P104" s="117">
        <v>190</v>
      </c>
      <c r="Q104" s="117">
        <v>104</v>
      </c>
      <c r="R104" s="117">
        <v>85.7</v>
      </c>
      <c r="S104" s="130">
        <v>3.6499999999999998E-2</v>
      </c>
      <c r="T104" s="140">
        <v>172</v>
      </c>
      <c r="U104" s="117">
        <v>170</v>
      </c>
      <c r="V104" s="117">
        <v>160</v>
      </c>
      <c r="W104" s="117">
        <v>9.8000000000000007</v>
      </c>
      <c r="X104" s="130">
        <v>2.0099999999999998</v>
      </c>
      <c r="Y104" s="142">
        <v>36.4</v>
      </c>
      <c r="Z104" s="141">
        <v>30.5</v>
      </c>
      <c r="AA104" s="130">
        <v>5.89</v>
      </c>
      <c r="AB104" s="130">
        <v>7.5</v>
      </c>
      <c r="AC104" s="67">
        <f t="shared" si="2"/>
        <v>27.5</v>
      </c>
      <c r="AD104" s="72" t="s">
        <v>1265</v>
      </c>
      <c r="AE104" s="25" t="s">
        <v>1266</v>
      </c>
      <c r="AF104" s="759">
        <v>69.8</v>
      </c>
      <c r="AG104" s="760">
        <v>51.7</v>
      </c>
      <c r="AH104" s="777">
        <v>18</v>
      </c>
      <c r="AI104" s="786">
        <f t="shared" si="3"/>
        <v>-0.91758241758241754</v>
      </c>
    </row>
    <row r="105" spans="1:35" s="25" customFormat="1">
      <c r="A105" s="93" t="s">
        <v>1267</v>
      </c>
      <c r="B105" s="61" t="s">
        <v>1268</v>
      </c>
      <c r="C105" s="82" t="s">
        <v>1269</v>
      </c>
      <c r="D105" s="83" t="s">
        <v>1270</v>
      </c>
      <c r="E105" s="85" t="s">
        <v>893</v>
      </c>
      <c r="F105" s="85" t="s">
        <v>39</v>
      </c>
      <c r="G105" s="132">
        <v>59300</v>
      </c>
      <c r="H105" s="133">
        <v>55400</v>
      </c>
      <c r="I105" s="133">
        <v>3960</v>
      </c>
      <c r="J105" s="140">
        <v>253</v>
      </c>
      <c r="K105" s="117">
        <v>252</v>
      </c>
      <c r="L105" s="117">
        <v>198</v>
      </c>
      <c r="M105" s="117">
        <v>54</v>
      </c>
      <c r="N105" s="130">
        <v>1.25</v>
      </c>
      <c r="O105" s="140">
        <v>114</v>
      </c>
      <c r="P105" s="117">
        <v>114</v>
      </c>
      <c r="Q105" s="117">
        <v>67.3</v>
      </c>
      <c r="R105" s="117">
        <v>47</v>
      </c>
      <c r="S105" s="130">
        <v>2.2100000000000002E-2</v>
      </c>
      <c r="T105" s="140">
        <v>139</v>
      </c>
      <c r="U105" s="117">
        <v>138</v>
      </c>
      <c r="V105" s="117">
        <v>131</v>
      </c>
      <c r="W105" s="117">
        <v>7.03</v>
      </c>
      <c r="X105" s="130">
        <v>1.23</v>
      </c>
      <c r="Y105" s="142">
        <v>25.4</v>
      </c>
      <c r="Z105" s="141">
        <v>22</v>
      </c>
      <c r="AA105" s="130">
        <v>3.36</v>
      </c>
      <c r="AB105" s="130">
        <v>4.1100000000000003</v>
      </c>
      <c r="AC105" s="67">
        <f t="shared" si="2"/>
        <v>15.07</v>
      </c>
      <c r="AD105" s="72" t="s">
        <v>1271</v>
      </c>
      <c r="AE105" s="25" t="s">
        <v>1272</v>
      </c>
      <c r="AI105" s="786"/>
    </row>
    <row r="106" spans="1:35" s="25" customFormat="1">
      <c r="A106" s="93" t="s">
        <v>543</v>
      </c>
      <c r="B106" s="61" t="s">
        <v>1273</v>
      </c>
      <c r="C106" s="82" t="s">
        <v>1274</v>
      </c>
      <c r="D106" s="83" t="s">
        <v>1275</v>
      </c>
      <c r="E106" s="85">
        <v>83.4</v>
      </c>
      <c r="F106" s="85" t="s">
        <v>39</v>
      </c>
      <c r="G106" s="132">
        <v>134000</v>
      </c>
      <c r="H106" s="133">
        <v>126000</v>
      </c>
      <c r="I106" s="133">
        <v>8240</v>
      </c>
      <c r="J106" s="140">
        <v>479</v>
      </c>
      <c r="K106" s="117">
        <v>477</v>
      </c>
      <c r="L106" s="117">
        <v>393</v>
      </c>
      <c r="M106" s="117">
        <v>83.6</v>
      </c>
      <c r="N106" s="130">
        <v>1.94</v>
      </c>
      <c r="O106" s="140">
        <v>179</v>
      </c>
      <c r="P106" s="117">
        <v>179</v>
      </c>
      <c r="Q106" s="117">
        <v>107</v>
      </c>
      <c r="R106" s="117">
        <v>71.400000000000006</v>
      </c>
      <c r="S106" s="130">
        <v>3.7600000000000001E-2</v>
      </c>
      <c r="T106" s="140">
        <v>300</v>
      </c>
      <c r="U106" s="117">
        <v>298</v>
      </c>
      <c r="V106" s="117">
        <v>286</v>
      </c>
      <c r="W106" s="117">
        <v>12.2</v>
      </c>
      <c r="X106" s="130">
        <v>1.91</v>
      </c>
      <c r="Y106" s="142">
        <v>65.900000000000006</v>
      </c>
      <c r="Z106" s="141">
        <v>58.8</v>
      </c>
      <c r="AA106" s="130">
        <v>7.12</v>
      </c>
      <c r="AB106" s="130">
        <v>6.25</v>
      </c>
      <c r="AC106" s="67">
        <f t="shared" si="2"/>
        <v>22.916666666666664</v>
      </c>
      <c r="AD106" s="72" t="s">
        <v>1276</v>
      </c>
      <c r="AE106" s="25" t="s">
        <v>1277</v>
      </c>
      <c r="AF106" s="759">
        <v>118</v>
      </c>
      <c r="AG106" s="760">
        <v>95.4</v>
      </c>
      <c r="AH106" s="777">
        <v>22.8</v>
      </c>
      <c r="AI106" s="786">
        <f t="shared" si="3"/>
        <v>-0.79059180576631249</v>
      </c>
    </row>
    <row r="107" spans="1:35" s="25" customFormat="1" ht="25.5">
      <c r="A107" s="93" t="s">
        <v>1278</v>
      </c>
      <c r="B107" s="61" t="s">
        <v>1279</v>
      </c>
      <c r="C107" s="82" t="s">
        <v>1280</v>
      </c>
      <c r="D107" s="83" t="s">
        <v>1281</v>
      </c>
      <c r="E107" s="85" t="s">
        <v>893</v>
      </c>
      <c r="F107" s="85" t="s">
        <v>39</v>
      </c>
      <c r="G107" s="132">
        <v>79600</v>
      </c>
      <c r="H107" s="133">
        <v>71900</v>
      </c>
      <c r="I107" s="133">
        <v>7640</v>
      </c>
      <c r="J107" s="140">
        <v>306</v>
      </c>
      <c r="K107" s="117">
        <v>304</v>
      </c>
      <c r="L107" s="117">
        <v>245</v>
      </c>
      <c r="M107" s="117">
        <v>58.8</v>
      </c>
      <c r="N107" s="130">
        <v>1.49</v>
      </c>
      <c r="O107" s="140">
        <v>113</v>
      </c>
      <c r="P107" s="117">
        <v>113</v>
      </c>
      <c r="Q107" s="117">
        <v>69.599999999999994</v>
      </c>
      <c r="R107" s="117">
        <v>43.5</v>
      </c>
      <c r="S107" s="130">
        <v>3.09E-2</v>
      </c>
      <c r="T107" s="140">
        <v>193</v>
      </c>
      <c r="U107" s="117">
        <v>191</v>
      </c>
      <c r="V107" s="117">
        <v>176</v>
      </c>
      <c r="W107" s="117">
        <v>15.3</v>
      </c>
      <c r="X107" s="130">
        <v>1.46</v>
      </c>
      <c r="Y107" s="142">
        <v>38</v>
      </c>
      <c r="Z107" s="141">
        <v>31.1</v>
      </c>
      <c r="AA107" s="130">
        <v>6.9</v>
      </c>
      <c r="AB107" s="130">
        <v>3.81</v>
      </c>
      <c r="AC107" s="67">
        <f t="shared" si="2"/>
        <v>13.969999999999999</v>
      </c>
      <c r="AD107" s="72" t="s">
        <v>1282</v>
      </c>
      <c r="AE107" s="25" t="s">
        <v>1283</v>
      </c>
      <c r="AI107" s="786"/>
    </row>
    <row r="108" spans="1:35" s="25" customFormat="1">
      <c r="A108" s="93" t="s">
        <v>123</v>
      </c>
      <c r="B108" s="61" t="s">
        <v>1284</v>
      </c>
      <c r="C108" s="138" t="s">
        <v>1285</v>
      </c>
      <c r="D108" s="61" t="s">
        <v>1286</v>
      </c>
      <c r="E108" s="85">
        <v>94.5</v>
      </c>
      <c r="F108" s="85" t="s">
        <v>39</v>
      </c>
      <c r="G108" s="64">
        <v>115000</v>
      </c>
      <c r="H108" s="65">
        <v>103000</v>
      </c>
      <c r="I108" s="65">
        <v>11800</v>
      </c>
      <c r="J108" s="143">
        <v>344</v>
      </c>
      <c r="K108" s="84">
        <v>338</v>
      </c>
      <c r="L108" s="84">
        <v>257</v>
      </c>
      <c r="M108" s="84">
        <v>81.099999999999994</v>
      </c>
      <c r="N108" s="71">
        <v>5.8</v>
      </c>
      <c r="O108" s="143">
        <v>15.4</v>
      </c>
      <c r="P108" s="84">
        <v>14.9</v>
      </c>
      <c r="Q108" s="84">
        <v>14.9</v>
      </c>
      <c r="R108" s="84">
        <v>0</v>
      </c>
      <c r="S108" s="71">
        <v>0.48499999999999999</v>
      </c>
      <c r="T108" s="143">
        <v>328</v>
      </c>
      <c r="U108" s="84">
        <v>323</v>
      </c>
      <c r="V108" s="84">
        <v>242</v>
      </c>
      <c r="W108" s="84">
        <v>81.099999999999994</v>
      </c>
      <c r="X108" s="71">
        <v>5.32</v>
      </c>
      <c r="Y108" s="70">
        <v>63.5</v>
      </c>
      <c r="Z108" s="71">
        <v>53.3</v>
      </c>
      <c r="AA108" s="71">
        <v>10.199999999999999</v>
      </c>
      <c r="AB108" s="71">
        <v>0</v>
      </c>
      <c r="AC108" s="67">
        <f t="shared" si="2"/>
        <v>0</v>
      </c>
      <c r="AD108" s="72" t="s">
        <v>1287</v>
      </c>
      <c r="AE108" s="25" t="s">
        <v>1288</v>
      </c>
      <c r="AF108" s="759">
        <v>104</v>
      </c>
      <c r="AG108" s="760">
        <v>85.4</v>
      </c>
      <c r="AH108" s="760">
        <v>18.399999999999999</v>
      </c>
      <c r="AI108" s="786">
        <f t="shared" si="3"/>
        <v>-0.63779527559055116</v>
      </c>
    </row>
    <row r="109" spans="1:35" s="25" customFormat="1">
      <c r="A109" s="93" t="s">
        <v>1289</v>
      </c>
      <c r="B109" s="61" t="s">
        <v>1290</v>
      </c>
      <c r="C109" s="82" t="s">
        <v>1291</v>
      </c>
      <c r="D109" s="61" t="s">
        <v>1292</v>
      </c>
      <c r="E109" s="85">
        <v>20</v>
      </c>
      <c r="F109" s="85" t="s">
        <v>39</v>
      </c>
      <c r="G109" s="64">
        <v>70800</v>
      </c>
      <c r="H109" s="65">
        <v>65900</v>
      </c>
      <c r="I109" s="65">
        <v>4910</v>
      </c>
      <c r="J109" s="143">
        <v>178</v>
      </c>
      <c r="K109" s="84">
        <v>175</v>
      </c>
      <c r="L109" s="84">
        <v>175</v>
      </c>
      <c r="M109" s="84">
        <v>0</v>
      </c>
      <c r="N109" s="119">
        <v>2.94</v>
      </c>
      <c r="O109" s="143">
        <v>10.3</v>
      </c>
      <c r="P109" s="84">
        <v>9.98</v>
      </c>
      <c r="Q109" s="84">
        <v>9.98</v>
      </c>
      <c r="R109" s="84">
        <v>0</v>
      </c>
      <c r="S109" s="119">
        <v>0.27200000000000002</v>
      </c>
      <c r="T109" s="143">
        <v>167</v>
      </c>
      <c r="U109" s="84">
        <v>165</v>
      </c>
      <c r="V109" s="84">
        <v>165</v>
      </c>
      <c r="W109" s="84">
        <v>0</v>
      </c>
      <c r="X109" s="119">
        <v>2.67</v>
      </c>
      <c r="Y109" s="134">
        <v>44.4</v>
      </c>
      <c r="Z109" s="135">
        <v>40.799999999999997</v>
      </c>
      <c r="AA109" s="119">
        <v>3.61</v>
      </c>
      <c r="AB109" s="119">
        <v>0</v>
      </c>
      <c r="AC109" s="67">
        <f t="shared" ref="AC109:AC126" si="4">AB109*$AC$10</f>
        <v>0</v>
      </c>
      <c r="AD109" s="72" t="s">
        <v>1293</v>
      </c>
      <c r="AE109" s="25" t="s">
        <v>1294</v>
      </c>
      <c r="AF109" s="778">
        <v>14.4</v>
      </c>
      <c r="AG109" s="777">
        <v>10.6</v>
      </c>
      <c r="AH109" s="775">
        <v>3.77</v>
      </c>
      <c r="AI109" s="786">
        <f t="shared" si="3"/>
        <v>0.67567567567567566</v>
      </c>
    </row>
    <row r="110" spans="1:35" s="69" customFormat="1">
      <c r="A110" s="99" t="s">
        <v>1295</v>
      </c>
      <c r="B110" s="61" t="s">
        <v>1296</v>
      </c>
      <c r="C110" s="138" t="s">
        <v>1297</v>
      </c>
      <c r="D110" s="61" t="s">
        <v>1298</v>
      </c>
      <c r="E110" s="63">
        <v>20</v>
      </c>
      <c r="F110" s="63" t="s">
        <v>39</v>
      </c>
      <c r="G110" s="64">
        <v>79000</v>
      </c>
      <c r="H110" s="65">
        <v>74900</v>
      </c>
      <c r="I110" s="65">
        <v>4100</v>
      </c>
      <c r="J110" s="143">
        <v>208</v>
      </c>
      <c r="K110" s="84">
        <v>205</v>
      </c>
      <c r="L110" s="84">
        <v>205</v>
      </c>
      <c r="M110" s="84">
        <v>0</v>
      </c>
      <c r="N110" s="119">
        <v>2.85</v>
      </c>
      <c r="O110" s="143">
        <v>12.8</v>
      </c>
      <c r="P110" s="84">
        <v>12.6</v>
      </c>
      <c r="Q110" s="84">
        <v>12.6</v>
      </c>
      <c r="R110" s="84">
        <v>0</v>
      </c>
      <c r="S110" s="119">
        <v>0.26700000000000002</v>
      </c>
      <c r="T110" s="143">
        <v>195</v>
      </c>
      <c r="U110" s="84">
        <v>192</v>
      </c>
      <c r="V110" s="84">
        <v>192</v>
      </c>
      <c r="W110" s="84">
        <v>0</v>
      </c>
      <c r="X110" s="119">
        <v>2.58</v>
      </c>
      <c r="Y110" s="134">
        <v>48.6</v>
      </c>
      <c r="Z110" s="135">
        <v>45.8</v>
      </c>
      <c r="AA110" s="119">
        <v>2.85</v>
      </c>
      <c r="AB110" s="119">
        <v>0</v>
      </c>
      <c r="AC110" s="67">
        <f t="shared" si="4"/>
        <v>0</v>
      </c>
      <c r="AD110" s="72" t="s">
        <v>1299</v>
      </c>
      <c r="AE110" s="69" t="s">
        <v>1300</v>
      </c>
      <c r="AF110" s="778">
        <v>14.2</v>
      </c>
      <c r="AG110" s="777">
        <v>11.4</v>
      </c>
      <c r="AH110" s="775">
        <v>2.88</v>
      </c>
      <c r="AI110" s="786">
        <f t="shared" si="3"/>
        <v>0.70781893004115237</v>
      </c>
    </row>
    <row r="111" spans="1:35" s="69" customFormat="1">
      <c r="A111" s="99" t="s">
        <v>1301</v>
      </c>
      <c r="B111" s="61" t="s">
        <v>1302</v>
      </c>
      <c r="C111" s="138" t="s">
        <v>1291</v>
      </c>
      <c r="D111" s="61" t="s">
        <v>1292</v>
      </c>
      <c r="E111" s="63">
        <v>20</v>
      </c>
      <c r="F111" s="63" t="s">
        <v>39</v>
      </c>
      <c r="G111" s="64">
        <v>87100</v>
      </c>
      <c r="H111" s="65">
        <v>82200</v>
      </c>
      <c r="I111" s="65">
        <v>4910</v>
      </c>
      <c r="J111" s="143">
        <v>235</v>
      </c>
      <c r="K111" s="84">
        <v>232</v>
      </c>
      <c r="L111" s="84">
        <v>232</v>
      </c>
      <c r="M111" s="84">
        <v>0</v>
      </c>
      <c r="N111" s="119">
        <v>2.94</v>
      </c>
      <c r="O111" s="143">
        <v>18.5</v>
      </c>
      <c r="P111" s="84">
        <v>18.2</v>
      </c>
      <c r="Q111" s="84">
        <v>18.2</v>
      </c>
      <c r="R111" s="84">
        <v>0</v>
      </c>
      <c r="S111" s="119">
        <v>0.27200000000000002</v>
      </c>
      <c r="T111" s="143">
        <v>216</v>
      </c>
      <c r="U111" s="84">
        <v>214</v>
      </c>
      <c r="V111" s="84">
        <v>214</v>
      </c>
      <c r="W111" s="84">
        <v>0</v>
      </c>
      <c r="X111" s="119">
        <v>2.67</v>
      </c>
      <c r="Y111" s="134">
        <v>52.2</v>
      </c>
      <c r="Z111" s="135">
        <v>48.5</v>
      </c>
      <c r="AA111" s="119">
        <v>3.61</v>
      </c>
      <c r="AB111" s="119">
        <v>0</v>
      </c>
      <c r="AC111" s="67">
        <f t="shared" si="4"/>
        <v>0</v>
      </c>
      <c r="AD111" s="72" t="s">
        <v>1303</v>
      </c>
      <c r="AE111" s="69" t="s">
        <v>1294</v>
      </c>
      <c r="AF111" s="778">
        <v>16.2</v>
      </c>
      <c r="AG111" s="777">
        <v>12.5</v>
      </c>
      <c r="AH111" s="775">
        <v>3.77</v>
      </c>
      <c r="AI111" s="786">
        <f t="shared" si="3"/>
        <v>0.68965517241379304</v>
      </c>
    </row>
    <row r="112" spans="1:35" s="25" customFormat="1">
      <c r="A112" s="93" t="s">
        <v>1304</v>
      </c>
      <c r="B112" s="61" t="s">
        <v>1305</v>
      </c>
      <c r="C112" s="82" t="s">
        <v>1306</v>
      </c>
      <c r="D112" s="61" t="s">
        <v>1307</v>
      </c>
      <c r="E112" s="85">
        <v>20</v>
      </c>
      <c r="F112" s="85" t="s">
        <v>39</v>
      </c>
      <c r="G112" s="64">
        <v>128000</v>
      </c>
      <c r="H112" s="65">
        <v>120000</v>
      </c>
      <c r="I112" s="65">
        <v>8740</v>
      </c>
      <c r="J112" s="143">
        <v>345</v>
      </c>
      <c r="K112" s="84">
        <v>341</v>
      </c>
      <c r="L112" s="84">
        <v>341</v>
      </c>
      <c r="M112" s="84">
        <v>0</v>
      </c>
      <c r="N112" s="119">
        <v>4.55</v>
      </c>
      <c r="O112" s="143">
        <v>21.2</v>
      </c>
      <c r="P112" s="84">
        <v>20.7</v>
      </c>
      <c r="Q112" s="84">
        <v>20.7</v>
      </c>
      <c r="R112" s="84">
        <v>0</v>
      </c>
      <c r="S112" s="119">
        <v>0.41599999999999998</v>
      </c>
      <c r="T112" s="143">
        <v>324</v>
      </c>
      <c r="U112" s="84">
        <v>320</v>
      </c>
      <c r="V112" s="84">
        <v>320</v>
      </c>
      <c r="W112" s="84">
        <v>0</v>
      </c>
      <c r="X112" s="119">
        <v>4.1399999999999997</v>
      </c>
      <c r="Y112" s="134">
        <v>79.400000000000006</v>
      </c>
      <c r="Z112" s="135">
        <v>72.7</v>
      </c>
      <c r="AA112" s="119">
        <v>6.68</v>
      </c>
      <c r="AB112" s="119">
        <v>0</v>
      </c>
      <c r="AC112" s="67">
        <f t="shared" si="4"/>
        <v>0</v>
      </c>
      <c r="AD112" s="72" t="s">
        <v>1308</v>
      </c>
      <c r="AE112" s="25" t="s">
        <v>1309</v>
      </c>
      <c r="AF112" s="778">
        <v>27.4</v>
      </c>
      <c r="AG112" s="777">
        <v>20.399999999999999</v>
      </c>
      <c r="AH112" s="775">
        <v>7</v>
      </c>
      <c r="AI112" s="786">
        <f t="shared" si="3"/>
        <v>0.65491183879093207</v>
      </c>
    </row>
    <row r="113" spans="1:35" s="69" customFormat="1">
      <c r="A113" s="99" t="s">
        <v>1310</v>
      </c>
      <c r="B113" s="61" t="s">
        <v>1311</v>
      </c>
      <c r="C113" s="138" t="s">
        <v>1306</v>
      </c>
      <c r="D113" s="61" t="s">
        <v>1307</v>
      </c>
      <c r="E113" s="63">
        <v>20</v>
      </c>
      <c r="F113" s="63" t="s">
        <v>39</v>
      </c>
      <c r="G113" s="64">
        <v>145000</v>
      </c>
      <c r="H113" s="65">
        <v>136000</v>
      </c>
      <c r="I113" s="65">
        <v>8740</v>
      </c>
      <c r="J113" s="143">
        <v>403</v>
      </c>
      <c r="K113" s="84">
        <v>398</v>
      </c>
      <c r="L113" s="84">
        <v>398</v>
      </c>
      <c r="M113" s="84">
        <v>0</v>
      </c>
      <c r="N113" s="119">
        <v>4.55</v>
      </c>
      <c r="O113" s="143">
        <v>29.4</v>
      </c>
      <c r="P113" s="84">
        <v>29</v>
      </c>
      <c r="Q113" s="84">
        <v>29</v>
      </c>
      <c r="R113" s="84">
        <v>0</v>
      </c>
      <c r="S113" s="119">
        <v>0.41599999999999998</v>
      </c>
      <c r="T113" s="143">
        <v>373</v>
      </c>
      <c r="U113" s="84">
        <v>369</v>
      </c>
      <c r="V113" s="84">
        <v>369</v>
      </c>
      <c r="W113" s="84">
        <v>0</v>
      </c>
      <c r="X113" s="119">
        <v>4.1399999999999997</v>
      </c>
      <c r="Y113" s="134">
        <v>87.2</v>
      </c>
      <c r="Z113" s="135">
        <v>80.5</v>
      </c>
      <c r="AA113" s="119">
        <v>6.68</v>
      </c>
      <c r="AB113" s="119">
        <v>0</v>
      </c>
      <c r="AC113" s="67">
        <f t="shared" si="4"/>
        <v>0</v>
      </c>
      <c r="AD113" s="72" t="s">
        <v>1312</v>
      </c>
      <c r="AE113" s="69" t="s">
        <v>1309</v>
      </c>
      <c r="AF113" s="778">
        <v>29.2</v>
      </c>
      <c r="AG113" s="777">
        <v>22.2</v>
      </c>
      <c r="AH113" s="775">
        <v>7</v>
      </c>
      <c r="AI113" s="786">
        <f t="shared" si="3"/>
        <v>0.66513761467889909</v>
      </c>
    </row>
    <row r="114" spans="1:35" s="25" customFormat="1">
      <c r="A114" s="93" t="s">
        <v>1313</v>
      </c>
      <c r="B114" s="61" t="s">
        <v>1314</v>
      </c>
      <c r="C114" s="82" t="s">
        <v>1315</v>
      </c>
      <c r="D114" s="61" t="s">
        <v>1316</v>
      </c>
      <c r="E114" s="85">
        <v>30</v>
      </c>
      <c r="F114" s="85" t="s">
        <v>39</v>
      </c>
      <c r="G114" s="64">
        <v>128000</v>
      </c>
      <c r="H114" s="65">
        <v>121000</v>
      </c>
      <c r="I114" s="65">
        <v>6840</v>
      </c>
      <c r="J114" s="143">
        <v>343</v>
      </c>
      <c r="K114" s="84">
        <v>339</v>
      </c>
      <c r="L114" s="84">
        <v>339</v>
      </c>
      <c r="M114" s="84">
        <v>0</v>
      </c>
      <c r="N114" s="119">
        <v>4.3499999999999996</v>
      </c>
      <c r="O114" s="143">
        <v>22.6</v>
      </c>
      <c r="P114" s="84">
        <v>22.1</v>
      </c>
      <c r="Q114" s="84">
        <v>22.1</v>
      </c>
      <c r="R114" s="84">
        <v>0</v>
      </c>
      <c r="S114" s="119">
        <v>0.40400000000000003</v>
      </c>
      <c r="T114" s="143">
        <v>320</v>
      </c>
      <c r="U114" s="84">
        <v>316</v>
      </c>
      <c r="V114" s="84">
        <v>316</v>
      </c>
      <c r="W114" s="84">
        <v>0</v>
      </c>
      <c r="X114" s="119">
        <v>3.95</v>
      </c>
      <c r="Y114" s="134">
        <v>78.400000000000006</v>
      </c>
      <c r="Z114" s="135">
        <v>73.400000000000006</v>
      </c>
      <c r="AA114" s="119">
        <v>4.92</v>
      </c>
      <c r="AB114" s="119">
        <v>0</v>
      </c>
      <c r="AC114" s="67">
        <f t="shared" si="4"/>
        <v>0</v>
      </c>
      <c r="AD114" s="72" t="s">
        <v>1317</v>
      </c>
      <c r="AE114" s="25" t="s">
        <v>1318</v>
      </c>
      <c r="AF114" s="778">
        <v>23.3</v>
      </c>
      <c r="AG114" s="777">
        <v>18.2</v>
      </c>
      <c r="AH114" s="775">
        <v>5.09</v>
      </c>
      <c r="AI114" s="786">
        <f t="shared" si="3"/>
        <v>0.70280612244897966</v>
      </c>
    </row>
    <row r="115" spans="1:35" s="69" customFormat="1">
      <c r="A115" s="99" t="s">
        <v>668</v>
      </c>
      <c r="B115" s="61" t="s">
        <v>1319</v>
      </c>
      <c r="C115" s="138" t="s">
        <v>1320</v>
      </c>
      <c r="D115" s="61" t="s">
        <v>1321</v>
      </c>
      <c r="E115" s="63">
        <v>30</v>
      </c>
      <c r="F115" s="63" t="s">
        <v>39</v>
      </c>
      <c r="G115" s="64">
        <v>110000</v>
      </c>
      <c r="H115" s="65">
        <v>103000</v>
      </c>
      <c r="I115" s="65">
        <v>7690</v>
      </c>
      <c r="J115" s="143">
        <v>271</v>
      </c>
      <c r="K115" s="84">
        <v>267</v>
      </c>
      <c r="L115" s="84">
        <v>267</v>
      </c>
      <c r="M115" s="84">
        <v>0</v>
      </c>
      <c r="N115" s="119">
        <v>4.4400000000000004</v>
      </c>
      <c r="O115" s="143">
        <v>16.100000000000001</v>
      </c>
      <c r="P115" s="84">
        <v>15.7</v>
      </c>
      <c r="Q115" s="84">
        <v>15.7</v>
      </c>
      <c r="R115" s="84">
        <v>0</v>
      </c>
      <c r="S115" s="119">
        <v>0.41</v>
      </c>
      <c r="T115" s="143">
        <v>255</v>
      </c>
      <c r="U115" s="84">
        <v>251</v>
      </c>
      <c r="V115" s="84">
        <v>251</v>
      </c>
      <c r="W115" s="84">
        <v>0</v>
      </c>
      <c r="X115" s="119">
        <v>4.03</v>
      </c>
      <c r="Y115" s="134">
        <v>67.900000000000006</v>
      </c>
      <c r="Z115" s="135">
        <v>62.2</v>
      </c>
      <c r="AA115" s="119">
        <v>5.71</v>
      </c>
      <c r="AB115" s="119">
        <v>0</v>
      </c>
      <c r="AC115" s="67">
        <f t="shared" si="4"/>
        <v>0</v>
      </c>
      <c r="AD115" s="72" t="s">
        <v>1322</v>
      </c>
      <c r="AE115" s="69" t="s">
        <v>1323</v>
      </c>
      <c r="AF115" s="778">
        <v>22.3</v>
      </c>
      <c r="AG115" s="777">
        <v>16.3</v>
      </c>
      <c r="AH115" s="775">
        <v>6</v>
      </c>
      <c r="AI115" s="786">
        <f t="shared" si="3"/>
        <v>0.67157584683357885</v>
      </c>
    </row>
    <row r="116" spans="1:35" s="69" customFormat="1">
      <c r="A116" s="99" t="s">
        <v>1324</v>
      </c>
      <c r="B116" s="61" t="s">
        <v>1325</v>
      </c>
      <c r="C116" s="138" t="s">
        <v>1320</v>
      </c>
      <c r="D116" s="61" t="s">
        <v>1321</v>
      </c>
      <c r="E116" s="63">
        <v>30</v>
      </c>
      <c r="F116" s="63" t="s">
        <v>39</v>
      </c>
      <c r="G116" s="64">
        <v>143000</v>
      </c>
      <c r="H116" s="65">
        <v>135000</v>
      </c>
      <c r="I116" s="65">
        <v>7690</v>
      </c>
      <c r="J116" s="143">
        <v>386</v>
      </c>
      <c r="K116" s="84">
        <v>382</v>
      </c>
      <c r="L116" s="84">
        <v>382</v>
      </c>
      <c r="M116" s="84">
        <v>0</v>
      </c>
      <c r="N116" s="119">
        <v>4.4400000000000004</v>
      </c>
      <c r="O116" s="143">
        <v>32.700000000000003</v>
      </c>
      <c r="P116" s="84">
        <v>32.299999999999997</v>
      </c>
      <c r="Q116" s="84">
        <v>32.299999999999997</v>
      </c>
      <c r="R116" s="84">
        <v>0</v>
      </c>
      <c r="S116" s="119">
        <v>0.41</v>
      </c>
      <c r="T116" s="143">
        <v>353</v>
      </c>
      <c r="U116" s="84">
        <v>349</v>
      </c>
      <c r="V116" s="84">
        <v>349</v>
      </c>
      <c r="W116" s="84">
        <v>0</v>
      </c>
      <c r="X116" s="119">
        <v>4.03</v>
      </c>
      <c r="Y116" s="134">
        <v>83.4</v>
      </c>
      <c r="Z116" s="135">
        <v>77.7</v>
      </c>
      <c r="AA116" s="119">
        <v>5.71</v>
      </c>
      <c r="AB116" s="119">
        <v>0</v>
      </c>
      <c r="AC116" s="67">
        <f t="shared" si="4"/>
        <v>0</v>
      </c>
      <c r="AD116" s="72" t="s">
        <v>1326</v>
      </c>
      <c r="AE116" s="69" t="s">
        <v>1323</v>
      </c>
      <c r="AF116" s="778">
        <v>26</v>
      </c>
      <c r="AG116" s="777">
        <v>20</v>
      </c>
      <c r="AH116" s="775">
        <v>6</v>
      </c>
      <c r="AI116" s="786">
        <f t="shared" si="3"/>
        <v>0.68824940047961636</v>
      </c>
    </row>
    <row r="117" spans="1:35" s="69" customFormat="1" ht="12.75" customHeight="1">
      <c r="A117" s="99" t="s">
        <v>1327</v>
      </c>
      <c r="B117" s="61" t="s">
        <v>1328</v>
      </c>
      <c r="C117" s="138" t="s">
        <v>1320</v>
      </c>
      <c r="D117" s="61" t="s">
        <v>1321</v>
      </c>
      <c r="E117" s="63">
        <v>30</v>
      </c>
      <c r="F117" s="63" t="s">
        <v>39</v>
      </c>
      <c r="G117" s="64">
        <v>159000</v>
      </c>
      <c r="H117" s="65">
        <v>151000</v>
      </c>
      <c r="I117" s="65">
        <v>7690</v>
      </c>
      <c r="J117" s="143">
        <v>443</v>
      </c>
      <c r="K117" s="84">
        <v>439</v>
      </c>
      <c r="L117" s="84">
        <v>439</v>
      </c>
      <c r="M117" s="84">
        <v>0</v>
      </c>
      <c r="N117" s="119">
        <v>4.4400000000000004</v>
      </c>
      <c r="O117" s="143">
        <v>40.9</v>
      </c>
      <c r="P117" s="84">
        <v>40.5</v>
      </c>
      <c r="Q117" s="84">
        <v>40.5</v>
      </c>
      <c r="R117" s="84">
        <v>0</v>
      </c>
      <c r="S117" s="119">
        <v>0.41</v>
      </c>
      <c r="T117" s="143">
        <v>402</v>
      </c>
      <c r="U117" s="84">
        <v>398</v>
      </c>
      <c r="V117" s="84">
        <v>398</v>
      </c>
      <c r="W117" s="84">
        <v>0</v>
      </c>
      <c r="X117" s="119">
        <v>4.03</v>
      </c>
      <c r="Y117" s="134">
        <v>91.2</v>
      </c>
      <c r="Z117" s="135">
        <v>85.5</v>
      </c>
      <c r="AA117" s="119">
        <v>5.71</v>
      </c>
      <c r="AB117" s="119">
        <v>0</v>
      </c>
      <c r="AC117" s="67">
        <f t="shared" si="4"/>
        <v>0</v>
      </c>
      <c r="AD117" s="72" t="s">
        <v>1329</v>
      </c>
      <c r="AE117" s="69" t="s">
        <v>1323</v>
      </c>
      <c r="AF117" s="778">
        <v>27.8</v>
      </c>
      <c r="AG117" s="777">
        <v>21.8</v>
      </c>
      <c r="AH117" s="775">
        <v>6</v>
      </c>
      <c r="AI117" s="786">
        <f t="shared" si="3"/>
        <v>0.69517543859649122</v>
      </c>
    </row>
    <row r="118" spans="1:35" s="69" customFormat="1">
      <c r="A118" s="99" t="s">
        <v>1330</v>
      </c>
      <c r="B118" s="61" t="s">
        <v>1331</v>
      </c>
      <c r="C118" s="138" t="s">
        <v>1332</v>
      </c>
      <c r="D118" s="61" t="s">
        <v>1333</v>
      </c>
      <c r="E118" s="63">
        <v>30</v>
      </c>
      <c r="F118" s="63" t="s">
        <v>39</v>
      </c>
      <c r="G118" s="64">
        <v>168000</v>
      </c>
      <c r="H118" s="65">
        <v>156000</v>
      </c>
      <c r="I118" s="65">
        <v>11500</v>
      </c>
      <c r="J118" s="143">
        <v>439</v>
      </c>
      <c r="K118" s="84">
        <v>433</v>
      </c>
      <c r="L118" s="84">
        <v>433</v>
      </c>
      <c r="M118" s="84">
        <v>0</v>
      </c>
      <c r="N118" s="119">
        <v>6.05</v>
      </c>
      <c r="O118" s="143">
        <v>26.9</v>
      </c>
      <c r="P118" s="84">
        <v>26.3</v>
      </c>
      <c r="Q118" s="84">
        <v>26.3</v>
      </c>
      <c r="R118" s="84">
        <v>0</v>
      </c>
      <c r="S118" s="119">
        <v>0.55400000000000005</v>
      </c>
      <c r="T118" s="143">
        <v>412</v>
      </c>
      <c r="U118" s="84">
        <v>406</v>
      </c>
      <c r="V118" s="84">
        <v>406</v>
      </c>
      <c r="W118" s="84">
        <v>0</v>
      </c>
      <c r="X118" s="119">
        <v>5.5</v>
      </c>
      <c r="Y118" s="134">
        <v>103</v>
      </c>
      <c r="Z118" s="135">
        <v>94.2</v>
      </c>
      <c r="AA118" s="119">
        <v>8.7899999999999991</v>
      </c>
      <c r="AB118" s="119">
        <v>0</v>
      </c>
      <c r="AC118" s="67">
        <f t="shared" si="4"/>
        <v>0</v>
      </c>
      <c r="AD118" s="72" t="s">
        <v>1334</v>
      </c>
      <c r="AE118" s="69" t="s">
        <v>1335</v>
      </c>
      <c r="AF118" s="778">
        <v>35.299999999999997</v>
      </c>
      <c r="AG118" s="777">
        <v>26.1</v>
      </c>
      <c r="AH118" s="775">
        <v>9.23</v>
      </c>
      <c r="AI118" s="786">
        <f t="shared" si="3"/>
        <v>0.65728155339805827</v>
      </c>
    </row>
    <row r="119" spans="1:35" s="69" customFormat="1">
      <c r="A119" s="99" t="s">
        <v>1336</v>
      </c>
      <c r="B119" s="61" t="s">
        <v>1337</v>
      </c>
      <c r="C119" s="138" t="s">
        <v>1332</v>
      </c>
      <c r="D119" s="61" t="s">
        <v>1333</v>
      </c>
      <c r="E119" s="63">
        <v>30</v>
      </c>
      <c r="F119" s="63" t="s">
        <v>39</v>
      </c>
      <c r="G119" s="64">
        <v>186000</v>
      </c>
      <c r="H119" s="65">
        <v>174000</v>
      </c>
      <c r="I119" s="65">
        <v>11500</v>
      </c>
      <c r="J119" s="143">
        <v>500</v>
      </c>
      <c r="K119" s="84">
        <v>494</v>
      </c>
      <c r="L119" s="84">
        <v>494</v>
      </c>
      <c r="M119" s="84">
        <v>0</v>
      </c>
      <c r="N119" s="119">
        <v>6.05</v>
      </c>
      <c r="O119" s="143">
        <v>35.4</v>
      </c>
      <c r="P119" s="84">
        <v>34.9</v>
      </c>
      <c r="Q119" s="84">
        <v>34.9</v>
      </c>
      <c r="R119" s="84">
        <v>0</v>
      </c>
      <c r="S119" s="119">
        <v>0.55400000000000005</v>
      </c>
      <c r="T119" s="143">
        <v>465</v>
      </c>
      <c r="U119" s="84">
        <v>459</v>
      </c>
      <c r="V119" s="84">
        <v>459</v>
      </c>
      <c r="W119" s="84">
        <v>0</v>
      </c>
      <c r="X119" s="119">
        <v>5.5</v>
      </c>
      <c r="Y119" s="134">
        <v>112</v>
      </c>
      <c r="Z119" s="135">
        <v>103</v>
      </c>
      <c r="AA119" s="119">
        <v>8.7899999999999991</v>
      </c>
      <c r="AB119" s="119">
        <v>0</v>
      </c>
      <c r="AC119" s="67">
        <f t="shared" si="4"/>
        <v>0</v>
      </c>
      <c r="AD119" s="72" t="s">
        <v>1338</v>
      </c>
      <c r="AE119" s="69" t="s">
        <v>1335</v>
      </c>
      <c r="AF119" s="778">
        <v>37.4</v>
      </c>
      <c r="AG119" s="777">
        <v>28.2</v>
      </c>
      <c r="AH119" s="775">
        <v>9.23</v>
      </c>
      <c r="AI119" s="786">
        <f t="shared" si="3"/>
        <v>0.66607142857142854</v>
      </c>
    </row>
    <row r="120" spans="1:35" s="69" customFormat="1">
      <c r="A120" s="99" t="s">
        <v>1339</v>
      </c>
      <c r="B120" s="61" t="s">
        <v>1340</v>
      </c>
      <c r="C120" s="138" t="s">
        <v>1341</v>
      </c>
      <c r="D120" s="61" t="s">
        <v>1342</v>
      </c>
      <c r="E120" s="145">
        <v>6.3</v>
      </c>
      <c r="F120" s="63" t="s">
        <v>39</v>
      </c>
      <c r="G120" s="86">
        <v>16700</v>
      </c>
      <c r="H120" s="87">
        <v>16400</v>
      </c>
      <c r="I120" s="87">
        <v>269</v>
      </c>
      <c r="J120" s="88">
        <v>47.9</v>
      </c>
      <c r="K120" s="90">
        <v>47.5</v>
      </c>
      <c r="L120" s="90">
        <v>47.5</v>
      </c>
      <c r="M120" s="90">
        <v>0</v>
      </c>
      <c r="N120" s="62">
        <v>0.34699999999999998</v>
      </c>
      <c r="O120" s="88">
        <v>3.58</v>
      </c>
      <c r="P120" s="90">
        <v>3.57</v>
      </c>
      <c r="Q120" s="90">
        <v>3.57</v>
      </c>
      <c r="R120" s="90">
        <v>0</v>
      </c>
      <c r="S120" s="62">
        <v>1.38E-2</v>
      </c>
      <c r="T120" s="88">
        <v>44.3</v>
      </c>
      <c r="U120" s="90">
        <v>44</v>
      </c>
      <c r="V120" s="90">
        <v>44</v>
      </c>
      <c r="W120" s="90">
        <v>0</v>
      </c>
      <c r="X120" s="62">
        <v>0.33300000000000002</v>
      </c>
      <c r="Y120" s="89">
        <v>8.1199999999999992</v>
      </c>
      <c r="Z120" s="91">
        <v>8.0399999999999991</v>
      </c>
      <c r="AA120" s="91">
        <v>8.0699999999999994E-2</v>
      </c>
      <c r="AB120" s="91">
        <v>0</v>
      </c>
      <c r="AC120" s="67">
        <f t="shared" si="4"/>
        <v>0</v>
      </c>
      <c r="AD120" s="72" t="s">
        <v>1343</v>
      </c>
      <c r="AE120" s="69" t="s">
        <v>1344</v>
      </c>
      <c r="AF120" s="776">
        <v>7.48</v>
      </c>
      <c r="AG120" s="771">
        <v>7.46</v>
      </c>
      <c r="AH120" s="771">
        <v>2.06E-2</v>
      </c>
      <c r="AI120" s="786">
        <f t="shared" si="3"/>
        <v>7.8817733990147645E-2</v>
      </c>
    </row>
    <row r="121" spans="1:35" s="69" customFormat="1">
      <c r="A121" s="99" t="s">
        <v>1345</v>
      </c>
      <c r="B121" s="61" t="s">
        <v>1346</v>
      </c>
      <c r="C121" s="138" t="s">
        <v>1347</v>
      </c>
      <c r="D121" s="61" t="s">
        <v>1348</v>
      </c>
      <c r="E121" s="145">
        <v>14.4</v>
      </c>
      <c r="F121" s="63" t="s">
        <v>39</v>
      </c>
      <c r="G121" s="86">
        <v>9940</v>
      </c>
      <c r="H121" s="87">
        <v>9320</v>
      </c>
      <c r="I121" s="87">
        <v>615</v>
      </c>
      <c r="J121" s="88">
        <v>21.5</v>
      </c>
      <c r="K121" s="90">
        <v>20.7</v>
      </c>
      <c r="L121" s="90">
        <v>20.7</v>
      </c>
      <c r="M121" s="90">
        <v>0</v>
      </c>
      <c r="N121" s="62">
        <v>0.79300000000000004</v>
      </c>
      <c r="O121" s="88">
        <v>2.44</v>
      </c>
      <c r="P121" s="90">
        <v>2.4</v>
      </c>
      <c r="Q121" s="90">
        <v>2.4</v>
      </c>
      <c r="R121" s="90">
        <v>0</v>
      </c>
      <c r="S121" s="62">
        <v>3.15E-2</v>
      </c>
      <c r="T121" s="88">
        <v>19.100000000000001</v>
      </c>
      <c r="U121" s="90">
        <v>18.3</v>
      </c>
      <c r="V121" s="90">
        <v>18.3</v>
      </c>
      <c r="W121" s="90">
        <v>0</v>
      </c>
      <c r="X121" s="62">
        <v>0.76100000000000001</v>
      </c>
      <c r="Y121" s="89">
        <v>6.32</v>
      </c>
      <c r="Z121" s="91">
        <v>6.13</v>
      </c>
      <c r="AA121" s="91">
        <v>0.185</v>
      </c>
      <c r="AB121" s="91">
        <v>0</v>
      </c>
      <c r="AC121" s="67">
        <f t="shared" si="4"/>
        <v>0</v>
      </c>
      <c r="AD121" s="72" t="s">
        <v>1349</v>
      </c>
      <c r="AE121" s="69" t="s">
        <v>1350</v>
      </c>
      <c r="AF121" s="776">
        <v>5.99</v>
      </c>
      <c r="AG121" s="771">
        <v>5.94</v>
      </c>
      <c r="AH121" s="771">
        <v>4.7100000000000003E-2</v>
      </c>
      <c r="AI121" s="786">
        <f t="shared" si="3"/>
        <v>5.2215189873417729E-2</v>
      </c>
    </row>
    <row r="122" spans="1:35" s="69" customFormat="1">
      <c r="A122" s="99" t="s">
        <v>1351</v>
      </c>
      <c r="B122" s="61" t="s">
        <v>1352</v>
      </c>
      <c r="C122" s="138" t="s">
        <v>1353</v>
      </c>
      <c r="D122" s="61" t="s">
        <v>1354</v>
      </c>
      <c r="E122" s="145">
        <v>15</v>
      </c>
      <c r="F122" s="63" t="s">
        <v>39</v>
      </c>
      <c r="G122" s="86">
        <v>99800</v>
      </c>
      <c r="H122" s="87">
        <v>66500</v>
      </c>
      <c r="I122" s="87">
        <v>33300</v>
      </c>
      <c r="J122" s="88">
        <v>348</v>
      </c>
      <c r="K122" s="90">
        <v>335</v>
      </c>
      <c r="L122" s="90">
        <v>239</v>
      </c>
      <c r="M122" s="90">
        <v>95.5</v>
      </c>
      <c r="N122" s="62">
        <v>13.5</v>
      </c>
      <c r="O122" s="88">
        <v>41.8</v>
      </c>
      <c r="P122" s="90">
        <v>40.799999999999997</v>
      </c>
      <c r="Q122" s="90">
        <v>32.9</v>
      </c>
      <c r="R122" s="90">
        <v>7.87</v>
      </c>
      <c r="S122" s="62">
        <v>1.04</v>
      </c>
      <c r="T122" s="88">
        <v>306</v>
      </c>
      <c r="U122" s="90">
        <v>294</v>
      </c>
      <c r="V122" s="90">
        <v>206</v>
      </c>
      <c r="W122" s="90">
        <v>87.6</v>
      </c>
      <c r="X122" s="62">
        <v>12.5</v>
      </c>
      <c r="Y122" s="89">
        <v>69.7</v>
      </c>
      <c r="Z122" s="91">
        <v>39.6</v>
      </c>
      <c r="AA122" s="91">
        <v>30.1</v>
      </c>
      <c r="AB122" s="91">
        <v>0.77800000000000002</v>
      </c>
      <c r="AC122" s="67">
        <f t="shared" si="4"/>
        <v>2.8526666666666665</v>
      </c>
      <c r="AD122" s="72" t="s">
        <v>1355</v>
      </c>
      <c r="AE122" s="69" t="s">
        <v>1356</v>
      </c>
      <c r="AI122" s="786"/>
    </row>
    <row r="123" spans="1:35" s="69" customFormat="1">
      <c r="A123" s="99" t="s">
        <v>1357</v>
      </c>
      <c r="B123" s="61" t="s">
        <v>1358</v>
      </c>
      <c r="C123" s="138" t="s">
        <v>1359</v>
      </c>
      <c r="D123" s="61" t="s">
        <v>1360</v>
      </c>
      <c r="E123" s="145">
        <v>17.8</v>
      </c>
      <c r="F123" s="63" t="s">
        <v>39</v>
      </c>
      <c r="G123" s="86">
        <v>43600</v>
      </c>
      <c r="H123" s="87">
        <v>36000</v>
      </c>
      <c r="I123" s="87">
        <v>7600</v>
      </c>
      <c r="J123" s="88">
        <v>219</v>
      </c>
      <c r="K123" s="90">
        <v>215</v>
      </c>
      <c r="L123" s="90">
        <v>127</v>
      </c>
      <c r="M123" s="90">
        <v>87.9</v>
      </c>
      <c r="N123" s="62">
        <v>3.66</v>
      </c>
      <c r="O123" s="88">
        <v>94.4</v>
      </c>
      <c r="P123" s="90">
        <v>94.2</v>
      </c>
      <c r="Q123" s="90">
        <v>35.1</v>
      </c>
      <c r="R123" s="90">
        <v>59.2</v>
      </c>
      <c r="S123" s="62">
        <v>0.121</v>
      </c>
      <c r="T123" s="88">
        <v>124</v>
      </c>
      <c r="U123" s="90">
        <v>121</v>
      </c>
      <c r="V123" s="90">
        <v>91.9</v>
      </c>
      <c r="W123" s="90">
        <v>28.8</v>
      </c>
      <c r="X123" s="62">
        <v>3.53</v>
      </c>
      <c r="Y123" s="89">
        <v>26.1</v>
      </c>
      <c r="Z123" s="91">
        <v>19.5</v>
      </c>
      <c r="AA123" s="91">
        <v>6.59</v>
      </c>
      <c r="AB123" s="91">
        <v>6.68</v>
      </c>
      <c r="AC123" s="67">
        <f t="shared" si="4"/>
        <v>24.493333333333332</v>
      </c>
      <c r="AD123" s="72" t="s">
        <v>1361</v>
      </c>
      <c r="AE123" s="69" t="s">
        <v>1362</v>
      </c>
      <c r="AI123" s="786"/>
    </row>
    <row r="124" spans="1:35" s="69" customFormat="1" ht="14.25" customHeight="1">
      <c r="A124" s="99" t="s">
        <v>662</v>
      </c>
      <c r="B124" s="61" t="s">
        <v>1363</v>
      </c>
      <c r="C124" s="138" t="s">
        <v>1364</v>
      </c>
      <c r="D124" s="61" t="s">
        <v>1365</v>
      </c>
      <c r="E124" s="63">
        <v>8</v>
      </c>
      <c r="F124" s="63" t="s">
        <v>39</v>
      </c>
      <c r="G124" s="64">
        <v>151000</v>
      </c>
      <c r="H124" s="65">
        <v>149000</v>
      </c>
      <c r="I124" s="65">
        <v>2110</v>
      </c>
      <c r="J124" s="143">
        <v>318</v>
      </c>
      <c r="K124" s="84">
        <v>318</v>
      </c>
      <c r="L124" s="84">
        <v>314</v>
      </c>
      <c r="M124" s="84">
        <v>4.13</v>
      </c>
      <c r="N124" s="71">
        <v>0.57299999999999995</v>
      </c>
      <c r="O124" s="143">
        <v>35.5</v>
      </c>
      <c r="P124" s="84">
        <v>35.4</v>
      </c>
      <c r="Q124" s="84">
        <v>35.4</v>
      </c>
      <c r="R124" s="84">
        <v>0</v>
      </c>
      <c r="S124" s="71">
        <v>2.8899999999999999E-2</v>
      </c>
      <c r="T124" s="143">
        <v>283</v>
      </c>
      <c r="U124" s="84">
        <v>282</v>
      </c>
      <c r="V124" s="84">
        <v>278</v>
      </c>
      <c r="W124" s="84">
        <v>4.13</v>
      </c>
      <c r="X124" s="71">
        <v>0.54400000000000004</v>
      </c>
      <c r="Y124" s="70">
        <v>67.900000000000006</v>
      </c>
      <c r="Z124" s="71">
        <v>66</v>
      </c>
      <c r="AA124" s="71">
        <v>1.91</v>
      </c>
      <c r="AB124" s="71">
        <v>0</v>
      </c>
      <c r="AC124" s="67">
        <f t="shared" si="4"/>
        <v>0</v>
      </c>
      <c r="AD124" s="72" t="s">
        <v>1366</v>
      </c>
      <c r="AE124" s="69" t="s">
        <v>1367</v>
      </c>
      <c r="AF124" s="759">
        <v>34.4</v>
      </c>
      <c r="AG124" s="760">
        <v>34</v>
      </c>
      <c r="AH124" s="760">
        <v>0.34599999999999997</v>
      </c>
      <c r="AI124" s="786">
        <f t="shared" si="3"/>
        <v>0.49337260677466871</v>
      </c>
    </row>
    <row r="125" spans="1:35" s="69" customFormat="1" ht="14.25" customHeight="1">
      <c r="A125" s="99" t="s">
        <v>660</v>
      </c>
      <c r="B125" s="61" t="s">
        <v>1368</v>
      </c>
      <c r="C125" s="138" t="s">
        <v>1369</v>
      </c>
      <c r="D125" s="61" t="s">
        <v>1370</v>
      </c>
      <c r="E125" s="63">
        <v>8</v>
      </c>
      <c r="F125" s="63" t="s">
        <v>39</v>
      </c>
      <c r="G125" s="64">
        <v>133000</v>
      </c>
      <c r="H125" s="65">
        <v>131000</v>
      </c>
      <c r="I125" s="65">
        <v>1620</v>
      </c>
      <c r="J125" s="143">
        <v>281</v>
      </c>
      <c r="K125" s="84">
        <v>280</v>
      </c>
      <c r="L125" s="84">
        <v>280</v>
      </c>
      <c r="M125" s="84">
        <v>0</v>
      </c>
      <c r="N125" s="71">
        <v>0.46</v>
      </c>
      <c r="O125" s="143">
        <v>31.9</v>
      </c>
      <c r="P125" s="84">
        <v>31.9</v>
      </c>
      <c r="Q125" s="84">
        <v>31.9</v>
      </c>
      <c r="R125" s="84">
        <v>0</v>
      </c>
      <c r="S125" s="71">
        <v>2.53E-2</v>
      </c>
      <c r="T125" s="143">
        <v>249</v>
      </c>
      <c r="U125" s="84">
        <v>249</v>
      </c>
      <c r="V125" s="84">
        <v>249</v>
      </c>
      <c r="W125" s="84">
        <v>0</v>
      </c>
      <c r="X125" s="71">
        <v>0.435</v>
      </c>
      <c r="Y125" s="70">
        <v>60</v>
      </c>
      <c r="Z125" s="71">
        <v>58.6</v>
      </c>
      <c r="AA125" s="71">
        <v>1.47</v>
      </c>
      <c r="AB125" s="71">
        <v>0</v>
      </c>
      <c r="AC125" s="67">
        <f t="shared" si="4"/>
        <v>0</v>
      </c>
      <c r="AD125" s="72" t="s">
        <v>1371</v>
      </c>
      <c r="AE125" s="69" t="s">
        <v>1372</v>
      </c>
      <c r="AF125" s="759">
        <v>31.6</v>
      </c>
      <c r="AG125" s="760">
        <v>31.3</v>
      </c>
      <c r="AH125" s="760">
        <v>0.26</v>
      </c>
      <c r="AI125" s="786">
        <f t="shared" si="3"/>
        <v>0.47333333333333333</v>
      </c>
    </row>
    <row r="126" spans="1:35" s="69" customFormat="1" ht="14.25" customHeight="1">
      <c r="A126" s="99" t="s">
        <v>1373</v>
      </c>
      <c r="B126" s="61" t="s">
        <v>1374</v>
      </c>
      <c r="C126" s="138" t="s">
        <v>1375</v>
      </c>
      <c r="D126" s="61" t="s">
        <v>1376</v>
      </c>
      <c r="E126" s="63">
        <v>8</v>
      </c>
      <c r="F126" s="63" t="s">
        <v>39</v>
      </c>
      <c r="G126" s="64">
        <v>168000</v>
      </c>
      <c r="H126" s="65">
        <v>167000</v>
      </c>
      <c r="I126" s="65">
        <v>801</v>
      </c>
      <c r="J126" s="143">
        <v>358</v>
      </c>
      <c r="K126" s="84">
        <v>357</v>
      </c>
      <c r="L126" s="84">
        <v>357</v>
      </c>
      <c r="M126" s="84">
        <v>0</v>
      </c>
      <c r="N126" s="71">
        <v>0.42899999999999999</v>
      </c>
      <c r="O126" s="143">
        <v>43.9</v>
      </c>
      <c r="P126" s="84">
        <v>43.9</v>
      </c>
      <c r="Q126" s="84">
        <v>43.9</v>
      </c>
      <c r="R126" s="84">
        <v>0</v>
      </c>
      <c r="S126" s="71">
        <v>2.1399999999999999E-2</v>
      </c>
      <c r="T126" s="143">
        <v>314</v>
      </c>
      <c r="U126" s="84">
        <v>313</v>
      </c>
      <c r="V126" s="84">
        <v>313</v>
      </c>
      <c r="W126" s="84">
        <v>0</v>
      </c>
      <c r="X126" s="71">
        <v>0.40799999999999997</v>
      </c>
      <c r="Y126" s="70">
        <v>74.8</v>
      </c>
      <c r="Z126" s="71">
        <v>74.099999999999994</v>
      </c>
      <c r="AA126" s="71">
        <v>0.69499999999999995</v>
      </c>
      <c r="AB126" s="71">
        <v>0</v>
      </c>
      <c r="AC126" s="67">
        <f t="shared" si="4"/>
        <v>0</v>
      </c>
      <c r="AD126" s="72" t="s">
        <v>1377</v>
      </c>
      <c r="AE126" s="69" t="s">
        <v>1378</v>
      </c>
      <c r="AF126" s="759">
        <v>38.200000000000003</v>
      </c>
      <c r="AG126" s="760">
        <v>38.1</v>
      </c>
      <c r="AH126" s="760">
        <v>9.6100000000000005E-2</v>
      </c>
      <c r="AI126" s="786">
        <f t="shared" si="3"/>
        <v>0.48930481283422456</v>
      </c>
    </row>
    <row r="127" spans="1:35" s="25" customFormat="1" ht="14.25">
      <c r="A127" s="113" t="s">
        <v>1379</v>
      </c>
      <c r="B127" s="76" t="s">
        <v>1380</v>
      </c>
      <c r="C127" s="75"/>
      <c r="D127" s="76"/>
      <c r="E127" s="77" t="s">
        <v>1023</v>
      </c>
      <c r="F127" s="78"/>
      <c r="G127" s="146"/>
      <c r="H127" s="146"/>
      <c r="I127" s="146"/>
      <c r="J127" s="146"/>
      <c r="K127" s="147"/>
      <c r="L127" s="147"/>
      <c r="M127" s="147"/>
      <c r="N127" s="146"/>
      <c r="O127" s="146"/>
      <c r="P127" s="147"/>
      <c r="Q127" s="147"/>
      <c r="R127" s="147"/>
      <c r="S127" s="146"/>
      <c r="T127" s="79"/>
      <c r="U127" s="80"/>
      <c r="V127" s="80"/>
      <c r="W127" s="80"/>
      <c r="X127" s="80"/>
      <c r="Y127" s="78"/>
      <c r="Z127" s="78"/>
      <c r="AA127" s="78"/>
      <c r="AB127" s="78"/>
      <c r="AC127" s="78"/>
      <c r="AD127" s="116" t="s">
        <v>1381</v>
      </c>
      <c r="AI127" s="786"/>
    </row>
    <row r="128" spans="1:35" s="25" customFormat="1">
      <c r="A128" s="93" t="s">
        <v>1382</v>
      </c>
      <c r="B128" s="83" t="s">
        <v>1383</v>
      </c>
      <c r="C128" s="82" t="s">
        <v>1384</v>
      </c>
      <c r="D128" s="83" t="s">
        <v>1385</v>
      </c>
      <c r="E128" s="117">
        <v>2690</v>
      </c>
      <c r="F128" s="85" t="s">
        <v>202</v>
      </c>
      <c r="G128" s="64">
        <v>12500</v>
      </c>
      <c r="H128" s="65">
        <v>12500</v>
      </c>
      <c r="I128" s="148">
        <v>19.899999999999999</v>
      </c>
      <c r="J128" s="70">
        <v>30</v>
      </c>
      <c r="K128" s="71">
        <v>30</v>
      </c>
      <c r="L128" s="71">
        <v>30</v>
      </c>
      <c r="M128" s="71">
        <v>0</v>
      </c>
      <c r="N128" s="71">
        <v>3.2300000000000002E-2</v>
      </c>
      <c r="O128" s="70">
        <v>5.22</v>
      </c>
      <c r="P128" s="71">
        <v>5.22</v>
      </c>
      <c r="Q128" s="71">
        <v>5.22</v>
      </c>
      <c r="R128" s="71">
        <v>0</v>
      </c>
      <c r="S128" s="71">
        <v>7.8399999999999997E-4</v>
      </c>
      <c r="T128" s="70">
        <v>24.8</v>
      </c>
      <c r="U128" s="71">
        <v>24.8</v>
      </c>
      <c r="V128" s="71">
        <v>24.8</v>
      </c>
      <c r="W128" s="71">
        <v>0</v>
      </c>
      <c r="X128" s="63">
        <v>3.15E-2</v>
      </c>
      <c r="Y128" s="118">
        <v>5.59</v>
      </c>
      <c r="Z128" s="119">
        <v>5.58</v>
      </c>
      <c r="AA128" s="63">
        <v>7.9799999999999992E-3</v>
      </c>
      <c r="AB128" s="63">
        <v>0</v>
      </c>
      <c r="AC128" s="67">
        <f t="shared" ref="AC128:AC191" si="5">AB128*$AC$10</f>
        <v>0</v>
      </c>
      <c r="AD128" s="120" t="s">
        <v>1386</v>
      </c>
      <c r="AE128" s="25" t="s">
        <v>1387</v>
      </c>
      <c r="AF128" s="766">
        <v>2.5099999999999998</v>
      </c>
      <c r="AG128" s="772">
        <v>2.5099999999999998</v>
      </c>
      <c r="AH128" s="779">
        <v>0</v>
      </c>
      <c r="AI128" s="786">
        <f t="shared" si="3"/>
        <v>0.55098389982110918</v>
      </c>
    </row>
    <row r="129" spans="1:35" s="25" customFormat="1">
      <c r="A129" s="93" t="s">
        <v>104</v>
      </c>
      <c r="B129" s="83" t="s">
        <v>1388</v>
      </c>
      <c r="C129" s="82" t="s">
        <v>1384</v>
      </c>
      <c r="D129" s="83" t="s">
        <v>1385</v>
      </c>
      <c r="E129" s="117">
        <v>2690</v>
      </c>
      <c r="F129" s="85" t="s">
        <v>202</v>
      </c>
      <c r="G129" s="64">
        <v>11500</v>
      </c>
      <c r="H129" s="65">
        <v>11400</v>
      </c>
      <c r="I129" s="148">
        <v>19.899999999999999</v>
      </c>
      <c r="J129" s="70">
        <v>30.8</v>
      </c>
      <c r="K129" s="71">
        <v>30.8</v>
      </c>
      <c r="L129" s="71">
        <v>30.8</v>
      </c>
      <c r="M129" s="71">
        <v>0</v>
      </c>
      <c r="N129" s="71">
        <v>3.2300000000000002E-2</v>
      </c>
      <c r="O129" s="70">
        <v>5.24</v>
      </c>
      <c r="P129" s="71">
        <v>5.24</v>
      </c>
      <c r="Q129" s="71">
        <v>5.24</v>
      </c>
      <c r="R129" s="71">
        <v>0</v>
      </c>
      <c r="S129" s="71">
        <v>7.8399999999999997E-4</v>
      </c>
      <c r="T129" s="70">
        <v>25.6</v>
      </c>
      <c r="U129" s="71">
        <v>25.6</v>
      </c>
      <c r="V129" s="71">
        <v>25.6</v>
      </c>
      <c r="W129" s="71">
        <v>0</v>
      </c>
      <c r="X129" s="63">
        <v>3.15E-2</v>
      </c>
      <c r="Y129" s="118">
        <v>5.7</v>
      </c>
      <c r="Z129" s="119">
        <v>5.69</v>
      </c>
      <c r="AA129" s="63">
        <v>7.9799999999999992E-3</v>
      </c>
      <c r="AB129" s="63">
        <v>0</v>
      </c>
      <c r="AC129" s="67">
        <f t="shared" si="5"/>
        <v>0</v>
      </c>
      <c r="AD129" s="120" t="s">
        <v>1389</v>
      </c>
      <c r="AE129" s="25" t="s">
        <v>1387</v>
      </c>
      <c r="AF129" s="766">
        <v>2.5299999999999998</v>
      </c>
      <c r="AG129" s="772">
        <v>2.5299999999999998</v>
      </c>
      <c r="AH129" s="779">
        <v>0</v>
      </c>
      <c r="AI129" s="786">
        <f t="shared" si="3"/>
        <v>0.55614035087719305</v>
      </c>
    </row>
    <row r="130" spans="1:35" s="69" customFormat="1" outlineLevel="1">
      <c r="A130" s="101" t="s">
        <v>1390</v>
      </c>
      <c r="B130" s="102" t="s">
        <v>1391</v>
      </c>
      <c r="C130" s="103" t="s">
        <v>1384</v>
      </c>
      <c r="D130" s="102" t="s">
        <v>1385</v>
      </c>
      <c r="E130" s="104">
        <v>2690</v>
      </c>
      <c r="F130" s="105" t="s">
        <v>202</v>
      </c>
      <c r="G130" s="106">
        <v>12700</v>
      </c>
      <c r="H130" s="107">
        <v>12700</v>
      </c>
      <c r="I130" s="107">
        <v>19.899999999999999</v>
      </c>
      <c r="J130" s="108">
        <v>13.1</v>
      </c>
      <c r="K130" s="109">
        <v>13.1</v>
      </c>
      <c r="L130" s="109">
        <v>13.1</v>
      </c>
      <c r="M130" s="109">
        <v>0</v>
      </c>
      <c r="N130" s="110">
        <v>3.2300000000000002E-2</v>
      </c>
      <c r="O130" s="108">
        <v>4.26</v>
      </c>
      <c r="P130" s="109">
        <v>4.26</v>
      </c>
      <c r="Q130" s="109">
        <v>4.26</v>
      </c>
      <c r="R130" s="109">
        <v>0</v>
      </c>
      <c r="S130" s="110">
        <v>7.8399999999999997E-4</v>
      </c>
      <c r="T130" s="108">
        <v>8.8800000000000008</v>
      </c>
      <c r="U130" s="109">
        <v>8.85</v>
      </c>
      <c r="V130" s="109">
        <v>8.85</v>
      </c>
      <c r="W130" s="109">
        <v>0</v>
      </c>
      <c r="X130" s="110">
        <v>3.15E-2</v>
      </c>
      <c r="Y130" s="111">
        <v>2.67</v>
      </c>
      <c r="Z130" s="110">
        <v>2.66</v>
      </c>
      <c r="AA130" s="112">
        <v>7.9799999999999992E-3</v>
      </c>
      <c r="AB130" s="112">
        <v>0</v>
      </c>
      <c r="AC130" s="67">
        <f t="shared" si="5"/>
        <v>0</v>
      </c>
      <c r="AD130" s="144" t="s">
        <v>1392</v>
      </c>
      <c r="AE130" s="69" t="s">
        <v>1387</v>
      </c>
      <c r="AI130" s="786"/>
    </row>
    <row r="131" spans="1:35" s="25" customFormat="1">
      <c r="A131" s="93" t="s">
        <v>497</v>
      </c>
      <c r="B131" s="83" t="s">
        <v>1393</v>
      </c>
      <c r="C131" s="82" t="s">
        <v>1394</v>
      </c>
      <c r="D131" s="83" t="s">
        <v>1395</v>
      </c>
      <c r="E131" s="117">
        <v>7850</v>
      </c>
      <c r="F131" s="85" t="s">
        <v>202</v>
      </c>
      <c r="G131" s="132">
        <v>2930</v>
      </c>
      <c r="H131" s="133">
        <v>2910</v>
      </c>
      <c r="I131" s="149">
        <v>19.7</v>
      </c>
      <c r="J131" s="129">
        <v>5.42</v>
      </c>
      <c r="K131" s="130">
        <v>5.36</v>
      </c>
      <c r="L131" s="130">
        <v>5.36</v>
      </c>
      <c r="M131" s="130">
        <v>0</v>
      </c>
      <c r="N131" s="141">
        <v>5.28E-2</v>
      </c>
      <c r="O131" s="129">
        <v>0.42199999999999999</v>
      </c>
      <c r="P131" s="130">
        <v>0.42</v>
      </c>
      <c r="Q131" s="130">
        <v>0.42</v>
      </c>
      <c r="R131" s="130">
        <v>0</v>
      </c>
      <c r="S131" s="141">
        <v>2E-3</v>
      </c>
      <c r="T131" s="129">
        <v>4.99</v>
      </c>
      <c r="U131" s="130">
        <v>4.9400000000000004</v>
      </c>
      <c r="V131" s="130">
        <v>4.9400000000000004</v>
      </c>
      <c r="W131" s="130">
        <v>0</v>
      </c>
      <c r="X131" s="85">
        <v>5.0799999999999998E-2</v>
      </c>
      <c r="Y131" s="127">
        <v>1.52</v>
      </c>
      <c r="Z131" s="126">
        <v>1.5</v>
      </c>
      <c r="AA131" s="85">
        <v>1.24E-2</v>
      </c>
      <c r="AB131" s="85">
        <v>0</v>
      </c>
      <c r="AC131" s="67">
        <f t="shared" si="5"/>
        <v>0</v>
      </c>
      <c r="AD131" s="120" t="s">
        <v>1396</v>
      </c>
      <c r="AE131" s="25" t="s">
        <v>1397</v>
      </c>
      <c r="AF131" s="766">
        <v>0.29099999999999998</v>
      </c>
      <c r="AG131" s="772">
        <v>0.29099999999999998</v>
      </c>
      <c r="AH131" s="779">
        <v>0</v>
      </c>
      <c r="AI131" s="786">
        <f t="shared" si="3"/>
        <v>0.80855263157894741</v>
      </c>
    </row>
    <row r="132" spans="1:35" s="25" customFormat="1">
      <c r="A132" s="93" t="s">
        <v>1398</v>
      </c>
      <c r="B132" s="83" t="s">
        <v>1399</v>
      </c>
      <c r="C132" s="82" t="s">
        <v>1384</v>
      </c>
      <c r="D132" s="83" t="s">
        <v>1385</v>
      </c>
      <c r="E132" s="117">
        <v>11340</v>
      </c>
      <c r="F132" s="85" t="s">
        <v>202</v>
      </c>
      <c r="G132" s="132">
        <v>3810</v>
      </c>
      <c r="H132" s="133">
        <v>3790</v>
      </c>
      <c r="I132" s="149">
        <v>19.899999999999999</v>
      </c>
      <c r="J132" s="129">
        <v>4.08</v>
      </c>
      <c r="K132" s="130">
        <v>4.05</v>
      </c>
      <c r="L132" s="130">
        <v>4.05</v>
      </c>
      <c r="M132" s="130">
        <v>0</v>
      </c>
      <c r="N132" s="141">
        <v>3.2300000000000002E-2</v>
      </c>
      <c r="O132" s="129">
        <v>0.24</v>
      </c>
      <c r="P132" s="130">
        <v>0.24</v>
      </c>
      <c r="Q132" s="130">
        <v>0.24</v>
      </c>
      <c r="R132" s="130">
        <v>0</v>
      </c>
      <c r="S132" s="141">
        <v>7.8399999999999997E-4</v>
      </c>
      <c r="T132" s="129">
        <v>3.84</v>
      </c>
      <c r="U132" s="130">
        <v>3.81</v>
      </c>
      <c r="V132" s="130">
        <v>3.81</v>
      </c>
      <c r="W132" s="130">
        <v>0</v>
      </c>
      <c r="X132" s="85">
        <v>3.15E-2</v>
      </c>
      <c r="Y132" s="124">
        <v>1.02</v>
      </c>
      <c r="Z132" s="125">
        <v>1.01</v>
      </c>
      <c r="AA132" s="85">
        <v>7.9799999999999992E-3</v>
      </c>
      <c r="AB132" s="85">
        <v>0</v>
      </c>
      <c r="AC132" s="67">
        <f t="shared" si="5"/>
        <v>0</v>
      </c>
      <c r="AD132" s="120" t="s">
        <v>1400</v>
      </c>
      <c r="AE132" s="25" t="s">
        <v>1387</v>
      </c>
      <c r="AF132" s="774">
        <v>0.58899999999999997</v>
      </c>
      <c r="AG132" s="775">
        <v>0.58899999999999997</v>
      </c>
      <c r="AH132" s="780">
        <v>0</v>
      </c>
      <c r="AI132" s="786">
        <f t="shared" si="3"/>
        <v>0.42254901960784319</v>
      </c>
    </row>
    <row r="133" spans="1:35" s="25" customFormat="1">
      <c r="A133" s="93" t="s">
        <v>615</v>
      </c>
      <c r="B133" s="83" t="s">
        <v>1401</v>
      </c>
      <c r="C133" s="82" t="s">
        <v>1402</v>
      </c>
      <c r="D133" s="83" t="s">
        <v>1403</v>
      </c>
      <c r="E133" s="117">
        <v>7900</v>
      </c>
      <c r="F133" s="85" t="s">
        <v>202</v>
      </c>
      <c r="G133" s="132">
        <v>9710</v>
      </c>
      <c r="H133" s="133">
        <v>9700</v>
      </c>
      <c r="I133" s="149">
        <v>11.2</v>
      </c>
      <c r="J133" s="129">
        <v>17</v>
      </c>
      <c r="K133" s="130">
        <v>16.899999999999999</v>
      </c>
      <c r="L133" s="130">
        <v>16.899999999999999</v>
      </c>
      <c r="M133" s="130">
        <v>0</v>
      </c>
      <c r="N133" s="141">
        <v>2.7900000000000001E-2</v>
      </c>
      <c r="O133" s="129">
        <v>2.39</v>
      </c>
      <c r="P133" s="130">
        <v>2.39</v>
      </c>
      <c r="Q133" s="130">
        <v>2.39</v>
      </c>
      <c r="R133" s="130">
        <v>0</v>
      </c>
      <c r="S133" s="141">
        <v>5.7899999999999998E-4</v>
      </c>
      <c r="T133" s="129">
        <v>14.6</v>
      </c>
      <c r="U133" s="130">
        <v>14.5</v>
      </c>
      <c r="V133" s="130">
        <v>14.5</v>
      </c>
      <c r="W133" s="130">
        <v>0</v>
      </c>
      <c r="X133" s="85">
        <v>2.7300000000000001E-2</v>
      </c>
      <c r="Y133" s="124">
        <v>4.12</v>
      </c>
      <c r="Z133" s="125">
        <v>4.12</v>
      </c>
      <c r="AA133" s="85">
        <v>6.9899999999999997E-3</v>
      </c>
      <c r="AB133" s="85">
        <v>0</v>
      </c>
      <c r="AC133" s="67">
        <f t="shared" si="5"/>
        <v>0</v>
      </c>
      <c r="AD133" s="120" t="s">
        <v>1404</v>
      </c>
      <c r="AE133" s="25" t="s">
        <v>1405</v>
      </c>
      <c r="AF133" s="766">
        <v>1.1100000000000001</v>
      </c>
      <c r="AG133" s="772">
        <v>1.1100000000000001</v>
      </c>
      <c r="AH133" s="779">
        <v>0</v>
      </c>
      <c r="AI133" s="786">
        <f t="shared" si="3"/>
        <v>0.73058252427184456</v>
      </c>
    </row>
    <row r="134" spans="1:35" s="25" customFormat="1">
      <c r="A134" s="93" t="s">
        <v>1406</v>
      </c>
      <c r="B134" s="83" t="s">
        <v>1407</v>
      </c>
      <c r="C134" s="82" t="s">
        <v>1402</v>
      </c>
      <c r="D134" s="83" t="s">
        <v>1403</v>
      </c>
      <c r="E134" s="117">
        <v>7900</v>
      </c>
      <c r="F134" s="85" t="s">
        <v>202</v>
      </c>
      <c r="G134" s="132">
        <v>13000</v>
      </c>
      <c r="H134" s="133">
        <v>13000</v>
      </c>
      <c r="I134" s="149">
        <v>11.2</v>
      </c>
      <c r="J134" s="129">
        <v>24.9</v>
      </c>
      <c r="K134" s="130">
        <v>24.9</v>
      </c>
      <c r="L134" s="130">
        <v>24.9</v>
      </c>
      <c r="M134" s="130">
        <v>0</v>
      </c>
      <c r="N134" s="141">
        <v>2.7900000000000001E-2</v>
      </c>
      <c r="O134" s="129">
        <v>2.65</v>
      </c>
      <c r="P134" s="130">
        <v>2.65</v>
      </c>
      <c r="Q134" s="130">
        <v>2.65</v>
      </c>
      <c r="R134" s="130">
        <v>0</v>
      </c>
      <c r="S134" s="141">
        <v>5.7899999999999998E-4</v>
      </c>
      <c r="T134" s="129">
        <v>22.3</v>
      </c>
      <c r="U134" s="130">
        <v>22.3</v>
      </c>
      <c r="V134" s="130">
        <v>22.3</v>
      </c>
      <c r="W134" s="130">
        <v>0</v>
      </c>
      <c r="X134" s="85">
        <v>2.7300000000000001E-2</v>
      </c>
      <c r="Y134" s="124">
        <v>5.88</v>
      </c>
      <c r="Z134" s="125">
        <v>5.88</v>
      </c>
      <c r="AA134" s="85">
        <v>6.9899999999999997E-3</v>
      </c>
      <c r="AB134" s="85">
        <v>0</v>
      </c>
      <c r="AC134" s="67">
        <f t="shared" si="5"/>
        <v>0</v>
      </c>
      <c r="AD134" s="120" t="s">
        <v>1408</v>
      </c>
      <c r="AE134" s="25" t="s">
        <v>1405</v>
      </c>
      <c r="AF134" s="766">
        <v>2.36</v>
      </c>
      <c r="AG134" s="772">
        <v>2.36</v>
      </c>
      <c r="AH134" s="779">
        <v>0</v>
      </c>
      <c r="AI134" s="786">
        <f t="shared" si="3"/>
        <v>0.59863945578231292</v>
      </c>
    </row>
    <row r="135" spans="1:35" s="25" customFormat="1">
      <c r="A135" s="93" t="s">
        <v>1409</v>
      </c>
      <c r="B135" s="83" t="s">
        <v>1410</v>
      </c>
      <c r="C135" s="82" t="s">
        <v>1402</v>
      </c>
      <c r="D135" s="83" t="s">
        <v>1403</v>
      </c>
      <c r="E135" s="117">
        <v>7700</v>
      </c>
      <c r="F135" s="85" t="s">
        <v>202</v>
      </c>
      <c r="G135" s="132">
        <v>7080</v>
      </c>
      <c r="H135" s="133">
        <v>7070</v>
      </c>
      <c r="I135" s="149">
        <v>11.2</v>
      </c>
      <c r="J135" s="129">
        <v>9.5</v>
      </c>
      <c r="K135" s="130">
        <v>9.4700000000000006</v>
      </c>
      <c r="L135" s="130">
        <v>9.4700000000000006</v>
      </c>
      <c r="M135" s="130">
        <v>0</v>
      </c>
      <c r="N135" s="141">
        <v>2.7900000000000001E-2</v>
      </c>
      <c r="O135" s="129">
        <v>0.96099999999999997</v>
      </c>
      <c r="P135" s="130">
        <v>0.96</v>
      </c>
      <c r="Q135" s="130">
        <v>0.96</v>
      </c>
      <c r="R135" s="130">
        <v>0</v>
      </c>
      <c r="S135" s="141">
        <v>5.7899999999999998E-4</v>
      </c>
      <c r="T135" s="129">
        <v>8.5399999999999991</v>
      </c>
      <c r="U135" s="130">
        <v>8.51</v>
      </c>
      <c r="V135" s="130">
        <v>8.51</v>
      </c>
      <c r="W135" s="130">
        <v>0</v>
      </c>
      <c r="X135" s="85">
        <v>2.7300000000000001E-2</v>
      </c>
      <c r="Y135" s="124">
        <v>2.74</v>
      </c>
      <c r="Z135" s="125">
        <v>2.73</v>
      </c>
      <c r="AA135" s="85">
        <v>6.9899999999999997E-3</v>
      </c>
      <c r="AB135" s="85">
        <v>0</v>
      </c>
      <c r="AC135" s="67">
        <f t="shared" si="5"/>
        <v>0</v>
      </c>
      <c r="AD135" s="120" t="s">
        <v>1411</v>
      </c>
      <c r="AE135" s="25" t="s">
        <v>1405</v>
      </c>
      <c r="AF135" s="766">
        <v>1.37</v>
      </c>
      <c r="AG135" s="772">
        <v>1.37</v>
      </c>
      <c r="AH135" s="779">
        <v>0</v>
      </c>
      <c r="AI135" s="786">
        <f t="shared" si="3"/>
        <v>0.5</v>
      </c>
    </row>
    <row r="136" spans="1:35" s="25" customFormat="1">
      <c r="A136" s="93" t="s">
        <v>1412</v>
      </c>
      <c r="B136" s="83" t="s">
        <v>1413</v>
      </c>
      <c r="C136" s="82" t="s">
        <v>1402</v>
      </c>
      <c r="D136" s="83" t="s">
        <v>1403</v>
      </c>
      <c r="E136" s="117">
        <v>7700</v>
      </c>
      <c r="F136" s="85" t="s">
        <v>202</v>
      </c>
      <c r="G136" s="132">
        <v>10400</v>
      </c>
      <c r="H136" s="133">
        <v>10400</v>
      </c>
      <c r="I136" s="149">
        <v>11.2</v>
      </c>
      <c r="J136" s="129">
        <v>17.5</v>
      </c>
      <c r="K136" s="130">
        <v>17.399999999999999</v>
      </c>
      <c r="L136" s="130">
        <v>17.399999999999999</v>
      </c>
      <c r="M136" s="130">
        <v>0</v>
      </c>
      <c r="N136" s="141">
        <v>2.7900000000000001E-2</v>
      </c>
      <c r="O136" s="129">
        <v>1.22</v>
      </c>
      <c r="P136" s="130">
        <v>1.22</v>
      </c>
      <c r="Q136" s="130">
        <v>1.22</v>
      </c>
      <c r="R136" s="130">
        <v>0</v>
      </c>
      <c r="S136" s="141">
        <v>5.7899999999999998E-4</v>
      </c>
      <c r="T136" s="129">
        <v>16.2</v>
      </c>
      <c r="U136" s="130">
        <v>16.2</v>
      </c>
      <c r="V136" s="130">
        <v>16.2</v>
      </c>
      <c r="W136" s="130">
        <v>0</v>
      </c>
      <c r="X136" s="85">
        <v>2.7300000000000001E-2</v>
      </c>
      <c r="Y136" s="124">
        <v>4.5</v>
      </c>
      <c r="Z136" s="125">
        <v>4.49</v>
      </c>
      <c r="AA136" s="85">
        <v>6.9899999999999997E-3</v>
      </c>
      <c r="AB136" s="85">
        <v>0</v>
      </c>
      <c r="AC136" s="67">
        <f t="shared" si="5"/>
        <v>0</v>
      </c>
      <c r="AD136" s="120" t="s">
        <v>1414</v>
      </c>
      <c r="AE136" s="25" t="s">
        <v>1405</v>
      </c>
      <c r="AF136" s="766">
        <v>2.62</v>
      </c>
      <c r="AG136" s="772">
        <v>2.62</v>
      </c>
      <c r="AH136" s="779">
        <v>0</v>
      </c>
      <c r="AI136" s="786">
        <f t="shared" si="3"/>
        <v>0.41777777777777775</v>
      </c>
    </row>
    <row r="137" spans="1:35" s="25" customFormat="1">
      <c r="A137" s="93" t="s">
        <v>1415</v>
      </c>
      <c r="B137" s="83" t="s">
        <v>1416</v>
      </c>
      <c r="C137" s="82" t="s">
        <v>1384</v>
      </c>
      <c r="D137" s="83" t="s">
        <v>1385</v>
      </c>
      <c r="E137" s="117">
        <v>8900</v>
      </c>
      <c r="F137" s="85" t="s">
        <v>202</v>
      </c>
      <c r="G137" s="132">
        <v>24500</v>
      </c>
      <c r="H137" s="133">
        <v>24500</v>
      </c>
      <c r="I137" s="149">
        <v>19.899999999999999</v>
      </c>
      <c r="J137" s="129">
        <v>10.5</v>
      </c>
      <c r="K137" s="130">
        <v>10.5</v>
      </c>
      <c r="L137" s="130">
        <v>10.5</v>
      </c>
      <c r="M137" s="130">
        <v>0</v>
      </c>
      <c r="N137" s="141">
        <v>3.2300000000000002E-2</v>
      </c>
      <c r="O137" s="129">
        <v>1.62</v>
      </c>
      <c r="P137" s="130">
        <v>1.62</v>
      </c>
      <c r="Q137" s="130">
        <v>1.62</v>
      </c>
      <c r="R137" s="130">
        <v>0</v>
      </c>
      <c r="S137" s="141">
        <v>7.8399999999999997E-4</v>
      </c>
      <c r="T137" s="129">
        <v>8.91</v>
      </c>
      <c r="U137" s="130">
        <v>8.8800000000000008</v>
      </c>
      <c r="V137" s="130">
        <v>8.8800000000000008</v>
      </c>
      <c r="W137" s="130">
        <v>0</v>
      </c>
      <c r="X137" s="85">
        <v>3.15E-2</v>
      </c>
      <c r="Y137" s="124">
        <v>2.21</v>
      </c>
      <c r="Z137" s="125">
        <v>2.2000000000000002</v>
      </c>
      <c r="AA137" s="85">
        <v>7.9799999999999992E-3</v>
      </c>
      <c r="AB137" s="85">
        <v>0</v>
      </c>
      <c r="AC137" s="67">
        <f t="shared" si="5"/>
        <v>0</v>
      </c>
      <c r="AD137" s="120" t="s">
        <v>1417</v>
      </c>
      <c r="AE137" s="25" t="s">
        <v>1387</v>
      </c>
      <c r="AF137" s="766">
        <v>0.51100000000000001</v>
      </c>
      <c r="AG137" s="772">
        <v>0.51100000000000001</v>
      </c>
      <c r="AH137" s="779">
        <v>0</v>
      </c>
      <c r="AI137" s="786">
        <f t="shared" si="3"/>
        <v>0.76877828054298636</v>
      </c>
    </row>
    <row r="138" spans="1:35" s="25" customFormat="1">
      <c r="A138" s="93" t="s">
        <v>1418</v>
      </c>
      <c r="B138" s="83" t="s">
        <v>1419</v>
      </c>
      <c r="C138" s="82" t="s">
        <v>1384</v>
      </c>
      <c r="D138" s="83" t="s">
        <v>1385</v>
      </c>
      <c r="E138" s="117">
        <v>8300</v>
      </c>
      <c r="F138" s="85" t="s">
        <v>202</v>
      </c>
      <c r="G138" s="132">
        <v>25500</v>
      </c>
      <c r="H138" s="133">
        <v>25500</v>
      </c>
      <c r="I138" s="149">
        <v>19.899999999999999</v>
      </c>
      <c r="J138" s="129">
        <v>13</v>
      </c>
      <c r="K138" s="130">
        <v>12.9</v>
      </c>
      <c r="L138" s="130">
        <v>12.9</v>
      </c>
      <c r="M138" s="130">
        <v>0</v>
      </c>
      <c r="N138" s="141">
        <v>3.2300000000000002E-2</v>
      </c>
      <c r="O138" s="129">
        <v>1.88</v>
      </c>
      <c r="P138" s="130">
        <v>1.88</v>
      </c>
      <c r="Q138" s="130">
        <v>1.88</v>
      </c>
      <c r="R138" s="130">
        <v>0</v>
      </c>
      <c r="S138" s="141">
        <v>7.8399999999999997E-4</v>
      </c>
      <c r="T138" s="129">
        <v>11.1</v>
      </c>
      <c r="U138" s="130">
        <v>11.1</v>
      </c>
      <c r="V138" s="130">
        <v>11.1</v>
      </c>
      <c r="W138" s="130">
        <v>0</v>
      </c>
      <c r="X138" s="85">
        <v>3.15E-2</v>
      </c>
      <c r="Y138" s="124">
        <v>2.72</v>
      </c>
      <c r="Z138" s="125">
        <v>2.71</v>
      </c>
      <c r="AA138" s="85">
        <v>7.9799999999999992E-3</v>
      </c>
      <c r="AB138" s="85">
        <v>0</v>
      </c>
      <c r="AC138" s="67">
        <f t="shared" si="5"/>
        <v>0</v>
      </c>
      <c r="AD138" s="120" t="s">
        <v>1420</v>
      </c>
      <c r="AE138" s="25" t="s">
        <v>1387</v>
      </c>
      <c r="AF138" s="774">
        <v>0.81799999999999995</v>
      </c>
      <c r="AG138" s="775">
        <v>0.81799999999999995</v>
      </c>
      <c r="AH138" s="780">
        <v>0</v>
      </c>
      <c r="AI138" s="786">
        <f t="shared" si="3"/>
        <v>0.6992647058823529</v>
      </c>
    </row>
    <row r="139" spans="1:35" s="25" customFormat="1">
      <c r="A139" s="93" t="s">
        <v>1421</v>
      </c>
      <c r="B139" s="83" t="s">
        <v>1422</v>
      </c>
      <c r="C139" s="82" t="s">
        <v>1402</v>
      </c>
      <c r="D139" s="83" t="s">
        <v>1403</v>
      </c>
      <c r="E139" s="117">
        <v>7850</v>
      </c>
      <c r="F139" s="85" t="s">
        <v>202</v>
      </c>
      <c r="G139" s="132">
        <v>5270</v>
      </c>
      <c r="H139" s="133">
        <v>5260</v>
      </c>
      <c r="I139" s="149">
        <v>11.2</v>
      </c>
      <c r="J139" s="129">
        <v>8.42</v>
      </c>
      <c r="K139" s="130">
        <v>8.39</v>
      </c>
      <c r="L139" s="130">
        <v>8.39</v>
      </c>
      <c r="M139" s="130">
        <v>0</v>
      </c>
      <c r="N139" s="141">
        <v>2.7900000000000001E-2</v>
      </c>
      <c r="O139" s="129">
        <v>0.61299999999999999</v>
      </c>
      <c r="P139" s="130">
        <v>0.61199999999999999</v>
      </c>
      <c r="Q139" s="130">
        <v>0.61199999999999999</v>
      </c>
      <c r="R139" s="130">
        <v>0</v>
      </c>
      <c r="S139" s="141">
        <v>5.7899999999999998E-4</v>
      </c>
      <c r="T139" s="129">
        <v>7.8</v>
      </c>
      <c r="U139" s="130">
        <v>7.78</v>
      </c>
      <c r="V139" s="130">
        <v>7.78</v>
      </c>
      <c r="W139" s="130">
        <v>0</v>
      </c>
      <c r="X139" s="85">
        <v>2.7300000000000001E-2</v>
      </c>
      <c r="Y139" s="124">
        <v>2.8</v>
      </c>
      <c r="Z139" s="125">
        <v>2.79</v>
      </c>
      <c r="AA139" s="85">
        <v>6.9899999999999997E-3</v>
      </c>
      <c r="AB139" s="85">
        <v>0</v>
      </c>
      <c r="AC139" s="67">
        <f t="shared" si="5"/>
        <v>0</v>
      </c>
      <c r="AD139" s="120" t="s">
        <v>1423</v>
      </c>
      <c r="AE139" s="25" t="s">
        <v>1405</v>
      </c>
      <c r="AF139" s="766">
        <v>0.80300000000000005</v>
      </c>
      <c r="AG139" s="772">
        <v>0.80300000000000005</v>
      </c>
      <c r="AH139" s="779">
        <v>0</v>
      </c>
      <c r="AI139" s="786">
        <f t="shared" si="3"/>
        <v>0.71321428571428569</v>
      </c>
    </row>
    <row r="140" spans="1:35" s="25" customFormat="1">
      <c r="A140" s="93" t="s">
        <v>618</v>
      </c>
      <c r="B140" s="83" t="s">
        <v>1424</v>
      </c>
      <c r="C140" s="82" t="s">
        <v>1402</v>
      </c>
      <c r="D140" s="83" t="s">
        <v>1403</v>
      </c>
      <c r="E140" s="117">
        <v>7850</v>
      </c>
      <c r="F140" s="85" t="s">
        <v>202</v>
      </c>
      <c r="G140" s="132">
        <v>15200</v>
      </c>
      <c r="H140" s="133">
        <v>15200</v>
      </c>
      <c r="I140" s="149">
        <v>11.2</v>
      </c>
      <c r="J140" s="129">
        <v>17</v>
      </c>
      <c r="K140" s="130">
        <v>17</v>
      </c>
      <c r="L140" s="130">
        <v>17</v>
      </c>
      <c r="M140" s="130">
        <v>0</v>
      </c>
      <c r="N140" s="141">
        <v>2.7900000000000001E-2</v>
      </c>
      <c r="O140" s="129">
        <v>1.38</v>
      </c>
      <c r="P140" s="130">
        <v>1.37</v>
      </c>
      <c r="Q140" s="130">
        <v>1.37</v>
      </c>
      <c r="R140" s="130">
        <v>0</v>
      </c>
      <c r="S140" s="141">
        <v>5.7899999999999998E-4</v>
      </c>
      <c r="T140" s="129">
        <v>15.6</v>
      </c>
      <c r="U140" s="130">
        <v>15.6</v>
      </c>
      <c r="V140" s="130">
        <v>15.6</v>
      </c>
      <c r="W140" s="130">
        <v>0</v>
      </c>
      <c r="X140" s="85">
        <v>2.7300000000000001E-2</v>
      </c>
      <c r="Y140" s="124">
        <v>4.49</v>
      </c>
      <c r="Z140" s="125">
        <v>4.49</v>
      </c>
      <c r="AA140" s="85">
        <v>6.9899999999999997E-3</v>
      </c>
      <c r="AB140" s="85">
        <v>0</v>
      </c>
      <c r="AC140" s="67">
        <f t="shared" si="5"/>
        <v>0</v>
      </c>
      <c r="AD140" s="120" t="s">
        <v>1425</v>
      </c>
      <c r="AE140" s="25" t="s">
        <v>1405</v>
      </c>
      <c r="AF140" s="766">
        <v>1.74</v>
      </c>
      <c r="AG140" s="772">
        <v>1.74</v>
      </c>
      <c r="AH140" s="779">
        <v>0</v>
      </c>
      <c r="AI140" s="786">
        <f t="shared" ref="AI140:AI203" si="6">(Y140-AF140)/Y140</f>
        <v>0.61247216035634744</v>
      </c>
    </row>
    <row r="141" spans="1:35" s="25" customFormat="1">
      <c r="A141" s="93" t="s">
        <v>681</v>
      </c>
      <c r="B141" s="83" t="s">
        <v>1426</v>
      </c>
      <c r="C141" s="82" t="s">
        <v>1402</v>
      </c>
      <c r="D141" s="83" t="s">
        <v>1403</v>
      </c>
      <c r="E141" s="117">
        <v>7850</v>
      </c>
      <c r="F141" s="85" t="s">
        <v>202</v>
      </c>
      <c r="G141" s="132">
        <v>1300</v>
      </c>
      <c r="H141" s="133">
        <v>1280</v>
      </c>
      <c r="I141" s="149">
        <v>11.2</v>
      </c>
      <c r="J141" s="129">
        <v>3.63</v>
      </c>
      <c r="K141" s="130">
        <v>3.6</v>
      </c>
      <c r="L141" s="130">
        <v>3.6</v>
      </c>
      <c r="M141" s="130">
        <v>0</v>
      </c>
      <c r="N141" s="141">
        <v>2.7900000000000001E-2</v>
      </c>
      <c r="O141" s="129">
        <v>0.246</v>
      </c>
      <c r="P141" s="130">
        <v>0.245</v>
      </c>
      <c r="Q141" s="130">
        <v>0.245</v>
      </c>
      <c r="R141" s="130">
        <v>0</v>
      </c>
      <c r="S141" s="141">
        <v>5.7899999999999998E-4</v>
      </c>
      <c r="T141" s="129">
        <v>3.38</v>
      </c>
      <c r="U141" s="130">
        <v>3.35</v>
      </c>
      <c r="V141" s="130">
        <v>3.35</v>
      </c>
      <c r="W141" s="130">
        <v>0</v>
      </c>
      <c r="X141" s="85">
        <v>2.7300000000000001E-2</v>
      </c>
      <c r="Y141" s="127">
        <v>0.73799999999999999</v>
      </c>
      <c r="Z141" s="126">
        <v>0.73099999999999998</v>
      </c>
      <c r="AA141" s="85">
        <v>6.9899999999999997E-3</v>
      </c>
      <c r="AB141" s="85">
        <v>0</v>
      </c>
      <c r="AC141" s="67">
        <f t="shared" si="5"/>
        <v>0</v>
      </c>
      <c r="AD141" s="120" t="s">
        <v>1427</v>
      </c>
      <c r="AE141" s="25" t="s">
        <v>1405</v>
      </c>
      <c r="AF141" s="766">
        <v>0.26500000000000001</v>
      </c>
      <c r="AG141" s="772">
        <v>0.26500000000000001</v>
      </c>
      <c r="AH141" s="779">
        <v>0</v>
      </c>
      <c r="AI141" s="786">
        <f t="shared" si="6"/>
        <v>0.64092140921409213</v>
      </c>
    </row>
    <row r="142" spans="1:35" s="25" customFormat="1">
      <c r="A142" s="93" t="s">
        <v>1428</v>
      </c>
      <c r="B142" s="83" t="s">
        <v>1429</v>
      </c>
      <c r="C142" s="82" t="s">
        <v>1384</v>
      </c>
      <c r="D142" s="83" t="s">
        <v>1385</v>
      </c>
      <c r="E142" s="117">
        <v>7200</v>
      </c>
      <c r="F142" s="85" t="s">
        <v>202</v>
      </c>
      <c r="G142" s="132">
        <v>27800</v>
      </c>
      <c r="H142" s="133">
        <v>27800</v>
      </c>
      <c r="I142" s="149">
        <v>19.899999999999999</v>
      </c>
      <c r="J142" s="129">
        <v>20.100000000000001</v>
      </c>
      <c r="K142" s="130">
        <v>20</v>
      </c>
      <c r="L142" s="130">
        <v>20</v>
      </c>
      <c r="M142" s="130">
        <v>0</v>
      </c>
      <c r="N142" s="141">
        <v>3.2300000000000002E-2</v>
      </c>
      <c r="O142" s="129">
        <v>2.6</v>
      </c>
      <c r="P142" s="130">
        <v>2.59</v>
      </c>
      <c r="Q142" s="130">
        <v>2.59</v>
      </c>
      <c r="R142" s="130">
        <v>0</v>
      </c>
      <c r="S142" s="141">
        <v>7.8399999999999997E-4</v>
      </c>
      <c r="T142" s="129">
        <v>17.5</v>
      </c>
      <c r="U142" s="130">
        <v>17.399999999999999</v>
      </c>
      <c r="V142" s="130">
        <v>17.399999999999999</v>
      </c>
      <c r="W142" s="130">
        <v>0</v>
      </c>
      <c r="X142" s="85">
        <v>3.15E-2</v>
      </c>
      <c r="Y142" s="124">
        <v>4.03</v>
      </c>
      <c r="Z142" s="125">
        <v>4.0199999999999996</v>
      </c>
      <c r="AA142" s="85">
        <v>7.9799999999999992E-3</v>
      </c>
      <c r="AB142" s="85">
        <v>0</v>
      </c>
      <c r="AC142" s="67">
        <f t="shared" si="5"/>
        <v>0</v>
      </c>
      <c r="AD142" s="120" t="s">
        <v>1430</v>
      </c>
      <c r="AE142" s="25" t="s">
        <v>1387</v>
      </c>
      <c r="AF142" s="774">
        <v>1.64</v>
      </c>
      <c r="AG142" s="775">
        <v>1.64</v>
      </c>
      <c r="AH142" s="780">
        <v>0</v>
      </c>
      <c r="AI142" s="786">
        <f t="shared" si="6"/>
        <v>0.5930521091811416</v>
      </c>
    </row>
    <row r="143" spans="1:35" s="25" customFormat="1" ht="14.25">
      <c r="A143" s="113" t="s">
        <v>1431</v>
      </c>
      <c r="B143" s="113" t="s">
        <v>1432</v>
      </c>
      <c r="C143" s="75"/>
      <c r="D143" s="76"/>
      <c r="E143" s="77" t="s">
        <v>1023</v>
      </c>
      <c r="F143" s="78"/>
      <c r="G143" s="114"/>
      <c r="H143" s="114"/>
      <c r="I143" s="114"/>
      <c r="J143" s="114"/>
      <c r="K143" s="80"/>
      <c r="L143" s="80"/>
      <c r="M143" s="80"/>
      <c r="N143" s="115"/>
      <c r="O143" s="114"/>
      <c r="P143" s="80"/>
      <c r="Q143" s="80"/>
      <c r="R143" s="80"/>
      <c r="S143" s="115"/>
      <c r="T143" s="79"/>
      <c r="U143" s="80"/>
      <c r="V143" s="80"/>
      <c r="W143" s="80"/>
      <c r="X143" s="80"/>
      <c r="Y143" s="79"/>
      <c r="Z143" s="80"/>
      <c r="AA143" s="80"/>
      <c r="AB143" s="80"/>
      <c r="AC143" s="67">
        <f t="shared" si="5"/>
        <v>0</v>
      </c>
      <c r="AD143" s="150" t="s">
        <v>1433</v>
      </c>
      <c r="AI143" s="786"/>
    </row>
    <row r="144" spans="1:35" s="25" customFormat="1">
      <c r="A144" s="93" t="s">
        <v>510</v>
      </c>
      <c r="B144" s="83" t="s">
        <v>1434</v>
      </c>
      <c r="C144" s="82" t="s">
        <v>1435</v>
      </c>
      <c r="D144" s="83" t="s">
        <v>1436</v>
      </c>
      <c r="E144" s="85">
        <v>453</v>
      </c>
      <c r="F144" s="85" t="s">
        <v>202</v>
      </c>
      <c r="G144" s="64">
        <v>1020</v>
      </c>
      <c r="H144" s="65">
        <v>935</v>
      </c>
      <c r="I144" s="87">
        <v>80.7</v>
      </c>
      <c r="J144" s="134">
        <v>15.4</v>
      </c>
      <c r="K144" s="135">
        <v>15.3</v>
      </c>
      <c r="L144" s="135">
        <v>10.1</v>
      </c>
      <c r="M144" s="135">
        <v>5.29</v>
      </c>
      <c r="N144" s="62">
        <v>9.8799999999999999E-2</v>
      </c>
      <c r="O144" s="134">
        <v>13.3</v>
      </c>
      <c r="P144" s="135">
        <v>13.2</v>
      </c>
      <c r="Q144" s="135">
        <v>8.3000000000000007</v>
      </c>
      <c r="R144" s="135">
        <v>4.95</v>
      </c>
      <c r="S144" s="62">
        <v>6.0800000000000003E-3</v>
      </c>
      <c r="T144" s="134">
        <v>2.1800000000000002</v>
      </c>
      <c r="U144" s="119">
        <v>2.09</v>
      </c>
      <c r="V144" s="119">
        <v>1.75</v>
      </c>
      <c r="W144" s="119">
        <v>0.33700000000000002</v>
      </c>
      <c r="X144" s="62">
        <v>9.2700000000000005E-2</v>
      </c>
      <c r="Y144" s="88">
        <v>0.47099999999999997</v>
      </c>
      <c r="Z144" s="62">
        <v>0.41499999999999998</v>
      </c>
      <c r="AA144" s="62">
        <v>5.5500000000000001E-2</v>
      </c>
      <c r="AB144" s="62">
        <v>0.433</v>
      </c>
      <c r="AC144" s="67">
        <f t="shared" si="5"/>
        <v>1.5876666666666666</v>
      </c>
      <c r="AD144" s="120" t="s">
        <v>1437</v>
      </c>
      <c r="AE144" s="25" t="s">
        <v>1438</v>
      </c>
      <c r="AF144" s="766">
        <v>0.17899999999999999</v>
      </c>
      <c r="AG144" s="772">
        <v>0.14000000000000001</v>
      </c>
      <c r="AH144" s="772">
        <v>3.8899999999999997E-2</v>
      </c>
      <c r="AI144" s="786">
        <f t="shared" si="6"/>
        <v>0.61995753715498936</v>
      </c>
    </row>
    <row r="145" spans="1:35" s="25" customFormat="1">
      <c r="A145" s="93" t="s">
        <v>1439</v>
      </c>
      <c r="B145" s="83" t="s">
        <v>1440</v>
      </c>
      <c r="C145" s="82" t="s">
        <v>1441</v>
      </c>
      <c r="D145" s="83" t="s">
        <v>1442</v>
      </c>
      <c r="E145" s="85">
        <v>439</v>
      </c>
      <c r="F145" s="85" t="s">
        <v>202</v>
      </c>
      <c r="G145" s="64">
        <v>792</v>
      </c>
      <c r="H145" s="65">
        <v>718</v>
      </c>
      <c r="I145" s="87">
        <v>74.2</v>
      </c>
      <c r="J145" s="134">
        <v>10.199999999999999</v>
      </c>
      <c r="K145" s="135">
        <v>10.1</v>
      </c>
      <c r="L145" s="135">
        <v>4.8600000000000003</v>
      </c>
      <c r="M145" s="135">
        <v>5.19</v>
      </c>
      <c r="N145" s="62">
        <v>9.7500000000000003E-2</v>
      </c>
      <c r="O145" s="134">
        <v>8.59</v>
      </c>
      <c r="P145" s="135">
        <v>8.58</v>
      </c>
      <c r="Q145" s="135">
        <v>3.49</v>
      </c>
      <c r="R145" s="135">
        <v>5.09</v>
      </c>
      <c r="S145" s="62">
        <v>6.0699999999999999E-3</v>
      </c>
      <c r="T145" s="134">
        <v>1.56</v>
      </c>
      <c r="U145" s="119">
        <v>1.47</v>
      </c>
      <c r="V145" s="119">
        <v>1.38</v>
      </c>
      <c r="W145" s="119">
        <v>9.7000000000000003E-2</v>
      </c>
      <c r="X145" s="62">
        <v>9.1399999999999995E-2</v>
      </c>
      <c r="Y145" s="88">
        <v>0.34300000000000003</v>
      </c>
      <c r="Z145" s="62">
        <v>0.29399999999999998</v>
      </c>
      <c r="AA145" s="62">
        <v>4.9399999999999999E-2</v>
      </c>
      <c r="AB145" s="62">
        <v>0.44600000000000001</v>
      </c>
      <c r="AC145" s="67">
        <f t="shared" si="5"/>
        <v>1.6353333333333333</v>
      </c>
      <c r="AD145" s="120" t="s">
        <v>1443</v>
      </c>
      <c r="AE145" s="25" t="s">
        <v>1444</v>
      </c>
      <c r="AI145" s="786"/>
    </row>
    <row r="146" spans="1:35" s="25" customFormat="1">
      <c r="A146" s="93" t="s">
        <v>1445</v>
      </c>
      <c r="B146" s="83" t="s">
        <v>1446</v>
      </c>
      <c r="C146" s="82" t="s">
        <v>1441</v>
      </c>
      <c r="D146" s="83" t="s">
        <v>1442</v>
      </c>
      <c r="E146" s="85">
        <v>439</v>
      </c>
      <c r="F146" s="85" t="s">
        <v>202</v>
      </c>
      <c r="G146" s="64">
        <v>772</v>
      </c>
      <c r="H146" s="65">
        <v>698</v>
      </c>
      <c r="I146" s="87">
        <v>74.2</v>
      </c>
      <c r="J146" s="134">
        <v>9.68</v>
      </c>
      <c r="K146" s="135">
        <v>9.58</v>
      </c>
      <c r="L146" s="135">
        <v>4.37</v>
      </c>
      <c r="M146" s="135">
        <v>5.2</v>
      </c>
      <c r="N146" s="62">
        <v>9.7500000000000003E-2</v>
      </c>
      <c r="O146" s="134">
        <v>8.14</v>
      </c>
      <c r="P146" s="135">
        <v>8.1300000000000008</v>
      </c>
      <c r="Q146" s="135">
        <v>3.07</v>
      </c>
      <c r="R146" s="135">
        <v>5.0599999999999996</v>
      </c>
      <c r="S146" s="62">
        <v>6.0699999999999999E-3</v>
      </c>
      <c r="T146" s="118">
        <v>1.54</v>
      </c>
      <c r="U146" s="119">
        <v>1.45</v>
      </c>
      <c r="V146" s="119">
        <v>1.3</v>
      </c>
      <c r="W146" s="119">
        <v>0.14199999999999999</v>
      </c>
      <c r="X146" s="62">
        <v>9.1399999999999995E-2</v>
      </c>
      <c r="Y146" s="88">
        <v>0.33600000000000002</v>
      </c>
      <c r="Z146" s="62">
        <v>0.28699999999999998</v>
      </c>
      <c r="AA146" s="62">
        <v>4.9399999999999999E-2</v>
      </c>
      <c r="AB146" s="62">
        <v>0.44600000000000001</v>
      </c>
      <c r="AC146" s="67">
        <f t="shared" si="5"/>
        <v>1.6353333333333333</v>
      </c>
      <c r="AD146" s="120" t="s">
        <v>1447</v>
      </c>
      <c r="AE146" s="25" t="s">
        <v>1444</v>
      </c>
      <c r="AF146" s="766">
        <v>0.219</v>
      </c>
      <c r="AG146" s="772">
        <v>0.17599999999999999</v>
      </c>
      <c r="AH146" s="772">
        <v>4.24E-2</v>
      </c>
      <c r="AI146" s="786">
        <f t="shared" si="6"/>
        <v>0.34821428571428575</v>
      </c>
    </row>
    <row r="147" spans="1:35" s="69" customFormat="1" outlineLevel="1">
      <c r="A147" s="101" t="s">
        <v>1448</v>
      </c>
      <c r="B147" s="102" t="s">
        <v>1449</v>
      </c>
      <c r="C147" s="102" t="s">
        <v>1441</v>
      </c>
      <c r="D147" s="102" t="s">
        <v>1442</v>
      </c>
      <c r="E147" s="104">
        <v>439</v>
      </c>
      <c r="F147" s="105" t="s">
        <v>202</v>
      </c>
      <c r="G147" s="106">
        <v>683</v>
      </c>
      <c r="H147" s="107">
        <v>609</v>
      </c>
      <c r="I147" s="107">
        <v>74.2</v>
      </c>
      <c r="J147" s="108">
        <v>9.2100000000000009</v>
      </c>
      <c r="K147" s="109">
        <v>9.11</v>
      </c>
      <c r="L147" s="109">
        <v>3.92</v>
      </c>
      <c r="M147" s="109">
        <v>5.19</v>
      </c>
      <c r="N147" s="110">
        <v>9.7500000000000003E-2</v>
      </c>
      <c r="O147" s="108">
        <v>8</v>
      </c>
      <c r="P147" s="109">
        <v>8</v>
      </c>
      <c r="Q147" s="109">
        <v>2.9</v>
      </c>
      <c r="R147" s="109">
        <v>5.0999999999999996</v>
      </c>
      <c r="S147" s="110">
        <v>6.0699999999999999E-3</v>
      </c>
      <c r="T147" s="108">
        <v>1.2</v>
      </c>
      <c r="U147" s="109">
        <v>1.1100000000000001</v>
      </c>
      <c r="V147" s="109">
        <v>1.03</v>
      </c>
      <c r="W147" s="109">
        <v>8.4400000000000003E-2</v>
      </c>
      <c r="X147" s="110">
        <v>9.1399999999999995E-2</v>
      </c>
      <c r="Y147" s="111">
        <v>0.254</v>
      </c>
      <c r="Z147" s="110">
        <v>0.20499999999999999</v>
      </c>
      <c r="AA147" s="112">
        <v>4.9399999999999999E-2</v>
      </c>
      <c r="AB147" s="112">
        <v>0.44700000000000001</v>
      </c>
      <c r="AC147" s="67">
        <f t="shared" si="5"/>
        <v>1.639</v>
      </c>
      <c r="AD147" s="144" t="s">
        <v>1450</v>
      </c>
      <c r="AE147" s="69" t="s">
        <v>1444</v>
      </c>
      <c r="AF147" s="781">
        <v>0.21199999999999999</v>
      </c>
      <c r="AG147" s="772">
        <v>0.17</v>
      </c>
      <c r="AH147" s="782">
        <v>4.24E-2</v>
      </c>
      <c r="AI147" s="786">
        <f t="shared" si="6"/>
        <v>0.16535433070866146</v>
      </c>
    </row>
    <row r="148" spans="1:35" s="25" customFormat="1">
      <c r="A148" s="93" t="s">
        <v>1451</v>
      </c>
      <c r="B148" s="83" t="s">
        <v>1446</v>
      </c>
      <c r="C148" s="82" t="s">
        <v>1441</v>
      </c>
      <c r="D148" s="83" t="s">
        <v>1442</v>
      </c>
      <c r="E148" s="85">
        <v>439</v>
      </c>
      <c r="F148" s="85" t="s">
        <v>202</v>
      </c>
      <c r="G148" s="64">
        <v>772</v>
      </c>
      <c r="H148" s="65">
        <v>698</v>
      </c>
      <c r="I148" s="87">
        <v>74.2</v>
      </c>
      <c r="J148" s="134">
        <v>9.68</v>
      </c>
      <c r="K148" s="135">
        <v>9.58</v>
      </c>
      <c r="L148" s="135">
        <v>4.37</v>
      </c>
      <c r="M148" s="135">
        <v>5.2</v>
      </c>
      <c r="N148" s="62">
        <v>9.7500000000000003E-2</v>
      </c>
      <c r="O148" s="134">
        <v>8.14</v>
      </c>
      <c r="P148" s="135">
        <v>8.1300000000000008</v>
      </c>
      <c r="Q148" s="135">
        <v>3.07</v>
      </c>
      <c r="R148" s="135">
        <v>5.0599999999999996</v>
      </c>
      <c r="S148" s="62">
        <v>6.0699999999999999E-3</v>
      </c>
      <c r="T148" s="118">
        <v>1.54</v>
      </c>
      <c r="U148" s="119">
        <v>1.45</v>
      </c>
      <c r="V148" s="119">
        <v>1.3</v>
      </c>
      <c r="W148" s="119">
        <v>0.14199999999999999</v>
      </c>
      <c r="X148" s="62">
        <v>9.1399999999999995E-2</v>
      </c>
      <c r="Y148" s="88">
        <v>0.33600000000000002</v>
      </c>
      <c r="Z148" s="62">
        <v>0.28699999999999998</v>
      </c>
      <c r="AA148" s="62">
        <v>4.9399999999999999E-2</v>
      </c>
      <c r="AB148" s="62">
        <v>0.44600000000000001</v>
      </c>
      <c r="AC148" s="67">
        <f t="shared" si="5"/>
        <v>1.6353333333333333</v>
      </c>
      <c r="AD148" s="120" t="s">
        <v>1447</v>
      </c>
      <c r="AE148" s="25" t="s">
        <v>1444</v>
      </c>
      <c r="AF148" s="766">
        <v>0.185</v>
      </c>
      <c r="AG148" s="772">
        <v>0.14199999999999999</v>
      </c>
      <c r="AH148" s="772">
        <v>4.24E-2</v>
      </c>
      <c r="AI148" s="786">
        <f t="shared" si="6"/>
        <v>0.44940476190476192</v>
      </c>
    </row>
    <row r="149" spans="1:35" s="69" customFormat="1" outlineLevel="1">
      <c r="A149" s="101" t="s">
        <v>1452</v>
      </c>
      <c r="B149" s="102" t="s">
        <v>1449</v>
      </c>
      <c r="C149" s="102" t="s">
        <v>1441</v>
      </c>
      <c r="D149" s="102" t="s">
        <v>1442</v>
      </c>
      <c r="E149" s="104">
        <v>439</v>
      </c>
      <c r="F149" s="105" t="s">
        <v>202</v>
      </c>
      <c r="G149" s="106">
        <v>683</v>
      </c>
      <c r="H149" s="107">
        <v>609</v>
      </c>
      <c r="I149" s="107">
        <v>74.2</v>
      </c>
      <c r="J149" s="108">
        <v>9.2100000000000009</v>
      </c>
      <c r="K149" s="109">
        <v>9.11</v>
      </c>
      <c r="L149" s="109">
        <v>3.92</v>
      </c>
      <c r="M149" s="109">
        <v>5.19</v>
      </c>
      <c r="N149" s="110">
        <v>9.7500000000000003E-2</v>
      </c>
      <c r="O149" s="108">
        <v>8</v>
      </c>
      <c r="P149" s="109">
        <v>8</v>
      </c>
      <c r="Q149" s="109">
        <v>2.9</v>
      </c>
      <c r="R149" s="109">
        <v>5.0999999999999996</v>
      </c>
      <c r="S149" s="110">
        <v>6.0699999999999999E-3</v>
      </c>
      <c r="T149" s="108">
        <v>1.2</v>
      </c>
      <c r="U149" s="109">
        <v>1.1100000000000001</v>
      </c>
      <c r="V149" s="109">
        <v>1.03</v>
      </c>
      <c r="W149" s="109">
        <v>8.4400000000000003E-2</v>
      </c>
      <c r="X149" s="110">
        <v>9.1399999999999995E-2</v>
      </c>
      <c r="Y149" s="111">
        <v>0.254</v>
      </c>
      <c r="Z149" s="110">
        <v>0.20499999999999999</v>
      </c>
      <c r="AA149" s="112">
        <v>4.9399999999999999E-2</v>
      </c>
      <c r="AB149" s="112">
        <v>0.44700000000000001</v>
      </c>
      <c r="AC149" s="67">
        <f t="shared" si="5"/>
        <v>1.639</v>
      </c>
      <c r="AD149" s="144" t="s">
        <v>1453</v>
      </c>
      <c r="AE149" s="69" t="s">
        <v>1444</v>
      </c>
      <c r="AF149" s="766">
        <v>0.185</v>
      </c>
      <c r="AG149" s="772">
        <v>0.14199999999999999</v>
      </c>
      <c r="AH149" s="772">
        <v>4.24E-2</v>
      </c>
      <c r="AI149" s="786">
        <f t="shared" si="6"/>
        <v>0.27165354330708663</v>
      </c>
    </row>
    <row r="150" spans="1:35" s="69" customFormat="1" outlineLevel="1">
      <c r="A150" s="101" t="s">
        <v>1454</v>
      </c>
      <c r="B150" s="102" t="s">
        <v>1455</v>
      </c>
      <c r="C150" s="102" t="s">
        <v>1456</v>
      </c>
      <c r="D150" s="102" t="s">
        <v>1457</v>
      </c>
      <c r="E150" s="104">
        <v>436</v>
      </c>
      <c r="F150" s="105" t="s">
        <v>202</v>
      </c>
      <c r="G150" s="106">
        <v>884</v>
      </c>
      <c r="H150" s="107">
        <v>777</v>
      </c>
      <c r="I150" s="107">
        <v>107</v>
      </c>
      <c r="J150" s="108">
        <v>9.94</v>
      </c>
      <c r="K150" s="109">
        <v>9.84</v>
      </c>
      <c r="L150" s="109">
        <v>4.62</v>
      </c>
      <c r="M150" s="109">
        <v>5.21</v>
      </c>
      <c r="N150" s="110">
        <v>0.104</v>
      </c>
      <c r="O150" s="108">
        <v>8.1199999999999992</v>
      </c>
      <c r="P150" s="109">
        <v>8.11</v>
      </c>
      <c r="Q150" s="109">
        <v>2.99</v>
      </c>
      <c r="R150" s="109">
        <v>5.12</v>
      </c>
      <c r="S150" s="110">
        <v>6.1500000000000001E-3</v>
      </c>
      <c r="T150" s="108">
        <v>1.82</v>
      </c>
      <c r="U150" s="109">
        <v>1.73</v>
      </c>
      <c r="V150" s="109">
        <v>1.64</v>
      </c>
      <c r="W150" s="109">
        <v>8.9200000000000002E-2</v>
      </c>
      <c r="X150" s="110">
        <v>9.8100000000000007E-2</v>
      </c>
      <c r="Y150" s="111">
        <v>0.39700000000000002</v>
      </c>
      <c r="Z150" s="110">
        <v>0.317</v>
      </c>
      <c r="AA150" s="112">
        <v>0.08</v>
      </c>
      <c r="AB150" s="112">
        <v>0.44900000000000001</v>
      </c>
      <c r="AC150" s="67">
        <f t="shared" si="5"/>
        <v>1.6463333333333332</v>
      </c>
      <c r="AD150" s="144" t="s">
        <v>1458</v>
      </c>
      <c r="AE150" s="69" t="s">
        <v>1459</v>
      </c>
      <c r="AF150" s="1115">
        <v>0.25805</v>
      </c>
      <c r="AG150" s="1115">
        <f>AF150-AH150</f>
        <v>0.21565000000000001</v>
      </c>
      <c r="AH150" s="772">
        <v>4.24E-2</v>
      </c>
      <c r="AI150" s="786">
        <v>0.35</v>
      </c>
    </row>
    <row r="151" spans="1:35" s="69" customFormat="1" outlineLevel="1">
      <c r="A151" s="101" t="s">
        <v>1460</v>
      </c>
      <c r="B151" s="102" t="s">
        <v>1461</v>
      </c>
      <c r="C151" s="102" t="s">
        <v>1456</v>
      </c>
      <c r="D151" s="102" t="s">
        <v>1457</v>
      </c>
      <c r="E151" s="104">
        <v>424</v>
      </c>
      <c r="F151" s="105" t="s">
        <v>202</v>
      </c>
      <c r="G151" s="106">
        <v>745</v>
      </c>
      <c r="H151" s="107">
        <v>638</v>
      </c>
      <c r="I151" s="107">
        <v>107</v>
      </c>
      <c r="J151" s="108">
        <v>7.27</v>
      </c>
      <c r="K151" s="109">
        <v>7.17</v>
      </c>
      <c r="L151" s="109">
        <v>2</v>
      </c>
      <c r="M151" s="109">
        <v>5.17</v>
      </c>
      <c r="N151" s="110">
        <v>0.104</v>
      </c>
      <c r="O151" s="108">
        <v>5.67</v>
      </c>
      <c r="P151" s="109">
        <v>5.66</v>
      </c>
      <c r="Q151" s="109">
        <v>0.54900000000000004</v>
      </c>
      <c r="R151" s="109">
        <v>5.1100000000000003</v>
      </c>
      <c r="S151" s="110">
        <v>6.1500000000000001E-3</v>
      </c>
      <c r="T151" s="108">
        <v>1.61</v>
      </c>
      <c r="U151" s="109">
        <v>1.51</v>
      </c>
      <c r="V151" s="109">
        <v>1.45</v>
      </c>
      <c r="W151" s="109">
        <v>5.3999999999999999E-2</v>
      </c>
      <c r="X151" s="110">
        <v>9.8100000000000007E-2</v>
      </c>
      <c r="Y151" s="111">
        <v>0.28100000000000003</v>
      </c>
      <c r="Z151" s="110">
        <v>0.20100000000000001</v>
      </c>
      <c r="AA151" s="112">
        <v>0.08</v>
      </c>
      <c r="AB151" s="112">
        <v>0.44800000000000001</v>
      </c>
      <c r="AC151" s="67">
        <f t="shared" si="5"/>
        <v>1.6426666666666667</v>
      </c>
      <c r="AD151" s="144" t="s">
        <v>1462</v>
      </c>
      <c r="AE151" s="69" t="s">
        <v>1459</v>
      </c>
      <c r="AF151" s="1115">
        <v>0.18265000000000003</v>
      </c>
      <c r="AG151" s="1115">
        <f t="shared" ref="AG151:AG152" si="7">AF151-AH151</f>
        <v>0.14025000000000004</v>
      </c>
      <c r="AH151" s="772">
        <v>4.24E-2</v>
      </c>
      <c r="AI151" s="786">
        <v>0.35</v>
      </c>
    </row>
    <row r="152" spans="1:35" s="69" customFormat="1" outlineLevel="1">
      <c r="A152" s="101" t="s">
        <v>1463</v>
      </c>
      <c r="B152" s="102" t="s">
        <v>1464</v>
      </c>
      <c r="C152" s="102" t="s">
        <v>1456</v>
      </c>
      <c r="D152" s="102" t="s">
        <v>1457</v>
      </c>
      <c r="E152" s="104">
        <v>823</v>
      </c>
      <c r="F152" s="105" t="s">
        <v>202</v>
      </c>
      <c r="G152" s="106">
        <v>1980</v>
      </c>
      <c r="H152" s="107">
        <v>1870</v>
      </c>
      <c r="I152" s="107">
        <v>107</v>
      </c>
      <c r="J152" s="108">
        <v>14.3</v>
      </c>
      <c r="K152" s="109">
        <v>14.2</v>
      </c>
      <c r="L152" s="109">
        <v>8.77</v>
      </c>
      <c r="M152" s="109">
        <v>5.45</v>
      </c>
      <c r="N152" s="110">
        <v>0.104</v>
      </c>
      <c r="O152" s="108">
        <v>9.24</v>
      </c>
      <c r="P152" s="109">
        <v>9.24</v>
      </c>
      <c r="Q152" s="109">
        <v>4.72</v>
      </c>
      <c r="R152" s="109">
        <v>4.5199999999999996</v>
      </c>
      <c r="S152" s="110">
        <v>6.1500000000000001E-3</v>
      </c>
      <c r="T152" s="108">
        <v>5.08</v>
      </c>
      <c r="U152" s="109">
        <v>4.9800000000000004</v>
      </c>
      <c r="V152" s="109">
        <v>4.05</v>
      </c>
      <c r="W152" s="109">
        <v>0.93300000000000005</v>
      </c>
      <c r="X152" s="110">
        <v>9.8100000000000007E-2</v>
      </c>
      <c r="Y152" s="111">
        <v>1.02</v>
      </c>
      <c r="Z152" s="110">
        <v>0.94399999999999995</v>
      </c>
      <c r="AA152" s="112">
        <v>0.08</v>
      </c>
      <c r="AB152" s="112">
        <v>0.41</v>
      </c>
      <c r="AC152" s="67">
        <f t="shared" si="5"/>
        <v>1.5033333333333332</v>
      </c>
      <c r="AD152" s="144" t="s">
        <v>1465</v>
      </c>
      <c r="AE152" s="69" t="s">
        <v>1459</v>
      </c>
      <c r="AF152" s="1115">
        <v>0.66300000000000003</v>
      </c>
      <c r="AG152" s="1115">
        <f t="shared" si="7"/>
        <v>0.62060000000000004</v>
      </c>
      <c r="AH152" s="772">
        <v>4.24E-2</v>
      </c>
      <c r="AI152" s="786">
        <v>0.35</v>
      </c>
    </row>
    <row r="153" spans="1:35" s="25" customFormat="1">
      <c r="A153" s="93" t="s">
        <v>1466</v>
      </c>
      <c r="B153" s="83" t="s">
        <v>1467</v>
      </c>
      <c r="C153" s="82" t="s">
        <v>1468</v>
      </c>
      <c r="D153" s="83" t="s">
        <v>1469</v>
      </c>
      <c r="E153" s="63">
        <v>955</v>
      </c>
      <c r="F153" s="85" t="s">
        <v>202</v>
      </c>
      <c r="G153" s="64">
        <v>1770</v>
      </c>
      <c r="H153" s="65">
        <v>1700</v>
      </c>
      <c r="I153" s="87">
        <v>68.8</v>
      </c>
      <c r="J153" s="134">
        <v>11.2</v>
      </c>
      <c r="K153" s="135">
        <v>11.1</v>
      </c>
      <c r="L153" s="135">
        <v>5.63</v>
      </c>
      <c r="M153" s="135">
        <v>5.44</v>
      </c>
      <c r="N153" s="62">
        <v>9.6299999999999997E-2</v>
      </c>
      <c r="O153" s="134">
        <v>7.04</v>
      </c>
      <c r="P153" s="135">
        <v>7.03</v>
      </c>
      <c r="Q153" s="135">
        <v>1.85</v>
      </c>
      <c r="R153" s="135">
        <v>5.18</v>
      </c>
      <c r="S153" s="62">
        <v>6.0499999999999998E-3</v>
      </c>
      <c r="T153" s="134">
        <v>4.13</v>
      </c>
      <c r="U153" s="135">
        <v>4.04</v>
      </c>
      <c r="V153" s="135">
        <v>3.78</v>
      </c>
      <c r="W153" s="135">
        <v>0.26</v>
      </c>
      <c r="X153" s="62">
        <v>9.0300000000000005E-2</v>
      </c>
      <c r="Y153" s="88">
        <v>1.07</v>
      </c>
      <c r="Z153" s="62">
        <v>1.03</v>
      </c>
      <c r="AA153" s="62">
        <v>4.4299999999999999E-2</v>
      </c>
      <c r="AB153" s="62">
        <v>0.45500000000000002</v>
      </c>
      <c r="AC153" s="67">
        <f t="shared" si="5"/>
        <v>1.6683333333333332</v>
      </c>
      <c r="AD153" s="120" t="s">
        <v>1470</v>
      </c>
      <c r="AE153" s="25" t="s">
        <v>1471</v>
      </c>
      <c r="AF153" s="769">
        <v>0.90300000000000002</v>
      </c>
      <c r="AG153" s="773">
        <v>0.85899999999999999</v>
      </c>
      <c r="AH153" s="773">
        <v>4.4400000000000002E-2</v>
      </c>
      <c r="AI153" s="786">
        <f t="shared" si="6"/>
        <v>0.15607476635514023</v>
      </c>
    </row>
    <row r="154" spans="1:35" s="25" customFormat="1">
      <c r="A154" s="93" t="s">
        <v>1472</v>
      </c>
      <c r="B154" s="83" t="s">
        <v>1473</v>
      </c>
      <c r="C154" s="82" t="s">
        <v>1474</v>
      </c>
      <c r="D154" s="83" t="s">
        <v>1475</v>
      </c>
      <c r="E154" s="85">
        <v>400</v>
      </c>
      <c r="F154" s="85" t="s">
        <v>202</v>
      </c>
      <c r="G154" s="64">
        <v>773</v>
      </c>
      <c r="H154" s="65">
        <v>687</v>
      </c>
      <c r="I154" s="87">
        <v>86.5</v>
      </c>
      <c r="J154" s="134">
        <v>3.31</v>
      </c>
      <c r="K154" s="135">
        <v>3.13</v>
      </c>
      <c r="L154" s="135">
        <v>1.59</v>
      </c>
      <c r="M154" s="135">
        <v>1.54</v>
      </c>
      <c r="N154" s="62">
        <v>0.18099999999999999</v>
      </c>
      <c r="O154" s="134">
        <v>2.04</v>
      </c>
      <c r="P154" s="135">
        <v>2.0299999999999998</v>
      </c>
      <c r="Q154" s="135">
        <v>0.49099999999999999</v>
      </c>
      <c r="R154" s="135">
        <v>1.54</v>
      </c>
      <c r="S154" s="62">
        <v>9.7099999999999999E-3</v>
      </c>
      <c r="T154" s="118">
        <v>1.28</v>
      </c>
      <c r="U154" s="119">
        <v>1.1000000000000001</v>
      </c>
      <c r="V154" s="119">
        <v>1.1000000000000001</v>
      </c>
      <c r="W154" s="119">
        <v>0</v>
      </c>
      <c r="X154" s="62">
        <v>0.17100000000000001</v>
      </c>
      <c r="Y154" s="88">
        <v>0.53600000000000003</v>
      </c>
      <c r="Z154" s="62">
        <v>0.499</v>
      </c>
      <c r="AA154" s="90">
        <v>3.6299999999999999E-2</v>
      </c>
      <c r="AB154" s="90">
        <v>0.13800000000000001</v>
      </c>
      <c r="AC154" s="67">
        <f t="shared" si="5"/>
        <v>0.50600000000000001</v>
      </c>
      <c r="AD154" s="120" t="s">
        <v>1476</v>
      </c>
      <c r="AE154" s="25" t="s">
        <v>1477</v>
      </c>
      <c r="AF154" s="769">
        <v>0.13700000000000001</v>
      </c>
      <c r="AG154" s="773">
        <v>0.13</v>
      </c>
      <c r="AH154" s="770">
        <v>7.0200000000000002E-3</v>
      </c>
      <c r="AI154" s="786">
        <f t="shared" si="6"/>
        <v>0.74440298507462688</v>
      </c>
    </row>
    <row r="155" spans="1:35" s="25" customFormat="1">
      <c r="A155" s="93" t="s">
        <v>547</v>
      </c>
      <c r="B155" s="83" t="s">
        <v>1478</v>
      </c>
      <c r="C155" s="82" t="s">
        <v>1468</v>
      </c>
      <c r="D155" s="83" t="s">
        <v>1469</v>
      </c>
      <c r="E155" s="85">
        <v>436</v>
      </c>
      <c r="F155" s="85" t="s">
        <v>202</v>
      </c>
      <c r="G155" s="64">
        <v>691</v>
      </c>
      <c r="H155" s="65">
        <v>622</v>
      </c>
      <c r="I155" s="87">
        <v>68.8</v>
      </c>
      <c r="J155" s="134">
        <v>9.52</v>
      </c>
      <c r="K155" s="135">
        <v>9.43</v>
      </c>
      <c r="L155" s="135">
        <v>4.2699999999999996</v>
      </c>
      <c r="M155" s="135">
        <v>5.16</v>
      </c>
      <c r="N155" s="62">
        <v>9.6299999999999997E-2</v>
      </c>
      <c r="O155" s="134">
        <v>8.2799999999999994</v>
      </c>
      <c r="P155" s="135">
        <v>8.27</v>
      </c>
      <c r="Q155" s="135">
        <v>3.13</v>
      </c>
      <c r="R155" s="135">
        <v>5.15</v>
      </c>
      <c r="S155" s="62">
        <v>6.0499999999999998E-3</v>
      </c>
      <c r="T155" s="118">
        <v>1.25</v>
      </c>
      <c r="U155" s="119">
        <v>1.1499999999999999</v>
      </c>
      <c r="V155" s="119">
        <v>1.1399999999999999</v>
      </c>
      <c r="W155" s="119">
        <v>1.0500000000000001E-2</v>
      </c>
      <c r="X155" s="62">
        <v>9.0300000000000005E-2</v>
      </c>
      <c r="Y155" s="88">
        <v>0.28999999999999998</v>
      </c>
      <c r="Z155" s="62">
        <v>0.245</v>
      </c>
      <c r="AA155" s="90">
        <v>4.4299999999999999E-2</v>
      </c>
      <c r="AB155" s="90">
        <v>0.45</v>
      </c>
      <c r="AC155" s="67">
        <f t="shared" si="5"/>
        <v>1.65</v>
      </c>
      <c r="AD155" s="120" t="s">
        <v>1479</v>
      </c>
      <c r="AE155" s="25" t="s">
        <v>1471</v>
      </c>
      <c r="AF155" s="69">
        <v>7.5399999999999995E-2</v>
      </c>
      <c r="AG155" s="69">
        <v>6.812E-2</v>
      </c>
      <c r="AH155" s="770">
        <v>7.28E-3</v>
      </c>
      <c r="AI155" s="786">
        <f t="shared" si="6"/>
        <v>0.74</v>
      </c>
    </row>
    <row r="156" spans="1:35" s="25" customFormat="1">
      <c r="A156" s="93" t="s">
        <v>1480</v>
      </c>
      <c r="B156" s="83" t="s">
        <v>1481</v>
      </c>
      <c r="C156" s="82" t="s">
        <v>1482</v>
      </c>
      <c r="D156" s="83" t="s">
        <v>1483</v>
      </c>
      <c r="E156" s="63">
        <v>675</v>
      </c>
      <c r="F156" s="85" t="s">
        <v>202</v>
      </c>
      <c r="G156" s="64">
        <v>438</v>
      </c>
      <c r="H156" s="65">
        <v>375</v>
      </c>
      <c r="I156" s="87">
        <v>63.3</v>
      </c>
      <c r="J156" s="134">
        <v>7.94</v>
      </c>
      <c r="K156" s="135">
        <v>7.85</v>
      </c>
      <c r="L156" s="135">
        <v>2.9</v>
      </c>
      <c r="M156" s="135">
        <v>4.95</v>
      </c>
      <c r="N156" s="62">
        <v>9.5200000000000007E-2</v>
      </c>
      <c r="O156" s="134">
        <v>7.28</v>
      </c>
      <c r="P156" s="135">
        <v>7.27</v>
      </c>
      <c r="Q156" s="135">
        <v>2.3199999999999998</v>
      </c>
      <c r="R156" s="135">
        <v>4.95</v>
      </c>
      <c r="S156" s="62">
        <v>6.0400000000000002E-3</v>
      </c>
      <c r="T156" s="118">
        <v>0.66400000000000003</v>
      </c>
      <c r="U156" s="119">
        <v>0.57499999999999996</v>
      </c>
      <c r="V156" s="119">
        <v>0.57499999999999996</v>
      </c>
      <c r="W156" s="119">
        <v>0</v>
      </c>
      <c r="X156" s="62">
        <v>8.9200000000000002E-2</v>
      </c>
      <c r="Y156" s="88">
        <v>0.153</v>
      </c>
      <c r="Z156" s="62">
        <v>0.114</v>
      </c>
      <c r="AA156" s="90">
        <v>3.9199999999999999E-2</v>
      </c>
      <c r="AB156" s="90">
        <v>0.45100000000000001</v>
      </c>
      <c r="AC156" s="67">
        <f t="shared" si="5"/>
        <v>1.6536666666666666</v>
      </c>
      <c r="AD156" s="120" t="s">
        <v>1484</v>
      </c>
      <c r="AE156" s="25" t="s">
        <v>1485</v>
      </c>
      <c r="AF156" s="769">
        <v>4.0599999999999997E-2</v>
      </c>
      <c r="AG156" s="773">
        <v>3.3300000000000003E-2</v>
      </c>
      <c r="AH156" s="770">
        <v>7.28E-3</v>
      </c>
      <c r="AI156" s="786">
        <f t="shared" si="6"/>
        <v>0.73464052287581705</v>
      </c>
    </row>
    <row r="157" spans="1:35" s="69" customFormat="1" ht="25.5" outlineLevel="1">
      <c r="A157" s="101" t="s">
        <v>1486</v>
      </c>
      <c r="B157" s="102" t="s">
        <v>1487</v>
      </c>
      <c r="C157" s="102" t="s">
        <v>1482</v>
      </c>
      <c r="D157" s="102" t="s">
        <v>1483</v>
      </c>
      <c r="E157" s="104">
        <v>675</v>
      </c>
      <c r="F157" s="105" t="s">
        <v>202</v>
      </c>
      <c r="G157" s="106">
        <v>398</v>
      </c>
      <c r="H157" s="107">
        <v>334</v>
      </c>
      <c r="I157" s="107">
        <v>63.3</v>
      </c>
      <c r="J157" s="108">
        <v>7.97</v>
      </c>
      <c r="K157" s="109">
        <v>7.87</v>
      </c>
      <c r="L157" s="109">
        <v>2.92</v>
      </c>
      <c r="M157" s="109">
        <v>4.95</v>
      </c>
      <c r="N157" s="110">
        <v>9.5200000000000007E-2</v>
      </c>
      <c r="O157" s="108">
        <v>7.39</v>
      </c>
      <c r="P157" s="109">
        <v>7.39</v>
      </c>
      <c r="Q157" s="109">
        <v>2.44</v>
      </c>
      <c r="R157" s="109">
        <v>4.95</v>
      </c>
      <c r="S157" s="110">
        <v>6.0400000000000002E-3</v>
      </c>
      <c r="T157" s="108">
        <v>0.57399999999999995</v>
      </c>
      <c r="U157" s="109">
        <v>0.48399999999999999</v>
      </c>
      <c r="V157" s="109">
        <v>0.48399999999999999</v>
      </c>
      <c r="W157" s="109">
        <v>0</v>
      </c>
      <c r="X157" s="110">
        <v>8.9200000000000002E-2</v>
      </c>
      <c r="Y157" s="111">
        <v>0.123</v>
      </c>
      <c r="Z157" s="110">
        <v>8.3799999999999999E-2</v>
      </c>
      <c r="AA157" s="112">
        <v>3.9199999999999999E-2</v>
      </c>
      <c r="AB157" s="112">
        <v>0.45100000000000001</v>
      </c>
      <c r="AC157" s="67">
        <f t="shared" si="5"/>
        <v>1.6536666666666666</v>
      </c>
      <c r="AD157" s="144" t="s">
        <v>1488</v>
      </c>
      <c r="AE157" s="69" t="s">
        <v>1485</v>
      </c>
      <c r="AI157" s="786"/>
    </row>
    <row r="158" spans="1:35" s="25" customFormat="1">
      <c r="A158" s="93" t="s">
        <v>1489</v>
      </c>
      <c r="B158" s="83" t="s">
        <v>1490</v>
      </c>
      <c r="C158" s="82" t="s">
        <v>1482</v>
      </c>
      <c r="D158" s="83" t="s">
        <v>1483</v>
      </c>
      <c r="E158" s="63">
        <v>675</v>
      </c>
      <c r="F158" s="85" t="s">
        <v>202</v>
      </c>
      <c r="G158" s="64">
        <v>393</v>
      </c>
      <c r="H158" s="65">
        <v>330</v>
      </c>
      <c r="I158" s="87">
        <v>63.3</v>
      </c>
      <c r="J158" s="134">
        <v>7.68</v>
      </c>
      <c r="K158" s="135">
        <v>7.59</v>
      </c>
      <c r="L158" s="135">
        <v>2.64</v>
      </c>
      <c r="M158" s="135">
        <v>4.95</v>
      </c>
      <c r="N158" s="62">
        <v>9.5200000000000007E-2</v>
      </c>
      <c r="O158" s="134">
        <v>7.11</v>
      </c>
      <c r="P158" s="135">
        <v>7.11</v>
      </c>
      <c r="Q158" s="135">
        <v>2.16</v>
      </c>
      <c r="R158" s="135">
        <v>4.95</v>
      </c>
      <c r="S158" s="62">
        <v>6.0400000000000002E-3</v>
      </c>
      <c r="T158" s="118">
        <v>0.56899999999999995</v>
      </c>
      <c r="U158" s="119">
        <v>0.48</v>
      </c>
      <c r="V158" s="119">
        <v>0.48</v>
      </c>
      <c r="W158" s="119">
        <v>0</v>
      </c>
      <c r="X158" s="62">
        <v>8.9200000000000002E-2</v>
      </c>
      <c r="Y158" s="88">
        <v>0.13600000000000001</v>
      </c>
      <c r="Z158" s="62">
        <v>9.6799999999999997E-2</v>
      </c>
      <c r="AA158" s="90">
        <v>3.9199999999999999E-2</v>
      </c>
      <c r="AB158" s="90">
        <v>0.45100000000000001</v>
      </c>
      <c r="AC158" s="67">
        <f t="shared" si="5"/>
        <v>1.6536666666666666</v>
      </c>
      <c r="AD158" s="120" t="s">
        <v>1491</v>
      </c>
      <c r="AE158" s="25" t="s">
        <v>1485</v>
      </c>
      <c r="AF158" s="769">
        <v>3.44E-2</v>
      </c>
      <c r="AG158" s="773">
        <v>2.7099999999999999E-2</v>
      </c>
      <c r="AH158" s="770">
        <v>7.28E-3</v>
      </c>
      <c r="AI158" s="786">
        <f t="shared" si="6"/>
        <v>0.74705882352941178</v>
      </c>
    </row>
    <row r="159" spans="1:35" s="69" customFormat="1" ht="25.5" outlineLevel="1">
      <c r="A159" s="101" t="s">
        <v>1492</v>
      </c>
      <c r="B159" s="102" t="s">
        <v>1493</v>
      </c>
      <c r="C159" s="102" t="s">
        <v>1482</v>
      </c>
      <c r="D159" s="102" t="s">
        <v>1483</v>
      </c>
      <c r="E159" s="104">
        <v>675</v>
      </c>
      <c r="F159" s="105" t="s">
        <v>202</v>
      </c>
      <c r="G159" s="106">
        <v>357</v>
      </c>
      <c r="H159" s="107">
        <v>293</v>
      </c>
      <c r="I159" s="107">
        <v>63.3</v>
      </c>
      <c r="J159" s="108">
        <v>7.71</v>
      </c>
      <c r="K159" s="109">
        <v>7.61</v>
      </c>
      <c r="L159" s="109">
        <v>2.66</v>
      </c>
      <c r="M159" s="109">
        <v>4.95</v>
      </c>
      <c r="N159" s="110">
        <v>9.5200000000000007E-2</v>
      </c>
      <c r="O159" s="108">
        <v>7.22</v>
      </c>
      <c r="P159" s="109">
        <v>7.21</v>
      </c>
      <c r="Q159" s="109">
        <v>2.27</v>
      </c>
      <c r="R159" s="109">
        <v>4.95</v>
      </c>
      <c r="S159" s="110">
        <v>6.0400000000000002E-3</v>
      </c>
      <c r="T159" s="108">
        <v>0.48599999999999999</v>
      </c>
      <c r="U159" s="109">
        <v>0.39700000000000002</v>
      </c>
      <c r="V159" s="109">
        <v>0.39700000000000002</v>
      </c>
      <c r="W159" s="109">
        <v>0</v>
      </c>
      <c r="X159" s="110">
        <v>8.9200000000000002E-2</v>
      </c>
      <c r="Y159" s="111">
        <v>0.11</v>
      </c>
      <c r="Z159" s="110">
        <v>7.0400000000000004E-2</v>
      </c>
      <c r="AA159" s="112">
        <v>3.9199999999999999E-2</v>
      </c>
      <c r="AB159" s="112">
        <v>0.45100000000000001</v>
      </c>
      <c r="AC159" s="67">
        <f t="shared" si="5"/>
        <v>1.6536666666666666</v>
      </c>
      <c r="AD159" s="144" t="s">
        <v>1494</v>
      </c>
      <c r="AE159" s="69" t="s">
        <v>1485</v>
      </c>
      <c r="AI159" s="786"/>
    </row>
    <row r="160" spans="1:35" s="25" customFormat="1">
      <c r="A160" s="93" t="s">
        <v>1495</v>
      </c>
      <c r="B160" s="83" t="s">
        <v>1496</v>
      </c>
      <c r="C160" s="82" t="s">
        <v>1482</v>
      </c>
      <c r="D160" s="83" t="s">
        <v>1483</v>
      </c>
      <c r="E160" s="63">
        <v>705</v>
      </c>
      <c r="F160" s="85" t="s">
        <v>202</v>
      </c>
      <c r="G160" s="64">
        <v>324</v>
      </c>
      <c r="H160" s="65">
        <v>261</v>
      </c>
      <c r="I160" s="87">
        <v>63.3</v>
      </c>
      <c r="J160" s="134">
        <v>6.69</v>
      </c>
      <c r="K160" s="135">
        <v>6.59</v>
      </c>
      <c r="L160" s="135">
        <v>2.0499999999999998</v>
      </c>
      <c r="M160" s="135">
        <v>4.54</v>
      </c>
      <c r="N160" s="90">
        <v>9.5200000000000007E-2</v>
      </c>
      <c r="O160" s="134">
        <v>6.21</v>
      </c>
      <c r="P160" s="135">
        <v>6.2</v>
      </c>
      <c r="Q160" s="135">
        <v>1.66</v>
      </c>
      <c r="R160" s="135">
        <v>4.54</v>
      </c>
      <c r="S160" s="90">
        <v>6.0400000000000002E-3</v>
      </c>
      <c r="T160" s="118">
        <v>0.48</v>
      </c>
      <c r="U160" s="119">
        <v>0.39</v>
      </c>
      <c r="V160" s="119">
        <v>0.39</v>
      </c>
      <c r="W160" s="119">
        <v>0</v>
      </c>
      <c r="X160" s="62">
        <v>8.9200000000000002E-2</v>
      </c>
      <c r="Y160" s="89">
        <v>0.121</v>
      </c>
      <c r="Z160" s="90">
        <v>8.1699999999999995E-2</v>
      </c>
      <c r="AA160" s="91">
        <v>3.9199999999999999E-2</v>
      </c>
      <c r="AB160" s="91">
        <v>0.41299999999999998</v>
      </c>
      <c r="AC160" s="67">
        <f t="shared" si="5"/>
        <v>1.5143333333333331</v>
      </c>
      <c r="AD160" s="120" t="s">
        <v>1497</v>
      </c>
      <c r="AE160" s="25" t="s">
        <v>1485</v>
      </c>
      <c r="AF160" s="776">
        <v>2.93E-2</v>
      </c>
      <c r="AG160" s="770">
        <v>2.2599999999999999E-2</v>
      </c>
      <c r="AH160" s="771">
        <v>6.6699999999999997E-3</v>
      </c>
      <c r="AI160" s="786">
        <f t="shared" si="6"/>
        <v>0.75785123966942158</v>
      </c>
    </row>
    <row r="161" spans="1:35" s="69" customFormat="1" outlineLevel="1">
      <c r="A161" s="101" t="s">
        <v>1498</v>
      </c>
      <c r="B161" s="102" t="s">
        <v>1499</v>
      </c>
      <c r="C161" s="102" t="s">
        <v>1482</v>
      </c>
      <c r="D161" s="102" t="s">
        <v>1483</v>
      </c>
      <c r="E161" s="104">
        <v>705</v>
      </c>
      <c r="F161" s="105" t="s">
        <v>202</v>
      </c>
      <c r="G161" s="106">
        <v>291</v>
      </c>
      <c r="H161" s="107">
        <v>228</v>
      </c>
      <c r="I161" s="107">
        <v>63.3</v>
      </c>
      <c r="J161" s="108">
        <v>6.7</v>
      </c>
      <c r="K161" s="109">
        <v>6.61</v>
      </c>
      <c r="L161" s="109">
        <v>2.0699999999999998</v>
      </c>
      <c r="M161" s="109">
        <v>4.54</v>
      </c>
      <c r="N161" s="110">
        <v>9.5200000000000007E-2</v>
      </c>
      <c r="O161" s="108">
        <v>6.3</v>
      </c>
      <c r="P161" s="109">
        <v>6.29</v>
      </c>
      <c r="Q161" s="109">
        <v>1.76</v>
      </c>
      <c r="R161" s="109">
        <v>4.54</v>
      </c>
      <c r="S161" s="110">
        <v>6.0400000000000002E-3</v>
      </c>
      <c r="T161" s="108">
        <v>0.40300000000000002</v>
      </c>
      <c r="U161" s="109">
        <v>0.314</v>
      </c>
      <c r="V161" s="109">
        <v>0.314</v>
      </c>
      <c r="W161" s="109">
        <v>0</v>
      </c>
      <c r="X161" s="110">
        <v>8.9200000000000002E-2</v>
      </c>
      <c r="Y161" s="111">
        <v>9.8400000000000001E-2</v>
      </c>
      <c r="Z161" s="110">
        <v>5.9200000000000003E-2</v>
      </c>
      <c r="AA161" s="112">
        <v>3.9199999999999999E-2</v>
      </c>
      <c r="AB161" s="112">
        <v>0.41299999999999998</v>
      </c>
      <c r="AC161" s="67">
        <f t="shared" si="5"/>
        <v>1.5143333333333331</v>
      </c>
      <c r="AD161" s="144" t="s">
        <v>1500</v>
      </c>
      <c r="AE161" s="69" t="s">
        <v>1485</v>
      </c>
      <c r="AI161" s="786"/>
    </row>
    <row r="162" spans="1:35" s="25" customFormat="1">
      <c r="A162" s="93" t="s">
        <v>129</v>
      </c>
      <c r="B162" s="83" t="s">
        <v>1501</v>
      </c>
      <c r="C162" s="82" t="s">
        <v>1482</v>
      </c>
      <c r="D162" s="83" t="s">
        <v>1483</v>
      </c>
      <c r="E162" s="63">
        <v>465</v>
      </c>
      <c r="F162" s="85" t="s">
        <v>202</v>
      </c>
      <c r="G162" s="64">
        <v>478</v>
      </c>
      <c r="H162" s="65">
        <v>415</v>
      </c>
      <c r="I162" s="87">
        <v>63.3</v>
      </c>
      <c r="J162" s="134">
        <v>6.83</v>
      </c>
      <c r="K162" s="135">
        <v>6.73</v>
      </c>
      <c r="L162" s="135">
        <v>1.58</v>
      </c>
      <c r="M162" s="135">
        <v>5.15</v>
      </c>
      <c r="N162" s="62">
        <v>9.5200000000000007E-2</v>
      </c>
      <c r="O162" s="134">
        <v>6.05</v>
      </c>
      <c r="P162" s="135">
        <v>6.04</v>
      </c>
      <c r="Q162" s="135">
        <v>0.88900000000000001</v>
      </c>
      <c r="R162" s="135">
        <v>5.15</v>
      </c>
      <c r="S162" s="62">
        <v>6.0400000000000002E-3</v>
      </c>
      <c r="T162" s="118">
        <v>0.77900000000000003</v>
      </c>
      <c r="U162" s="119">
        <v>0.69</v>
      </c>
      <c r="V162" s="119">
        <v>0.69</v>
      </c>
      <c r="W162" s="119">
        <v>0</v>
      </c>
      <c r="X162" s="62">
        <v>8.9200000000000002E-2</v>
      </c>
      <c r="Y162" s="88">
        <v>0.17399999999999999</v>
      </c>
      <c r="Z162" s="62">
        <v>0.13500000000000001</v>
      </c>
      <c r="AA162" s="90">
        <v>3.9199999999999999E-2</v>
      </c>
      <c r="AB162" s="90">
        <v>0.45100000000000001</v>
      </c>
      <c r="AC162" s="67">
        <f t="shared" si="5"/>
        <v>1.6536666666666666</v>
      </c>
      <c r="AD162" s="120" t="s">
        <v>1502</v>
      </c>
      <c r="AE162" s="25" t="s">
        <v>1485</v>
      </c>
      <c r="AF162" s="769">
        <v>5.0299999999999997E-2</v>
      </c>
      <c r="AG162" s="773">
        <v>4.2999999999999997E-2</v>
      </c>
      <c r="AH162" s="770">
        <v>7.28E-3</v>
      </c>
      <c r="AI162" s="786">
        <f t="shared" si="6"/>
        <v>0.71091954022988502</v>
      </c>
    </row>
    <row r="163" spans="1:35" s="69" customFormat="1" ht="25.5" customHeight="1" outlineLevel="1">
      <c r="A163" s="101" t="s">
        <v>1503</v>
      </c>
      <c r="B163" s="102" t="s">
        <v>1504</v>
      </c>
      <c r="C163" s="102" t="s">
        <v>1482</v>
      </c>
      <c r="D163" s="102" t="s">
        <v>1483</v>
      </c>
      <c r="E163" s="104">
        <v>465</v>
      </c>
      <c r="F163" s="105" t="s">
        <v>202</v>
      </c>
      <c r="G163" s="106">
        <v>460</v>
      </c>
      <c r="H163" s="107">
        <v>397</v>
      </c>
      <c r="I163" s="107">
        <v>63.3</v>
      </c>
      <c r="J163" s="108">
        <v>6.67</v>
      </c>
      <c r="K163" s="109">
        <v>6.57</v>
      </c>
      <c r="L163" s="109">
        <v>1.42</v>
      </c>
      <c r="M163" s="109">
        <v>5.15</v>
      </c>
      <c r="N163" s="110">
        <v>9.5200000000000007E-2</v>
      </c>
      <c r="O163" s="108">
        <v>5.93</v>
      </c>
      <c r="P163" s="109">
        <v>5.93</v>
      </c>
      <c r="Q163" s="109">
        <v>0.77400000000000002</v>
      </c>
      <c r="R163" s="109">
        <v>5.15</v>
      </c>
      <c r="S163" s="110">
        <v>6.0400000000000002E-3</v>
      </c>
      <c r="T163" s="108">
        <v>0.73499999999999999</v>
      </c>
      <c r="U163" s="109">
        <v>0.64600000000000002</v>
      </c>
      <c r="V163" s="109">
        <v>0.64600000000000002</v>
      </c>
      <c r="W163" s="109">
        <v>0</v>
      </c>
      <c r="X163" s="110">
        <v>8.9200000000000002E-2</v>
      </c>
      <c r="Y163" s="111">
        <v>0.157</v>
      </c>
      <c r="Z163" s="110">
        <v>0.11799999999999999</v>
      </c>
      <c r="AA163" s="112">
        <v>3.9199999999999999E-2</v>
      </c>
      <c r="AB163" s="112">
        <v>0.45100000000000001</v>
      </c>
      <c r="AC163" s="67">
        <f t="shared" si="5"/>
        <v>1.6536666666666666</v>
      </c>
      <c r="AD163" s="144" t="s">
        <v>1505</v>
      </c>
      <c r="AE163" s="69" t="s">
        <v>1485</v>
      </c>
      <c r="AI163" s="786"/>
    </row>
    <row r="164" spans="1:35" s="69" customFormat="1" ht="25.5" customHeight="1" outlineLevel="1">
      <c r="A164" s="101" t="s">
        <v>1506</v>
      </c>
      <c r="B164" s="102" t="s">
        <v>1507</v>
      </c>
      <c r="C164" s="102" t="s">
        <v>1482</v>
      </c>
      <c r="D164" s="102" t="s">
        <v>1483</v>
      </c>
      <c r="E164" s="104">
        <v>420</v>
      </c>
      <c r="F164" s="105" t="s">
        <v>202</v>
      </c>
      <c r="G164" s="106">
        <v>434</v>
      </c>
      <c r="H164" s="107">
        <v>371</v>
      </c>
      <c r="I164" s="107">
        <v>63.3</v>
      </c>
      <c r="J164" s="108">
        <v>10.5</v>
      </c>
      <c r="K164" s="109">
        <v>10.4</v>
      </c>
      <c r="L164" s="109">
        <v>5.05</v>
      </c>
      <c r="M164" s="109">
        <v>5.35</v>
      </c>
      <c r="N164" s="110">
        <v>9.5200000000000007E-2</v>
      </c>
      <c r="O164" s="108">
        <v>10</v>
      </c>
      <c r="P164" s="109">
        <v>10</v>
      </c>
      <c r="Q164" s="109">
        <v>4.67</v>
      </c>
      <c r="R164" s="109">
        <v>5.35</v>
      </c>
      <c r="S164" s="110">
        <v>6.0400000000000002E-3</v>
      </c>
      <c r="T164" s="108">
        <v>0.47099999999999997</v>
      </c>
      <c r="U164" s="109">
        <v>0.38200000000000001</v>
      </c>
      <c r="V164" s="109">
        <v>0.38200000000000001</v>
      </c>
      <c r="W164" s="109">
        <v>0</v>
      </c>
      <c r="X164" s="110">
        <v>8.9200000000000002E-2</v>
      </c>
      <c r="Y164" s="111">
        <v>0.13500000000000001</v>
      </c>
      <c r="Z164" s="110">
        <v>9.5799999999999996E-2</v>
      </c>
      <c r="AA164" s="112">
        <v>3.9199999999999999E-2</v>
      </c>
      <c r="AB164" s="112">
        <v>0.45100000000000001</v>
      </c>
      <c r="AC164" s="67">
        <f t="shared" si="5"/>
        <v>1.6536666666666666</v>
      </c>
      <c r="AD164" s="144" t="s">
        <v>1508</v>
      </c>
      <c r="AE164" s="69" t="s">
        <v>1485</v>
      </c>
      <c r="AI164" s="786"/>
    </row>
    <row r="165" spans="1:35" s="25" customFormat="1">
      <c r="A165" s="93" t="s">
        <v>1509</v>
      </c>
      <c r="B165" s="83" t="s">
        <v>1510</v>
      </c>
      <c r="C165" s="82" t="s">
        <v>1482</v>
      </c>
      <c r="D165" s="83" t="s">
        <v>1483</v>
      </c>
      <c r="E165" s="63">
        <v>485</v>
      </c>
      <c r="F165" s="85" t="s">
        <v>202</v>
      </c>
      <c r="G165" s="64">
        <v>402</v>
      </c>
      <c r="H165" s="65">
        <v>339</v>
      </c>
      <c r="I165" s="87">
        <v>63.3</v>
      </c>
      <c r="J165" s="134">
        <v>5.89</v>
      </c>
      <c r="K165" s="135">
        <v>5.79</v>
      </c>
      <c r="L165" s="135">
        <v>1.07</v>
      </c>
      <c r="M165" s="135">
        <v>4.72</v>
      </c>
      <c r="N165" s="90">
        <v>9.5200000000000007E-2</v>
      </c>
      <c r="O165" s="134">
        <v>5.21</v>
      </c>
      <c r="P165" s="135">
        <v>5.21</v>
      </c>
      <c r="Q165" s="135">
        <v>0.48399999999999999</v>
      </c>
      <c r="R165" s="135">
        <v>4.72</v>
      </c>
      <c r="S165" s="90">
        <v>6.0400000000000002E-3</v>
      </c>
      <c r="T165" s="118">
        <v>0.67400000000000004</v>
      </c>
      <c r="U165" s="119">
        <v>0.58499999999999996</v>
      </c>
      <c r="V165" s="119">
        <v>0.58499999999999996</v>
      </c>
      <c r="W165" s="119">
        <v>0</v>
      </c>
      <c r="X165" s="90">
        <v>8.9200000000000002E-2</v>
      </c>
      <c r="Y165" s="88">
        <v>0.157</v>
      </c>
      <c r="Z165" s="62">
        <v>0.11799999999999999</v>
      </c>
      <c r="AA165" s="91">
        <v>3.9199999999999999E-2</v>
      </c>
      <c r="AB165" s="91">
        <v>0.41299999999999998</v>
      </c>
      <c r="AC165" s="67">
        <f t="shared" si="5"/>
        <v>1.5143333333333331</v>
      </c>
      <c r="AD165" s="120" t="s">
        <v>1511</v>
      </c>
      <c r="AE165" s="25" t="s">
        <v>1485</v>
      </c>
      <c r="AF165" s="769">
        <v>4.4200000000000003E-2</v>
      </c>
      <c r="AG165" s="773">
        <v>3.7499999999999999E-2</v>
      </c>
      <c r="AH165" s="771">
        <v>6.6699999999999997E-3</v>
      </c>
      <c r="AI165" s="786">
        <f t="shared" si="6"/>
        <v>0.71847133757961779</v>
      </c>
    </row>
    <row r="166" spans="1:35" s="69" customFormat="1" ht="25.5" outlineLevel="1">
      <c r="A166" s="101" t="s">
        <v>1512</v>
      </c>
      <c r="B166" s="102" t="s">
        <v>1513</v>
      </c>
      <c r="C166" s="102" t="s">
        <v>1482</v>
      </c>
      <c r="D166" s="102" t="s">
        <v>1483</v>
      </c>
      <c r="E166" s="104">
        <v>485</v>
      </c>
      <c r="F166" s="105" t="s">
        <v>202</v>
      </c>
      <c r="G166" s="106">
        <v>387</v>
      </c>
      <c r="H166" s="107">
        <v>324</v>
      </c>
      <c r="I166" s="107">
        <v>63.3</v>
      </c>
      <c r="J166" s="108">
        <v>5.74</v>
      </c>
      <c r="K166" s="109">
        <v>5.65</v>
      </c>
      <c r="L166" s="109">
        <v>0.92300000000000004</v>
      </c>
      <c r="M166" s="109">
        <v>4.72</v>
      </c>
      <c r="N166" s="110">
        <v>9.5200000000000007E-2</v>
      </c>
      <c r="O166" s="108">
        <v>5.1100000000000003</v>
      </c>
      <c r="P166" s="109">
        <v>5.0999999999999996</v>
      </c>
      <c r="Q166" s="109">
        <v>0.378</v>
      </c>
      <c r="R166" s="109">
        <v>4.72</v>
      </c>
      <c r="S166" s="110">
        <v>6.0400000000000002E-3</v>
      </c>
      <c r="T166" s="108">
        <v>0.63400000000000001</v>
      </c>
      <c r="U166" s="109">
        <v>0.54500000000000004</v>
      </c>
      <c r="V166" s="109">
        <v>0.54500000000000004</v>
      </c>
      <c r="W166" s="109">
        <v>0</v>
      </c>
      <c r="X166" s="110">
        <v>8.9200000000000002E-2</v>
      </c>
      <c r="Y166" s="111">
        <v>0.14299999999999999</v>
      </c>
      <c r="Z166" s="110">
        <v>0.10299999999999999</v>
      </c>
      <c r="AA166" s="112">
        <v>3.9199999999999999E-2</v>
      </c>
      <c r="AB166" s="112">
        <v>0.41299999999999998</v>
      </c>
      <c r="AC166" s="67">
        <f t="shared" si="5"/>
        <v>1.5143333333333331</v>
      </c>
      <c r="AD166" s="144" t="s">
        <v>1514</v>
      </c>
      <c r="AE166" s="69" t="s">
        <v>1485</v>
      </c>
      <c r="AI166" s="786"/>
    </row>
    <row r="167" spans="1:35" s="25" customFormat="1">
      <c r="A167" s="93" t="s">
        <v>573</v>
      </c>
      <c r="B167" s="83" t="s">
        <v>1515</v>
      </c>
      <c r="C167" s="82" t="s">
        <v>1482</v>
      </c>
      <c r="D167" s="83" t="s">
        <v>1483</v>
      </c>
      <c r="E167" s="63">
        <v>485</v>
      </c>
      <c r="F167" s="85" t="s">
        <v>202</v>
      </c>
      <c r="G167" s="64">
        <v>318</v>
      </c>
      <c r="H167" s="65">
        <v>255</v>
      </c>
      <c r="I167" s="87">
        <v>63.3</v>
      </c>
      <c r="J167" s="134">
        <v>5.49</v>
      </c>
      <c r="K167" s="135">
        <v>5.39</v>
      </c>
      <c r="L167" s="135">
        <v>0.67</v>
      </c>
      <c r="M167" s="135">
        <v>4.72</v>
      </c>
      <c r="N167" s="90">
        <v>9.5200000000000007E-2</v>
      </c>
      <c r="O167" s="134">
        <v>4.9800000000000004</v>
      </c>
      <c r="P167" s="135">
        <v>4.97</v>
      </c>
      <c r="Q167" s="135">
        <v>0.249</v>
      </c>
      <c r="R167" s="135">
        <v>4.72</v>
      </c>
      <c r="S167" s="90">
        <v>6.0400000000000002E-3</v>
      </c>
      <c r="T167" s="118">
        <v>0.51100000000000001</v>
      </c>
      <c r="U167" s="119">
        <v>0.42099999999999999</v>
      </c>
      <c r="V167" s="119">
        <v>0.42099999999999999</v>
      </c>
      <c r="W167" s="119">
        <v>0</v>
      </c>
      <c r="X167" s="90">
        <v>8.9200000000000002E-2</v>
      </c>
      <c r="Y167" s="89">
        <v>0.13</v>
      </c>
      <c r="Z167" s="90">
        <v>9.0899999999999995E-2</v>
      </c>
      <c r="AA167" s="91">
        <v>3.9199999999999999E-2</v>
      </c>
      <c r="AB167" s="91">
        <v>0.41299999999999998</v>
      </c>
      <c r="AC167" s="67">
        <f t="shared" si="5"/>
        <v>1.5143333333333331</v>
      </c>
      <c r="AD167" s="120" t="s">
        <v>1516</v>
      </c>
      <c r="AE167" s="25" t="s">
        <v>1485</v>
      </c>
      <c r="AF167" s="776">
        <v>3.4299999999999997E-2</v>
      </c>
      <c r="AG167" s="770">
        <v>2.76E-2</v>
      </c>
      <c r="AH167" s="771">
        <v>6.6699999999999997E-3</v>
      </c>
      <c r="AI167" s="786">
        <f t="shared" si="6"/>
        <v>0.73615384615384616</v>
      </c>
    </row>
    <row r="168" spans="1:35" s="69" customFormat="1" ht="25.5" outlineLevel="1">
      <c r="A168" s="101" t="s">
        <v>1517</v>
      </c>
      <c r="B168" s="102" t="s">
        <v>1518</v>
      </c>
      <c r="C168" s="102" t="s">
        <v>1482</v>
      </c>
      <c r="D168" s="102" t="s">
        <v>1483</v>
      </c>
      <c r="E168" s="104">
        <v>485</v>
      </c>
      <c r="F168" s="105" t="s">
        <v>202</v>
      </c>
      <c r="G168" s="106">
        <v>307</v>
      </c>
      <c r="H168" s="107">
        <v>244</v>
      </c>
      <c r="I168" s="107">
        <v>63.3</v>
      </c>
      <c r="J168" s="108">
        <v>5.35</v>
      </c>
      <c r="K168" s="109">
        <v>5.26</v>
      </c>
      <c r="L168" s="109">
        <v>0.54600000000000004</v>
      </c>
      <c r="M168" s="109">
        <v>4.71</v>
      </c>
      <c r="N168" s="110">
        <v>9.5200000000000007E-2</v>
      </c>
      <c r="O168" s="108">
        <v>4.88</v>
      </c>
      <c r="P168" s="109">
        <v>4.87</v>
      </c>
      <c r="Q168" s="109">
        <v>0.156</v>
      </c>
      <c r="R168" s="109">
        <v>4.71</v>
      </c>
      <c r="S168" s="110">
        <v>6.0400000000000002E-3</v>
      </c>
      <c r="T168" s="108">
        <v>0.47899999999999998</v>
      </c>
      <c r="U168" s="109">
        <v>0.39</v>
      </c>
      <c r="V168" s="109">
        <v>0.39</v>
      </c>
      <c r="W168" s="109">
        <v>0</v>
      </c>
      <c r="X168" s="110">
        <v>8.9200000000000002E-2</v>
      </c>
      <c r="Y168" s="111">
        <v>0.121</v>
      </c>
      <c r="Z168" s="110">
        <v>8.1299999999999997E-2</v>
      </c>
      <c r="AA168" s="112">
        <v>3.9199999999999999E-2</v>
      </c>
      <c r="AB168" s="112">
        <v>0.41299999999999998</v>
      </c>
      <c r="AC168" s="67">
        <f t="shared" si="5"/>
        <v>1.5143333333333331</v>
      </c>
      <c r="AD168" s="144" t="s">
        <v>1519</v>
      </c>
      <c r="AE168" s="69" t="s">
        <v>1485</v>
      </c>
      <c r="AI168" s="786"/>
    </row>
    <row r="169" spans="1:35" s="25" customFormat="1">
      <c r="A169" s="93" t="s">
        <v>1520</v>
      </c>
      <c r="B169" s="83" t="s">
        <v>1521</v>
      </c>
      <c r="C169" s="82" t="s">
        <v>1522</v>
      </c>
      <c r="D169" s="83" t="s">
        <v>1523</v>
      </c>
      <c r="E169" s="63">
        <v>685</v>
      </c>
      <c r="F169" s="85" t="s">
        <v>202</v>
      </c>
      <c r="G169" s="64">
        <v>1550</v>
      </c>
      <c r="H169" s="65">
        <v>1420</v>
      </c>
      <c r="I169" s="87">
        <v>129</v>
      </c>
      <c r="J169" s="134">
        <v>10.3</v>
      </c>
      <c r="K169" s="135">
        <v>10.199999999999999</v>
      </c>
      <c r="L169" s="135">
        <v>4.43</v>
      </c>
      <c r="M169" s="135">
        <v>5.79</v>
      </c>
      <c r="N169" s="62">
        <v>0.109</v>
      </c>
      <c r="O169" s="134">
        <v>5.85</v>
      </c>
      <c r="P169" s="135">
        <v>5.84</v>
      </c>
      <c r="Q169" s="135">
        <v>1.23</v>
      </c>
      <c r="R169" s="135">
        <v>4.6100000000000003</v>
      </c>
      <c r="S169" s="62">
        <v>6.2100000000000002E-3</v>
      </c>
      <c r="T169" s="134">
        <v>4.4800000000000004</v>
      </c>
      <c r="U169" s="135">
        <v>4.37</v>
      </c>
      <c r="V169" s="135">
        <v>3.2</v>
      </c>
      <c r="W169" s="135">
        <v>1.17</v>
      </c>
      <c r="X169" s="62">
        <v>0.10199999999999999</v>
      </c>
      <c r="Y169" s="88">
        <v>0.95599999999999996</v>
      </c>
      <c r="Z169" s="62">
        <v>0.85599999999999998</v>
      </c>
      <c r="AA169" s="62">
        <v>0.1</v>
      </c>
      <c r="AB169" s="62">
        <v>0.39600000000000002</v>
      </c>
      <c r="AC169" s="67">
        <f t="shared" si="5"/>
        <v>1.452</v>
      </c>
      <c r="AD169" s="120" t="s">
        <v>1524</v>
      </c>
      <c r="AE169" s="25" t="s">
        <v>1525</v>
      </c>
      <c r="AF169" s="769">
        <v>0.79400000000000004</v>
      </c>
      <c r="AG169" s="773">
        <v>0.749</v>
      </c>
      <c r="AH169" s="773">
        <v>4.4400000000000002E-2</v>
      </c>
      <c r="AI169" s="786">
        <f t="shared" si="6"/>
        <v>0.16945606694560661</v>
      </c>
    </row>
    <row r="170" spans="1:35" s="25" customFormat="1">
      <c r="A170" s="93" t="s">
        <v>1526</v>
      </c>
      <c r="B170" s="83" t="s">
        <v>1527</v>
      </c>
      <c r="C170" s="82" t="s">
        <v>1456</v>
      </c>
      <c r="D170" s="83" t="s">
        <v>1457</v>
      </c>
      <c r="E170" s="63">
        <v>605</v>
      </c>
      <c r="F170" s="85" t="s">
        <v>202</v>
      </c>
      <c r="G170" s="64">
        <v>1030</v>
      </c>
      <c r="H170" s="65">
        <v>925</v>
      </c>
      <c r="I170" s="87">
        <v>107</v>
      </c>
      <c r="J170" s="134">
        <v>11</v>
      </c>
      <c r="K170" s="135">
        <v>10.9</v>
      </c>
      <c r="L170" s="135">
        <v>5.24</v>
      </c>
      <c r="M170" s="135">
        <v>5.63</v>
      </c>
      <c r="N170" s="62">
        <v>0.104</v>
      </c>
      <c r="O170" s="134">
        <v>8.26</v>
      </c>
      <c r="P170" s="135">
        <v>8.25</v>
      </c>
      <c r="Q170" s="135">
        <v>3.16</v>
      </c>
      <c r="R170" s="135">
        <v>5.09</v>
      </c>
      <c r="S170" s="62">
        <v>6.1500000000000001E-3</v>
      </c>
      <c r="T170" s="134">
        <v>2.71</v>
      </c>
      <c r="U170" s="135">
        <v>2.61</v>
      </c>
      <c r="V170" s="135">
        <v>2.08</v>
      </c>
      <c r="W170" s="135">
        <v>0.53500000000000003</v>
      </c>
      <c r="X170" s="62">
        <v>9.8100000000000007E-2</v>
      </c>
      <c r="Y170" s="88">
        <v>0.56499999999999995</v>
      </c>
      <c r="Z170" s="62">
        <v>0.48499999999999999</v>
      </c>
      <c r="AA170" s="62">
        <v>0.08</v>
      </c>
      <c r="AB170" s="62">
        <v>0.44400000000000001</v>
      </c>
      <c r="AC170" s="67">
        <f t="shared" si="5"/>
        <v>1.6279999999999999</v>
      </c>
      <c r="AD170" s="120" t="s">
        <v>1528</v>
      </c>
      <c r="AE170" s="25" t="s">
        <v>1459</v>
      </c>
      <c r="AF170" s="769">
        <v>0.314</v>
      </c>
      <c r="AG170" s="773">
        <v>0.26900000000000002</v>
      </c>
      <c r="AH170" s="773">
        <v>4.4600000000000001E-2</v>
      </c>
      <c r="AI170" s="786">
        <f t="shared" si="6"/>
        <v>0.44424778761061939</v>
      </c>
    </row>
    <row r="171" spans="1:35" s="25" customFormat="1">
      <c r="A171" s="93" t="s">
        <v>1529</v>
      </c>
      <c r="B171" s="83" t="s">
        <v>1530</v>
      </c>
      <c r="C171" s="82" t="s">
        <v>1456</v>
      </c>
      <c r="D171" s="83" t="s">
        <v>1457</v>
      </c>
      <c r="E171" s="63">
        <v>272</v>
      </c>
      <c r="F171" s="85" t="s">
        <v>202</v>
      </c>
      <c r="G171" s="64">
        <v>1350</v>
      </c>
      <c r="H171" s="65">
        <v>1240</v>
      </c>
      <c r="I171" s="87">
        <v>107</v>
      </c>
      <c r="J171" s="134">
        <v>10.5</v>
      </c>
      <c r="K171" s="135">
        <v>10.4</v>
      </c>
      <c r="L171" s="135">
        <v>4.87</v>
      </c>
      <c r="M171" s="135">
        <v>5.57</v>
      </c>
      <c r="N171" s="62">
        <v>0.104</v>
      </c>
      <c r="O171" s="134">
        <v>6.89</v>
      </c>
      <c r="P171" s="135">
        <v>6.88</v>
      </c>
      <c r="Q171" s="135">
        <v>1.96</v>
      </c>
      <c r="R171" s="135">
        <v>4.92</v>
      </c>
      <c r="S171" s="62">
        <v>6.1500000000000001E-3</v>
      </c>
      <c r="T171" s="134">
        <v>3.65</v>
      </c>
      <c r="U171" s="135">
        <v>3.56</v>
      </c>
      <c r="V171" s="135">
        <v>2.91</v>
      </c>
      <c r="W171" s="135">
        <v>0.64700000000000002</v>
      </c>
      <c r="X171" s="62">
        <v>9.8100000000000007E-2</v>
      </c>
      <c r="Y171" s="88">
        <v>0.81499999999999995</v>
      </c>
      <c r="Z171" s="62">
        <v>0.73499999999999999</v>
      </c>
      <c r="AA171" s="62">
        <v>0.08</v>
      </c>
      <c r="AB171" s="62">
        <v>0.42899999999999999</v>
      </c>
      <c r="AC171" s="67">
        <f t="shared" si="5"/>
        <v>1.573</v>
      </c>
      <c r="AD171" s="120" t="s">
        <v>1531</v>
      </c>
      <c r="AE171" s="25" t="s">
        <v>1459</v>
      </c>
      <c r="AI171" s="786"/>
    </row>
    <row r="172" spans="1:35" s="25" customFormat="1">
      <c r="A172" s="93" t="s">
        <v>1532</v>
      </c>
      <c r="B172" s="83" t="s">
        <v>1533</v>
      </c>
      <c r="C172" s="82" t="s">
        <v>1456</v>
      </c>
      <c r="D172" s="83" t="s">
        <v>1457</v>
      </c>
      <c r="E172" s="63">
        <v>640</v>
      </c>
      <c r="F172" s="85" t="s">
        <v>202</v>
      </c>
      <c r="G172" s="64">
        <v>889</v>
      </c>
      <c r="H172" s="65">
        <v>782</v>
      </c>
      <c r="I172" s="87">
        <v>107</v>
      </c>
      <c r="J172" s="134">
        <v>6.93</v>
      </c>
      <c r="K172" s="135">
        <v>6.82</v>
      </c>
      <c r="L172" s="135">
        <v>2.39</v>
      </c>
      <c r="M172" s="135">
        <v>4.43</v>
      </c>
      <c r="N172" s="62">
        <v>0.104</v>
      </c>
      <c r="O172" s="134">
        <v>4.3600000000000003</v>
      </c>
      <c r="P172" s="135">
        <v>4.3600000000000003</v>
      </c>
      <c r="Q172" s="135">
        <v>0.77800000000000002</v>
      </c>
      <c r="R172" s="135">
        <v>3.58</v>
      </c>
      <c r="S172" s="62">
        <v>6.1500000000000001E-3</v>
      </c>
      <c r="T172" s="118">
        <v>2.56</v>
      </c>
      <c r="U172" s="119">
        <v>2.46</v>
      </c>
      <c r="V172" s="119">
        <v>1.61</v>
      </c>
      <c r="W172" s="119">
        <v>0.85599999999999998</v>
      </c>
      <c r="X172" s="62">
        <v>9.8100000000000007E-2</v>
      </c>
      <c r="Y172" s="88">
        <v>0.53100000000000003</v>
      </c>
      <c r="Z172" s="62">
        <v>0.45100000000000001</v>
      </c>
      <c r="AA172" s="62">
        <v>0.08</v>
      </c>
      <c r="AB172" s="62">
        <v>0.41699999999999998</v>
      </c>
      <c r="AC172" s="67">
        <f t="shared" si="5"/>
        <v>1.5289999999999999</v>
      </c>
      <c r="AD172" s="120" t="s">
        <v>1534</v>
      </c>
      <c r="AE172" s="25" t="s">
        <v>1459</v>
      </c>
      <c r="AF172" s="766">
        <v>0.4</v>
      </c>
      <c r="AG172" s="772">
        <v>0.35599999999999998</v>
      </c>
      <c r="AH172" s="772">
        <v>4.4600000000000001E-2</v>
      </c>
      <c r="AI172" s="786">
        <f t="shared" si="6"/>
        <v>0.24670433145009416</v>
      </c>
    </row>
    <row r="173" spans="1:35" s="25" customFormat="1">
      <c r="A173" s="93" t="s">
        <v>1535</v>
      </c>
      <c r="B173" s="83" t="s">
        <v>1536</v>
      </c>
      <c r="C173" s="82" t="s">
        <v>1537</v>
      </c>
      <c r="D173" s="83" t="s">
        <v>1538</v>
      </c>
      <c r="E173" s="63">
        <v>640</v>
      </c>
      <c r="F173" s="85" t="s">
        <v>202</v>
      </c>
      <c r="G173" s="64">
        <v>1210</v>
      </c>
      <c r="H173" s="65">
        <v>1090</v>
      </c>
      <c r="I173" s="87">
        <v>122</v>
      </c>
      <c r="J173" s="134">
        <v>8.39</v>
      </c>
      <c r="K173" s="135">
        <v>8.2899999999999991</v>
      </c>
      <c r="L173" s="135">
        <v>3.69</v>
      </c>
      <c r="M173" s="135">
        <v>4.59</v>
      </c>
      <c r="N173" s="62">
        <v>0.105</v>
      </c>
      <c r="O173" s="134">
        <v>4.6900000000000004</v>
      </c>
      <c r="P173" s="135">
        <v>4.68</v>
      </c>
      <c r="Q173" s="135">
        <v>1.22</v>
      </c>
      <c r="R173" s="135">
        <v>3.46</v>
      </c>
      <c r="S173" s="62">
        <v>6.1799999999999997E-3</v>
      </c>
      <c r="T173" s="134">
        <v>3.7</v>
      </c>
      <c r="U173" s="135">
        <v>3.6</v>
      </c>
      <c r="V173" s="135">
        <v>2.4700000000000002</v>
      </c>
      <c r="W173" s="135">
        <v>1.1299999999999999</v>
      </c>
      <c r="X173" s="62">
        <v>9.8900000000000002E-2</v>
      </c>
      <c r="Y173" s="88">
        <v>0.73699999999999999</v>
      </c>
      <c r="Z173" s="62">
        <v>0.64200000000000002</v>
      </c>
      <c r="AA173" s="62">
        <v>9.4799999999999995E-2</v>
      </c>
      <c r="AB173" s="62">
        <v>0.41699999999999998</v>
      </c>
      <c r="AC173" s="67">
        <f t="shared" si="5"/>
        <v>1.5289999999999999</v>
      </c>
      <c r="AD173" s="120" t="s">
        <v>1539</v>
      </c>
      <c r="AE173" s="25" t="s">
        <v>1540</v>
      </c>
      <c r="AF173" s="769">
        <v>0.55500000000000005</v>
      </c>
      <c r="AG173" s="773">
        <v>0.51100000000000001</v>
      </c>
      <c r="AH173" s="773">
        <v>4.4600000000000001E-2</v>
      </c>
      <c r="AI173" s="786">
        <f t="shared" si="6"/>
        <v>0.24694708276797822</v>
      </c>
    </row>
    <row r="174" spans="1:35" s="25" customFormat="1">
      <c r="A174" s="93" t="s">
        <v>1541</v>
      </c>
      <c r="B174" s="83" t="s">
        <v>1542</v>
      </c>
      <c r="C174" s="82" t="s">
        <v>1456</v>
      </c>
      <c r="D174" s="83" t="s">
        <v>1457</v>
      </c>
      <c r="E174" s="63">
        <v>640</v>
      </c>
      <c r="F174" s="85" t="s">
        <v>202</v>
      </c>
      <c r="G174" s="64">
        <v>889</v>
      </c>
      <c r="H174" s="65">
        <v>782</v>
      </c>
      <c r="I174" s="87">
        <v>107</v>
      </c>
      <c r="J174" s="134">
        <v>6.93</v>
      </c>
      <c r="K174" s="135">
        <v>6.82</v>
      </c>
      <c r="L174" s="135">
        <v>2.39</v>
      </c>
      <c r="M174" s="135">
        <v>4.43</v>
      </c>
      <c r="N174" s="62">
        <v>0.104</v>
      </c>
      <c r="O174" s="134">
        <v>4.3600000000000003</v>
      </c>
      <c r="P174" s="135">
        <v>4.3600000000000003</v>
      </c>
      <c r="Q174" s="135">
        <v>0.77800000000000002</v>
      </c>
      <c r="R174" s="135">
        <v>3.58</v>
      </c>
      <c r="S174" s="62">
        <v>6.1500000000000001E-3</v>
      </c>
      <c r="T174" s="134">
        <v>2.56</v>
      </c>
      <c r="U174" s="135">
        <v>2.46</v>
      </c>
      <c r="V174" s="135">
        <v>1.61</v>
      </c>
      <c r="W174" s="135">
        <v>0.85599999999999998</v>
      </c>
      <c r="X174" s="62">
        <v>9.8100000000000007E-2</v>
      </c>
      <c r="Y174" s="88">
        <v>0.53100000000000003</v>
      </c>
      <c r="Z174" s="62">
        <v>0.45100000000000001</v>
      </c>
      <c r="AA174" s="62">
        <v>0.08</v>
      </c>
      <c r="AB174" s="62">
        <v>0.41699999999999998</v>
      </c>
      <c r="AC174" s="67">
        <f t="shared" si="5"/>
        <v>1.5289999999999999</v>
      </c>
      <c r="AD174" s="120" t="s">
        <v>1543</v>
      </c>
      <c r="AE174" s="25" t="s">
        <v>1459</v>
      </c>
      <c r="AF174" s="769">
        <v>0.4</v>
      </c>
      <c r="AG174" s="773">
        <v>0.35599999999999998</v>
      </c>
      <c r="AH174" s="773">
        <v>4.4600000000000001E-2</v>
      </c>
      <c r="AI174" s="786">
        <f t="shared" si="6"/>
        <v>0.24670433145009416</v>
      </c>
    </row>
    <row r="175" spans="1:35" s="25" customFormat="1">
      <c r="A175" s="93" t="s">
        <v>686</v>
      </c>
      <c r="B175" s="83" t="s">
        <v>1544</v>
      </c>
      <c r="C175" s="82" t="s">
        <v>1456</v>
      </c>
      <c r="D175" s="83" t="s">
        <v>1457</v>
      </c>
      <c r="E175" s="85">
        <v>500</v>
      </c>
      <c r="F175" s="85" t="s">
        <v>202</v>
      </c>
      <c r="G175" s="64">
        <v>2880</v>
      </c>
      <c r="H175" s="65">
        <v>2770</v>
      </c>
      <c r="I175" s="87">
        <v>107</v>
      </c>
      <c r="J175" s="134">
        <v>17</v>
      </c>
      <c r="K175" s="135">
        <v>16.899999999999999</v>
      </c>
      <c r="L175" s="135">
        <v>12</v>
      </c>
      <c r="M175" s="135">
        <v>4.8899999999999997</v>
      </c>
      <c r="N175" s="62">
        <v>0.104</v>
      </c>
      <c r="O175" s="134">
        <v>10</v>
      </c>
      <c r="P175" s="135">
        <v>10</v>
      </c>
      <c r="Q175" s="135">
        <v>5.9</v>
      </c>
      <c r="R175" s="135">
        <v>4.1500000000000004</v>
      </c>
      <c r="S175" s="62">
        <v>6.1500000000000001E-3</v>
      </c>
      <c r="T175" s="134">
        <v>6.95</v>
      </c>
      <c r="U175" s="135">
        <v>6.85</v>
      </c>
      <c r="V175" s="135">
        <v>6.11</v>
      </c>
      <c r="W175" s="135">
        <v>0.74099999999999999</v>
      </c>
      <c r="X175" s="62">
        <v>9.8100000000000007E-2</v>
      </c>
      <c r="Y175" s="118">
        <v>1.43</v>
      </c>
      <c r="Z175" s="62">
        <v>1.35</v>
      </c>
      <c r="AA175" s="62">
        <v>0.08</v>
      </c>
      <c r="AB175" s="62">
        <v>0.41</v>
      </c>
      <c r="AC175" s="67">
        <f t="shared" si="5"/>
        <v>1.5033333333333332</v>
      </c>
      <c r="AD175" s="120" t="s">
        <v>1545</v>
      </c>
      <c r="AE175" s="25" t="s">
        <v>1459</v>
      </c>
      <c r="AF175" s="774">
        <v>0.83399999999999996</v>
      </c>
      <c r="AG175" s="773">
        <v>0.79500000000000004</v>
      </c>
      <c r="AH175" s="773">
        <v>3.8899999999999997E-2</v>
      </c>
      <c r="AI175" s="786">
        <f t="shared" si="6"/>
        <v>0.41678321678321678</v>
      </c>
    </row>
    <row r="176" spans="1:35" s="25" customFormat="1">
      <c r="A176" s="93" t="s">
        <v>1546</v>
      </c>
      <c r="B176" s="83" t="s">
        <v>1547</v>
      </c>
      <c r="C176" s="82" t="s">
        <v>1456</v>
      </c>
      <c r="D176" s="83" t="s">
        <v>1457</v>
      </c>
      <c r="E176" s="85">
        <v>500</v>
      </c>
      <c r="F176" s="85" t="s">
        <v>202</v>
      </c>
      <c r="G176" s="64">
        <v>2150</v>
      </c>
      <c r="H176" s="65">
        <v>2040</v>
      </c>
      <c r="I176" s="87">
        <v>107</v>
      </c>
      <c r="J176" s="134">
        <v>14.7</v>
      </c>
      <c r="K176" s="135">
        <v>14.6</v>
      </c>
      <c r="L176" s="135">
        <v>9.7100000000000009</v>
      </c>
      <c r="M176" s="135">
        <v>4.8899999999999997</v>
      </c>
      <c r="N176" s="62">
        <v>0.104</v>
      </c>
      <c r="O176" s="134">
        <v>9.99</v>
      </c>
      <c r="P176" s="135">
        <v>9.99</v>
      </c>
      <c r="Q176" s="135">
        <v>5.84</v>
      </c>
      <c r="R176" s="135">
        <v>4.1500000000000004</v>
      </c>
      <c r="S176" s="62">
        <v>6.1500000000000001E-3</v>
      </c>
      <c r="T176" s="134">
        <v>4.7</v>
      </c>
      <c r="U176" s="135">
        <v>4.6100000000000003</v>
      </c>
      <c r="V176" s="135">
        <v>3.87</v>
      </c>
      <c r="W176" s="135">
        <v>0.74099999999999999</v>
      </c>
      <c r="X176" s="62">
        <v>9.8100000000000007E-2</v>
      </c>
      <c r="Y176" s="118">
        <v>0.95099999999999996</v>
      </c>
      <c r="Z176" s="62">
        <v>0.871</v>
      </c>
      <c r="AA176" s="62">
        <v>0.08</v>
      </c>
      <c r="AB176" s="62">
        <v>0.41</v>
      </c>
      <c r="AC176" s="67">
        <f t="shared" si="5"/>
        <v>1.5033333333333332</v>
      </c>
      <c r="AD176" s="120" t="s">
        <v>1548</v>
      </c>
      <c r="AE176" s="25" t="s">
        <v>1459</v>
      </c>
      <c r="AF176" s="774">
        <v>0.6</v>
      </c>
      <c r="AG176" s="773">
        <v>0.56100000000000005</v>
      </c>
      <c r="AH176" s="773">
        <v>3.8899999999999997E-2</v>
      </c>
      <c r="AI176" s="786">
        <f t="shared" si="6"/>
        <v>0.36908517350157727</v>
      </c>
    </row>
    <row r="177" spans="1:35" s="25" customFormat="1">
      <c r="A177" s="93" t="s">
        <v>1549</v>
      </c>
      <c r="B177" s="83" t="s">
        <v>1550</v>
      </c>
      <c r="C177" s="82"/>
      <c r="D177" s="83"/>
      <c r="E177" s="85"/>
      <c r="F177" s="85"/>
      <c r="G177" s="64"/>
      <c r="H177" s="65"/>
      <c r="I177" s="87"/>
      <c r="J177" s="134"/>
      <c r="K177" s="135"/>
      <c r="L177" s="135"/>
      <c r="M177" s="135"/>
      <c r="N177" s="62"/>
      <c r="O177" s="134"/>
      <c r="P177" s="135"/>
      <c r="Q177" s="135"/>
      <c r="R177" s="135"/>
      <c r="S177" s="62"/>
      <c r="T177" s="134"/>
      <c r="U177" s="135"/>
      <c r="V177" s="135"/>
      <c r="W177" s="135"/>
      <c r="X177" s="62"/>
      <c r="Y177" s="118"/>
      <c r="Z177" s="62"/>
      <c r="AA177" s="62"/>
      <c r="AB177" s="62"/>
      <c r="AC177" s="67">
        <f t="shared" si="5"/>
        <v>0</v>
      </c>
      <c r="AD177" s="120" t="s">
        <v>1551</v>
      </c>
      <c r="AI177" s="786"/>
    </row>
    <row r="178" spans="1:35" s="25" customFormat="1">
      <c r="A178" s="93" t="s">
        <v>1552</v>
      </c>
      <c r="B178" s="83" t="s">
        <v>1553</v>
      </c>
      <c r="C178" s="82" t="s">
        <v>1554</v>
      </c>
      <c r="D178" s="83" t="s">
        <v>1555</v>
      </c>
      <c r="E178" s="85">
        <v>700</v>
      </c>
      <c r="F178" s="85" t="s">
        <v>202</v>
      </c>
      <c r="G178" s="64">
        <v>1010</v>
      </c>
      <c r="H178" s="65">
        <v>926</v>
      </c>
      <c r="I178" s="87">
        <v>84.4</v>
      </c>
      <c r="J178" s="134">
        <v>11.3</v>
      </c>
      <c r="K178" s="135">
        <v>11.2</v>
      </c>
      <c r="L178" s="135">
        <v>6.02</v>
      </c>
      <c r="M178" s="135">
        <v>5.18</v>
      </c>
      <c r="N178" s="62">
        <v>0.114</v>
      </c>
      <c r="O178" s="134">
        <v>9.4600000000000009</v>
      </c>
      <c r="P178" s="135">
        <v>9.4600000000000009</v>
      </c>
      <c r="Q178" s="135">
        <v>4.3600000000000003</v>
      </c>
      <c r="R178" s="135">
        <v>5.0999999999999996</v>
      </c>
      <c r="S178" s="62">
        <v>6.9100000000000003E-3</v>
      </c>
      <c r="T178" s="134">
        <v>1.86</v>
      </c>
      <c r="U178" s="135">
        <v>1.75</v>
      </c>
      <c r="V178" s="135">
        <v>1.67</v>
      </c>
      <c r="W178" s="135">
        <v>8.3299999999999999E-2</v>
      </c>
      <c r="X178" s="62">
        <v>0.108</v>
      </c>
      <c r="Y178" s="118">
        <v>0.36699999999999999</v>
      </c>
      <c r="Z178" s="62">
        <v>0.30599999999999999</v>
      </c>
      <c r="AA178" s="62">
        <v>6.1499999999999999E-2</v>
      </c>
      <c r="AB178" s="62">
        <v>0.47699999999999998</v>
      </c>
      <c r="AC178" s="67">
        <f t="shared" si="5"/>
        <v>1.7489999999999999</v>
      </c>
      <c r="AD178" s="120" t="s">
        <v>1556</v>
      </c>
      <c r="AE178" s="25" t="s">
        <v>1557</v>
      </c>
      <c r="AI178" s="786"/>
    </row>
    <row r="179" spans="1:35" s="25" customFormat="1" ht="14.25">
      <c r="A179" s="113" t="s">
        <v>1558</v>
      </c>
      <c r="B179" s="76" t="s">
        <v>1559</v>
      </c>
      <c r="C179" s="75"/>
      <c r="D179" s="76"/>
      <c r="E179" s="77" t="s">
        <v>1023</v>
      </c>
      <c r="F179" s="78"/>
      <c r="G179" s="78"/>
      <c r="H179" s="78"/>
      <c r="I179" s="78"/>
      <c r="J179" s="146"/>
      <c r="K179" s="78"/>
      <c r="L179" s="78"/>
      <c r="M179" s="78"/>
      <c r="N179" s="146"/>
      <c r="O179" s="146"/>
      <c r="P179" s="78"/>
      <c r="Q179" s="78"/>
      <c r="R179" s="78"/>
      <c r="S179" s="146"/>
      <c r="T179" s="79"/>
      <c r="U179" s="80"/>
      <c r="V179" s="80"/>
      <c r="W179" s="80"/>
      <c r="X179" s="80"/>
      <c r="Y179" s="78"/>
      <c r="Z179" s="78"/>
      <c r="AA179" s="78"/>
      <c r="AB179" s="78"/>
      <c r="AC179" s="78"/>
      <c r="AD179" s="116" t="s">
        <v>1560</v>
      </c>
      <c r="AI179" s="786"/>
    </row>
    <row r="180" spans="1:35" s="25" customFormat="1">
      <c r="A180" s="93" t="s">
        <v>688</v>
      </c>
      <c r="B180" s="83" t="s">
        <v>1561</v>
      </c>
      <c r="C180" s="82" t="s">
        <v>1562</v>
      </c>
      <c r="D180" s="83" t="s">
        <v>1563</v>
      </c>
      <c r="E180" s="117">
        <v>1500</v>
      </c>
      <c r="F180" s="85" t="s">
        <v>202</v>
      </c>
      <c r="G180" s="132">
        <v>10100</v>
      </c>
      <c r="H180" s="133">
        <v>9910</v>
      </c>
      <c r="I180" s="133">
        <v>236</v>
      </c>
      <c r="J180" s="129">
        <v>24.6</v>
      </c>
      <c r="K180" s="130">
        <v>24.6</v>
      </c>
      <c r="L180" s="130">
        <v>24.6</v>
      </c>
      <c r="M180" s="130">
        <v>0</v>
      </c>
      <c r="N180" s="126">
        <v>5.8299999999999998E-2</v>
      </c>
      <c r="O180" s="129">
        <v>0.35399999999999998</v>
      </c>
      <c r="P180" s="130">
        <v>0.35199999999999998</v>
      </c>
      <c r="Q180" s="130">
        <v>0.35199999999999998</v>
      </c>
      <c r="R180" s="130">
        <v>0</v>
      </c>
      <c r="S180" s="126">
        <v>2.2300000000000002E-3</v>
      </c>
      <c r="T180" s="129">
        <v>24.3</v>
      </c>
      <c r="U180" s="130">
        <v>24.2</v>
      </c>
      <c r="V180" s="130">
        <v>24.2</v>
      </c>
      <c r="W180" s="130">
        <v>0</v>
      </c>
      <c r="X180" s="126">
        <v>5.6099999999999997E-2</v>
      </c>
      <c r="Y180" s="124">
        <v>4.84</v>
      </c>
      <c r="Z180" s="125">
        <v>4.6500000000000004</v>
      </c>
      <c r="AA180" s="125">
        <v>0.187</v>
      </c>
      <c r="AB180" s="125">
        <v>0</v>
      </c>
      <c r="AC180" s="67">
        <f t="shared" si="5"/>
        <v>0</v>
      </c>
      <c r="AD180" s="120" t="s">
        <v>1564</v>
      </c>
      <c r="AE180" s="25" t="s">
        <v>1565</v>
      </c>
      <c r="AF180" s="774">
        <v>4.97</v>
      </c>
      <c r="AG180" s="775">
        <v>4.54</v>
      </c>
      <c r="AH180" s="775">
        <v>0.42899999999999999</v>
      </c>
      <c r="AI180" s="786">
        <f t="shared" si="6"/>
        <v>-2.6859504132231385E-2</v>
      </c>
    </row>
    <row r="181" spans="1:35" s="25" customFormat="1">
      <c r="A181" s="93" t="s">
        <v>517</v>
      </c>
      <c r="B181" s="83" t="s">
        <v>1566</v>
      </c>
      <c r="C181" s="82" t="s">
        <v>1562</v>
      </c>
      <c r="D181" s="83" t="s">
        <v>1563</v>
      </c>
      <c r="E181" s="117">
        <v>1000</v>
      </c>
      <c r="F181" s="85" t="s">
        <v>202</v>
      </c>
      <c r="G181" s="132">
        <v>2050</v>
      </c>
      <c r="H181" s="133">
        <v>1810</v>
      </c>
      <c r="I181" s="133">
        <v>236</v>
      </c>
      <c r="J181" s="129">
        <v>15</v>
      </c>
      <c r="K181" s="130">
        <v>15</v>
      </c>
      <c r="L181" s="130">
        <v>3.49</v>
      </c>
      <c r="M181" s="130">
        <v>11.5</v>
      </c>
      <c r="N181" s="126">
        <v>5.8299999999999998E-2</v>
      </c>
      <c r="O181" s="129">
        <v>6.5500000000000003E-2</v>
      </c>
      <c r="P181" s="130">
        <v>6.3200000000000006E-2</v>
      </c>
      <c r="Q181" s="130">
        <v>6.3200000000000006E-2</v>
      </c>
      <c r="R181" s="130">
        <v>0</v>
      </c>
      <c r="S181" s="126">
        <v>2.2300000000000002E-3</v>
      </c>
      <c r="T181" s="129">
        <v>15</v>
      </c>
      <c r="U181" s="130">
        <v>14.9</v>
      </c>
      <c r="V181" s="130">
        <v>3.42</v>
      </c>
      <c r="W181" s="130">
        <v>11.5</v>
      </c>
      <c r="X181" s="126">
        <v>5.6099999999999997E-2</v>
      </c>
      <c r="Y181" s="124">
        <v>1.1000000000000001</v>
      </c>
      <c r="Z181" s="126">
        <v>0.91100000000000003</v>
      </c>
      <c r="AA181" s="125">
        <v>0.187</v>
      </c>
      <c r="AB181" s="125">
        <v>0</v>
      </c>
      <c r="AC181" s="67">
        <f t="shared" si="5"/>
        <v>0</v>
      </c>
      <c r="AD181" s="120" t="s">
        <v>1567</v>
      </c>
      <c r="AE181" s="25" t="s">
        <v>1565</v>
      </c>
      <c r="AF181" s="774">
        <v>2.9</v>
      </c>
      <c r="AG181" s="773">
        <v>0.55700000000000005</v>
      </c>
      <c r="AH181" s="775">
        <v>2.35</v>
      </c>
      <c r="AI181" s="786">
        <f t="shared" si="6"/>
        <v>-1.636363636363636</v>
      </c>
    </row>
    <row r="182" spans="1:35" s="25" customFormat="1">
      <c r="A182" s="93" t="s">
        <v>1568</v>
      </c>
      <c r="B182" s="83" t="s">
        <v>1569</v>
      </c>
      <c r="C182" s="82" t="s">
        <v>1562</v>
      </c>
      <c r="D182" s="83" t="s">
        <v>1563</v>
      </c>
      <c r="E182" s="117">
        <v>1500</v>
      </c>
      <c r="F182" s="85" t="s">
        <v>202</v>
      </c>
      <c r="G182" s="132">
        <v>6880</v>
      </c>
      <c r="H182" s="133">
        <v>6640</v>
      </c>
      <c r="I182" s="133">
        <v>236</v>
      </c>
      <c r="J182" s="129">
        <v>24.7</v>
      </c>
      <c r="K182" s="130">
        <v>24.7</v>
      </c>
      <c r="L182" s="130">
        <v>16.5</v>
      </c>
      <c r="M182" s="130">
        <v>8.14</v>
      </c>
      <c r="N182" s="126">
        <v>5.8299999999999998E-2</v>
      </c>
      <c r="O182" s="129">
        <v>0.28799999999999998</v>
      </c>
      <c r="P182" s="130">
        <v>0.28599999999999998</v>
      </c>
      <c r="Q182" s="130">
        <v>0.28599999999999998</v>
      </c>
      <c r="R182" s="130">
        <v>0</v>
      </c>
      <c r="S182" s="126">
        <v>2.2300000000000002E-3</v>
      </c>
      <c r="T182" s="129">
        <v>24.4</v>
      </c>
      <c r="U182" s="130">
        <v>24.4</v>
      </c>
      <c r="V182" s="130">
        <v>16.2</v>
      </c>
      <c r="W182" s="130">
        <v>8.14</v>
      </c>
      <c r="X182" s="126">
        <v>5.6099999999999997E-2</v>
      </c>
      <c r="Y182" s="124">
        <v>2.42</v>
      </c>
      <c r="Z182" s="125">
        <v>2.2400000000000002</v>
      </c>
      <c r="AA182" s="125">
        <v>0.187</v>
      </c>
      <c r="AB182" s="125">
        <v>0</v>
      </c>
      <c r="AC182" s="67">
        <f t="shared" si="5"/>
        <v>0</v>
      </c>
      <c r="AD182" s="120" t="s">
        <v>1570</v>
      </c>
      <c r="AE182" s="25" t="s">
        <v>1565</v>
      </c>
      <c r="AF182" s="774">
        <v>4.83</v>
      </c>
      <c r="AG182" s="775">
        <v>1.68</v>
      </c>
      <c r="AH182" s="775">
        <v>3.14</v>
      </c>
      <c r="AI182" s="786">
        <f t="shared" si="6"/>
        <v>-0.99586776859504145</v>
      </c>
    </row>
    <row r="183" spans="1:35" s="25" customFormat="1">
      <c r="A183" s="93" t="s">
        <v>1571</v>
      </c>
      <c r="B183" s="83" t="s">
        <v>1572</v>
      </c>
      <c r="C183" s="82" t="s">
        <v>1562</v>
      </c>
      <c r="D183" s="83" t="s">
        <v>1563</v>
      </c>
      <c r="E183" s="117">
        <v>1600</v>
      </c>
      <c r="F183" s="85" t="s">
        <v>202</v>
      </c>
      <c r="G183" s="132">
        <v>2890</v>
      </c>
      <c r="H183" s="133">
        <v>2660</v>
      </c>
      <c r="I183" s="133">
        <v>236</v>
      </c>
      <c r="J183" s="129">
        <v>8.2200000000000006</v>
      </c>
      <c r="K183" s="130">
        <v>8.16</v>
      </c>
      <c r="L183" s="130">
        <v>6.92</v>
      </c>
      <c r="M183" s="130">
        <v>1.24</v>
      </c>
      <c r="N183" s="126">
        <v>5.8299999999999998E-2</v>
      </c>
      <c r="O183" s="129">
        <v>0.41299999999999998</v>
      </c>
      <c r="P183" s="130">
        <v>0.41099999999999998</v>
      </c>
      <c r="Q183" s="130">
        <v>0.41099999999999998</v>
      </c>
      <c r="R183" s="130">
        <v>0</v>
      </c>
      <c r="S183" s="126">
        <v>2.2300000000000002E-3</v>
      </c>
      <c r="T183" s="129">
        <v>7.81</v>
      </c>
      <c r="U183" s="130">
        <v>7.75</v>
      </c>
      <c r="V183" s="130">
        <v>6.51</v>
      </c>
      <c r="W183" s="130">
        <v>1.24</v>
      </c>
      <c r="X183" s="126">
        <v>5.6099999999999997E-2</v>
      </c>
      <c r="Y183" s="124">
        <v>1.72</v>
      </c>
      <c r="Z183" s="125">
        <v>1.53</v>
      </c>
      <c r="AA183" s="125">
        <v>0.187</v>
      </c>
      <c r="AB183" s="125">
        <v>0</v>
      </c>
      <c r="AC183" s="67">
        <f t="shared" si="5"/>
        <v>0</v>
      </c>
      <c r="AD183" s="120" t="s">
        <v>1573</v>
      </c>
      <c r="AE183" s="25" t="s">
        <v>1565</v>
      </c>
      <c r="AF183" s="774">
        <v>3.98</v>
      </c>
      <c r="AG183" s="775">
        <v>0.83499999999999996</v>
      </c>
      <c r="AH183" s="775">
        <v>3.14</v>
      </c>
      <c r="AI183" s="786">
        <f t="shared" si="6"/>
        <v>-1.3139534883720929</v>
      </c>
    </row>
    <row r="184" spans="1:35" s="25" customFormat="1">
      <c r="A184" s="93" t="s">
        <v>1574</v>
      </c>
      <c r="B184" s="83" t="s">
        <v>1575</v>
      </c>
      <c r="C184" s="82" t="s">
        <v>1562</v>
      </c>
      <c r="D184" s="83" t="s">
        <v>1563</v>
      </c>
      <c r="E184" s="117">
        <v>1000</v>
      </c>
      <c r="F184" s="85" t="s">
        <v>202</v>
      </c>
      <c r="G184" s="132">
        <v>4580</v>
      </c>
      <c r="H184" s="133">
        <v>4340</v>
      </c>
      <c r="I184" s="133">
        <v>236</v>
      </c>
      <c r="J184" s="129">
        <v>16.3</v>
      </c>
      <c r="K184" s="130">
        <v>16.3</v>
      </c>
      <c r="L184" s="130">
        <v>8.1300000000000008</v>
      </c>
      <c r="M184" s="130">
        <v>8.14</v>
      </c>
      <c r="N184" s="126">
        <v>5.8299999999999998E-2</v>
      </c>
      <c r="O184" s="129">
        <v>1.86</v>
      </c>
      <c r="P184" s="130">
        <v>1.86</v>
      </c>
      <c r="Q184" s="130">
        <v>1.86</v>
      </c>
      <c r="R184" s="130">
        <v>0</v>
      </c>
      <c r="S184" s="126">
        <v>2.2300000000000002E-3</v>
      </c>
      <c r="T184" s="129">
        <v>14.5</v>
      </c>
      <c r="U184" s="130">
        <v>14.4</v>
      </c>
      <c r="V184" s="130">
        <v>6.27</v>
      </c>
      <c r="W184" s="130">
        <v>8.14</v>
      </c>
      <c r="X184" s="126">
        <v>5.6099999999999997E-2</v>
      </c>
      <c r="Y184" s="124">
        <v>2.91</v>
      </c>
      <c r="Z184" s="125">
        <v>2.72</v>
      </c>
      <c r="AA184" s="125">
        <v>0.187</v>
      </c>
      <c r="AB184" s="125">
        <v>0</v>
      </c>
      <c r="AC184" s="67">
        <f t="shared" si="5"/>
        <v>0</v>
      </c>
      <c r="AD184" s="120" t="s">
        <v>1576</v>
      </c>
      <c r="AE184" s="25" t="s">
        <v>1565</v>
      </c>
      <c r="AF184" s="774">
        <v>5.47</v>
      </c>
      <c r="AG184" s="775">
        <v>2.33</v>
      </c>
      <c r="AH184" s="775">
        <v>3.14</v>
      </c>
      <c r="AI184" s="786">
        <f t="shared" si="6"/>
        <v>-0.87972508591065279</v>
      </c>
    </row>
    <row r="185" spans="1:35" s="25" customFormat="1" ht="14.25">
      <c r="A185" s="113" t="s">
        <v>1577</v>
      </c>
      <c r="B185" s="76" t="s">
        <v>1578</v>
      </c>
      <c r="C185" s="75"/>
      <c r="D185" s="76"/>
      <c r="E185" s="77" t="s">
        <v>1023</v>
      </c>
      <c r="F185" s="78"/>
      <c r="G185" s="78"/>
      <c r="H185" s="78"/>
      <c r="I185" s="78"/>
      <c r="J185" s="114"/>
      <c r="K185" s="80"/>
      <c r="L185" s="80"/>
      <c r="M185" s="80"/>
      <c r="N185" s="115"/>
      <c r="O185" s="114"/>
      <c r="P185" s="80"/>
      <c r="Q185" s="80"/>
      <c r="R185" s="80"/>
      <c r="S185" s="115"/>
      <c r="T185" s="79"/>
      <c r="U185" s="80"/>
      <c r="V185" s="80"/>
      <c r="W185" s="80"/>
      <c r="X185" s="80"/>
      <c r="Y185" s="79"/>
      <c r="Z185" s="80"/>
      <c r="AA185" s="80"/>
      <c r="AB185" s="80"/>
      <c r="AC185" s="80"/>
      <c r="AD185" s="116" t="s">
        <v>1579</v>
      </c>
      <c r="AI185" s="786"/>
    </row>
    <row r="186" spans="1:35" s="25" customFormat="1">
      <c r="A186" s="93" t="s">
        <v>694</v>
      </c>
      <c r="B186" s="83" t="s">
        <v>1580</v>
      </c>
      <c r="C186" s="82" t="s">
        <v>1581</v>
      </c>
      <c r="D186" s="83" t="s">
        <v>1582</v>
      </c>
      <c r="E186" s="117">
        <v>1100</v>
      </c>
      <c r="F186" s="85" t="s">
        <v>202</v>
      </c>
      <c r="G186" s="132">
        <v>5230</v>
      </c>
      <c r="H186" s="133">
        <v>2790</v>
      </c>
      <c r="I186" s="133">
        <v>2430</v>
      </c>
      <c r="J186" s="129">
        <v>14.1</v>
      </c>
      <c r="K186" s="130">
        <v>13.9</v>
      </c>
      <c r="L186" s="130">
        <v>6.29</v>
      </c>
      <c r="M186" s="130">
        <v>7.57</v>
      </c>
      <c r="N186" s="126">
        <v>0.28199999999999997</v>
      </c>
      <c r="O186" s="129">
        <v>0.66100000000000003</v>
      </c>
      <c r="P186" s="130">
        <v>0.64600000000000002</v>
      </c>
      <c r="Q186" s="130">
        <v>0.64600000000000002</v>
      </c>
      <c r="R186" s="130">
        <v>0</v>
      </c>
      <c r="S186" s="126">
        <v>1.4500000000000001E-2</v>
      </c>
      <c r="T186" s="129">
        <v>13.5</v>
      </c>
      <c r="U186" s="130">
        <v>13.2</v>
      </c>
      <c r="V186" s="130">
        <v>5.64</v>
      </c>
      <c r="W186" s="130">
        <v>7.57</v>
      </c>
      <c r="X186" s="126">
        <v>0.26800000000000002</v>
      </c>
      <c r="Y186" s="124">
        <v>3.64</v>
      </c>
      <c r="Z186" s="125">
        <v>1.31</v>
      </c>
      <c r="AA186" s="125">
        <v>2.33</v>
      </c>
      <c r="AB186" s="125">
        <v>0</v>
      </c>
      <c r="AC186" s="67">
        <f t="shared" si="5"/>
        <v>0</v>
      </c>
      <c r="AD186" s="120" t="s">
        <v>1583</v>
      </c>
      <c r="AE186" s="25" t="s">
        <v>1584</v>
      </c>
      <c r="AF186" s="774">
        <v>2.96</v>
      </c>
      <c r="AG186" s="775">
        <v>0.61099999999999999</v>
      </c>
      <c r="AH186" s="775">
        <v>2.35</v>
      </c>
      <c r="AI186" s="786">
        <f t="shared" si="6"/>
        <v>0.18681318681318684</v>
      </c>
    </row>
    <row r="187" spans="1:35" s="25" customFormat="1" ht="12.75" customHeight="1">
      <c r="A187" s="93" t="s">
        <v>1585</v>
      </c>
      <c r="B187" s="83" t="s">
        <v>1586</v>
      </c>
      <c r="C187" s="82" t="s">
        <v>1587</v>
      </c>
      <c r="D187" s="83" t="s">
        <v>1588</v>
      </c>
      <c r="E187" s="117">
        <v>920</v>
      </c>
      <c r="F187" s="85" t="s">
        <v>202</v>
      </c>
      <c r="G187" s="132">
        <v>6930</v>
      </c>
      <c r="H187" s="133">
        <v>4120</v>
      </c>
      <c r="I187" s="133">
        <v>2810</v>
      </c>
      <c r="J187" s="129">
        <v>25.7</v>
      </c>
      <c r="K187" s="130">
        <v>25.4</v>
      </c>
      <c r="L187" s="130">
        <v>14.2</v>
      </c>
      <c r="M187" s="130">
        <v>11.2</v>
      </c>
      <c r="N187" s="126">
        <v>0.221</v>
      </c>
      <c r="O187" s="129">
        <v>0.85499999999999998</v>
      </c>
      <c r="P187" s="130">
        <v>0.84399999999999997</v>
      </c>
      <c r="Q187" s="130">
        <v>0.84399999999999997</v>
      </c>
      <c r="R187" s="130">
        <v>0</v>
      </c>
      <c r="S187" s="126">
        <v>1.09E-2</v>
      </c>
      <c r="T187" s="129">
        <v>24.8</v>
      </c>
      <c r="U187" s="130">
        <v>24.6</v>
      </c>
      <c r="V187" s="130">
        <v>13.4</v>
      </c>
      <c r="W187" s="130">
        <v>11.2</v>
      </c>
      <c r="X187" s="126">
        <v>0.21</v>
      </c>
      <c r="Y187" s="124">
        <v>5.42</v>
      </c>
      <c r="Z187" s="125">
        <v>2.75</v>
      </c>
      <c r="AA187" s="125">
        <v>2.67</v>
      </c>
      <c r="AB187" s="125">
        <v>0</v>
      </c>
      <c r="AC187" s="67">
        <f t="shared" si="5"/>
        <v>0</v>
      </c>
      <c r="AD187" s="120" t="s">
        <v>1589</v>
      </c>
      <c r="AE187" s="25" t="s">
        <v>1590</v>
      </c>
      <c r="AF187" s="774">
        <v>4.9800000000000004</v>
      </c>
      <c r="AG187" s="775">
        <v>2.42</v>
      </c>
      <c r="AH187" s="775">
        <v>2.57</v>
      </c>
      <c r="AI187" s="786">
        <f t="shared" si="6"/>
        <v>8.1180811808117995E-2</v>
      </c>
    </row>
    <row r="188" spans="1:35" s="25" customFormat="1">
      <c r="A188" s="93" t="s">
        <v>696</v>
      </c>
      <c r="B188" s="83" t="s">
        <v>1591</v>
      </c>
      <c r="C188" s="82" t="s">
        <v>1581</v>
      </c>
      <c r="D188" s="83" t="s">
        <v>1582</v>
      </c>
      <c r="E188" s="117">
        <v>1100</v>
      </c>
      <c r="F188" s="85" t="s">
        <v>202</v>
      </c>
      <c r="G188" s="132">
        <v>4360</v>
      </c>
      <c r="H188" s="133">
        <v>1930</v>
      </c>
      <c r="I188" s="133">
        <v>2430</v>
      </c>
      <c r="J188" s="129">
        <v>12.6</v>
      </c>
      <c r="K188" s="130">
        <v>12.3</v>
      </c>
      <c r="L188" s="130">
        <v>4.92</v>
      </c>
      <c r="M188" s="130">
        <v>7.37</v>
      </c>
      <c r="N188" s="126">
        <v>0.28199999999999997</v>
      </c>
      <c r="O188" s="129">
        <v>0.27100000000000002</v>
      </c>
      <c r="P188" s="130">
        <v>0.25600000000000001</v>
      </c>
      <c r="Q188" s="130">
        <v>0.25600000000000001</v>
      </c>
      <c r="R188" s="130">
        <v>0</v>
      </c>
      <c r="S188" s="126">
        <v>1.4500000000000001E-2</v>
      </c>
      <c r="T188" s="129">
        <v>12.3</v>
      </c>
      <c r="U188" s="130">
        <v>12</v>
      </c>
      <c r="V188" s="130">
        <v>4.66</v>
      </c>
      <c r="W188" s="130">
        <v>7.37</v>
      </c>
      <c r="X188" s="126">
        <v>0.26800000000000002</v>
      </c>
      <c r="Y188" s="124">
        <v>3.34</v>
      </c>
      <c r="Z188" s="126">
        <v>1.01</v>
      </c>
      <c r="AA188" s="125">
        <v>2.33</v>
      </c>
      <c r="AB188" s="125">
        <v>0</v>
      </c>
      <c r="AC188" s="67">
        <f t="shared" si="5"/>
        <v>0</v>
      </c>
      <c r="AD188" s="120" t="s">
        <v>1592</v>
      </c>
      <c r="AE188" s="25" t="s">
        <v>1584</v>
      </c>
      <c r="AF188" s="774">
        <v>2.91</v>
      </c>
      <c r="AG188" s="773">
        <v>0.55900000000000005</v>
      </c>
      <c r="AH188" s="775">
        <v>2.35</v>
      </c>
      <c r="AI188" s="786">
        <f t="shared" si="6"/>
        <v>0.12874251497005981</v>
      </c>
    </row>
    <row r="189" spans="1:35" s="25" customFormat="1">
      <c r="A189" s="93" t="s">
        <v>1593</v>
      </c>
      <c r="B189" s="83" t="s">
        <v>1594</v>
      </c>
      <c r="C189" s="82" t="s">
        <v>1581</v>
      </c>
      <c r="D189" s="83" t="s">
        <v>1582</v>
      </c>
      <c r="E189" s="117">
        <v>1267</v>
      </c>
      <c r="F189" s="85" t="s">
        <v>202</v>
      </c>
      <c r="G189" s="132">
        <v>3510</v>
      </c>
      <c r="H189" s="133">
        <v>1080</v>
      </c>
      <c r="I189" s="133">
        <v>2430</v>
      </c>
      <c r="J189" s="129">
        <v>6.35</v>
      </c>
      <c r="K189" s="130">
        <v>6.07</v>
      </c>
      <c r="L189" s="130">
        <v>2.62</v>
      </c>
      <c r="M189" s="130">
        <v>3.45</v>
      </c>
      <c r="N189" s="126">
        <v>0.28199999999999997</v>
      </c>
      <c r="O189" s="129">
        <v>0.223</v>
      </c>
      <c r="P189" s="130">
        <v>0.20899999999999999</v>
      </c>
      <c r="Q189" s="130">
        <v>0.16900000000000001</v>
      </c>
      <c r="R189" s="130">
        <v>3.9699999999999999E-2</v>
      </c>
      <c r="S189" s="126">
        <v>1.4500000000000001E-2</v>
      </c>
      <c r="T189" s="129">
        <v>6.13</v>
      </c>
      <c r="U189" s="130">
        <v>5.86</v>
      </c>
      <c r="V189" s="130">
        <v>2.4500000000000002</v>
      </c>
      <c r="W189" s="130">
        <v>3.41</v>
      </c>
      <c r="X189" s="126">
        <v>0.26800000000000002</v>
      </c>
      <c r="Y189" s="124">
        <v>2.92</v>
      </c>
      <c r="Z189" s="126">
        <v>0.58799999999999997</v>
      </c>
      <c r="AA189" s="125">
        <v>2.33</v>
      </c>
      <c r="AB189" s="125">
        <v>0</v>
      </c>
      <c r="AC189" s="67">
        <f t="shared" si="5"/>
        <v>0</v>
      </c>
      <c r="AD189" s="120" t="s">
        <v>1595</v>
      </c>
      <c r="AE189" s="25" t="s">
        <v>1584</v>
      </c>
      <c r="AI189" s="786"/>
    </row>
    <row r="190" spans="1:35" s="25" customFormat="1" ht="12.75" customHeight="1" outlineLevel="1">
      <c r="A190" s="151" t="s">
        <v>535</v>
      </c>
      <c r="B190" s="152" t="s">
        <v>1596</v>
      </c>
      <c r="C190" s="153" t="s">
        <v>1581</v>
      </c>
      <c r="D190" s="152" t="s">
        <v>1582</v>
      </c>
      <c r="E190" s="154">
        <v>1269</v>
      </c>
      <c r="F190" s="155" t="s">
        <v>202</v>
      </c>
      <c r="G190" s="156">
        <v>4070</v>
      </c>
      <c r="H190" s="157">
        <v>1630</v>
      </c>
      <c r="I190" s="157">
        <v>2430</v>
      </c>
      <c r="J190" s="158">
        <v>10.5</v>
      </c>
      <c r="K190" s="159">
        <v>10.3</v>
      </c>
      <c r="L190" s="159">
        <v>3.93</v>
      </c>
      <c r="M190" s="159">
        <v>6.32</v>
      </c>
      <c r="N190" s="160">
        <v>0.28199999999999997</v>
      </c>
      <c r="O190" s="158">
        <v>0.24199999999999999</v>
      </c>
      <c r="P190" s="159">
        <v>0.22700000000000001</v>
      </c>
      <c r="Q190" s="159">
        <v>0.183</v>
      </c>
      <c r="R190" s="159">
        <v>4.3900000000000002E-2</v>
      </c>
      <c r="S190" s="160">
        <v>1.4500000000000001E-2</v>
      </c>
      <c r="T190" s="158">
        <v>10.3</v>
      </c>
      <c r="U190" s="159">
        <v>10</v>
      </c>
      <c r="V190" s="159">
        <v>3.75</v>
      </c>
      <c r="W190" s="159">
        <v>6.28</v>
      </c>
      <c r="X190" s="160">
        <v>0.26800000000000002</v>
      </c>
      <c r="Y190" s="161">
        <v>3.24</v>
      </c>
      <c r="Z190" s="160">
        <v>0.90700000000000003</v>
      </c>
      <c r="AA190" s="162">
        <v>2.33</v>
      </c>
      <c r="AB190" s="162">
        <v>0</v>
      </c>
      <c r="AC190" s="67">
        <f t="shared" si="5"/>
        <v>0</v>
      </c>
      <c r="AD190" s="163" t="s">
        <v>1597</v>
      </c>
      <c r="AE190" s="25" t="s">
        <v>1584</v>
      </c>
      <c r="AI190" s="786"/>
    </row>
    <row r="191" spans="1:35" s="25" customFormat="1" ht="12.75" customHeight="1" outlineLevel="1">
      <c r="A191" s="151" t="s">
        <v>1598</v>
      </c>
      <c r="B191" s="152" t="s">
        <v>1599</v>
      </c>
      <c r="C191" s="153" t="s">
        <v>1581</v>
      </c>
      <c r="D191" s="152" t="s">
        <v>1582</v>
      </c>
      <c r="E191" s="154">
        <v>1256</v>
      </c>
      <c r="F191" s="155" t="s">
        <v>202</v>
      </c>
      <c r="G191" s="156">
        <v>3420</v>
      </c>
      <c r="H191" s="157">
        <v>983</v>
      </c>
      <c r="I191" s="157">
        <v>2430</v>
      </c>
      <c r="J191" s="158">
        <v>5.76</v>
      </c>
      <c r="K191" s="159">
        <v>5.47</v>
      </c>
      <c r="L191" s="159">
        <v>2.52</v>
      </c>
      <c r="M191" s="159">
        <v>2.95</v>
      </c>
      <c r="N191" s="160">
        <v>0.28199999999999997</v>
      </c>
      <c r="O191" s="158">
        <v>0.221</v>
      </c>
      <c r="P191" s="159">
        <v>0.20599999999999999</v>
      </c>
      <c r="Q191" s="159">
        <v>0.157</v>
      </c>
      <c r="R191" s="159">
        <v>4.8800000000000003E-2</v>
      </c>
      <c r="S191" s="160">
        <v>1.4500000000000001E-2</v>
      </c>
      <c r="T191" s="158">
        <v>5.54</v>
      </c>
      <c r="U191" s="159">
        <v>5.27</v>
      </c>
      <c r="V191" s="159">
        <v>2.37</v>
      </c>
      <c r="W191" s="159">
        <v>2.9</v>
      </c>
      <c r="X191" s="160">
        <v>0.26800000000000002</v>
      </c>
      <c r="Y191" s="161">
        <v>2.88</v>
      </c>
      <c r="Z191" s="160">
        <v>0.55000000000000004</v>
      </c>
      <c r="AA191" s="162">
        <v>2.33</v>
      </c>
      <c r="AB191" s="162">
        <v>0</v>
      </c>
      <c r="AC191" s="67">
        <f t="shared" si="5"/>
        <v>0</v>
      </c>
      <c r="AD191" s="163" t="s">
        <v>1600</v>
      </c>
      <c r="AE191" s="25" t="s">
        <v>1584</v>
      </c>
      <c r="AI191" s="786"/>
    </row>
    <row r="192" spans="1:35" s="25" customFormat="1" ht="12.75" customHeight="1" outlineLevel="1">
      <c r="A192" s="151" t="s">
        <v>537</v>
      </c>
      <c r="B192" s="152" t="s">
        <v>1596</v>
      </c>
      <c r="C192" s="153" t="s">
        <v>1581</v>
      </c>
      <c r="D192" s="152" t="s">
        <v>1582</v>
      </c>
      <c r="E192" s="154">
        <v>1269</v>
      </c>
      <c r="F192" s="155" t="s">
        <v>202</v>
      </c>
      <c r="G192" s="156">
        <v>4070</v>
      </c>
      <c r="H192" s="157">
        <v>1630</v>
      </c>
      <c r="I192" s="157">
        <v>2430</v>
      </c>
      <c r="J192" s="158">
        <v>10.5</v>
      </c>
      <c r="K192" s="159">
        <v>10.3</v>
      </c>
      <c r="L192" s="159">
        <v>3.93</v>
      </c>
      <c r="M192" s="159">
        <v>6.32</v>
      </c>
      <c r="N192" s="160">
        <v>0.28199999999999997</v>
      </c>
      <c r="O192" s="158">
        <v>0.24199999999999999</v>
      </c>
      <c r="P192" s="159">
        <v>0.22700000000000001</v>
      </c>
      <c r="Q192" s="159">
        <v>0.183</v>
      </c>
      <c r="R192" s="159">
        <v>4.3900000000000002E-2</v>
      </c>
      <c r="S192" s="160">
        <v>1.4500000000000001E-2</v>
      </c>
      <c r="T192" s="158">
        <v>10.3</v>
      </c>
      <c r="U192" s="159">
        <v>10</v>
      </c>
      <c r="V192" s="159">
        <v>3.75</v>
      </c>
      <c r="W192" s="159">
        <v>6.28</v>
      </c>
      <c r="X192" s="160">
        <v>0.26800000000000002</v>
      </c>
      <c r="Y192" s="161">
        <v>3.24</v>
      </c>
      <c r="Z192" s="160">
        <v>0.90700000000000003</v>
      </c>
      <c r="AA192" s="162">
        <v>2.33</v>
      </c>
      <c r="AB192" s="162">
        <v>0</v>
      </c>
      <c r="AC192" s="67">
        <f t="shared" ref="AC192:AC258" si="8">AB192*$AC$10</f>
        <v>0</v>
      </c>
      <c r="AD192" s="163" t="s">
        <v>1597</v>
      </c>
      <c r="AE192" s="25" t="s">
        <v>1584</v>
      </c>
      <c r="AI192" s="786"/>
    </row>
    <row r="193" spans="1:35" s="25" customFormat="1" ht="12.75" customHeight="1" outlineLevel="1">
      <c r="A193" s="151" t="s">
        <v>1601</v>
      </c>
      <c r="B193" s="152" t="s">
        <v>1599</v>
      </c>
      <c r="C193" s="153" t="s">
        <v>1581</v>
      </c>
      <c r="D193" s="152" t="s">
        <v>1582</v>
      </c>
      <c r="E193" s="154">
        <v>1256</v>
      </c>
      <c r="F193" s="155" t="s">
        <v>202</v>
      </c>
      <c r="G193" s="156">
        <v>3420</v>
      </c>
      <c r="H193" s="157">
        <v>983</v>
      </c>
      <c r="I193" s="157">
        <v>2430</v>
      </c>
      <c r="J193" s="158">
        <v>5.76</v>
      </c>
      <c r="K193" s="159">
        <v>5.47</v>
      </c>
      <c r="L193" s="159">
        <v>2.52</v>
      </c>
      <c r="M193" s="159">
        <v>2.95</v>
      </c>
      <c r="N193" s="160">
        <v>0.28199999999999997</v>
      </c>
      <c r="O193" s="158">
        <v>0.221</v>
      </c>
      <c r="P193" s="159">
        <v>0.20599999999999999</v>
      </c>
      <c r="Q193" s="159">
        <v>0.157</v>
      </c>
      <c r="R193" s="159">
        <v>4.8800000000000003E-2</v>
      </c>
      <c r="S193" s="160">
        <v>1.4500000000000001E-2</v>
      </c>
      <c r="T193" s="158">
        <v>5.54</v>
      </c>
      <c r="U193" s="159">
        <v>5.27</v>
      </c>
      <c r="V193" s="159">
        <v>2.37</v>
      </c>
      <c r="W193" s="159">
        <v>2.9</v>
      </c>
      <c r="X193" s="160">
        <v>0.26800000000000002</v>
      </c>
      <c r="Y193" s="161">
        <v>2.88</v>
      </c>
      <c r="Z193" s="160">
        <v>0.55000000000000004</v>
      </c>
      <c r="AA193" s="162">
        <v>2.33</v>
      </c>
      <c r="AB193" s="162">
        <v>0</v>
      </c>
      <c r="AC193" s="67">
        <f t="shared" si="8"/>
        <v>0</v>
      </c>
      <c r="AD193" s="163" t="s">
        <v>1600</v>
      </c>
      <c r="AE193" s="25" t="s">
        <v>1584</v>
      </c>
      <c r="AI193" s="786"/>
    </row>
    <row r="194" spans="1:35" s="25" customFormat="1" ht="12.75" customHeight="1" outlineLevel="1">
      <c r="A194" s="151" t="s">
        <v>1602</v>
      </c>
      <c r="B194" s="152" t="s">
        <v>1596</v>
      </c>
      <c r="C194" s="153" t="s">
        <v>1581</v>
      </c>
      <c r="D194" s="152" t="s">
        <v>1582</v>
      </c>
      <c r="E194" s="154">
        <v>1269</v>
      </c>
      <c r="F194" s="155" t="s">
        <v>202</v>
      </c>
      <c r="G194" s="156">
        <v>4070</v>
      </c>
      <c r="H194" s="157">
        <v>1630</v>
      </c>
      <c r="I194" s="157">
        <v>2430</v>
      </c>
      <c r="J194" s="158">
        <v>10.5</v>
      </c>
      <c r="K194" s="159">
        <v>10.3</v>
      </c>
      <c r="L194" s="159">
        <v>3.93</v>
      </c>
      <c r="M194" s="159">
        <v>6.32</v>
      </c>
      <c r="N194" s="160">
        <v>0.28199999999999997</v>
      </c>
      <c r="O194" s="158">
        <v>0.24199999999999999</v>
      </c>
      <c r="P194" s="159">
        <v>0.22700000000000001</v>
      </c>
      <c r="Q194" s="159">
        <v>0.183</v>
      </c>
      <c r="R194" s="159">
        <v>4.3900000000000002E-2</v>
      </c>
      <c r="S194" s="160">
        <v>1.4500000000000001E-2</v>
      </c>
      <c r="T194" s="158">
        <v>10.3</v>
      </c>
      <c r="U194" s="159">
        <v>10</v>
      </c>
      <c r="V194" s="159">
        <v>3.75</v>
      </c>
      <c r="W194" s="159">
        <v>6.28</v>
      </c>
      <c r="X194" s="160">
        <v>0.26800000000000002</v>
      </c>
      <c r="Y194" s="161">
        <v>3.24</v>
      </c>
      <c r="Z194" s="160">
        <v>0.90700000000000003</v>
      </c>
      <c r="AA194" s="162">
        <v>2.33</v>
      </c>
      <c r="AB194" s="162">
        <v>0</v>
      </c>
      <c r="AC194" s="67">
        <f t="shared" si="8"/>
        <v>0</v>
      </c>
      <c r="AD194" s="163" t="s">
        <v>1597</v>
      </c>
      <c r="AE194" s="25" t="s">
        <v>1584</v>
      </c>
      <c r="AI194" s="786"/>
    </row>
    <row r="195" spans="1:35" s="25" customFormat="1" ht="12.75" customHeight="1" outlineLevel="1">
      <c r="A195" s="151" t="s">
        <v>1603</v>
      </c>
      <c r="B195" s="152" t="s">
        <v>1599</v>
      </c>
      <c r="C195" s="153" t="s">
        <v>1581</v>
      </c>
      <c r="D195" s="152" t="s">
        <v>1582</v>
      </c>
      <c r="E195" s="154">
        <v>1256</v>
      </c>
      <c r="F195" s="155" t="s">
        <v>202</v>
      </c>
      <c r="G195" s="156">
        <v>3420</v>
      </c>
      <c r="H195" s="157">
        <v>983</v>
      </c>
      <c r="I195" s="157">
        <v>2430</v>
      </c>
      <c r="J195" s="158">
        <v>5.76</v>
      </c>
      <c r="K195" s="159">
        <v>5.47</v>
      </c>
      <c r="L195" s="159">
        <v>2.52</v>
      </c>
      <c r="M195" s="159">
        <v>2.95</v>
      </c>
      <c r="N195" s="160">
        <v>0.28199999999999997</v>
      </c>
      <c r="O195" s="158">
        <v>0.221</v>
      </c>
      <c r="P195" s="159">
        <v>0.20599999999999999</v>
      </c>
      <c r="Q195" s="159">
        <v>0.157</v>
      </c>
      <c r="R195" s="159">
        <v>4.8800000000000003E-2</v>
      </c>
      <c r="S195" s="160">
        <v>1.4500000000000001E-2</v>
      </c>
      <c r="T195" s="158">
        <v>5.54</v>
      </c>
      <c r="U195" s="159">
        <v>5.27</v>
      </c>
      <c r="V195" s="159">
        <v>2.37</v>
      </c>
      <c r="W195" s="159">
        <v>2.9</v>
      </c>
      <c r="X195" s="160">
        <v>0.26800000000000002</v>
      </c>
      <c r="Y195" s="161">
        <v>2.88</v>
      </c>
      <c r="Z195" s="160">
        <v>0.55000000000000004</v>
      </c>
      <c r="AA195" s="162">
        <v>2.33</v>
      </c>
      <c r="AB195" s="162">
        <v>0</v>
      </c>
      <c r="AC195" s="67">
        <f t="shared" si="8"/>
        <v>0</v>
      </c>
      <c r="AD195" s="163" t="s">
        <v>1600</v>
      </c>
      <c r="AE195" s="25" t="s">
        <v>1584</v>
      </c>
      <c r="AI195" s="786"/>
    </row>
    <row r="196" spans="1:35" s="25" customFormat="1" ht="12.75" customHeight="1" outlineLevel="1">
      <c r="A196" s="151" t="s">
        <v>526</v>
      </c>
      <c r="B196" s="152" t="s">
        <v>1596</v>
      </c>
      <c r="C196" s="153" t="s">
        <v>1581</v>
      </c>
      <c r="D196" s="152" t="s">
        <v>1582</v>
      </c>
      <c r="E196" s="154">
        <v>1269</v>
      </c>
      <c r="F196" s="155" t="s">
        <v>202</v>
      </c>
      <c r="G196" s="156">
        <v>4070</v>
      </c>
      <c r="H196" s="157">
        <v>1630</v>
      </c>
      <c r="I196" s="157">
        <v>2430</v>
      </c>
      <c r="J196" s="158">
        <v>10.5</v>
      </c>
      <c r="K196" s="159">
        <v>10.3</v>
      </c>
      <c r="L196" s="159">
        <v>3.93</v>
      </c>
      <c r="M196" s="159">
        <v>6.32</v>
      </c>
      <c r="N196" s="160">
        <v>0.28199999999999997</v>
      </c>
      <c r="O196" s="158">
        <v>0.24199999999999999</v>
      </c>
      <c r="P196" s="159">
        <v>0.22700000000000001</v>
      </c>
      <c r="Q196" s="159">
        <v>0.183</v>
      </c>
      <c r="R196" s="159">
        <v>4.3900000000000002E-2</v>
      </c>
      <c r="S196" s="160">
        <v>1.4500000000000001E-2</v>
      </c>
      <c r="T196" s="158">
        <v>10.3</v>
      </c>
      <c r="U196" s="159">
        <v>10</v>
      </c>
      <c r="V196" s="159">
        <v>3.75</v>
      </c>
      <c r="W196" s="159">
        <v>6.28</v>
      </c>
      <c r="X196" s="160">
        <v>0.26800000000000002</v>
      </c>
      <c r="Y196" s="161">
        <v>3.24</v>
      </c>
      <c r="Z196" s="160">
        <v>0.90700000000000003</v>
      </c>
      <c r="AA196" s="162">
        <v>2.33</v>
      </c>
      <c r="AB196" s="162">
        <v>0</v>
      </c>
      <c r="AC196" s="67">
        <f t="shared" si="8"/>
        <v>0</v>
      </c>
      <c r="AD196" s="163" t="s">
        <v>1597</v>
      </c>
      <c r="AE196" s="25" t="s">
        <v>1584</v>
      </c>
      <c r="AI196" s="786"/>
    </row>
    <row r="197" spans="1:35" s="25" customFormat="1" ht="12.75" customHeight="1" outlineLevel="1">
      <c r="A197" s="151" t="s">
        <v>1604</v>
      </c>
      <c r="B197" s="152" t="s">
        <v>1599</v>
      </c>
      <c r="C197" s="153" t="s">
        <v>1581</v>
      </c>
      <c r="D197" s="152" t="s">
        <v>1582</v>
      </c>
      <c r="E197" s="154">
        <v>1256</v>
      </c>
      <c r="F197" s="155" t="s">
        <v>202</v>
      </c>
      <c r="G197" s="156">
        <v>3420</v>
      </c>
      <c r="H197" s="157">
        <v>983</v>
      </c>
      <c r="I197" s="157">
        <v>2430</v>
      </c>
      <c r="J197" s="158">
        <v>5.76</v>
      </c>
      <c r="K197" s="159">
        <v>5.47</v>
      </c>
      <c r="L197" s="159">
        <v>2.52</v>
      </c>
      <c r="M197" s="159">
        <v>2.95</v>
      </c>
      <c r="N197" s="160">
        <v>0.28199999999999997</v>
      </c>
      <c r="O197" s="158">
        <v>0.221</v>
      </c>
      <c r="P197" s="159">
        <v>0.20599999999999999</v>
      </c>
      <c r="Q197" s="159">
        <v>0.157</v>
      </c>
      <c r="R197" s="159">
        <v>4.8800000000000003E-2</v>
      </c>
      <c r="S197" s="160">
        <v>1.4500000000000001E-2</v>
      </c>
      <c r="T197" s="158">
        <v>5.54</v>
      </c>
      <c r="U197" s="159">
        <v>5.27</v>
      </c>
      <c r="V197" s="159">
        <v>2.37</v>
      </c>
      <c r="W197" s="159">
        <v>2.9</v>
      </c>
      <c r="X197" s="160">
        <v>0.26800000000000002</v>
      </c>
      <c r="Y197" s="161">
        <v>2.88</v>
      </c>
      <c r="Z197" s="160">
        <v>0.55000000000000004</v>
      </c>
      <c r="AA197" s="162">
        <v>2.33</v>
      </c>
      <c r="AB197" s="162">
        <v>0</v>
      </c>
      <c r="AC197" s="67">
        <f t="shared" si="8"/>
        <v>0</v>
      </c>
      <c r="AD197" s="163" t="s">
        <v>1600</v>
      </c>
      <c r="AE197" s="25" t="s">
        <v>1584</v>
      </c>
      <c r="AI197" s="786"/>
    </row>
    <row r="198" spans="1:35" s="25" customFormat="1" ht="12.75" customHeight="1" outlineLevel="1">
      <c r="A198" s="151" t="s">
        <v>1605</v>
      </c>
      <c r="B198" s="152" t="s">
        <v>1596</v>
      </c>
      <c r="C198" s="153" t="s">
        <v>1581</v>
      </c>
      <c r="D198" s="152" t="s">
        <v>1582</v>
      </c>
      <c r="E198" s="154">
        <v>1269</v>
      </c>
      <c r="F198" s="155" t="s">
        <v>202</v>
      </c>
      <c r="G198" s="156">
        <v>4070</v>
      </c>
      <c r="H198" s="157">
        <v>1630</v>
      </c>
      <c r="I198" s="157">
        <v>2430</v>
      </c>
      <c r="J198" s="158">
        <v>10.5</v>
      </c>
      <c r="K198" s="159">
        <v>10.3</v>
      </c>
      <c r="L198" s="159">
        <v>3.93</v>
      </c>
      <c r="M198" s="159">
        <v>6.32</v>
      </c>
      <c r="N198" s="160">
        <v>0.28199999999999997</v>
      </c>
      <c r="O198" s="158">
        <v>0.24199999999999999</v>
      </c>
      <c r="P198" s="159">
        <v>0.22700000000000001</v>
      </c>
      <c r="Q198" s="159">
        <v>0.183</v>
      </c>
      <c r="R198" s="159">
        <v>4.3900000000000002E-2</v>
      </c>
      <c r="S198" s="160">
        <v>1.4500000000000001E-2</v>
      </c>
      <c r="T198" s="158">
        <v>10.3</v>
      </c>
      <c r="U198" s="159">
        <v>10</v>
      </c>
      <c r="V198" s="159">
        <v>3.75</v>
      </c>
      <c r="W198" s="159">
        <v>6.28</v>
      </c>
      <c r="X198" s="160">
        <v>0.26800000000000002</v>
      </c>
      <c r="Y198" s="161">
        <v>3.24</v>
      </c>
      <c r="Z198" s="160">
        <v>0.90700000000000003</v>
      </c>
      <c r="AA198" s="162">
        <v>2.33</v>
      </c>
      <c r="AB198" s="162">
        <v>0</v>
      </c>
      <c r="AC198" s="67">
        <f t="shared" si="8"/>
        <v>0</v>
      </c>
      <c r="AD198" s="163" t="s">
        <v>1597</v>
      </c>
      <c r="AE198" s="25" t="s">
        <v>1584</v>
      </c>
      <c r="AI198" s="786"/>
    </row>
    <row r="199" spans="1:35" s="25" customFormat="1" ht="12.75" customHeight="1" outlineLevel="1">
      <c r="A199" s="151" t="s">
        <v>1606</v>
      </c>
      <c r="B199" s="152" t="s">
        <v>1599</v>
      </c>
      <c r="C199" s="153" t="s">
        <v>1581</v>
      </c>
      <c r="D199" s="152" t="s">
        <v>1582</v>
      </c>
      <c r="E199" s="154">
        <v>1256</v>
      </c>
      <c r="F199" s="155" t="s">
        <v>202</v>
      </c>
      <c r="G199" s="156">
        <v>3420</v>
      </c>
      <c r="H199" s="157">
        <v>983</v>
      </c>
      <c r="I199" s="157">
        <v>2430</v>
      </c>
      <c r="J199" s="158">
        <v>5.76</v>
      </c>
      <c r="K199" s="159">
        <v>5.47</v>
      </c>
      <c r="L199" s="159">
        <v>2.52</v>
      </c>
      <c r="M199" s="159">
        <v>2.95</v>
      </c>
      <c r="N199" s="160">
        <v>0.28199999999999997</v>
      </c>
      <c r="O199" s="158">
        <v>0.221</v>
      </c>
      <c r="P199" s="159">
        <v>0.20599999999999999</v>
      </c>
      <c r="Q199" s="159">
        <v>0.157</v>
      </c>
      <c r="R199" s="159">
        <v>4.8800000000000003E-2</v>
      </c>
      <c r="S199" s="160">
        <v>1.4500000000000001E-2</v>
      </c>
      <c r="T199" s="158">
        <v>5.54</v>
      </c>
      <c r="U199" s="159">
        <v>5.27</v>
      </c>
      <c r="V199" s="159">
        <v>2.37</v>
      </c>
      <c r="W199" s="159">
        <v>2.9</v>
      </c>
      <c r="X199" s="160">
        <v>0.26800000000000002</v>
      </c>
      <c r="Y199" s="161">
        <v>2.88</v>
      </c>
      <c r="Z199" s="160">
        <v>0.55000000000000004</v>
      </c>
      <c r="AA199" s="162">
        <v>2.33</v>
      </c>
      <c r="AB199" s="162">
        <v>0</v>
      </c>
      <c r="AC199" s="67">
        <f t="shared" si="8"/>
        <v>0</v>
      </c>
      <c r="AD199" s="163" t="s">
        <v>1600</v>
      </c>
      <c r="AE199" s="25" t="s">
        <v>1584</v>
      </c>
      <c r="AI199" s="786"/>
    </row>
    <row r="200" spans="1:35" s="25" customFormat="1">
      <c r="A200" s="93" t="s">
        <v>1607</v>
      </c>
      <c r="B200" s="83" t="s">
        <v>1608</v>
      </c>
      <c r="C200" s="82" t="s">
        <v>1609</v>
      </c>
      <c r="D200" s="83" t="s">
        <v>1610</v>
      </c>
      <c r="E200" s="117">
        <v>1100</v>
      </c>
      <c r="F200" s="85" t="s">
        <v>202</v>
      </c>
      <c r="G200" s="132">
        <v>8110</v>
      </c>
      <c r="H200" s="133">
        <v>4870</v>
      </c>
      <c r="I200" s="133">
        <v>3240</v>
      </c>
      <c r="J200" s="129">
        <v>25.5</v>
      </c>
      <c r="K200" s="130">
        <v>25.3</v>
      </c>
      <c r="L200" s="130">
        <v>17.100000000000001</v>
      </c>
      <c r="M200" s="130">
        <v>8.14</v>
      </c>
      <c r="N200" s="126">
        <v>0.23799999999999999</v>
      </c>
      <c r="O200" s="129">
        <v>0.82599999999999996</v>
      </c>
      <c r="P200" s="130">
        <v>0.81299999999999994</v>
      </c>
      <c r="Q200" s="130">
        <v>0.81299999999999994</v>
      </c>
      <c r="R200" s="130">
        <v>0</v>
      </c>
      <c r="S200" s="126">
        <v>1.3100000000000001E-2</v>
      </c>
      <c r="T200" s="129">
        <v>24.7</v>
      </c>
      <c r="U200" s="130">
        <v>24.5</v>
      </c>
      <c r="V200" s="130">
        <v>16.3</v>
      </c>
      <c r="W200" s="130">
        <v>8.14</v>
      </c>
      <c r="X200" s="126">
        <v>0.22500000000000001</v>
      </c>
      <c r="Y200" s="124">
        <v>5.84</v>
      </c>
      <c r="Z200" s="125">
        <v>2.74</v>
      </c>
      <c r="AA200" s="125">
        <v>3.1</v>
      </c>
      <c r="AB200" s="125">
        <v>0</v>
      </c>
      <c r="AC200" s="67">
        <f t="shared" si="8"/>
        <v>0</v>
      </c>
      <c r="AD200" s="120" t="s">
        <v>1611</v>
      </c>
      <c r="AE200" s="25" t="s">
        <v>1612</v>
      </c>
      <c r="AF200" s="774">
        <v>5.15</v>
      </c>
      <c r="AG200" s="775">
        <v>2</v>
      </c>
      <c r="AH200" s="775">
        <v>3.14</v>
      </c>
      <c r="AI200" s="786">
        <f t="shared" si="6"/>
        <v>0.11815068493150677</v>
      </c>
    </row>
    <row r="201" spans="1:35" s="25" customFormat="1">
      <c r="A201" s="93" t="s">
        <v>1613</v>
      </c>
      <c r="B201" s="83" t="s">
        <v>1614</v>
      </c>
      <c r="C201" s="82" t="s">
        <v>1615</v>
      </c>
      <c r="D201" s="83" t="s">
        <v>1616</v>
      </c>
      <c r="E201" s="117">
        <v>1000</v>
      </c>
      <c r="F201" s="85" t="s">
        <v>202</v>
      </c>
      <c r="G201" s="132">
        <v>7880</v>
      </c>
      <c r="H201" s="133">
        <v>5070</v>
      </c>
      <c r="I201" s="133">
        <v>2810</v>
      </c>
      <c r="J201" s="129">
        <v>23.6</v>
      </c>
      <c r="K201" s="130">
        <v>23.4</v>
      </c>
      <c r="L201" s="130">
        <v>11.5</v>
      </c>
      <c r="M201" s="130">
        <v>11.9</v>
      </c>
      <c r="N201" s="126">
        <v>0.221</v>
      </c>
      <c r="O201" s="129">
        <v>0.42099999999999999</v>
      </c>
      <c r="P201" s="130">
        <v>0.41</v>
      </c>
      <c r="Q201" s="130">
        <v>0.41</v>
      </c>
      <c r="R201" s="130">
        <v>0</v>
      </c>
      <c r="S201" s="126">
        <v>1.09E-2</v>
      </c>
      <c r="T201" s="129">
        <v>23.2</v>
      </c>
      <c r="U201" s="130">
        <v>22.9</v>
      </c>
      <c r="V201" s="130">
        <v>11</v>
      </c>
      <c r="W201" s="130">
        <v>11.9</v>
      </c>
      <c r="X201" s="126">
        <v>0.21</v>
      </c>
      <c r="Y201" s="124">
        <v>5.19</v>
      </c>
      <c r="Z201" s="125">
        <v>2.52</v>
      </c>
      <c r="AA201" s="125">
        <v>2.67</v>
      </c>
      <c r="AB201" s="125">
        <v>0</v>
      </c>
      <c r="AC201" s="67">
        <f t="shared" si="8"/>
        <v>0</v>
      </c>
      <c r="AD201" s="120" t="s">
        <v>1617</v>
      </c>
      <c r="AE201" s="25" t="s">
        <v>1618</v>
      </c>
      <c r="AF201" s="774">
        <v>5.54</v>
      </c>
      <c r="AG201" s="775">
        <v>2.52</v>
      </c>
      <c r="AH201" s="775">
        <v>3.02</v>
      </c>
      <c r="AI201" s="786">
        <f t="shared" si="6"/>
        <v>-6.743737957610782E-2</v>
      </c>
    </row>
    <row r="202" spans="1:35" s="25" customFormat="1">
      <c r="A202" s="93" t="s">
        <v>1619</v>
      </c>
      <c r="B202" s="83" t="s">
        <v>1620</v>
      </c>
      <c r="C202" s="82" t="s">
        <v>1621</v>
      </c>
      <c r="D202" s="83" t="s">
        <v>1622</v>
      </c>
      <c r="E202" s="117">
        <v>650</v>
      </c>
      <c r="F202" s="85" t="s">
        <v>202</v>
      </c>
      <c r="G202" s="132">
        <v>3460</v>
      </c>
      <c r="H202" s="133">
        <v>3250</v>
      </c>
      <c r="I202" s="164">
        <v>207</v>
      </c>
      <c r="J202" s="129">
        <v>20.7</v>
      </c>
      <c r="K202" s="130">
        <v>20.6</v>
      </c>
      <c r="L202" s="130">
        <v>15.9</v>
      </c>
      <c r="M202" s="130">
        <v>4.6100000000000003</v>
      </c>
      <c r="N202" s="126">
        <v>0.185</v>
      </c>
      <c r="O202" s="129">
        <v>13</v>
      </c>
      <c r="P202" s="130">
        <v>13</v>
      </c>
      <c r="Q202" s="130">
        <v>8.3800000000000008</v>
      </c>
      <c r="R202" s="130">
        <v>4.6100000000000003</v>
      </c>
      <c r="S202" s="126">
        <v>1.26E-2</v>
      </c>
      <c r="T202" s="129">
        <v>7.74</v>
      </c>
      <c r="U202" s="130">
        <v>7.56</v>
      </c>
      <c r="V202" s="130">
        <v>7.56</v>
      </c>
      <c r="W202" s="130">
        <v>0</v>
      </c>
      <c r="X202" s="126">
        <v>0.17299999999999999</v>
      </c>
      <c r="Y202" s="124">
        <v>1.67</v>
      </c>
      <c r="Z202" s="125">
        <v>1.62</v>
      </c>
      <c r="AA202" s="131">
        <v>5.8599999999999999E-2</v>
      </c>
      <c r="AB202" s="131">
        <v>0.40400000000000003</v>
      </c>
      <c r="AC202" s="67">
        <f t="shared" si="8"/>
        <v>1.4813333333333334</v>
      </c>
      <c r="AD202" s="120" t="s">
        <v>1623</v>
      </c>
      <c r="AE202" s="25" t="s">
        <v>1624</v>
      </c>
      <c r="AF202" s="774">
        <v>1.03</v>
      </c>
      <c r="AG202" s="775">
        <v>1</v>
      </c>
      <c r="AH202" s="770">
        <v>3.1300000000000001E-2</v>
      </c>
      <c r="AI202" s="786">
        <f t="shared" si="6"/>
        <v>0.3832335329341317</v>
      </c>
    </row>
    <row r="203" spans="1:35" s="25" customFormat="1">
      <c r="A203" s="93" t="s">
        <v>716</v>
      </c>
      <c r="B203" s="83" t="s">
        <v>1625</v>
      </c>
      <c r="C203" s="82" t="s">
        <v>1587</v>
      </c>
      <c r="D203" s="83" t="s">
        <v>1588</v>
      </c>
      <c r="E203" s="117">
        <v>920</v>
      </c>
      <c r="F203" s="85" t="s">
        <v>202</v>
      </c>
      <c r="G203" s="132">
        <v>6930</v>
      </c>
      <c r="H203" s="133">
        <v>4120</v>
      </c>
      <c r="I203" s="133">
        <v>2810</v>
      </c>
      <c r="J203" s="129">
        <v>25.7</v>
      </c>
      <c r="K203" s="130">
        <v>25.4</v>
      </c>
      <c r="L203" s="130">
        <v>13.6</v>
      </c>
      <c r="M203" s="130">
        <v>11.8</v>
      </c>
      <c r="N203" s="126">
        <v>0.221</v>
      </c>
      <c r="O203" s="129">
        <v>0.85499999999999998</v>
      </c>
      <c r="P203" s="130">
        <v>0.84399999999999997</v>
      </c>
      <c r="Q203" s="130">
        <v>0.84399999999999997</v>
      </c>
      <c r="R203" s="130">
        <v>0</v>
      </c>
      <c r="S203" s="126">
        <v>1.09E-2</v>
      </c>
      <c r="T203" s="129">
        <v>24.8</v>
      </c>
      <c r="U203" s="130">
        <v>24.6</v>
      </c>
      <c r="V203" s="130">
        <v>12.8</v>
      </c>
      <c r="W203" s="130">
        <v>11.8</v>
      </c>
      <c r="X203" s="126">
        <v>0.21</v>
      </c>
      <c r="Y203" s="124">
        <v>5.42</v>
      </c>
      <c r="Z203" s="125">
        <v>2.75</v>
      </c>
      <c r="AA203" s="125">
        <v>2.67</v>
      </c>
      <c r="AB203" s="125">
        <v>0</v>
      </c>
      <c r="AC203" s="67">
        <f t="shared" si="8"/>
        <v>0</v>
      </c>
      <c r="AD203" s="120" t="s">
        <v>1626</v>
      </c>
      <c r="AE203" s="25" t="s">
        <v>1590</v>
      </c>
      <c r="AF203" s="774">
        <v>4.9800000000000004</v>
      </c>
      <c r="AG203" s="775">
        <v>2.42</v>
      </c>
      <c r="AH203" s="770">
        <v>2.57</v>
      </c>
      <c r="AI203" s="786">
        <f t="shared" si="6"/>
        <v>8.1180811808117995E-2</v>
      </c>
    </row>
    <row r="204" spans="1:35" s="25" customFormat="1">
      <c r="A204" s="93" t="s">
        <v>528</v>
      </c>
      <c r="B204" s="83" t="s">
        <v>1627</v>
      </c>
      <c r="C204" s="82" t="s">
        <v>1587</v>
      </c>
      <c r="D204" s="83" t="s">
        <v>1588</v>
      </c>
      <c r="E204" s="117">
        <v>920</v>
      </c>
      <c r="F204" s="85" t="s">
        <v>202</v>
      </c>
      <c r="G204" s="132">
        <v>7100</v>
      </c>
      <c r="H204" s="133">
        <v>4290</v>
      </c>
      <c r="I204" s="133">
        <v>2810</v>
      </c>
      <c r="J204" s="129">
        <v>26.5</v>
      </c>
      <c r="K204" s="130">
        <v>26.3</v>
      </c>
      <c r="L204" s="130">
        <v>14.5</v>
      </c>
      <c r="M204" s="130">
        <v>11.8</v>
      </c>
      <c r="N204" s="126">
        <v>0.221</v>
      </c>
      <c r="O204" s="129">
        <v>0.54400000000000004</v>
      </c>
      <c r="P204" s="130">
        <v>0.53300000000000003</v>
      </c>
      <c r="Q204" s="130">
        <v>0.53300000000000003</v>
      </c>
      <c r="R204" s="130">
        <v>0</v>
      </c>
      <c r="S204" s="126">
        <v>1.09E-2</v>
      </c>
      <c r="T204" s="129">
        <v>26</v>
      </c>
      <c r="U204" s="130">
        <v>25.7</v>
      </c>
      <c r="V204" s="130">
        <v>13.9</v>
      </c>
      <c r="W204" s="130">
        <v>11.8</v>
      </c>
      <c r="X204" s="126">
        <v>0.21</v>
      </c>
      <c r="Y204" s="124">
        <v>5.63</v>
      </c>
      <c r="Z204" s="125">
        <v>2.96</v>
      </c>
      <c r="AA204" s="125">
        <v>2.67</v>
      </c>
      <c r="AB204" s="125">
        <v>0</v>
      </c>
      <c r="AC204" s="67">
        <f t="shared" si="8"/>
        <v>0</v>
      </c>
      <c r="AD204" s="120" t="s">
        <v>1628</v>
      </c>
      <c r="AE204" s="25" t="s">
        <v>1590</v>
      </c>
      <c r="AF204" s="774">
        <v>5.36</v>
      </c>
      <c r="AG204" s="775">
        <v>2.8</v>
      </c>
      <c r="AH204" s="770">
        <v>2.57</v>
      </c>
      <c r="AI204" s="786">
        <f t="shared" ref="AI204:AI270" si="9">(Y204-AF204)/Y204</f>
        <v>4.7957371225577188E-2</v>
      </c>
    </row>
    <row r="205" spans="1:35" s="25" customFormat="1" ht="14.25">
      <c r="A205" s="113" t="s">
        <v>1629</v>
      </c>
      <c r="B205" s="76" t="s">
        <v>1630</v>
      </c>
      <c r="C205" s="75"/>
      <c r="D205" s="76"/>
      <c r="E205" s="77" t="s">
        <v>1023</v>
      </c>
      <c r="F205" s="78"/>
      <c r="G205" s="78"/>
      <c r="H205" s="78"/>
      <c r="I205" s="78"/>
      <c r="J205" s="114"/>
      <c r="K205" s="80"/>
      <c r="L205" s="80"/>
      <c r="M205" s="80"/>
      <c r="N205" s="115"/>
      <c r="O205" s="114"/>
      <c r="P205" s="80"/>
      <c r="Q205" s="80"/>
      <c r="R205" s="80"/>
      <c r="S205" s="115"/>
      <c r="T205" s="79"/>
      <c r="U205" s="80"/>
      <c r="V205" s="80"/>
      <c r="W205" s="80"/>
      <c r="X205" s="80"/>
      <c r="Y205" s="79"/>
      <c r="Z205" s="80"/>
      <c r="AA205" s="80"/>
      <c r="AB205" s="80"/>
      <c r="AC205" s="80"/>
      <c r="AD205" s="116" t="s">
        <v>1631</v>
      </c>
      <c r="AI205" s="786"/>
    </row>
    <row r="206" spans="1:35" s="69" customFormat="1">
      <c r="A206" s="99" t="s">
        <v>1632</v>
      </c>
      <c r="B206" s="61" t="s">
        <v>1633</v>
      </c>
      <c r="C206" s="138" t="s">
        <v>1634</v>
      </c>
      <c r="D206" s="61" t="s">
        <v>1635</v>
      </c>
      <c r="E206" s="84">
        <v>150</v>
      </c>
      <c r="F206" s="63" t="s">
        <v>202</v>
      </c>
      <c r="G206" s="94">
        <v>73600</v>
      </c>
      <c r="H206" s="95">
        <v>73200</v>
      </c>
      <c r="I206" s="87">
        <v>409</v>
      </c>
      <c r="J206" s="134">
        <v>242</v>
      </c>
      <c r="K206" s="119">
        <v>241</v>
      </c>
      <c r="L206" s="119">
        <v>241</v>
      </c>
      <c r="M206" s="119">
        <v>0</v>
      </c>
      <c r="N206" s="62">
        <v>0.187</v>
      </c>
      <c r="O206" s="134">
        <v>12.1</v>
      </c>
      <c r="P206" s="119">
        <v>12.1</v>
      </c>
      <c r="Q206" s="119">
        <v>12.1</v>
      </c>
      <c r="R206" s="119">
        <v>0</v>
      </c>
      <c r="S206" s="62">
        <v>1.18E-2</v>
      </c>
      <c r="T206" s="118">
        <v>230</v>
      </c>
      <c r="U206" s="119">
        <v>229</v>
      </c>
      <c r="V206" s="119">
        <v>229</v>
      </c>
      <c r="W206" s="119">
        <v>0</v>
      </c>
      <c r="X206" s="62">
        <v>0.17499999999999999</v>
      </c>
      <c r="Y206" s="88">
        <v>48.8</v>
      </c>
      <c r="Z206" s="62">
        <v>48.5</v>
      </c>
      <c r="AA206" s="90">
        <v>0.28899999999999998</v>
      </c>
      <c r="AB206" s="90">
        <v>0</v>
      </c>
      <c r="AC206" s="67">
        <f t="shared" si="8"/>
        <v>0</v>
      </c>
      <c r="AD206" s="72" t="s">
        <v>1636</v>
      </c>
      <c r="AE206" s="69" t="s">
        <v>1637</v>
      </c>
      <c r="AF206" s="769">
        <v>46.8</v>
      </c>
      <c r="AG206" s="773">
        <v>46.5</v>
      </c>
      <c r="AH206" s="770">
        <v>0.28999999999999998</v>
      </c>
      <c r="AI206" s="786">
        <f t="shared" si="9"/>
        <v>4.0983606557377053E-2</v>
      </c>
    </row>
    <row r="207" spans="1:35" s="25" customFormat="1">
      <c r="A207" s="93" t="s">
        <v>590</v>
      </c>
      <c r="B207" s="83" t="s">
        <v>1638</v>
      </c>
      <c r="C207" s="82" t="s">
        <v>1054</v>
      </c>
      <c r="D207" s="83" t="s">
        <v>1055</v>
      </c>
      <c r="E207" s="85" t="s">
        <v>1639</v>
      </c>
      <c r="F207" s="85" t="s">
        <v>202</v>
      </c>
      <c r="G207" s="121">
        <v>1460</v>
      </c>
      <c r="H207" s="122">
        <v>1420</v>
      </c>
      <c r="I207" s="123">
        <v>42.7</v>
      </c>
      <c r="J207" s="129">
        <v>4.62</v>
      </c>
      <c r="K207" s="125">
        <v>4.57</v>
      </c>
      <c r="L207" s="125">
        <v>4.57</v>
      </c>
      <c r="M207" s="125">
        <v>0</v>
      </c>
      <c r="N207" s="126">
        <v>5.5E-2</v>
      </c>
      <c r="O207" s="129">
        <v>0.16400000000000001</v>
      </c>
      <c r="P207" s="125">
        <v>0.16200000000000001</v>
      </c>
      <c r="Q207" s="125">
        <v>0.16200000000000001</v>
      </c>
      <c r="R207" s="125">
        <v>0</v>
      </c>
      <c r="S207" s="126">
        <v>2.1900000000000001E-3</v>
      </c>
      <c r="T207" s="129">
        <v>4.46</v>
      </c>
      <c r="U207" s="130">
        <v>4.41</v>
      </c>
      <c r="V207" s="130">
        <v>4.41</v>
      </c>
      <c r="W207" s="130">
        <v>0</v>
      </c>
      <c r="X207" s="126">
        <v>5.2900000000000003E-2</v>
      </c>
      <c r="Y207" s="127">
        <v>1.06</v>
      </c>
      <c r="Z207" s="126">
        <v>1.04</v>
      </c>
      <c r="AA207" s="131">
        <v>1.2800000000000001E-2</v>
      </c>
      <c r="AB207" s="131">
        <v>0</v>
      </c>
      <c r="AC207" s="67">
        <f t="shared" si="8"/>
        <v>0</v>
      </c>
      <c r="AD207" s="120" t="s">
        <v>1640</v>
      </c>
      <c r="AE207" s="25" t="s">
        <v>1641</v>
      </c>
      <c r="AF207" s="769">
        <v>0.90200000000000002</v>
      </c>
      <c r="AG207" s="773">
        <v>0.89800000000000002</v>
      </c>
      <c r="AH207" s="770">
        <v>3.48E-3</v>
      </c>
      <c r="AI207" s="786">
        <f t="shared" si="9"/>
        <v>0.14905660377358493</v>
      </c>
    </row>
    <row r="208" spans="1:35" s="25" customFormat="1">
      <c r="A208" s="93" t="s">
        <v>1642</v>
      </c>
      <c r="B208" s="83" t="s">
        <v>1643</v>
      </c>
      <c r="C208" s="82" t="s">
        <v>1054</v>
      </c>
      <c r="D208" s="83" t="s">
        <v>1055</v>
      </c>
      <c r="E208" s="85" t="s">
        <v>1639</v>
      </c>
      <c r="F208" s="85" t="s">
        <v>202</v>
      </c>
      <c r="G208" s="121">
        <v>690</v>
      </c>
      <c r="H208" s="122">
        <v>647</v>
      </c>
      <c r="I208" s="123">
        <v>42.7</v>
      </c>
      <c r="J208" s="129">
        <v>1.61</v>
      </c>
      <c r="K208" s="125">
        <v>1.56</v>
      </c>
      <c r="L208" s="125">
        <v>1.56</v>
      </c>
      <c r="M208" s="125">
        <v>0</v>
      </c>
      <c r="N208" s="126">
        <v>5.5E-2</v>
      </c>
      <c r="O208" s="129">
        <v>4.9799999999999997E-2</v>
      </c>
      <c r="P208" s="125">
        <v>4.7600000000000003E-2</v>
      </c>
      <c r="Q208" s="125">
        <v>4.7600000000000003E-2</v>
      </c>
      <c r="R208" s="125">
        <v>0</v>
      </c>
      <c r="S208" s="126">
        <v>2.1900000000000001E-3</v>
      </c>
      <c r="T208" s="124">
        <v>1.56</v>
      </c>
      <c r="U208" s="125">
        <v>1.51</v>
      </c>
      <c r="V208" s="125">
        <v>1.51</v>
      </c>
      <c r="W208" s="125">
        <v>0</v>
      </c>
      <c r="X208" s="126">
        <v>5.2900000000000003E-2</v>
      </c>
      <c r="Y208" s="127">
        <v>0.39600000000000002</v>
      </c>
      <c r="Z208" s="126">
        <v>0.38300000000000001</v>
      </c>
      <c r="AA208" s="131">
        <v>1.2800000000000001E-2</v>
      </c>
      <c r="AB208" s="131">
        <v>0</v>
      </c>
      <c r="AC208" s="67">
        <f t="shared" si="8"/>
        <v>0</v>
      </c>
      <c r="AD208" s="120" t="s">
        <v>1644</v>
      </c>
      <c r="AE208" s="25" t="s">
        <v>1641</v>
      </c>
      <c r="AF208" s="769">
        <v>0.23400000000000001</v>
      </c>
      <c r="AG208" s="773">
        <v>0.23200000000000001</v>
      </c>
      <c r="AH208" s="770">
        <v>2.5500000000000002E-3</v>
      </c>
      <c r="AI208" s="786">
        <f t="shared" si="9"/>
        <v>0.40909090909090906</v>
      </c>
    </row>
    <row r="209" spans="1:35" s="69" customFormat="1">
      <c r="A209" s="99" t="s">
        <v>1645</v>
      </c>
      <c r="B209" s="61" t="s">
        <v>1646</v>
      </c>
      <c r="C209" s="138" t="s">
        <v>1647</v>
      </c>
      <c r="D209" s="61" t="s">
        <v>1648</v>
      </c>
      <c r="E209" s="63">
        <v>30</v>
      </c>
      <c r="F209" s="63" t="s">
        <v>202</v>
      </c>
      <c r="G209" s="64">
        <v>2950</v>
      </c>
      <c r="H209" s="65">
        <v>2570</v>
      </c>
      <c r="I209" s="87">
        <v>372</v>
      </c>
      <c r="J209" s="134">
        <v>11.3</v>
      </c>
      <c r="K209" s="135">
        <v>11.1</v>
      </c>
      <c r="L209" s="135">
        <v>6.12</v>
      </c>
      <c r="M209" s="135">
        <v>5</v>
      </c>
      <c r="N209" s="62">
        <v>0.16800000000000001</v>
      </c>
      <c r="O209" s="134">
        <v>5.97</v>
      </c>
      <c r="P209" s="135">
        <v>5.96</v>
      </c>
      <c r="Q209" s="135">
        <v>0.95599999999999996</v>
      </c>
      <c r="R209" s="135">
        <v>5</v>
      </c>
      <c r="S209" s="62">
        <v>1.24E-2</v>
      </c>
      <c r="T209" s="134">
        <v>5.32</v>
      </c>
      <c r="U209" s="135">
        <v>5.17</v>
      </c>
      <c r="V209" s="135">
        <v>5.17</v>
      </c>
      <c r="W209" s="135">
        <v>0</v>
      </c>
      <c r="X209" s="62">
        <v>0.155</v>
      </c>
      <c r="Y209" s="118">
        <v>1.01</v>
      </c>
      <c r="Z209" s="119">
        <v>0.77700000000000002</v>
      </c>
      <c r="AA209" s="90">
        <v>0.23499999999999999</v>
      </c>
      <c r="AB209" s="90">
        <v>0.44</v>
      </c>
      <c r="AC209" s="67">
        <f t="shared" si="8"/>
        <v>1.6133333333333333</v>
      </c>
      <c r="AD209" s="72" t="s">
        <v>1649</v>
      </c>
      <c r="AE209" s="69" t="s">
        <v>1650</v>
      </c>
      <c r="AF209" s="774">
        <v>0.97099999999999997</v>
      </c>
      <c r="AG209" s="775">
        <v>0.753</v>
      </c>
      <c r="AH209" s="770">
        <v>0.218</v>
      </c>
      <c r="AI209" s="786">
        <f t="shared" si="9"/>
        <v>3.8613861386138648E-2</v>
      </c>
    </row>
    <row r="210" spans="1:35" s="69" customFormat="1" ht="12.75" customHeight="1" outlineLevel="1">
      <c r="A210" s="101" t="s">
        <v>1651</v>
      </c>
      <c r="B210" s="102" t="s">
        <v>1652</v>
      </c>
      <c r="C210" s="103" t="s">
        <v>1647</v>
      </c>
      <c r="D210" s="102" t="s">
        <v>1648</v>
      </c>
      <c r="E210" s="105">
        <v>30</v>
      </c>
      <c r="F210" s="105" t="s">
        <v>202</v>
      </c>
      <c r="G210" s="106">
        <v>2880</v>
      </c>
      <c r="H210" s="107">
        <v>2510</v>
      </c>
      <c r="I210" s="165">
        <v>372</v>
      </c>
      <c r="J210" s="108">
        <v>11.1</v>
      </c>
      <c r="K210" s="109">
        <v>10.9</v>
      </c>
      <c r="L210" s="109">
        <v>5.92</v>
      </c>
      <c r="M210" s="109">
        <v>5</v>
      </c>
      <c r="N210" s="110">
        <v>0.16800000000000001</v>
      </c>
      <c r="O210" s="108">
        <v>5.9</v>
      </c>
      <c r="P210" s="109">
        <v>5.89</v>
      </c>
      <c r="Q210" s="109">
        <v>0.89300000000000002</v>
      </c>
      <c r="R210" s="109">
        <v>5</v>
      </c>
      <c r="S210" s="110">
        <v>1.24E-2</v>
      </c>
      <c r="T210" s="108">
        <v>5.18</v>
      </c>
      <c r="U210" s="109">
        <v>5.03</v>
      </c>
      <c r="V210" s="109">
        <v>5.03</v>
      </c>
      <c r="W210" s="109">
        <v>0</v>
      </c>
      <c r="X210" s="110">
        <v>0.155</v>
      </c>
      <c r="Y210" s="111">
        <v>0.98399999999999999</v>
      </c>
      <c r="Z210" s="112">
        <v>0.749</v>
      </c>
      <c r="AA210" s="166">
        <v>0.23499999999999999</v>
      </c>
      <c r="AB210" s="166">
        <v>0.44</v>
      </c>
      <c r="AC210" s="67">
        <f t="shared" si="8"/>
        <v>1.6133333333333333</v>
      </c>
      <c r="AD210" s="144" t="s">
        <v>1653</v>
      </c>
      <c r="AE210" s="69" t="s">
        <v>1650</v>
      </c>
      <c r="AI210" s="786"/>
    </row>
    <row r="211" spans="1:35" s="69" customFormat="1">
      <c r="A211" s="99" t="s">
        <v>1654</v>
      </c>
      <c r="B211" s="61" t="s">
        <v>1655</v>
      </c>
      <c r="C211" s="138" t="s">
        <v>1647</v>
      </c>
      <c r="D211" s="61" t="s">
        <v>1648</v>
      </c>
      <c r="E211" s="63">
        <v>30</v>
      </c>
      <c r="F211" s="63" t="s">
        <v>202</v>
      </c>
      <c r="G211" s="64">
        <v>3530</v>
      </c>
      <c r="H211" s="65">
        <v>3160</v>
      </c>
      <c r="I211" s="87">
        <v>372</v>
      </c>
      <c r="J211" s="134">
        <v>13</v>
      </c>
      <c r="K211" s="135">
        <v>12.8</v>
      </c>
      <c r="L211" s="135">
        <v>7.82</v>
      </c>
      <c r="M211" s="135">
        <v>5</v>
      </c>
      <c r="N211" s="62">
        <v>0.16800000000000001</v>
      </c>
      <c r="O211" s="134">
        <v>5.47</v>
      </c>
      <c r="P211" s="135">
        <v>5.46</v>
      </c>
      <c r="Q211" s="135">
        <v>0.45600000000000002</v>
      </c>
      <c r="R211" s="135">
        <v>5</v>
      </c>
      <c r="S211" s="62">
        <v>1.24E-2</v>
      </c>
      <c r="T211" s="134">
        <v>7.52</v>
      </c>
      <c r="U211" s="135">
        <v>7.36</v>
      </c>
      <c r="V211" s="135">
        <v>7.36</v>
      </c>
      <c r="W211" s="135">
        <v>0</v>
      </c>
      <c r="X211" s="62">
        <v>0.155</v>
      </c>
      <c r="Y211" s="118">
        <v>1.45</v>
      </c>
      <c r="Z211" s="119">
        <v>1.22</v>
      </c>
      <c r="AA211" s="90">
        <v>0.23499999999999999</v>
      </c>
      <c r="AB211" s="90">
        <v>0.44</v>
      </c>
      <c r="AC211" s="67">
        <f t="shared" si="8"/>
        <v>1.6133333333333333</v>
      </c>
      <c r="AD211" s="72" t="s">
        <v>1656</v>
      </c>
      <c r="AE211" s="69" t="s">
        <v>1650</v>
      </c>
      <c r="AF211" s="774">
        <v>1.4</v>
      </c>
      <c r="AG211" s="775">
        <v>1.18</v>
      </c>
      <c r="AH211" s="770">
        <v>0.218</v>
      </c>
      <c r="AI211" s="786">
        <f t="shared" si="9"/>
        <v>3.4482758620689689E-2</v>
      </c>
    </row>
    <row r="212" spans="1:35" s="69" customFormat="1" ht="12.75" customHeight="1" outlineLevel="1">
      <c r="A212" s="101" t="s">
        <v>1657</v>
      </c>
      <c r="B212" s="102" t="s">
        <v>1658</v>
      </c>
      <c r="C212" s="103" t="s">
        <v>1647</v>
      </c>
      <c r="D212" s="102" t="s">
        <v>1648</v>
      </c>
      <c r="E212" s="105">
        <v>30</v>
      </c>
      <c r="F212" s="105" t="s">
        <v>202</v>
      </c>
      <c r="G212" s="106">
        <v>3460</v>
      </c>
      <c r="H212" s="107">
        <v>3090</v>
      </c>
      <c r="I212" s="165">
        <v>372</v>
      </c>
      <c r="J212" s="108">
        <v>12.8</v>
      </c>
      <c r="K212" s="109">
        <v>12.6</v>
      </c>
      <c r="L212" s="109">
        <v>7.6</v>
      </c>
      <c r="M212" s="109">
        <v>5</v>
      </c>
      <c r="N212" s="110">
        <v>0.16800000000000001</v>
      </c>
      <c r="O212" s="108">
        <v>5.41</v>
      </c>
      <c r="P212" s="109">
        <v>5.4</v>
      </c>
      <c r="Q212" s="109">
        <v>0.39700000000000002</v>
      </c>
      <c r="R212" s="109">
        <v>5</v>
      </c>
      <c r="S212" s="110">
        <v>1.24E-2</v>
      </c>
      <c r="T212" s="108">
        <v>7.35</v>
      </c>
      <c r="U212" s="109">
        <v>7.2</v>
      </c>
      <c r="V212" s="109">
        <v>7.2</v>
      </c>
      <c r="W212" s="109">
        <v>0</v>
      </c>
      <c r="X212" s="110">
        <v>0.155</v>
      </c>
      <c r="Y212" s="111">
        <v>1.42</v>
      </c>
      <c r="Z212" s="112">
        <v>1.18</v>
      </c>
      <c r="AA212" s="166">
        <v>0.23499999999999999</v>
      </c>
      <c r="AB212" s="166">
        <v>0.44</v>
      </c>
      <c r="AC212" s="67">
        <f t="shared" si="8"/>
        <v>1.6133333333333333</v>
      </c>
      <c r="AD212" s="144" t="s">
        <v>1659</v>
      </c>
      <c r="AE212" s="69" t="s">
        <v>1650</v>
      </c>
      <c r="AI212" s="786"/>
    </row>
    <row r="213" spans="1:35" s="404" customFormat="1">
      <c r="A213" s="389" t="s">
        <v>130</v>
      </c>
      <c r="B213" s="390" t="s">
        <v>1660</v>
      </c>
      <c r="C213" s="391" t="s">
        <v>1661</v>
      </c>
      <c r="D213" s="390" t="s">
        <v>1662</v>
      </c>
      <c r="E213" s="392" t="s">
        <v>1663</v>
      </c>
      <c r="F213" s="392" t="s">
        <v>202</v>
      </c>
      <c r="G213" s="393">
        <v>1960</v>
      </c>
      <c r="H213" s="394">
        <v>1850</v>
      </c>
      <c r="I213" s="395">
        <v>116</v>
      </c>
      <c r="J213" s="396">
        <v>7.82</v>
      </c>
      <c r="K213" s="397">
        <v>7.67</v>
      </c>
      <c r="L213" s="397">
        <v>7.67</v>
      </c>
      <c r="M213" s="397">
        <v>0</v>
      </c>
      <c r="N213" s="398">
        <v>0.14399999999999999</v>
      </c>
      <c r="O213" s="396">
        <v>2.35</v>
      </c>
      <c r="P213" s="397">
        <v>2.34</v>
      </c>
      <c r="Q213" s="397">
        <v>2.34</v>
      </c>
      <c r="R213" s="397">
        <v>0</v>
      </c>
      <c r="S213" s="398">
        <v>1.0500000000000001E-2</v>
      </c>
      <c r="T213" s="396">
        <v>5.46</v>
      </c>
      <c r="U213" s="397">
        <v>5.33</v>
      </c>
      <c r="V213" s="397">
        <v>5.33</v>
      </c>
      <c r="W213" s="397">
        <v>0</v>
      </c>
      <c r="X213" s="398">
        <v>0.13300000000000001</v>
      </c>
      <c r="Y213" s="399">
        <v>1.1000000000000001</v>
      </c>
      <c r="Z213" s="400">
        <v>1.04</v>
      </c>
      <c r="AA213" s="401">
        <v>5.96E-2</v>
      </c>
      <c r="AB213" s="401">
        <v>0</v>
      </c>
      <c r="AC213" s="402">
        <f t="shared" si="8"/>
        <v>0</v>
      </c>
      <c r="AD213" s="403" t="s">
        <v>1664</v>
      </c>
      <c r="AE213" s="404" t="s">
        <v>1665</v>
      </c>
      <c r="AF213" s="781">
        <v>0.42499999999999999</v>
      </c>
      <c r="AG213" s="782">
        <v>0.42199999999999999</v>
      </c>
      <c r="AH213" s="767">
        <v>3.48E-3</v>
      </c>
      <c r="AI213" s="786">
        <f t="shared" si="9"/>
        <v>0.61363636363636365</v>
      </c>
    </row>
    <row r="214" spans="1:35" s="25" customFormat="1" ht="12.75" customHeight="1" outlineLevel="1">
      <c r="A214" s="151" t="s">
        <v>1666</v>
      </c>
      <c r="B214" s="152" t="s">
        <v>1667</v>
      </c>
      <c r="C214" s="153" t="s">
        <v>1661</v>
      </c>
      <c r="D214" s="152" t="s">
        <v>1662</v>
      </c>
      <c r="E214" s="155" t="s">
        <v>1663</v>
      </c>
      <c r="F214" s="155" t="s">
        <v>202</v>
      </c>
      <c r="G214" s="156">
        <v>1830</v>
      </c>
      <c r="H214" s="157">
        <v>1710</v>
      </c>
      <c r="I214" s="167">
        <v>116</v>
      </c>
      <c r="J214" s="158">
        <v>7.4</v>
      </c>
      <c r="K214" s="159">
        <v>7.26</v>
      </c>
      <c r="L214" s="159">
        <v>7.26</v>
      </c>
      <c r="M214" s="159">
        <v>0</v>
      </c>
      <c r="N214" s="160">
        <v>0.14399999999999999</v>
      </c>
      <c r="O214" s="158">
        <v>2.2799999999999998</v>
      </c>
      <c r="P214" s="159">
        <v>2.27</v>
      </c>
      <c r="Q214" s="159">
        <v>2.27</v>
      </c>
      <c r="R214" s="159">
        <v>0</v>
      </c>
      <c r="S214" s="160">
        <v>1.0500000000000001E-2</v>
      </c>
      <c r="T214" s="158">
        <v>5.13</v>
      </c>
      <c r="U214" s="159">
        <v>4.99</v>
      </c>
      <c r="V214" s="159">
        <v>4.99</v>
      </c>
      <c r="W214" s="159">
        <v>0</v>
      </c>
      <c r="X214" s="160">
        <v>0.13300000000000001</v>
      </c>
      <c r="Y214" s="161">
        <v>1.03</v>
      </c>
      <c r="Z214" s="162">
        <v>0.97</v>
      </c>
      <c r="AA214" s="168">
        <v>5.96E-2</v>
      </c>
      <c r="AB214" s="168">
        <v>0</v>
      </c>
      <c r="AC214" s="67">
        <f t="shared" si="8"/>
        <v>0</v>
      </c>
      <c r="AD214" s="163" t="s">
        <v>1668</v>
      </c>
      <c r="AE214" s="25" t="s">
        <v>1665</v>
      </c>
      <c r="AI214" s="786"/>
    </row>
    <row r="215" spans="1:35" s="25" customFormat="1" ht="12.75" customHeight="1" outlineLevel="1">
      <c r="A215" s="151" t="s">
        <v>1669</v>
      </c>
      <c r="B215" s="152" t="s">
        <v>1670</v>
      </c>
      <c r="C215" s="153" t="s">
        <v>1661</v>
      </c>
      <c r="D215" s="152" t="s">
        <v>1662</v>
      </c>
      <c r="E215" s="155" t="s">
        <v>1663</v>
      </c>
      <c r="F215" s="155" t="s">
        <v>202</v>
      </c>
      <c r="G215" s="156">
        <v>1700</v>
      </c>
      <c r="H215" s="157">
        <v>1580</v>
      </c>
      <c r="I215" s="167">
        <v>116</v>
      </c>
      <c r="J215" s="158">
        <v>6.12</v>
      </c>
      <c r="K215" s="159">
        <v>5.97</v>
      </c>
      <c r="L215" s="159">
        <v>5.97</v>
      </c>
      <c r="M215" s="159">
        <v>0</v>
      </c>
      <c r="N215" s="160">
        <v>0.14399999999999999</v>
      </c>
      <c r="O215" s="158">
        <v>2.4500000000000002</v>
      </c>
      <c r="P215" s="159">
        <v>2.44</v>
      </c>
      <c r="Q215" s="159">
        <v>2.44</v>
      </c>
      <c r="R215" s="159">
        <v>0</v>
      </c>
      <c r="S215" s="160">
        <v>1.0500000000000001E-2</v>
      </c>
      <c r="T215" s="158">
        <v>3.66</v>
      </c>
      <c r="U215" s="159">
        <v>3.53</v>
      </c>
      <c r="V215" s="159">
        <v>3.53</v>
      </c>
      <c r="W215" s="159">
        <v>0</v>
      </c>
      <c r="X215" s="160">
        <v>0.13300000000000001</v>
      </c>
      <c r="Y215" s="161">
        <v>0.89</v>
      </c>
      <c r="Z215" s="162">
        <v>0.83099999999999996</v>
      </c>
      <c r="AA215" s="168">
        <v>5.96E-2</v>
      </c>
      <c r="AB215" s="168">
        <v>0</v>
      </c>
      <c r="AC215" s="67">
        <f t="shared" si="8"/>
        <v>0</v>
      </c>
      <c r="AD215" s="163" t="s">
        <v>1671</v>
      </c>
      <c r="AE215" s="25" t="s">
        <v>1665</v>
      </c>
      <c r="AI215" s="786"/>
    </row>
    <row r="216" spans="1:35" s="25" customFormat="1" ht="12.75" customHeight="1" outlineLevel="1">
      <c r="A216" s="151" t="s">
        <v>1672</v>
      </c>
      <c r="B216" s="152" t="s">
        <v>1673</v>
      </c>
      <c r="C216" s="153" t="s">
        <v>1661</v>
      </c>
      <c r="D216" s="152" t="s">
        <v>1662</v>
      </c>
      <c r="E216" s="155">
        <v>35</v>
      </c>
      <c r="F216" s="155" t="s">
        <v>202</v>
      </c>
      <c r="G216" s="156">
        <v>2060</v>
      </c>
      <c r="H216" s="157">
        <v>1940</v>
      </c>
      <c r="I216" s="167">
        <v>116</v>
      </c>
      <c r="J216" s="158">
        <v>6.21</v>
      </c>
      <c r="K216" s="159">
        <v>6.07</v>
      </c>
      <c r="L216" s="159">
        <v>6.07</v>
      </c>
      <c r="M216" s="159">
        <v>0</v>
      </c>
      <c r="N216" s="160">
        <v>0.14399999999999999</v>
      </c>
      <c r="O216" s="158">
        <v>0.317</v>
      </c>
      <c r="P216" s="159">
        <v>0.30599999999999999</v>
      </c>
      <c r="Q216" s="159">
        <v>0.30599999999999999</v>
      </c>
      <c r="R216" s="159">
        <v>0</v>
      </c>
      <c r="S216" s="160">
        <v>1.0500000000000001E-2</v>
      </c>
      <c r="T216" s="158">
        <v>5.89</v>
      </c>
      <c r="U216" s="159">
        <v>5.76</v>
      </c>
      <c r="V216" s="159">
        <v>5.76</v>
      </c>
      <c r="W216" s="159">
        <v>0</v>
      </c>
      <c r="X216" s="160">
        <v>0.13300000000000001</v>
      </c>
      <c r="Y216" s="161">
        <v>1.1399999999999999</v>
      </c>
      <c r="Z216" s="162">
        <v>1.08</v>
      </c>
      <c r="AA216" s="168">
        <v>5.96E-2</v>
      </c>
      <c r="AB216" s="168">
        <v>0</v>
      </c>
      <c r="AC216" s="67">
        <f t="shared" si="8"/>
        <v>0</v>
      </c>
      <c r="AD216" s="163" t="s">
        <v>1674</v>
      </c>
      <c r="AE216" s="25" t="s">
        <v>1665</v>
      </c>
      <c r="AI216" s="786"/>
    </row>
    <row r="217" spans="1:35" s="25" customFormat="1">
      <c r="A217" s="93" t="s">
        <v>1675</v>
      </c>
      <c r="B217" s="83" t="s">
        <v>1676</v>
      </c>
      <c r="C217" s="82" t="s">
        <v>1677</v>
      </c>
      <c r="D217" s="83" t="s">
        <v>1678</v>
      </c>
      <c r="E217" s="85">
        <v>120</v>
      </c>
      <c r="F217" s="85" t="s">
        <v>202</v>
      </c>
      <c r="G217" s="132">
        <v>2170</v>
      </c>
      <c r="H217" s="133">
        <v>2000</v>
      </c>
      <c r="I217" s="133">
        <v>173</v>
      </c>
      <c r="J217" s="129">
        <v>14.2</v>
      </c>
      <c r="K217" s="130">
        <v>14</v>
      </c>
      <c r="L217" s="130">
        <v>8.86</v>
      </c>
      <c r="M217" s="130">
        <v>5.15</v>
      </c>
      <c r="N217" s="126">
        <v>0.16200000000000001</v>
      </c>
      <c r="O217" s="129">
        <v>7.94</v>
      </c>
      <c r="P217" s="130">
        <v>7.92</v>
      </c>
      <c r="Q217" s="130">
        <v>3.77</v>
      </c>
      <c r="R217" s="130">
        <v>4.1500000000000004</v>
      </c>
      <c r="S217" s="126">
        <v>1.24E-2</v>
      </c>
      <c r="T217" s="129">
        <v>6.24</v>
      </c>
      <c r="U217" s="130">
        <v>6.09</v>
      </c>
      <c r="V217" s="130">
        <v>5.09</v>
      </c>
      <c r="W217" s="130">
        <v>1</v>
      </c>
      <c r="X217" s="126">
        <v>0.14899999999999999</v>
      </c>
      <c r="Y217" s="124">
        <v>1.1100000000000001</v>
      </c>
      <c r="Z217" s="125">
        <v>1.07</v>
      </c>
      <c r="AA217" s="126">
        <v>3.9199999999999999E-2</v>
      </c>
      <c r="AB217" s="126">
        <v>0.496</v>
      </c>
      <c r="AC217" s="67">
        <f t="shared" si="8"/>
        <v>1.8186666666666667</v>
      </c>
      <c r="AD217" s="120" t="s">
        <v>1679</v>
      </c>
      <c r="AE217" s="25" t="s">
        <v>1680</v>
      </c>
      <c r="AF217" s="774">
        <v>0.67300000000000004</v>
      </c>
      <c r="AG217" s="775">
        <v>0.59499999999999997</v>
      </c>
      <c r="AH217" s="773">
        <v>7.7700000000000005E-2</v>
      </c>
      <c r="AI217" s="786">
        <f t="shared" si="9"/>
        <v>0.39369369369369372</v>
      </c>
    </row>
    <row r="218" spans="1:35" s="25" customFormat="1">
      <c r="A218" s="93" t="s">
        <v>1681</v>
      </c>
      <c r="B218" s="83" t="s">
        <v>1682</v>
      </c>
      <c r="C218" s="82" t="s">
        <v>1683</v>
      </c>
      <c r="D218" s="83" t="s">
        <v>1684</v>
      </c>
      <c r="E218" s="85">
        <v>40</v>
      </c>
      <c r="F218" s="85" t="s">
        <v>202</v>
      </c>
      <c r="G218" s="132">
        <v>10000</v>
      </c>
      <c r="H218" s="133">
        <v>6740</v>
      </c>
      <c r="I218" s="133">
        <v>3280</v>
      </c>
      <c r="J218" s="142">
        <v>34.1</v>
      </c>
      <c r="K218" s="141">
        <v>33.9</v>
      </c>
      <c r="L218" s="141">
        <v>26.9</v>
      </c>
      <c r="M218" s="141">
        <v>7</v>
      </c>
      <c r="N218" s="126">
        <v>0.214</v>
      </c>
      <c r="O218" s="142">
        <v>0.59799999999999998</v>
      </c>
      <c r="P218" s="141">
        <v>0.58599999999999997</v>
      </c>
      <c r="Q218" s="141">
        <v>0.58599999999999997</v>
      </c>
      <c r="R218" s="141">
        <v>0</v>
      </c>
      <c r="S218" s="126">
        <v>1.15E-2</v>
      </c>
      <c r="T218" s="142">
        <v>33.5</v>
      </c>
      <c r="U218" s="141">
        <v>33.299999999999997</v>
      </c>
      <c r="V218" s="141">
        <v>26.3</v>
      </c>
      <c r="W218" s="141">
        <v>7</v>
      </c>
      <c r="X218" s="126">
        <v>0.20300000000000001</v>
      </c>
      <c r="Y218" s="124">
        <v>7.27</v>
      </c>
      <c r="Z218" s="125">
        <v>4.17</v>
      </c>
      <c r="AA218" s="125">
        <v>3.09</v>
      </c>
      <c r="AB218" s="125">
        <v>0</v>
      </c>
      <c r="AC218" s="67">
        <f t="shared" si="8"/>
        <v>0</v>
      </c>
      <c r="AD218" s="120" t="s">
        <v>1685</v>
      </c>
      <c r="AE218" s="25" t="s">
        <v>1686</v>
      </c>
      <c r="AF218" s="774">
        <v>4.09</v>
      </c>
      <c r="AG218" s="775">
        <v>3.43</v>
      </c>
      <c r="AH218" s="775">
        <v>0.65800000000000003</v>
      </c>
      <c r="AI218" s="786">
        <f t="shared" si="9"/>
        <v>0.43741403026134801</v>
      </c>
    </row>
    <row r="219" spans="1:35" s="404" customFormat="1">
      <c r="A219" s="389" t="s">
        <v>118</v>
      </c>
      <c r="B219" s="390" t="s">
        <v>1687</v>
      </c>
      <c r="C219" s="391" t="s">
        <v>1683</v>
      </c>
      <c r="D219" s="390" t="s">
        <v>1684</v>
      </c>
      <c r="E219" s="392" t="s">
        <v>1688</v>
      </c>
      <c r="F219" s="392" t="s">
        <v>202</v>
      </c>
      <c r="G219" s="393">
        <v>9800</v>
      </c>
      <c r="H219" s="394">
        <v>6520</v>
      </c>
      <c r="I219" s="394">
        <v>3280</v>
      </c>
      <c r="J219" s="408">
        <v>30.5</v>
      </c>
      <c r="K219" s="402">
        <v>30.3</v>
      </c>
      <c r="L219" s="402">
        <v>21.1</v>
      </c>
      <c r="M219" s="402">
        <v>9.2200000000000006</v>
      </c>
      <c r="N219" s="398">
        <v>0.214</v>
      </c>
      <c r="O219" s="408">
        <v>0.51300000000000001</v>
      </c>
      <c r="P219" s="402">
        <v>0.502</v>
      </c>
      <c r="Q219" s="402">
        <v>0.502</v>
      </c>
      <c r="R219" s="402">
        <v>0</v>
      </c>
      <c r="S219" s="398">
        <v>1.15E-2</v>
      </c>
      <c r="T219" s="408">
        <v>30</v>
      </c>
      <c r="U219" s="402">
        <v>29.8</v>
      </c>
      <c r="V219" s="402">
        <v>20.6</v>
      </c>
      <c r="W219" s="402">
        <v>9.2200000000000006</v>
      </c>
      <c r="X219" s="398">
        <v>0.20300000000000001</v>
      </c>
      <c r="Y219" s="399">
        <v>7.6</v>
      </c>
      <c r="Z219" s="400">
        <v>4.51</v>
      </c>
      <c r="AA219" s="400">
        <v>3.09</v>
      </c>
      <c r="AB219" s="400">
        <v>0</v>
      </c>
      <c r="AC219" s="402">
        <f t="shared" si="8"/>
        <v>0</v>
      </c>
      <c r="AD219" s="403" t="s">
        <v>1689</v>
      </c>
      <c r="AE219" s="404" t="s">
        <v>1686</v>
      </c>
      <c r="AF219" s="781">
        <v>2.7</v>
      </c>
      <c r="AG219" s="782">
        <v>1.99</v>
      </c>
      <c r="AH219" s="782">
        <v>0.70599999999999996</v>
      </c>
      <c r="AI219" s="786">
        <f t="shared" si="9"/>
        <v>0.64473684210526316</v>
      </c>
    </row>
    <row r="220" spans="1:35" s="25" customFormat="1">
      <c r="A220" s="93" t="s">
        <v>1690</v>
      </c>
      <c r="B220" s="83" t="s">
        <v>1691</v>
      </c>
      <c r="C220" s="82" t="s">
        <v>1683</v>
      </c>
      <c r="D220" s="83" t="s">
        <v>1684</v>
      </c>
      <c r="E220" s="85">
        <v>16.8</v>
      </c>
      <c r="F220" s="85" t="s">
        <v>202</v>
      </c>
      <c r="G220" s="64">
        <v>8790</v>
      </c>
      <c r="H220" s="65">
        <v>5510</v>
      </c>
      <c r="I220" s="65">
        <v>3280</v>
      </c>
      <c r="J220" s="70">
        <v>27.4</v>
      </c>
      <c r="K220" s="71">
        <v>27.2</v>
      </c>
      <c r="L220" s="71">
        <v>18</v>
      </c>
      <c r="M220" s="71">
        <v>9.18</v>
      </c>
      <c r="N220" s="62">
        <v>0.214</v>
      </c>
      <c r="O220" s="70">
        <v>0.72899999999999998</v>
      </c>
      <c r="P220" s="71">
        <v>0.71799999999999997</v>
      </c>
      <c r="Q220" s="71">
        <v>0.69399999999999995</v>
      </c>
      <c r="R220" s="71">
        <v>2.4E-2</v>
      </c>
      <c r="S220" s="62">
        <v>1.15E-2</v>
      </c>
      <c r="T220" s="70">
        <v>26.7</v>
      </c>
      <c r="U220" s="71">
        <v>26.5</v>
      </c>
      <c r="V220" s="71">
        <v>17.3</v>
      </c>
      <c r="W220" s="71">
        <v>9.15</v>
      </c>
      <c r="X220" s="62">
        <v>0.20300000000000001</v>
      </c>
      <c r="Y220" s="118">
        <v>6.95</v>
      </c>
      <c r="Z220" s="119">
        <v>3.86</v>
      </c>
      <c r="AA220" s="119">
        <v>3.09</v>
      </c>
      <c r="AB220" s="119">
        <v>0</v>
      </c>
      <c r="AC220" s="67">
        <f t="shared" si="8"/>
        <v>0</v>
      </c>
      <c r="AD220" s="120" t="s">
        <v>1692</v>
      </c>
      <c r="AE220" s="25" t="s">
        <v>1686</v>
      </c>
      <c r="AI220" s="786"/>
    </row>
    <row r="221" spans="1:35" s="25" customFormat="1">
      <c r="A221" s="93" t="s">
        <v>1693</v>
      </c>
      <c r="B221" s="83" t="s">
        <v>1694</v>
      </c>
      <c r="C221" s="82" t="s">
        <v>1683</v>
      </c>
      <c r="D221" s="83" t="s">
        <v>1684</v>
      </c>
      <c r="E221" s="85">
        <v>26</v>
      </c>
      <c r="F221" s="85" t="s">
        <v>202</v>
      </c>
      <c r="G221" s="64"/>
      <c r="H221" s="65"/>
      <c r="I221" s="65"/>
      <c r="J221" s="70"/>
      <c r="K221" s="71"/>
      <c r="L221" s="71"/>
      <c r="M221" s="71"/>
      <c r="N221" s="62"/>
      <c r="O221" s="70"/>
      <c r="P221" s="71"/>
      <c r="Q221" s="71"/>
      <c r="R221" s="71"/>
      <c r="S221" s="62"/>
      <c r="T221" s="70"/>
      <c r="U221" s="71"/>
      <c r="V221" s="71"/>
      <c r="W221" s="71"/>
      <c r="X221" s="62"/>
      <c r="Y221" s="118"/>
      <c r="Z221" s="119"/>
      <c r="AA221" s="119"/>
      <c r="AB221" s="119"/>
      <c r="AC221" s="67">
        <f t="shared" si="8"/>
        <v>0</v>
      </c>
      <c r="AD221" s="120" t="s">
        <v>1695</v>
      </c>
      <c r="AE221" s="25" t="s">
        <v>1686</v>
      </c>
      <c r="AI221" s="786"/>
    </row>
    <row r="222" spans="1:35" s="25" customFormat="1">
      <c r="A222" s="93" t="s">
        <v>1696</v>
      </c>
      <c r="B222" s="83" t="s">
        <v>1697</v>
      </c>
      <c r="C222" s="82" t="s">
        <v>1683</v>
      </c>
      <c r="D222" s="83" t="s">
        <v>1684</v>
      </c>
      <c r="E222" s="85">
        <v>27</v>
      </c>
      <c r="F222" s="85" t="s">
        <v>202</v>
      </c>
      <c r="G222" s="64"/>
      <c r="H222" s="65"/>
      <c r="I222" s="65"/>
      <c r="J222" s="70"/>
      <c r="K222" s="71"/>
      <c r="L222" s="71"/>
      <c r="M222" s="71"/>
      <c r="N222" s="62"/>
      <c r="O222" s="70"/>
      <c r="P222" s="71"/>
      <c r="Q222" s="71"/>
      <c r="R222" s="71"/>
      <c r="S222" s="62"/>
      <c r="T222" s="70"/>
      <c r="U222" s="71"/>
      <c r="V222" s="71"/>
      <c r="W222" s="71"/>
      <c r="X222" s="62"/>
      <c r="Y222" s="118"/>
      <c r="Z222" s="119"/>
      <c r="AA222" s="119"/>
      <c r="AB222" s="119"/>
      <c r="AC222" s="67">
        <f t="shared" si="8"/>
        <v>0</v>
      </c>
      <c r="AD222" s="120" t="s">
        <v>1698</v>
      </c>
      <c r="AE222" s="25" t="s">
        <v>1686</v>
      </c>
      <c r="AI222" s="786"/>
    </row>
    <row r="223" spans="1:35" s="25" customFormat="1">
      <c r="A223" s="93" t="s">
        <v>110</v>
      </c>
      <c r="B223" s="83" t="s">
        <v>1699</v>
      </c>
      <c r="C223" s="82" t="s">
        <v>1683</v>
      </c>
      <c r="D223" s="83" t="s">
        <v>1684</v>
      </c>
      <c r="E223" s="85" t="s">
        <v>1700</v>
      </c>
      <c r="F223" s="85" t="s">
        <v>202</v>
      </c>
      <c r="G223" s="64">
        <v>19700</v>
      </c>
      <c r="H223" s="65">
        <v>16500</v>
      </c>
      <c r="I223" s="65">
        <v>3280</v>
      </c>
      <c r="J223" s="70">
        <v>30.1</v>
      </c>
      <c r="K223" s="71">
        <v>29.8</v>
      </c>
      <c r="L223" s="71">
        <v>20.6</v>
      </c>
      <c r="M223" s="71">
        <v>9.2200000000000006</v>
      </c>
      <c r="N223" s="62">
        <v>0.214</v>
      </c>
      <c r="O223" s="70">
        <v>0.65500000000000003</v>
      </c>
      <c r="P223" s="71">
        <v>0.64300000000000002</v>
      </c>
      <c r="Q223" s="71">
        <v>0.64300000000000002</v>
      </c>
      <c r="R223" s="71">
        <v>0</v>
      </c>
      <c r="S223" s="62">
        <v>1.15E-2</v>
      </c>
      <c r="T223" s="134">
        <v>29.4</v>
      </c>
      <c r="U223" s="135">
        <v>29.2</v>
      </c>
      <c r="V223" s="135">
        <v>20</v>
      </c>
      <c r="W223" s="135">
        <v>9.2200000000000006</v>
      </c>
      <c r="X223" s="62">
        <v>0.20300000000000001</v>
      </c>
      <c r="Y223" s="134">
        <v>14.4</v>
      </c>
      <c r="Z223" s="135">
        <v>11.3</v>
      </c>
      <c r="AA223" s="119">
        <v>3.09</v>
      </c>
      <c r="AB223" s="119">
        <v>0</v>
      </c>
      <c r="AC223" s="67">
        <f t="shared" si="8"/>
        <v>0</v>
      </c>
      <c r="AD223" s="120" t="s">
        <v>1701</v>
      </c>
      <c r="AE223" s="25" t="s">
        <v>1686</v>
      </c>
      <c r="AF223" s="783">
        <v>2.46</v>
      </c>
      <c r="AG223" s="784">
        <v>1.75</v>
      </c>
      <c r="AH223" s="782">
        <v>0.70599999999999996</v>
      </c>
      <c r="AI223" s="786">
        <f t="shared" si="9"/>
        <v>0.82916666666666672</v>
      </c>
    </row>
    <row r="224" spans="1:35" s="25" customFormat="1">
      <c r="A224" s="93" t="s">
        <v>1702</v>
      </c>
      <c r="B224" s="83" t="s">
        <v>1703</v>
      </c>
      <c r="C224" s="82" t="s">
        <v>1683</v>
      </c>
      <c r="D224" s="83" t="s">
        <v>1684</v>
      </c>
      <c r="E224" s="85">
        <v>34.299999999999997</v>
      </c>
      <c r="F224" s="85" t="s">
        <v>202</v>
      </c>
      <c r="G224" s="64">
        <v>8880</v>
      </c>
      <c r="H224" s="65">
        <v>5600</v>
      </c>
      <c r="I224" s="65">
        <v>3280</v>
      </c>
      <c r="J224" s="70">
        <v>26.9</v>
      </c>
      <c r="K224" s="71">
        <v>26.7</v>
      </c>
      <c r="L224" s="71">
        <v>17.3</v>
      </c>
      <c r="M224" s="71">
        <v>9.4</v>
      </c>
      <c r="N224" s="62">
        <v>0.214</v>
      </c>
      <c r="O224" s="70">
        <v>1.37</v>
      </c>
      <c r="P224" s="71">
        <v>1.36</v>
      </c>
      <c r="Q224" s="71">
        <v>1.36</v>
      </c>
      <c r="R224" s="71">
        <v>1.6900000000000001E-3</v>
      </c>
      <c r="S224" s="62">
        <v>1.15E-2</v>
      </c>
      <c r="T224" s="134">
        <v>25.5</v>
      </c>
      <c r="U224" s="135">
        <v>25.3</v>
      </c>
      <c r="V224" s="135">
        <v>15.9</v>
      </c>
      <c r="W224" s="135">
        <v>9.4</v>
      </c>
      <c r="X224" s="62">
        <v>0.20300000000000001</v>
      </c>
      <c r="Y224" s="134">
        <v>6.96</v>
      </c>
      <c r="Z224" s="135">
        <v>3.87</v>
      </c>
      <c r="AA224" s="119">
        <v>3.09</v>
      </c>
      <c r="AB224" s="119">
        <v>0</v>
      </c>
      <c r="AC224" s="67">
        <f t="shared" si="8"/>
        <v>0</v>
      </c>
      <c r="AD224" s="120" t="s">
        <v>1704</v>
      </c>
      <c r="AE224" s="25" t="s">
        <v>1686</v>
      </c>
      <c r="AI224" s="786"/>
    </row>
    <row r="225" spans="1:35" s="25" customFormat="1">
      <c r="A225" s="93" t="s">
        <v>702</v>
      </c>
      <c r="B225" s="83" t="s">
        <v>1705</v>
      </c>
      <c r="C225" s="82" t="s">
        <v>1706</v>
      </c>
      <c r="D225" s="83" t="s">
        <v>1707</v>
      </c>
      <c r="E225" s="85">
        <v>30</v>
      </c>
      <c r="F225" s="85" t="s">
        <v>202</v>
      </c>
      <c r="G225" s="64">
        <v>10400</v>
      </c>
      <c r="H225" s="65">
        <v>7500</v>
      </c>
      <c r="I225" s="65">
        <v>2930</v>
      </c>
      <c r="J225" s="70">
        <v>31</v>
      </c>
      <c r="K225" s="71">
        <v>30.3</v>
      </c>
      <c r="L225" s="71">
        <v>21.7</v>
      </c>
      <c r="M225" s="71">
        <v>8.58</v>
      </c>
      <c r="N225" s="119">
        <v>0.7</v>
      </c>
      <c r="O225" s="70">
        <v>0.82399999999999995</v>
      </c>
      <c r="P225" s="71">
        <v>0.80700000000000005</v>
      </c>
      <c r="Q225" s="71">
        <v>0.80700000000000005</v>
      </c>
      <c r="R225" s="71">
        <v>0</v>
      </c>
      <c r="S225" s="119">
        <v>1.7399999999999999E-2</v>
      </c>
      <c r="T225" s="70">
        <v>30.1</v>
      </c>
      <c r="U225" s="71">
        <v>29.5</v>
      </c>
      <c r="V225" s="71">
        <v>20.9</v>
      </c>
      <c r="W225" s="71">
        <v>8.58</v>
      </c>
      <c r="X225" s="119">
        <v>0.68300000000000005</v>
      </c>
      <c r="Y225" s="118">
        <v>7.45</v>
      </c>
      <c r="Z225" s="119">
        <v>4.8</v>
      </c>
      <c r="AA225" s="119">
        <v>2.65</v>
      </c>
      <c r="AB225" s="119">
        <v>0</v>
      </c>
      <c r="AC225" s="67">
        <f t="shared" si="8"/>
        <v>0</v>
      </c>
      <c r="AD225" s="120" t="s">
        <v>1708</v>
      </c>
      <c r="AE225" s="25" t="s">
        <v>1709</v>
      </c>
      <c r="AF225" s="781">
        <v>2.76</v>
      </c>
      <c r="AG225" s="782">
        <v>1.89</v>
      </c>
      <c r="AH225" s="782">
        <v>0.872</v>
      </c>
      <c r="AI225" s="786">
        <f t="shared" si="9"/>
        <v>0.62953020134228188</v>
      </c>
    </row>
    <row r="226" spans="1:35" s="25" customFormat="1">
      <c r="A226" s="93" t="s">
        <v>1710</v>
      </c>
      <c r="B226" s="83" t="s">
        <v>1711</v>
      </c>
      <c r="C226" s="82" t="s">
        <v>1706</v>
      </c>
      <c r="D226" s="83" t="s">
        <v>1707</v>
      </c>
      <c r="E226" s="85">
        <v>30</v>
      </c>
      <c r="F226" s="85" t="s">
        <v>202</v>
      </c>
      <c r="G226" s="64">
        <v>9830</v>
      </c>
      <c r="H226" s="65">
        <v>6910</v>
      </c>
      <c r="I226" s="65">
        <v>2930</v>
      </c>
      <c r="J226" s="70">
        <v>29</v>
      </c>
      <c r="K226" s="71">
        <v>28.3</v>
      </c>
      <c r="L226" s="71">
        <v>20.3</v>
      </c>
      <c r="M226" s="71">
        <v>7.98</v>
      </c>
      <c r="N226" s="119">
        <v>0.7</v>
      </c>
      <c r="O226" s="70">
        <v>1.03</v>
      </c>
      <c r="P226" s="71">
        <v>1.02</v>
      </c>
      <c r="Q226" s="71">
        <v>0.97299999999999998</v>
      </c>
      <c r="R226" s="71">
        <v>4.3999999999999997E-2</v>
      </c>
      <c r="S226" s="119">
        <v>1.7399999999999999E-2</v>
      </c>
      <c r="T226" s="70">
        <v>28</v>
      </c>
      <c r="U226" s="71">
        <v>27.3</v>
      </c>
      <c r="V226" s="71">
        <v>19.3</v>
      </c>
      <c r="W226" s="71">
        <v>7.94</v>
      </c>
      <c r="X226" s="119">
        <v>0.68300000000000005</v>
      </c>
      <c r="Y226" s="118">
        <v>7.08</v>
      </c>
      <c r="Z226" s="119">
        <v>4.43</v>
      </c>
      <c r="AA226" s="119">
        <v>2.65</v>
      </c>
      <c r="AB226" s="119">
        <v>0</v>
      </c>
      <c r="AC226" s="67">
        <f t="shared" si="8"/>
        <v>0</v>
      </c>
      <c r="AD226" s="120" t="s">
        <v>1712</v>
      </c>
      <c r="AE226" s="25" t="s">
        <v>1709</v>
      </c>
      <c r="AI226" s="786"/>
    </row>
    <row r="227" spans="1:35" s="25" customFormat="1">
      <c r="A227" s="93" t="s">
        <v>503</v>
      </c>
      <c r="B227" s="83" t="s">
        <v>183</v>
      </c>
      <c r="C227" s="82" t="s">
        <v>1054</v>
      </c>
      <c r="D227" s="83" t="s">
        <v>1055</v>
      </c>
      <c r="E227" s="85" t="s">
        <v>1713</v>
      </c>
      <c r="F227" s="85" t="s">
        <v>202</v>
      </c>
      <c r="G227" s="132">
        <v>1760</v>
      </c>
      <c r="H227" s="133">
        <v>1720</v>
      </c>
      <c r="I227" s="123">
        <v>42.7</v>
      </c>
      <c r="J227" s="129">
        <v>7.05</v>
      </c>
      <c r="K227" s="130">
        <v>6.99</v>
      </c>
      <c r="L227" s="130">
        <v>6.99</v>
      </c>
      <c r="M227" s="130">
        <v>0</v>
      </c>
      <c r="N227" s="126">
        <v>5.5E-2</v>
      </c>
      <c r="O227" s="129">
        <v>1.88</v>
      </c>
      <c r="P227" s="130">
        <v>1.88</v>
      </c>
      <c r="Q227" s="130">
        <v>1.88</v>
      </c>
      <c r="R227" s="130">
        <v>0</v>
      </c>
      <c r="S227" s="126">
        <v>2.1900000000000001E-3</v>
      </c>
      <c r="T227" s="129">
        <v>5.17</v>
      </c>
      <c r="U227" s="130">
        <v>5.12</v>
      </c>
      <c r="V227" s="130">
        <v>5.12</v>
      </c>
      <c r="W227" s="130">
        <v>0</v>
      </c>
      <c r="X227" s="126">
        <v>5.2900000000000003E-2</v>
      </c>
      <c r="Y227" s="124">
        <v>1.19</v>
      </c>
      <c r="Z227" s="125">
        <v>1.18</v>
      </c>
      <c r="AA227" s="131">
        <v>1.2800000000000001E-2</v>
      </c>
      <c r="AB227" s="131">
        <v>0</v>
      </c>
      <c r="AC227" s="67">
        <f t="shared" si="8"/>
        <v>0</v>
      </c>
      <c r="AD227" s="120" t="s">
        <v>1714</v>
      </c>
      <c r="AE227" s="25" t="s">
        <v>1641</v>
      </c>
      <c r="AF227" s="774">
        <v>1</v>
      </c>
      <c r="AG227" s="775">
        <v>0.997</v>
      </c>
      <c r="AH227" s="770">
        <v>3.48E-3</v>
      </c>
      <c r="AI227" s="786">
        <f t="shared" si="9"/>
        <v>0.15966386554621845</v>
      </c>
    </row>
    <row r="228" spans="1:35" s="69" customFormat="1">
      <c r="A228" s="99" t="s">
        <v>1715</v>
      </c>
      <c r="B228" s="61" t="s">
        <v>1716</v>
      </c>
      <c r="C228" s="138" t="s">
        <v>1054</v>
      </c>
      <c r="D228" s="61" t="s">
        <v>1055</v>
      </c>
      <c r="E228" s="63">
        <v>120</v>
      </c>
      <c r="F228" s="63" t="s">
        <v>202</v>
      </c>
      <c r="G228" s="64">
        <v>1020</v>
      </c>
      <c r="H228" s="65">
        <v>979</v>
      </c>
      <c r="I228" s="87">
        <v>42.7</v>
      </c>
      <c r="J228" s="134">
        <v>3.35</v>
      </c>
      <c r="K228" s="135">
        <v>3.3</v>
      </c>
      <c r="L228" s="135">
        <v>3.3</v>
      </c>
      <c r="M228" s="135">
        <v>0</v>
      </c>
      <c r="N228" s="62">
        <v>5.5E-2</v>
      </c>
      <c r="O228" s="134">
        <v>0.20599999999999999</v>
      </c>
      <c r="P228" s="135">
        <v>0.20300000000000001</v>
      </c>
      <c r="Q228" s="135">
        <v>0.20300000000000001</v>
      </c>
      <c r="R228" s="135">
        <v>0</v>
      </c>
      <c r="S228" s="62">
        <v>2.1900000000000001E-3</v>
      </c>
      <c r="T228" s="134">
        <v>3.15</v>
      </c>
      <c r="U228" s="135">
        <v>3.1</v>
      </c>
      <c r="V228" s="135">
        <v>3.1</v>
      </c>
      <c r="W228" s="135">
        <v>0</v>
      </c>
      <c r="X228" s="62">
        <v>5.2900000000000003E-2</v>
      </c>
      <c r="Y228" s="118">
        <v>0.70699999999999996</v>
      </c>
      <c r="Z228" s="119">
        <v>0.69399999999999995</v>
      </c>
      <c r="AA228" s="90">
        <v>1.2800000000000001E-2</v>
      </c>
      <c r="AB228" s="90">
        <v>0</v>
      </c>
      <c r="AC228" s="67">
        <f t="shared" si="8"/>
        <v>0</v>
      </c>
      <c r="AD228" s="72" t="s">
        <v>1717</v>
      </c>
      <c r="AE228" s="69" t="s">
        <v>1641</v>
      </c>
      <c r="AI228" s="786"/>
    </row>
    <row r="229" spans="1:35" s="69" customFormat="1" ht="12.75" customHeight="1" outlineLevel="1">
      <c r="A229" s="101" t="s">
        <v>1718</v>
      </c>
      <c r="B229" s="102" t="s">
        <v>1719</v>
      </c>
      <c r="C229" s="103" t="s">
        <v>1054</v>
      </c>
      <c r="D229" s="102" t="s">
        <v>1055</v>
      </c>
      <c r="E229" s="105" t="s">
        <v>1720</v>
      </c>
      <c r="F229" s="105" t="s">
        <v>202</v>
      </c>
      <c r="G229" s="106">
        <v>499</v>
      </c>
      <c r="H229" s="107">
        <v>457</v>
      </c>
      <c r="I229" s="165">
        <v>42.7</v>
      </c>
      <c r="J229" s="108">
        <v>2</v>
      </c>
      <c r="K229" s="109">
        <v>1.95</v>
      </c>
      <c r="L229" s="109">
        <v>1.95</v>
      </c>
      <c r="M229" s="109">
        <v>0</v>
      </c>
      <c r="N229" s="110">
        <v>5.5E-2</v>
      </c>
      <c r="O229" s="108">
        <v>0.26200000000000001</v>
      </c>
      <c r="P229" s="109">
        <v>0.26</v>
      </c>
      <c r="Q229" s="109">
        <v>0.26</v>
      </c>
      <c r="R229" s="109">
        <v>0</v>
      </c>
      <c r="S229" s="110">
        <v>2.1900000000000001E-3</v>
      </c>
      <c r="T229" s="108">
        <v>1.74</v>
      </c>
      <c r="U229" s="109">
        <v>1.69</v>
      </c>
      <c r="V229" s="109">
        <v>1.69</v>
      </c>
      <c r="W229" s="109">
        <v>0</v>
      </c>
      <c r="X229" s="110">
        <v>5.2900000000000003E-2</v>
      </c>
      <c r="Y229" s="111">
        <v>0.16</v>
      </c>
      <c r="Z229" s="112">
        <v>0.14799999999999999</v>
      </c>
      <c r="AA229" s="166">
        <v>1.2800000000000001E-2</v>
      </c>
      <c r="AB229" s="166">
        <v>0</v>
      </c>
      <c r="AC229" s="67">
        <f t="shared" si="8"/>
        <v>0</v>
      </c>
      <c r="AD229" s="144" t="s">
        <v>1721</v>
      </c>
      <c r="AE229" s="69" t="s">
        <v>1641</v>
      </c>
      <c r="AF229" s="774">
        <v>0.15</v>
      </c>
      <c r="AG229" s="775">
        <v>0.14799999999999999</v>
      </c>
      <c r="AH229" s="770">
        <v>2.8400000000000001E-3</v>
      </c>
      <c r="AI229" s="786">
        <f t="shared" si="9"/>
        <v>6.2500000000000056E-2</v>
      </c>
    </row>
    <row r="230" spans="1:35" s="25" customFormat="1">
      <c r="A230" s="93" t="s">
        <v>1722</v>
      </c>
      <c r="B230" s="83" t="s">
        <v>1723</v>
      </c>
      <c r="C230" s="82" t="s">
        <v>1054</v>
      </c>
      <c r="D230" s="83" t="s">
        <v>1055</v>
      </c>
      <c r="E230" s="85" t="s">
        <v>1720</v>
      </c>
      <c r="F230" s="85" t="s">
        <v>202</v>
      </c>
      <c r="G230" s="64">
        <v>435</v>
      </c>
      <c r="H230" s="65">
        <v>392</v>
      </c>
      <c r="I230" s="87">
        <v>42.7</v>
      </c>
      <c r="J230" s="134">
        <v>1.8</v>
      </c>
      <c r="K230" s="135">
        <v>1.74</v>
      </c>
      <c r="L230" s="135">
        <v>1.74</v>
      </c>
      <c r="M230" s="135">
        <v>0</v>
      </c>
      <c r="N230" s="62">
        <v>5.5E-2</v>
      </c>
      <c r="O230" s="134">
        <v>0.246</v>
      </c>
      <c r="P230" s="135">
        <v>0.24299999999999999</v>
      </c>
      <c r="Q230" s="135">
        <v>0.24299999999999999</v>
      </c>
      <c r="R230" s="135">
        <v>0</v>
      </c>
      <c r="S230" s="62">
        <v>2.1900000000000001E-3</v>
      </c>
      <c r="T230" s="134">
        <v>1.55</v>
      </c>
      <c r="U230" s="135">
        <v>1.5</v>
      </c>
      <c r="V230" s="135">
        <v>1.5</v>
      </c>
      <c r="W230" s="135">
        <v>0</v>
      </c>
      <c r="X230" s="62">
        <v>5.2900000000000003E-2</v>
      </c>
      <c r="Y230" s="118">
        <v>0.13200000000000001</v>
      </c>
      <c r="Z230" s="119">
        <v>0.12</v>
      </c>
      <c r="AA230" s="90">
        <v>1.2800000000000001E-2</v>
      </c>
      <c r="AB230" s="90">
        <v>0</v>
      </c>
      <c r="AC230" s="67">
        <f t="shared" si="8"/>
        <v>0</v>
      </c>
      <c r="AD230" s="120" t="s">
        <v>1724</v>
      </c>
      <c r="AE230" s="25" t="s">
        <v>1641</v>
      </c>
      <c r="AI230" s="786"/>
    </row>
    <row r="231" spans="1:35" s="25" customFormat="1" ht="12.75" customHeight="1" outlineLevel="1">
      <c r="A231" s="151" t="s">
        <v>106</v>
      </c>
      <c r="B231" s="152" t="s">
        <v>1725</v>
      </c>
      <c r="C231" s="153" t="s">
        <v>1661</v>
      </c>
      <c r="D231" s="152" t="s">
        <v>1662</v>
      </c>
      <c r="E231" s="155" t="s">
        <v>1726</v>
      </c>
      <c r="F231" s="155" t="s">
        <v>202</v>
      </c>
      <c r="G231" s="106">
        <v>1790</v>
      </c>
      <c r="H231" s="107">
        <v>1670</v>
      </c>
      <c r="I231" s="165">
        <v>116</v>
      </c>
      <c r="J231" s="108">
        <v>4.97</v>
      </c>
      <c r="K231" s="109">
        <v>4.83</v>
      </c>
      <c r="L231" s="109">
        <v>4.83</v>
      </c>
      <c r="M231" s="109">
        <v>0</v>
      </c>
      <c r="N231" s="110">
        <v>0.14399999999999999</v>
      </c>
      <c r="O231" s="108">
        <v>0.51100000000000001</v>
      </c>
      <c r="P231" s="109">
        <v>0.5</v>
      </c>
      <c r="Q231" s="109">
        <v>0.5</v>
      </c>
      <c r="R231" s="109">
        <v>0</v>
      </c>
      <c r="S231" s="110">
        <v>1.0500000000000001E-2</v>
      </c>
      <c r="T231" s="108">
        <v>4.46</v>
      </c>
      <c r="U231" s="109">
        <v>4.32</v>
      </c>
      <c r="V231" s="109">
        <v>4.32</v>
      </c>
      <c r="W231" s="109">
        <v>0</v>
      </c>
      <c r="X231" s="110">
        <v>0.13300000000000001</v>
      </c>
      <c r="Y231" s="111">
        <v>1.19</v>
      </c>
      <c r="Z231" s="112">
        <v>1.1299999999999999</v>
      </c>
      <c r="AA231" s="166">
        <v>5.96E-2</v>
      </c>
      <c r="AB231" s="166">
        <v>0</v>
      </c>
      <c r="AC231" s="67">
        <f t="shared" si="8"/>
        <v>0</v>
      </c>
      <c r="AD231" s="163" t="s">
        <v>105</v>
      </c>
      <c r="AE231" s="25" t="s">
        <v>1665</v>
      </c>
      <c r="AF231" s="781">
        <v>0.57299999999999995</v>
      </c>
      <c r="AG231" s="782">
        <v>0.56999999999999995</v>
      </c>
      <c r="AH231" s="767">
        <v>3.48E-3</v>
      </c>
      <c r="AI231" s="786">
        <f t="shared" si="9"/>
        <v>0.51848739495798324</v>
      </c>
    </row>
    <row r="232" spans="1:35" s="69" customFormat="1">
      <c r="A232" s="99" t="s">
        <v>1727</v>
      </c>
      <c r="B232" s="61" t="s">
        <v>1728</v>
      </c>
      <c r="C232" s="138" t="s">
        <v>1661</v>
      </c>
      <c r="D232" s="61" t="s">
        <v>1662</v>
      </c>
      <c r="E232" s="63" t="s">
        <v>1726</v>
      </c>
      <c r="F232" s="63" t="s">
        <v>202</v>
      </c>
      <c r="G232" s="64">
        <v>1620</v>
      </c>
      <c r="H232" s="65">
        <v>1500</v>
      </c>
      <c r="I232" s="87">
        <v>116</v>
      </c>
      <c r="J232" s="134">
        <v>4.29</v>
      </c>
      <c r="K232" s="135">
        <v>4.1500000000000004</v>
      </c>
      <c r="L232" s="135">
        <v>4.1500000000000004</v>
      </c>
      <c r="M232" s="135">
        <v>0</v>
      </c>
      <c r="N232" s="62">
        <v>0.14399999999999999</v>
      </c>
      <c r="O232" s="134">
        <v>0.33900000000000002</v>
      </c>
      <c r="P232" s="135">
        <v>0.32800000000000001</v>
      </c>
      <c r="Q232" s="135">
        <v>0.32800000000000001</v>
      </c>
      <c r="R232" s="135">
        <v>0</v>
      </c>
      <c r="S232" s="62">
        <v>1.0500000000000001E-2</v>
      </c>
      <c r="T232" s="134">
        <v>3.95</v>
      </c>
      <c r="U232" s="135">
        <v>3.82</v>
      </c>
      <c r="V232" s="135">
        <v>3.82</v>
      </c>
      <c r="W232" s="135">
        <v>0</v>
      </c>
      <c r="X232" s="62">
        <v>0.13300000000000001</v>
      </c>
      <c r="Y232" s="118">
        <v>1.0900000000000001</v>
      </c>
      <c r="Z232" s="119">
        <v>1.03</v>
      </c>
      <c r="AA232" s="90">
        <v>5.96E-2</v>
      </c>
      <c r="AB232" s="90">
        <v>0</v>
      </c>
      <c r="AC232" s="67">
        <f t="shared" si="8"/>
        <v>0</v>
      </c>
      <c r="AD232" s="72" t="s">
        <v>1729</v>
      </c>
      <c r="AE232" s="69" t="s">
        <v>1665</v>
      </c>
      <c r="AI232" s="786"/>
    </row>
    <row r="233" spans="1:35" s="404" customFormat="1">
      <c r="A233" s="389">
        <v>10.015000000000001</v>
      </c>
      <c r="B233" s="390" t="s">
        <v>1730</v>
      </c>
      <c r="C233" s="391" t="s">
        <v>1731</v>
      </c>
      <c r="D233" s="390" t="s">
        <v>1732</v>
      </c>
      <c r="E233" s="402">
        <v>215</v>
      </c>
      <c r="F233" s="392" t="s">
        <v>202</v>
      </c>
      <c r="G233" s="405">
        <v>586</v>
      </c>
      <c r="H233" s="406">
        <v>586</v>
      </c>
      <c r="I233" s="395">
        <v>0</v>
      </c>
      <c r="J233" s="396">
        <v>5.0999999999999996</v>
      </c>
      <c r="K233" s="397">
        <v>5.0999999999999996</v>
      </c>
      <c r="L233" s="397">
        <v>0.32400000000000001</v>
      </c>
      <c r="M233" s="397">
        <v>4.78</v>
      </c>
      <c r="N233" s="398">
        <v>0</v>
      </c>
      <c r="O233" s="396">
        <v>4.87</v>
      </c>
      <c r="P233" s="397">
        <v>4.87</v>
      </c>
      <c r="Q233" s="397">
        <v>9.4899999999999998E-2</v>
      </c>
      <c r="R233" s="397">
        <v>4.78</v>
      </c>
      <c r="S233" s="398">
        <v>0</v>
      </c>
      <c r="T233" s="396">
        <v>0.22900000000000001</v>
      </c>
      <c r="U233" s="397">
        <v>0.22900000000000001</v>
      </c>
      <c r="V233" s="397">
        <v>0.22900000000000001</v>
      </c>
      <c r="W233" s="397">
        <v>0</v>
      </c>
      <c r="X233" s="398">
        <v>0</v>
      </c>
      <c r="Y233" s="407">
        <v>9.5600000000000004E-2</v>
      </c>
      <c r="Z233" s="398">
        <v>9.5600000000000004E-2</v>
      </c>
      <c r="AA233" s="401">
        <v>0</v>
      </c>
      <c r="AB233" s="401">
        <v>0.36799999999999999</v>
      </c>
      <c r="AC233" s="402">
        <f t="shared" si="8"/>
        <v>1.3493333333333333</v>
      </c>
      <c r="AD233" s="403" t="s">
        <v>1733</v>
      </c>
      <c r="AE233" s="404" t="s">
        <v>1734</v>
      </c>
      <c r="AF233" s="774">
        <v>7.0000000000000007E-2</v>
      </c>
      <c r="AG233" s="775">
        <v>7.0000000000000007E-2</v>
      </c>
      <c r="AH233" s="770">
        <v>0</v>
      </c>
      <c r="AI233" s="786">
        <f t="shared" si="9"/>
        <v>0.26778242677824265</v>
      </c>
    </row>
    <row r="234" spans="1:35" s="69" customFormat="1" ht="12.75" customHeight="1" outlineLevel="1">
      <c r="A234" s="101" t="s">
        <v>542</v>
      </c>
      <c r="B234" s="102" t="s">
        <v>1735</v>
      </c>
      <c r="C234" s="103" t="s">
        <v>1736</v>
      </c>
      <c r="D234" s="102" t="s">
        <v>1737</v>
      </c>
      <c r="E234" s="169">
        <v>147.5</v>
      </c>
      <c r="F234" s="105" t="s">
        <v>202</v>
      </c>
      <c r="G234" s="106">
        <v>1400</v>
      </c>
      <c r="H234" s="107">
        <v>1180</v>
      </c>
      <c r="I234" s="165">
        <v>228</v>
      </c>
      <c r="J234" s="108">
        <v>10.5</v>
      </c>
      <c r="K234" s="109">
        <v>10.4</v>
      </c>
      <c r="L234" s="109">
        <v>4.66</v>
      </c>
      <c r="M234" s="109">
        <v>5.7</v>
      </c>
      <c r="N234" s="110">
        <v>0.16400000000000001</v>
      </c>
      <c r="O234" s="108">
        <v>7.11</v>
      </c>
      <c r="P234" s="109">
        <v>7.09</v>
      </c>
      <c r="Q234" s="109">
        <v>1.92</v>
      </c>
      <c r="R234" s="109">
        <v>5.17</v>
      </c>
      <c r="S234" s="110">
        <v>1.2500000000000001E-2</v>
      </c>
      <c r="T234" s="108">
        <v>3.43</v>
      </c>
      <c r="U234" s="109">
        <v>3.28</v>
      </c>
      <c r="V234" s="109">
        <v>2.74</v>
      </c>
      <c r="W234" s="109">
        <v>0.53</v>
      </c>
      <c r="X234" s="110">
        <v>0.152</v>
      </c>
      <c r="Y234" s="111">
        <v>0.72699999999999998</v>
      </c>
      <c r="Z234" s="112">
        <v>0.63400000000000001</v>
      </c>
      <c r="AA234" s="166">
        <v>9.2600000000000002E-2</v>
      </c>
      <c r="AB234" s="166">
        <v>0.436</v>
      </c>
      <c r="AC234" s="67">
        <f t="shared" si="8"/>
        <v>1.5986666666666667</v>
      </c>
      <c r="AD234" s="144" t="s">
        <v>1738</v>
      </c>
      <c r="AE234" s="69" t="s">
        <v>1739</v>
      </c>
      <c r="AF234" s="766">
        <v>0.27700000000000002</v>
      </c>
      <c r="AG234" s="772">
        <v>0.23899999999999999</v>
      </c>
      <c r="AH234" s="767">
        <v>3.7600000000000001E-2</v>
      </c>
      <c r="AI234" s="786">
        <f t="shared" si="9"/>
        <v>0.61898211829436034</v>
      </c>
    </row>
    <row r="235" spans="1:35" s="69" customFormat="1" ht="12.75" customHeight="1" outlineLevel="1">
      <c r="A235" s="101" t="s">
        <v>2997</v>
      </c>
      <c r="B235" s="102" t="s">
        <v>2998</v>
      </c>
      <c r="C235" s="103"/>
      <c r="D235" s="102"/>
      <c r="E235" s="169">
        <v>190</v>
      </c>
      <c r="F235" s="105" t="s">
        <v>202</v>
      </c>
      <c r="G235" s="106"/>
      <c r="H235" s="107"/>
      <c r="I235" s="165"/>
      <c r="J235" s="108"/>
      <c r="K235" s="109"/>
      <c r="L235" s="109"/>
      <c r="M235" s="109"/>
      <c r="N235" s="110"/>
      <c r="O235" s="108"/>
      <c r="P235" s="109"/>
      <c r="Q235" s="109"/>
      <c r="R235" s="109"/>
      <c r="S235" s="110"/>
      <c r="T235" s="108"/>
      <c r="U235" s="109"/>
      <c r="V235" s="109"/>
      <c r="W235" s="109"/>
      <c r="X235" s="110"/>
      <c r="Y235" s="111">
        <f>Z235+AA235</f>
        <v>1.5691052631578948</v>
      </c>
      <c r="Z235" s="112">
        <f>297/E235</f>
        <v>1.5631578947368421</v>
      </c>
      <c r="AA235" s="166">
        <f>1.13/E235</f>
        <v>5.9473684210526309E-3</v>
      </c>
      <c r="AB235" s="67">
        <f>69/E235</f>
        <v>0.36315789473684212</v>
      </c>
      <c r="AC235" s="67">
        <f t="shared" si="8"/>
        <v>1.331578947368421</v>
      </c>
      <c r="AD235" s="102" t="s">
        <v>2998</v>
      </c>
      <c r="AF235" s="766">
        <f>AG235+AH235</f>
        <v>0.9774242025439559</v>
      </c>
      <c r="AG235" s="772">
        <v>0.97389174829819025</v>
      </c>
      <c r="AH235" s="767">
        <v>3.532454245765601E-3</v>
      </c>
      <c r="AI235" s="786">
        <v>0.61898211829436034</v>
      </c>
    </row>
    <row r="236" spans="1:35" s="25" customFormat="1">
      <c r="A236" s="93" t="s">
        <v>621</v>
      </c>
      <c r="B236" s="83" t="s">
        <v>1740</v>
      </c>
      <c r="C236" s="82" t="s">
        <v>1741</v>
      </c>
      <c r="D236" s="83" t="s">
        <v>1742</v>
      </c>
      <c r="E236" s="85" t="s">
        <v>1743</v>
      </c>
      <c r="F236" s="85" t="s">
        <v>202</v>
      </c>
      <c r="G236" s="121">
        <v>558</v>
      </c>
      <c r="H236" s="122">
        <v>396</v>
      </c>
      <c r="I236" s="123">
        <v>163</v>
      </c>
      <c r="J236" s="124">
        <v>1.31</v>
      </c>
      <c r="K236" s="125">
        <v>1.1299999999999999</v>
      </c>
      <c r="L236" s="125">
        <v>1.1299999999999999</v>
      </c>
      <c r="M236" s="125">
        <v>0</v>
      </c>
      <c r="N236" s="126">
        <v>0.17899999999999999</v>
      </c>
      <c r="O236" s="124">
        <v>0.25800000000000001</v>
      </c>
      <c r="P236" s="125">
        <v>0.245</v>
      </c>
      <c r="Q236" s="125">
        <v>0.245</v>
      </c>
      <c r="R236" s="125">
        <v>0</v>
      </c>
      <c r="S236" s="126">
        <v>1.35E-2</v>
      </c>
      <c r="T236" s="124">
        <v>1.05</v>
      </c>
      <c r="U236" s="125">
        <v>0.88300000000000001</v>
      </c>
      <c r="V236" s="125">
        <v>0.88300000000000001</v>
      </c>
      <c r="W236" s="125">
        <v>0</v>
      </c>
      <c r="X236" s="126">
        <v>0.16600000000000001</v>
      </c>
      <c r="Y236" s="127">
        <v>0.28100000000000003</v>
      </c>
      <c r="Z236" s="126">
        <v>0.21</v>
      </c>
      <c r="AA236" s="131">
        <v>7.1499999999999994E-2</v>
      </c>
      <c r="AB236" s="131">
        <v>0.40400000000000003</v>
      </c>
      <c r="AC236" s="67">
        <f t="shared" si="8"/>
        <v>1.4813333333333334</v>
      </c>
      <c r="AD236" s="120" t="s">
        <v>1744</v>
      </c>
      <c r="AE236" s="25" t="s">
        <v>1745</v>
      </c>
      <c r="AF236" s="769">
        <v>0.21199999999999999</v>
      </c>
      <c r="AG236" s="773">
        <v>0.18</v>
      </c>
      <c r="AH236" s="770">
        <v>3.1300000000000001E-2</v>
      </c>
      <c r="AI236" s="786">
        <f t="shared" si="9"/>
        <v>0.24555160142348764</v>
      </c>
    </row>
    <row r="237" spans="1:35" s="25" customFormat="1" ht="12.75" customHeight="1" outlineLevel="1">
      <c r="A237" s="151" t="s">
        <v>1746</v>
      </c>
      <c r="B237" s="152" t="s">
        <v>1747</v>
      </c>
      <c r="C237" s="153" t="s">
        <v>1741</v>
      </c>
      <c r="D237" s="152" t="s">
        <v>1742</v>
      </c>
      <c r="E237" s="155" t="s">
        <v>1743</v>
      </c>
      <c r="F237" s="155" t="s">
        <v>202</v>
      </c>
      <c r="G237" s="170">
        <v>471</v>
      </c>
      <c r="H237" s="171">
        <v>309</v>
      </c>
      <c r="I237" s="167">
        <v>163</v>
      </c>
      <c r="J237" s="161">
        <v>1.0900000000000001</v>
      </c>
      <c r="K237" s="162">
        <v>0.90900000000000003</v>
      </c>
      <c r="L237" s="162">
        <v>0.90900000000000003</v>
      </c>
      <c r="M237" s="162">
        <v>0</v>
      </c>
      <c r="N237" s="160">
        <v>0.17899999999999999</v>
      </c>
      <c r="O237" s="161">
        <v>0.23899999999999999</v>
      </c>
      <c r="P237" s="162">
        <v>0.22600000000000001</v>
      </c>
      <c r="Q237" s="162">
        <v>0.22600000000000001</v>
      </c>
      <c r="R237" s="162">
        <v>0</v>
      </c>
      <c r="S237" s="160">
        <v>1.35E-2</v>
      </c>
      <c r="T237" s="161">
        <v>0.84899999999999998</v>
      </c>
      <c r="U237" s="162">
        <v>0.68300000000000005</v>
      </c>
      <c r="V237" s="162">
        <v>0.68300000000000005</v>
      </c>
      <c r="W237" s="162">
        <v>0</v>
      </c>
      <c r="X237" s="160">
        <v>0.16600000000000001</v>
      </c>
      <c r="Y237" s="172">
        <v>0.23400000000000001</v>
      </c>
      <c r="Z237" s="160">
        <v>0.16300000000000001</v>
      </c>
      <c r="AA237" s="168">
        <v>7.1499999999999994E-2</v>
      </c>
      <c r="AB237" s="168">
        <v>0.40400000000000003</v>
      </c>
      <c r="AC237" s="67">
        <f t="shared" si="8"/>
        <v>1.4813333333333334</v>
      </c>
      <c r="AD237" s="163" t="s">
        <v>1748</v>
      </c>
      <c r="AE237" s="25" t="s">
        <v>1745</v>
      </c>
      <c r="AF237" s="27">
        <f>Y237</f>
        <v>0.23400000000000001</v>
      </c>
      <c r="AG237" s="27">
        <f t="shared" ref="AG237:AH239" si="10">Z237</f>
        <v>0.16300000000000001</v>
      </c>
      <c r="AH237" s="27">
        <f t="shared" si="10"/>
        <v>7.1499999999999994E-2</v>
      </c>
      <c r="AI237" s="786">
        <f t="shared" si="9"/>
        <v>0</v>
      </c>
    </row>
    <row r="238" spans="1:35" s="25" customFormat="1" ht="12.75" customHeight="1" outlineLevel="1">
      <c r="A238" s="881" t="s">
        <v>541</v>
      </c>
      <c r="B238" s="152"/>
      <c r="C238" s="153"/>
      <c r="D238" s="152"/>
      <c r="E238" s="155"/>
      <c r="F238" s="155" t="s">
        <v>202</v>
      </c>
      <c r="G238" s="170"/>
      <c r="H238" s="171"/>
      <c r="I238" s="167"/>
      <c r="J238" s="161"/>
      <c r="K238" s="162"/>
      <c r="L238" s="162"/>
      <c r="M238" s="162"/>
      <c r="N238" s="160"/>
      <c r="O238" s="161"/>
      <c r="P238" s="162"/>
      <c r="Q238" s="162"/>
      <c r="R238" s="162"/>
      <c r="S238" s="160"/>
      <c r="T238" s="161"/>
      <c r="U238" s="162"/>
      <c r="V238" s="162"/>
      <c r="W238" s="162"/>
      <c r="X238" s="160"/>
      <c r="Y238" s="172">
        <f>Z238+AA238</f>
        <v>0.36199999999999999</v>
      </c>
      <c r="Z238" s="160">
        <v>0.36199999999999999</v>
      </c>
      <c r="AA238" s="168"/>
      <c r="AB238" s="168">
        <v>0.42</v>
      </c>
      <c r="AC238" s="67">
        <f t="shared" si="8"/>
        <v>1.5399999999999998</v>
      </c>
      <c r="AD238" s="163" t="s">
        <v>540</v>
      </c>
      <c r="AF238" s="27">
        <f t="shared" ref="AF238:AF239" si="11">Y238</f>
        <v>0.36199999999999999</v>
      </c>
      <c r="AG238" s="27">
        <f t="shared" si="10"/>
        <v>0.36199999999999999</v>
      </c>
      <c r="AH238" s="27">
        <f t="shared" si="10"/>
        <v>0</v>
      </c>
      <c r="AI238" s="786"/>
    </row>
    <row r="239" spans="1:35" s="25" customFormat="1" ht="12.75" customHeight="1" outlineLevel="1">
      <c r="A239" s="881" t="s">
        <v>545</v>
      </c>
      <c r="B239" s="152"/>
      <c r="C239" s="153"/>
      <c r="D239" s="152"/>
      <c r="E239" s="155"/>
      <c r="F239" s="155" t="s">
        <v>202</v>
      </c>
      <c r="G239" s="170"/>
      <c r="H239" s="171"/>
      <c r="I239" s="167"/>
      <c r="J239" s="161"/>
      <c r="K239" s="162"/>
      <c r="L239" s="162"/>
      <c r="M239" s="162"/>
      <c r="N239" s="160"/>
      <c r="O239" s="161"/>
      <c r="P239" s="162"/>
      <c r="Q239" s="162"/>
      <c r="R239" s="162"/>
      <c r="S239" s="160"/>
      <c r="T239" s="161"/>
      <c r="U239" s="162"/>
      <c r="V239" s="162"/>
      <c r="W239" s="162"/>
      <c r="X239" s="160"/>
      <c r="Y239" s="172">
        <f>Z239+AA239</f>
        <v>0.26</v>
      </c>
      <c r="Z239" s="160">
        <v>0.26</v>
      </c>
      <c r="AA239" s="168"/>
      <c r="AB239" s="168">
        <v>0.39</v>
      </c>
      <c r="AC239" s="67">
        <f t="shared" si="8"/>
        <v>1.43</v>
      </c>
      <c r="AD239" s="163" t="s">
        <v>544</v>
      </c>
      <c r="AF239" s="27">
        <f t="shared" si="11"/>
        <v>0.26</v>
      </c>
      <c r="AG239" s="27">
        <f t="shared" si="10"/>
        <v>0.26</v>
      </c>
      <c r="AH239" s="27">
        <f t="shared" si="10"/>
        <v>0</v>
      </c>
      <c r="AI239" s="786"/>
    </row>
    <row r="240" spans="1:35" s="25" customFormat="1" ht="14.25">
      <c r="A240" s="113" t="s">
        <v>1749</v>
      </c>
      <c r="B240" s="76" t="s">
        <v>1750</v>
      </c>
      <c r="C240" s="75"/>
      <c r="D240" s="76"/>
      <c r="E240" s="77" t="s">
        <v>1221</v>
      </c>
      <c r="F240" s="78"/>
      <c r="G240" s="78"/>
      <c r="H240" s="78"/>
      <c r="I240" s="78"/>
      <c r="J240" s="114"/>
      <c r="K240" s="80"/>
      <c r="L240" s="80"/>
      <c r="M240" s="80"/>
      <c r="N240" s="115"/>
      <c r="O240" s="114"/>
      <c r="P240" s="80"/>
      <c r="Q240" s="80"/>
      <c r="R240" s="80"/>
      <c r="S240" s="115"/>
      <c r="T240" s="79"/>
      <c r="U240" s="80"/>
      <c r="V240" s="80"/>
      <c r="W240" s="80"/>
      <c r="X240" s="80"/>
      <c r="Y240" s="79"/>
      <c r="Z240" s="80"/>
      <c r="AA240" s="80"/>
      <c r="AB240" s="80"/>
      <c r="AC240" s="80"/>
      <c r="AD240" s="116" t="s">
        <v>1751</v>
      </c>
      <c r="AI240" s="786"/>
    </row>
    <row r="241" spans="1:35" s="25" customFormat="1">
      <c r="A241" s="173" t="s">
        <v>1752</v>
      </c>
      <c r="B241" s="83" t="s">
        <v>1753</v>
      </c>
      <c r="C241" s="83" t="s">
        <v>1754</v>
      </c>
      <c r="D241" s="83" t="s">
        <v>1755</v>
      </c>
      <c r="E241" s="85">
        <v>4.55</v>
      </c>
      <c r="F241" s="85" t="s">
        <v>39</v>
      </c>
      <c r="G241" s="132">
        <v>41800</v>
      </c>
      <c r="H241" s="133">
        <v>33500</v>
      </c>
      <c r="I241" s="133">
        <v>8250</v>
      </c>
      <c r="J241" s="142">
        <v>66.599999999999994</v>
      </c>
      <c r="K241" s="141">
        <v>64.3</v>
      </c>
      <c r="L241" s="141">
        <v>55.2</v>
      </c>
      <c r="M241" s="141">
        <v>9.1199999999999992</v>
      </c>
      <c r="N241" s="125">
        <v>2.35</v>
      </c>
      <c r="O241" s="142">
        <v>1.52</v>
      </c>
      <c r="P241" s="141">
        <v>1.44</v>
      </c>
      <c r="Q241" s="141">
        <v>1.44</v>
      </c>
      <c r="R241" s="141">
        <v>0</v>
      </c>
      <c r="S241" s="125">
        <v>8.0500000000000002E-2</v>
      </c>
      <c r="T241" s="142">
        <v>65.099999999999994</v>
      </c>
      <c r="U241" s="141">
        <v>62.8</v>
      </c>
      <c r="V241" s="141">
        <v>53.7</v>
      </c>
      <c r="W241" s="141">
        <v>9.1199999999999992</v>
      </c>
      <c r="X241" s="125">
        <v>2.27</v>
      </c>
      <c r="Y241" s="124">
        <v>18.399999999999999</v>
      </c>
      <c r="Z241" s="125">
        <v>11.2</v>
      </c>
      <c r="AA241" s="125">
        <v>7.24</v>
      </c>
      <c r="AB241" s="125">
        <v>0</v>
      </c>
      <c r="AC241" s="67">
        <f t="shared" si="8"/>
        <v>0</v>
      </c>
      <c r="AD241" s="120" t="s">
        <v>1756</v>
      </c>
      <c r="AE241" s="25" t="s">
        <v>1757</v>
      </c>
      <c r="AF241" s="774">
        <v>12.4</v>
      </c>
      <c r="AG241" s="775">
        <v>10.4</v>
      </c>
      <c r="AH241" s="775">
        <v>1.95</v>
      </c>
      <c r="AI241" s="786">
        <f t="shared" si="9"/>
        <v>0.32608695652173908</v>
      </c>
    </row>
    <row r="242" spans="1:35" s="25" customFormat="1">
      <c r="A242" s="173" t="s">
        <v>1758</v>
      </c>
      <c r="B242" s="83" t="s">
        <v>1759</v>
      </c>
      <c r="C242" s="83" t="s">
        <v>1760</v>
      </c>
      <c r="D242" s="83" t="s">
        <v>1761</v>
      </c>
      <c r="E242" s="85">
        <v>3.6</v>
      </c>
      <c r="F242" s="85" t="s">
        <v>39</v>
      </c>
      <c r="G242" s="132">
        <v>25800</v>
      </c>
      <c r="H242" s="133">
        <v>21300</v>
      </c>
      <c r="I242" s="133">
        <v>4540</v>
      </c>
      <c r="J242" s="142">
        <v>64</v>
      </c>
      <c r="K242" s="141">
        <v>62.5</v>
      </c>
      <c r="L242" s="141">
        <v>60.2</v>
      </c>
      <c r="M242" s="141">
        <v>2.31</v>
      </c>
      <c r="N242" s="125">
        <v>1.51</v>
      </c>
      <c r="O242" s="142">
        <v>2.0499999999999998</v>
      </c>
      <c r="P242" s="141">
        <v>1.99</v>
      </c>
      <c r="Q242" s="141">
        <v>1.99</v>
      </c>
      <c r="R242" s="141">
        <v>0</v>
      </c>
      <c r="S242" s="125">
        <v>6.0499999999999998E-2</v>
      </c>
      <c r="T242" s="142">
        <v>62</v>
      </c>
      <c r="U242" s="141">
        <v>60.5</v>
      </c>
      <c r="V242" s="141">
        <v>58.2</v>
      </c>
      <c r="W242" s="141">
        <v>2.31</v>
      </c>
      <c r="X242" s="125">
        <v>1.45</v>
      </c>
      <c r="Y242" s="124">
        <v>13.9</v>
      </c>
      <c r="Z242" s="125">
        <v>10</v>
      </c>
      <c r="AA242" s="125">
        <v>3.87</v>
      </c>
      <c r="AB242" s="125">
        <v>0</v>
      </c>
      <c r="AC242" s="67">
        <f t="shared" si="8"/>
        <v>0</v>
      </c>
      <c r="AD242" s="120" t="s">
        <v>1762</v>
      </c>
      <c r="AE242" s="25" t="s">
        <v>1763</v>
      </c>
      <c r="AF242" s="774">
        <v>7.63</v>
      </c>
      <c r="AG242" s="775">
        <v>5.96</v>
      </c>
      <c r="AH242" s="775">
        <v>1.66</v>
      </c>
      <c r="AI242" s="786">
        <f t="shared" si="9"/>
        <v>0.45107913669064753</v>
      </c>
    </row>
    <row r="243" spans="1:35" s="25" customFormat="1">
      <c r="A243" s="173" t="s">
        <v>1764</v>
      </c>
      <c r="B243" s="83" t="s">
        <v>1765</v>
      </c>
      <c r="C243" s="83" t="s">
        <v>1766</v>
      </c>
      <c r="D243" s="83" t="s">
        <v>1767</v>
      </c>
      <c r="E243" s="85">
        <v>8.25</v>
      </c>
      <c r="F243" s="85" t="s">
        <v>39</v>
      </c>
      <c r="G243" s="132">
        <v>38800</v>
      </c>
      <c r="H243" s="133">
        <v>25400</v>
      </c>
      <c r="I243" s="133">
        <v>13400</v>
      </c>
      <c r="J243" s="142">
        <v>115</v>
      </c>
      <c r="K243" s="141">
        <v>112</v>
      </c>
      <c r="L243" s="141">
        <v>94.1</v>
      </c>
      <c r="M243" s="141">
        <v>18.100000000000001</v>
      </c>
      <c r="N243" s="125">
        <v>2.88</v>
      </c>
      <c r="O243" s="142">
        <v>2.5299999999999998</v>
      </c>
      <c r="P243" s="141">
        <v>2.39</v>
      </c>
      <c r="Q243" s="141">
        <v>2.39</v>
      </c>
      <c r="R243" s="141">
        <v>0</v>
      </c>
      <c r="S243" s="125">
        <v>0.13900000000000001</v>
      </c>
      <c r="T243" s="142">
        <v>113</v>
      </c>
      <c r="U243" s="141">
        <v>110</v>
      </c>
      <c r="V243" s="141">
        <v>91.7</v>
      </c>
      <c r="W243" s="141">
        <v>18.100000000000001</v>
      </c>
      <c r="X243" s="125">
        <v>2.74</v>
      </c>
      <c r="Y243" s="129">
        <v>26.9</v>
      </c>
      <c r="Z243" s="130">
        <v>14.9</v>
      </c>
      <c r="AA243" s="130">
        <v>11.9</v>
      </c>
      <c r="AB243" s="130">
        <v>0</v>
      </c>
      <c r="AC243" s="67">
        <f t="shared" si="8"/>
        <v>0</v>
      </c>
      <c r="AD243" s="120" t="s">
        <v>1768</v>
      </c>
      <c r="AE243" s="25" t="s">
        <v>1769</v>
      </c>
      <c r="AF243" s="778">
        <v>19.2</v>
      </c>
      <c r="AG243" s="777">
        <v>10.4</v>
      </c>
      <c r="AH243" s="777">
        <v>8.8800000000000008</v>
      </c>
      <c r="AI243" s="786">
        <f t="shared" si="9"/>
        <v>0.28624535315985128</v>
      </c>
    </row>
    <row r="244" spans="1:35" s="25" customFormat="1">
      <c r="A244" s="173" t="s">
        <v>1770</v>
      </c>
      <c r="B244" s="83" t="s">
        <v>1771</v>
      </c>
      <c r="C244" s="83" t="s">
        <v>1772</v>
      </c>
      <c r="D244" s="83" t="s">
        <v>1773</v>
      </c>
      <c r="E244" s="85">
        <v>63.3</v>
      </c>
      <c r="F244" s="85" t="s">
        <v>39</v>
      </c>
      <c r="G244" s="132">
        <v>33800</v>
      </c>
      <c r="H244" s="133">
        <v>24700</v>
      </c>
      <c r="I244" s="133">
        <v>9080</v>
      </c>
      <c r="J244" s="142">
        <v>129</v>
      </c>
      <c r="K244" s="141">
        <v>124</v>
      </c>
      <c r="L244" s="141">
        <v>65.400000000000006</v>
      </c>
      <c r="M244" s="141">
        <v>58.2</v>
      </c>
      <c r="N244" s="130">
        <v>5.58</v>
      </c>
      <c r="O244" s="142">
        <v>3.4</v>
      </c>
      <c r="P244" s="141">
        <v>3.25</v>
      </c>
      <c r="Q244" s="141">
        <v>3.25</v>
      </c>
      <c r="R244" s="141">
        <v>0</v>
      </c>
      <c r="S244" s="130">
        <v>0.154</v>
      </c>
      <c r="T244" s="142">
        <v>126</v>
      </c>
      <c r="U244" s="141">
        <v>120</v>
      </c>
      <c r="V244" s="141">
        <v>62.2</v>
      </c>
      <c r="W244" s="141">
        <v>58.2</v>
      </c>
      <c r="X244" s="130">
        <v>5.42</v>
      </c>
      <c r="Y244" s="124">
        <v>16</v>
      </c>
      <c r="Z244" s="125">
        <v>14.7</v>
      </c>
      <c r="AA244" s="125">
        <v>1.23</v>
      </c>
      <c r="AB244" s="125">
        <v>0</v>
      </c>
      <c r="AC244" s="67">
        <f t="shared" si="8"/>
        <v>0</v>
      </c>
      <c r="AD244" s="120" t="s">
        <v>1774</v>
      </c>
      <c r="AE244" s="25" t="s">
        <v>1775</v>
      </c>
      <c r="AF244" s="774">
        <v>12.6</v>
      </c>
      <c r="AG244" s="775">
        <v>11.9</v>
      </c>
      <c r="AH244" s="775">
        <v>0.7</v>
      </c>
      <c r="AI244" s="786">
        <f t="shared" si="9"/>
        <v>0.21250000000000002</v>
      </c>
    </row>
    <row r="245" spans="1:35" s="25" customFormat="1">
      <c r="A245" s="173" t="s">
        <v>796</v>
      </c>
      <c r="B245" s="83" t="s">
        <v>1776</v>
      </c>
      <c r="C245" s="83" t="s">
        <v>1777</v>
      </c>
      <c r="D245" s="83" t="s">
        <v>1778</v>
      </c>
      <c r="E245" s="85">
        <v>57.8</v>
      </c>
      <c r="F245" s="85" t="s">
        <v>39</v>
      </c>
      <c r="G245" s="132">
        <v>26600</v>
      </c>
      <c r="H245" s="133">
        <v>24100</v>
      </c>
      <c r="I245" s="133">
        <v>2470</v>
      </c>
      <c r="J245" s="142">
        <v>48.9</v>
      </c>
      <c r="K245" s="141">
        <v>45.7</v>
      </c>
      <c r="L245" s="141">
        <v>45.7</v>
      </c>
      <c r="M245" s="141">
        <v>0</v>
      </c>
      <c r="N245" s="125">
        <v>3.18</v>
      </c>
      <c r="O245" s="142">
        <v>2.2599999999999998</v>
      </c>
      <c r="P245" s="141">
        <v>2.14</v>
      </c>
      <c r="Q245" s="141">
        <v>2.14</v>
      </c>
      <c r="R245" s="141">
        <v>0</v>
      </c>
      <c r="S245" s="125">
        <v>0.127</v>
      </c>
      <c r="T245" s="142">
        <v>46.6</v>
      </c>
      <c r="U245" s="141">
        <v>43.6</v>
      </c>
      <c r="V245" s="141">
        <v>43.6</v>
      </c>
      <c r="W245" s="141">
        <v>0</v>
      </c>
      <c r="X245" s="125">
        <v>3.05</v>
      </c>
      <c r="Y245" s="129">
        <v>16.5</v>
      </c>
      <c r="Z245" s="130">
        <v>15.7</v>
      </c>
      <c r="AA245" s="131">
        <v>0.74099999999999999</v>
      </c>
      <c r="AB245" s="131">
        <v>0</v>
      </c>
      <c r="AC245" s="67">
        <f t="shared" si="8"/>
        <v>0</v>
      </c>
      <c r="AD245" s="120" t="s">
        <v>1779</v>
      </c>
      <c r="AE245" s="25" t="s">
        <v>1780</v>
      </c>
      <c r="AF245" s="778">
        <v>6.58</v>
      </c>
      <c r="AG245" s="777">
        <v>6.55</v>
      </c>
      <c r="AH245" s="770">
        <v>2.6700000000000002E-2</v>
      </c>
      <c r="AI245" s="786">
        <f t="shared" si="9"/>
        <v>0.6012121212121212</v>
      </c>
    </row>
    <row r="246" spans="1:35" s="25" customFormat="1">
      <c r="A246" s="173" t="s">
        <v>1781</v>
      </c>
      <c r="B246" s="83" t="s">
        <v>1782</v>
      </c>
      <c r="C246" s="83" t="s">
        <v>1783</v>
      </c>
      <c r="D246" s="83" t="s">
        <v>1784</v>
      </c>
      <c r="E246" s="85">
        <v>73.5</v>
      </c>
      <c r="F246" s="85" t="s">
        <v>39</v>
      </c>
      <c r="G246" s="132">
        <v>27300</v>
      </c>
      <c r="H246" s="133">
        <v>24100</v>
      </c>
      <c r="I246" s="133">
        <v>3140</v>
      </c>
      <c r="J246" s="142">
        <v>44.2</v>
      </c>
      <c r="K246" s="141">
        <v>40.1</v>
      </c>
      <c r="L246" s="141">
        <v>40.1</v>
      </c>
      <c r="M246" s="141">
        <v>0</v>
      </c>
      <c r="N246" s="125">
        <v>4.05</v>
      </c>
      <c r="O246" s="142">
        <v>2.29</v>
      </c>
      <c r="P246" s="141">
        <v>2.13</v>
      </c>
      <c r="Q246" s="141">
        <v>2.13</v>
      </c>
      <c r="R246" s="141">
        <v>0</v>
      </c>
      <c r="S246" s="125">
        <v>0.161</v>
      </c>
      <c r="T246" s="142">
        <v>41.9</v>
      </c>
      <c r="U246" s="141">
        <v>38</v>
      </c>
      <c r="V246" s="141">
        <v>38</v>
      </c>
      <c r="W246" s="141">
        <v>0</v>
      </c>
      <c r="X246" s="125">
        <v>3.88</v>
      </c>
      <c r="Y246" s="129">
        <v>16.399999999999999</v>
      </c>
      <c r="Z246" s="130">
        <v>15.5</v>
      </c>
      <c r="AA246" s="126">
        <v>0.94199999999999995</v>
      </c>
      <c r="AB246" s="126">
        <v>0</v>
      </c>
      <c r="AC246" s="67">
        <f t="shared" si="8"/>
        <v>0</v>
      </c>
      <c r="AD246" s="120" t="s">
        <v>1785</v>
      </c>
      <c r="AE246" s="25" t="s">
        <v>1786</v>
      </c>
      <c r="AF246" s="778">
        <v>6.03</v>
      </c>
      <c r="AG246" s="777">
        <v>5.99</v>
      </c>
      <c r="AH246" s="773">
        <v>3.3700000000000001E-2</v>
      </c>
      <c r="AI246" s="786">
        <f t="shared" si="9"/>
        <v>0.6323170731707316</v>
      </c>
    </row>
    <row r="247" spans="1:35" s="25" customFormat="1">
      <c r="A247" s="173" t="s">
        <v>1787</v>
      </c>
      <c r="B247" s="83" t="s">
        <v>1788</v>
      </c>
      <c r="C247" s="83" t="s">
        <v>1789</v>
      </c>
      <c r="D247" s="83" t="s">
        <v>1790</v>
      </c>
      <c r="E247" s="85">
        <v>3.36</v>
      </c>
      <c r="F247" s="85" t="s">
        <v>39</v>
      </c>
      <c r="G247" s="132">
        <v>24200</v>
      </c>
      <c r="H247" s="133">
        <v>20400</v>
      </c>
      <c r="I247" s="133">
        <v>3760</v>
      </c>
      <c r="J247" s="142">
        <v>70.599999999999994</v>
      </c>
      <c r="K247" s="141">
        <v>69.599999999999994</v>
      </c>
      <c r="L247" s="141">
        <v>62.3</v>
      </c>
      <c r="M247" s="141">
        <v>7.3</v>
      </c>
      <c r="N247" s="125">
        <v>0.996</v>
      </c>
      <c r="O247" s="142">
        <v>9.7899999999999991</v>
      </c>
      <c r="P247" s="141">
        <v>9.7200000000000006</v>
      </c>
      <c r="Q247" s="141">
        <v>9.7200000000000006</v>
      </c>
      <c r="R247" s="141">
        <v>0</v>
      </c>
      <c r="S247" s="125">
        <v>6.5699999999999995E-2</v>
      </c>
      <c r="T247" s="142">
        <v>60.8</v>
      </c>
      <c r="U247" s="141">
        <v>59.8</v>
      </c>
      <c r="V247" s="141">
        <v>52.5</v>
      </c>
      <c r="W247" s="141">
        <v>7.3</v>
      </c>
      <c r="X247" s="125">
        <v>0.93</v>
      </c>
      <c r="Y247" s="129">
        <v>14.2</v>
      </c>
      <c r="Z247" s="130">
        <v>11</v>
      </c>
      <c r="AA247" s="125">
        <v>3.19</v>
      </c>
      <c r="AB247" s="125">
        <v>0</v>
      </c>
      <c r="AC247" s="67">
        <f t="shared" si="8"/>
        <v>0</v>
      </c>
      <c r="AD247" s="120" t="s">
        <v>1791</v>
      </c>
      <c r="AE247" s="25" t="s">
        <v>1792</v>
      </c>
      <c r="AF247" s="778">
        <v>11.9</v>
      </c>
      <c r="AG247" s="777">
        <v>7.19</v>
      </c>
      <c r="AH247" s="775">
        <v>4.72</v>
      </c>
      <c r="AI247" s="786">
        <f t="shared" si="9"/>
        <v>0.16197183098591542</v>
      </c>
    </row>
    <row r="248" spans="1:35" s="25" customFormat="1">
      <c r="A248" s="173" t="s">
        <v>786</v>
      </c>
      <c r="B248" s="83" t="s">
        <v>1793</v>
      </c>
      <c r="C248" s="83" t="s">
        <v>1794</v>
      </c>
      <c r="D248" s="83" t="s">
        <v>1795</v>
      </c>
      <c r="E248" s="85">
        <v>18</v>
      </c>
      <c r="F248" s="85" t="s">
        <v>39</v>
      </c>
      <c r="G248" s="132">
        <v>87000</v>
      </c>
      <c r="H248" s="133">
        <v>73100</v>
      </c>
      <c r="I248" s="133">
        <v>13800</v>
      </c>
      <c r="J248" s="142">
        <v>87.7</v>
      </c>
      <c r="K248" s="141">
        <v>69.8</v>
      </c>
      <c r="L248" s="141">
        <v>69.8</v>
      </c>
      <c r="M248" s="141">
        <v>0</v>
      </c>
      <c r="N248" s="125">
        <v>17.8</v>
      </c>
      <c r="O248" s="142">
        <v>4.41</v>
      </c>
      <c r="P248" s="141">
        <v>3.7</v>
      </c>
      <c r="Q248" s="141">
        <v>3.7</v>
      </c>
      <c r="R248" s="141">
        <v>0</v>
      </c>
      <c r="S248" s="125">
        <v>0.70899999999999996</v>
      </c>
      <c r="T248" s="142">
        <v>83.3</v>
      </c>
      <c r="U248" s="141">
        <v>66.099999999999994</v>
      </c>
      <c r="V248" s="141">
        <v>66.099999999999994</v>
      </c>
      <c r="W248" s="141">
        <v>0</v>
      </c>
      <c r="X248" s="125">
        <v>17.100000000000001</v>
      </c>
      <c r="Y248" s="129">
        <v>18.2</v>
      </c>
      <c r="Z248" s="130">
        <v>14.1</v>
      </c>
      <c r="AA248" s="126">
        <v>4.1500000000000004</v>
      </c>
      <c r="AB248" s="126">
        <v>0</v>
      </c>
      <c r="AC248" s="67">
        <f t="shared" si="8"/>
        <v>0</v>
      </c>
      <c r="AD248" s="120" t="s">
        <v>1796</v>
      </c>
      <c r="AE248" s="25" t="s">
        <v>1797</v>
      </c>
      <c r="AF248" s="778">
        <v>10.7</v>
      </c>
      <c r="AG248" s="777">
        <v>10.6</v>
      </c>
      <c r="AH248" s="773">
        <v>4.5900000000000003E-2</v>
      </c>
      <c r="AI248" s="786">
        <f t="shared" si="9"/>
        <v>0.41208791208791212</v>
      </c>
    </row>
    <row r="249" spans="1:35" s="25" customFormat="1">
      <c r="A249" s="173" t="s">
        <v>1798</v>
      </c>
      <c r="B249" s="83" t="s">
        <v>1799</v>
      </c>
      <c r="C249" s="83" t="s">
        <v>1800</v>
      </c>
      <c r="D249" s="83" t="s">
        <v>1801</v>
      </c>
      <c r="E249" s="85">
        <v>7.8</v>
      </c>
      <c r="F249" s="85" t="s">
        <v>39</v>
      </c>
      <c r="G249" s="132">
        <v>15600</v>
      </c>
      <c r="H249" s="133">
        <v>13400</v>
      </c>
      <c r="I249" s="133">
        <v>2140</v>
      </c>
      <c r="J249" s="142">
        <v>84.3</v>
      </c>
      <c r="K249" s="141">
        <v>82.8</v>
      </c>
      <c r="L249" s="141">
        <v>45.8</v>
      </c>
      <c r="M249" s="141">
        <v>37</v>
      </c>
      <c r="N249" s="125">
        <v>1.47</v>
      </c>
      <c r="O249" s="142">
        <v>39.1</v>
      </c>
      <c r="P249" s="141">
        <v>39</v>
      </c>
      <c r="Q249" s="141">
        <v>7.73</v>
      </c>
      <c r="R249" s="141">
        <v>31.3</v>
      </c>
      <c r="S249" s="125">
        <v>9.8900000000000002E-2</v>
      </c>
      <c r="T249" s="142">
        <v>45.2</v>
      </c>
      <c r="U249" s="141">
        <v>43.8</v>
      </c>
      <c r="V249" s="141">
        <v>38.1</v>
      </c>
      <c r="W249" s="141">
        <v>5.72</v>
      </c>
      <c r="X249" s="125">
        <v>1.37</v>
      </c>
      <c r="Y249" s="124">
        <v>9.08</v>
      </c>
      <c r="Z249" s="125">
        <v>7.78</v>
      </c>
      <c r="AA249" s="125">
        <v>1.3</v>
      </c>
      <c r="AB249" s="125">
        <v>2.73</v>
      </c>
      <c r="AC249" s="67">
        <f t="shared" si="8"/>
        <v>10.01</v>
      </c>
      <c r="AD249" s="120" t="s">
        <v>1802</v>
      </c>
      <c r="AE249" s="25" t="s">
        <v>1803</v>
      </c>
      <c r="AF249" s="774">
        <v>6.15</v>
      </c>
      <c r="AG249" s="775">
        <v>5.42</v>
      </c>
      <c r="AH249" s="775">
        <v>0.72199999999999998</v>
      </c>
      <c r="AI249" s="786">
        <f t="shared" si="9"/>
        <v>0.32268722466960348</v>
      </c>
    </row>
    <row r="250" spans="1:35" s="25" customFormat="1">
      <c r="A250" s="173" t="s">
        <v>1804</v>
      </c>
      <c r="B250" s="83" t="s">
        <v>1805</v>
      </c>
      <c r="C250" s="83" t="s">
        <v>1806</v>
      </c>
      <c r="D250" s="83" t="s">
        <v>1807</v>
      </c>
      <c r="E250" s="85">
        <v>2.7</v>
      </c>
      <c r="F250" s="85" t="s">
        <v>39</v>
      </c>
      <c r="G250" s="132">
        <v>12000</v>
      </c>
      <c r="H250" s="133">
        <v>7900</v>
      </c>
      <c r="I250" s="133">
        <v>4060</v>
      </c>
      <c r="J250" s="142">
        <v>43.1</v>
      </c>
      <c r="K250" s="141">
        <v>41.5</v>
      </c>
      <c r="L250" s="141">
        <v>31.5</v>
      </c>
      <c r="M250" s="141">
        <v>10.1</v>
      </c>
      <c r="N250" s="125">
        <v>1.53</v>
      </c>
      <c r="O250" s="142">
        <v>8.35</v>
      </c>
      <c r="P250" s="141">
        <v>8.25</v>
      </c>
      <c r="Q250" s="141">
        <v>2.56</v>
      </c>
      <c r="R250" s="141">
        <v>5.69</v>
      </c>
      <c r="S250" s="125">
        <v>9.5399999999999999E-2</v>
      </c>
      <c r="T250" s="142">
        <v>34.700000000000003</v>
      </c>
      <c r="U250" s="141">
        <v>33.299999999999997</v>
      </c>
      <c r="V250" s="141">
        <v>28.9</v>
      </c>
      <c r="W250" s="141">
        <v>4.37</v>
      </c>
      <c r="X250" s="125">
        <v>1.43</v>
      </c>
      <c r="Y250" s="124">
        <v>8.2799999999999994</v>
      </c>
      <c r="Z250" s="125">
        <v>4.76</v>
      </c>
      <c r="AA250" s="125">
        <v>3.53</v>
      </c>
      <c r="AB250" s="125">
        <v>0.60399999999999998</v>
      </c>
      <c r="AC250" s="67">
        <f t="shared" si="8"/>
        <v>2.2146666666666666</v>
      </c>
      <c r="AD250" s="120" t="s">
        <v>1808</v>
      </c>
      <c r="AE250" s="25" t="s">
        <v>1809</v>
      </c>
      <c r="AF250" s="774">
        <v>3.28</v>
      </c>
      <c r="AG250" s="775">
        <v>2.2799999999999998</v>
      </c>
      <c r="AH250" s="775">
        <v>0.999</v>
      </c>
      <c r="AI250" s="786">
        <f t="shared" si="9"/>
        <v>0.60386473429951693</v>
      </c>
    </row>
    <row r="251" spans="1:35" s="25" customFormat="1">
      <c r="A251" s="173" t="s">
        <v>1810</v>
      </c>
      <c r="B251" s="83" t="s">
        <v>1811</v>
      </c>
      <c r="C251" s="83" t="s">
        <v>1800</v>
      </c>
      <c r="D251" s="83" t="s">
        <v>1801</v>
      </c>
      <c r="E251" s="85">
        <v>2.7</v>
      </c>
      <c r="F251" s="85" t="s">
        <v>39</v>
      </c>
      <c r="G251" s="132">
        <v>5980</v>
      </c>
      <c r="H251" s="133">
        <v>3840</v>
      </c>
      <c r="I251" s="133">
        <v>2140</v>
      </c>
      <c r="J251" s="129">
        <v>24.4</v>
      </c>
      <c r="K251" s="130">
        <v>23</v>
      </c>
      <c r="L251" s="130">
        <v>15.5</v>
      </c>
      <c r="M251" s="130">
        <v>7.48</v>
      </c>
      <c r="N251" s="126">
        <v>1.47</v>
      </c>
      <c r="O251" s="129">
        <v>12.3</v>
      </c>
      <c r="P251" s="130">
        <v>12.2</v>
      </c>
      <c r="Q251" s="130">
        <v>4.72</v>
      </c>
      <c r="R251" s="130">
        <v>7.48</v>
      </c>
      <c r="S251" s="126">
        <v>9.8900000000000002E-2</v>
      </c>
      <c r="T251" s="129">
        <v>12.1</v>
      </c>
      <c r="U251" s="130">
        <v>10.7</v>
      </c>
      <c r="V251" s="130">
        <v>10.7</v>
      </c>
      <c r="W251" s="130">
        <v>0</v>
      </c>
      <c r="X251" s="126">
        <v>1.37</v>
      </c>
      <c r="Y251" s="124">
        <v>3.26</v>
      </c>
      <c r="Z251" s="125">
        <v>1.96</v>
      </c>
      <c r="AA251" s="126">
        <v>1.3</v>
      </c>
      <c r="AB251" s="126">
        <v>0.92100000000000004</v>
      </c>
      <c r="AC251" s="67">
        <f t="shared" si="8"/>
        <v>3.3770000000000002</v>
      </c>
      <c r="AD251" s="120" t="s">
        <v>1812</v>
      </c>
      <c r="AE251" s="25" t="s">
        <v>1803</v>
      </c>
      <c r="AF251" s="774">
        <v>1.1200000000000001</v>
      </c>
      <c r="AG251" s="775">
        <v>0.84499999999999997</v>
      </c>
      <c r="AH251" s="773">
        <v>0.27700000000000002</v>
      </c>
      <c r="AI251" s="786">
        <f t="shared" si="9"/>
        <v>0.65644171779141103</v>
      </c>
    </row>
    <row r="252" spans="1:35" s="25" customFormat="1">
      <c r="A252" s="173" t="s">
        <v>1813</v>
      </c>
      <c r="B252" s="83" t="s">
        <v>1814</v>
      </c>
      <c r="C252" s="83" t="s">
        <v>1815</v>
      </c>
      <c r="D252" s="83" t="s">
        <v>1816</v>
      </c>
      <c r="E252" s="85">
        <v>21.5</v>
      </c>
      <c r="F252" s="85" t="s">
        <v>39</v>
      </c>
      <c r="G252" s="132">
        <v>25900</v>
      </c>
      <c r="H252" s="133">
        <v>6110</v>
      </c>
      <c r="I252" s="133">
        <v>19800</v>
      </c>
      <c r="J252" s="129">
        <v>32.200000000000003</v>
      </c>
      <c r="K252" s="130">
        <v>6.8</v>
      </c>
      <c r="L252" s="130">
        <v>6.8</v>
      </c>
      <c r="M252" s="130">
        <v>0</v>
      </c>
      <c r="N252" s="125">
        <v>25.4</v>
      </c>
      <c r="O252" s="129">
        <v>1.76</v>
      </c>
      <c r="P252" s="130">
        <v>0.75</v>
      </c>
      <c r="Q252" s="130">
        <v>0.75</v>
      </c>
      <c r="R252" s="130">
        <v>0</v>
      </c>
      <c r="S252" s="125">
        <v>1.01</v>
      </c>
      <c r="T252" s="129">
        <v>30.5</v>
      </c>
      <c r="U252" s="130">
        <v>6.05</v>
      </c>
      <c r="V252" s="130">
        <v>6.05</v>
      </c>
      <c r="W252" s="130">
        <v>0</v>
      </c>
      <c r="X252" s="125">
        <v>24.4</v>
      </c>
      <c r="Y252" s="124">
        <v>10.4</v>
      </c>
      <c r="Z252" s="125">
        <v>4.51</v>
      </c>
      <c r="AA252" s="126">
        <v>5.92</v>
      </c>
      <c r="AB252" s="126">
        <v>0</v>
      </c>
      <c r="AC252" s="67">
        <f t="shared" si="8"/>
        <v>0</v>
      </c>
      <c r="AD252" s="120" t="s">
        <v>1817</v>
      </c>
      <c r="AE252" s="25" t="s">
        <v>1818</v>
      </c>
      <c r="AF252" s="774">
        <v>1.01</v>
      </c>
      <c r="AG252" s="775">
        <v>0.95299999999999996</v>
      </c>
      <c r="AH252" s="773">
        <v>5.4800000000000001E-2</v>
      </c>
      <c r="AI252" s="786">
        <f t="shared" si="9"/>
        <v>0.9028846153846154</v>
      </c>
    </row>
    <row r="253" spans="1:35" s="25" customFormat="1">
      <c r="A253" s="173" t="s">
        <v>1819</v>
      </c>
      <c r="B253" s="83" t="s">
        <v>1820</v>
      </c>
      <c r="C253" s="83" t="s">
        <v>1821</v>
      </c>
      <c r="D253" s="83" t="s">
        <v>1822</v>
      </c>
      <c r="E253" s="85">
        <v>8.5</v>
      </c>
      <c r="F253" s="85" t="s">
        <v>39</v>
      </c>
      <c r="G253" s="132">
        <v>16600</v>
      </c>
      <c r="H253" s="133">
        <v>13600</v>
      </c>
      <c r="I253" s="133">
        <v>2980</v>
      </c>
      <c r="J253" s="142">
        <v>81</v>
      </c>
      <c r="K253" s="141">
        <v>79.400000000000006</v>
      </c>
      <c r="L253" s="141">
        <v>31</v>
      </c>
      <c r="M253" s="141">
        <v>48.5</v>
      </c>
      <c r="N253" s="125">
        <v>1.57</v>
      </c>
      <c r="O253" s="142">
        <v>38.200000000000003</v>
      </c>
      <c r="P253" s="141">
        <v>38.1</v>
      </c>
      <c r="Q253" s="141">
        <v>2.72</v>
      </c>
      <c r="R253" s="141">
        <v>35.4</v>
      </c>
      <c r="S253" s="125">
        <v>0.107</v>
      </c>
      <c r="T253" s="142">
        <v>42.8</v>
      </c>
      <c r="U253" s="141">
        <v>41.3</v>
      </c>
      <c r="V253" s="141">
        <v>28.2</v>
      </c>
      <c r="W253" s="141">
        <v>13.1</v>
      </c>
      <c r="X253" s="125">
        <v>1.46</v>
      </c>
      <c r="Y253" s="124">
        <v>10.4</v>
      </c>
      <c r="Z253" s="125">
        <v>8.1199999999999992</v>
      </c>
      <c r="AA253" s="131">
        <v>2.2999999999999998</v>
      </c>
      <c r="AB253" s="131">
        <v>2.42</v>
      </c>
      <c r="AC253" s="67">
        <f t="shared" si="8"/>
        <v>8.8733333333333331</v>
      </c>
      <c r="AD253" s="120" t="s">
        <v>1823</v>
      </c>
      <c r="AE253" s="25" t="s">
        <v>1824</v>
      </c>
      <c r="AF253" s="774">
        <v>6.89</v>
      </c>
      <c r="AG253" s="775">
        <v>6.82</v>
      </c>
      <c r="AH253" s="770">
        <v>6.8599999999999994E-2</v>
      </c>
      <c r="AI253" s="786">
        <f t="shared" si="9"/>
        <v>0.33750000000000008</v>
      </c>
    </row>
    <row r="254" spans="1:35" s="25" customFormat="1">
      <c r="A254" s="173" t="s">
        <v>771</v>
      </c>
      <c r="B254" s="83" t="s">
        <v>1825</v>
      </c>
      <c r="C254" s="83" t="s">
        <v>1826</v>
      </c>
      <c r="D254" s="83" t="s">
        <v>1827</v>
      </c>
      <c r="E254" s="85">
        <v>2.9</v>
      </c>
      <c r="F254" s="85" t="s">
        <v>39</v>
      </c>
      <c r="G254" s="132">
        <v>15800</v>
      </c>
      <c r="H254" s="133">
        <v>15100</v>
      </c>
      <c r="I254" s="133">
        <v>731</v>
      </c>
      <c r="J254" s="142">
        <v>45.6</v>
      </c>
      <c r="K254" s="141">
        <v>45.1</v>
      </c>
      <c r="L254" s="141">
        <v>34.799999999999997</v>
      </c>
      <c r="M254" s="141">
        <v>10.3</v>
      </c>
      <c r="N254" s="126">
        <v>0.47599999999999998</v>
      </c>
      <c r="O254" s="142">
        <v>19.3</v>
      </c>
      <c r="P254" s="141">
        <v>19.2</v>
      </c>
      <c r="Q254" s="141">
        <v>8.9600000000000009</v>
      </c>
      <c r="R254" s="141">
        <v>10.3</v>
      </c>
      <c r="S254" s="126">
        <v>3.5700000000000003E-2</v>
      </c>
      <c r="T254" s="129">
        <v>26.3</v>
      </c>
      <c r="U254" s="130">
        <v>25.9</v>
      </c>
      <c r="V254" s="130">
        <v>25.9</v>
      </c>
      <c r="W254" s="130">
        <v>0</v>
      </c>
      <c r="X254" s="126">
        <v>0.44</v>
      </c>
      <c r="Y254" s="124">
        <v>6.37</v>
      </c>
      <c r="Z254" s="125">
        <v>5.85</v>
      </c>
      <c r="AA254" s="126">
        <v>0.51700000000000002</v>
      </c>
      <c r="AB254" s="126">
        <v>0.78600000000000003</v>
      </c>
      <c r="AC254" s="67">
        <f t="shared" si="8"/>
        <v>2.8820000000000001</v>
      </c>
      <c r="AD254" s="120" t="s">
        <v>1828</v>
      </c>
      <c r="AE254" s="25" t="s">
        <v>1829</v>
      </c>
      <c r="AF254" s="781">
        <v>4.1900000000000004</v>
      </c>
      <c r="AG254" s="782">
        <v>4.0199999999999996</v>
      </c>
      <c r="AH254" s="772">
        <v>0.17299999999999999</v>
      </c>
      <c r="AI254" s="786">
        <f t="shared" si="9"/>
        <v>0.34222919937205648</v>
      </c>
    </row>
    <row r="255" spans="1:35" s="25" customFormat="1">
      <c r="A255" s="173" t="s">
        <v>1830</v>
      </c>
      <c r="B255" s="83" t="s">
        <v>1831</v>
      </c>
      <c r="C255" s="61" t="s">
        <v>1832</v>
      </c>
      <c r="D255" s="61" t="s">
        <v>1833</v>
      </c>
      <c r="E255" s="63">
        <v>40.5</v>
      </c>
      <c r="F255" s="63" t="s">
        <v>39</v>
      </c>
      <c r="G255" s="64">
        <v>42100</v>
      </c>
      <c r="H255" s="65">
        <v>40400</v>
      </c>
      <c r="I255" s="65">
        <v>1730</v>
      </c>
      <c r="J255" s="70">
        <v>138</v>
      </c>
      <c r="K255" s="71">
        <v>136</v>
      </c>
      <c r="L255" s="71">
        <v>136</v>
      </c>
      <c r="M255" s="71">
        <v>0</v>
      </c>
      <c r="N255" s="119">
        <v>2.23</v>
      </c>
      <c r="O255" s="70">
        <v>19.399999999999999</v>
      </c>
      <c r="P255" s="71">
        <v>19.3</v>
      </c>
      <c r="Q255" s="71">
        <v>19.3</v>
      </c>
      <c r="R255" s="71">
        <v>0</v>
      </c>
      <c r="S255" s="119">
        <v>8.8599999999999998E-2</v>
      </c>
      <c r="T255" s="70">
        <v>118</v>
      </c>
      <c r="U255" s="71">
        <v>116</v>
      </c>
      <c r="V255" s="71">
        <v>116</v>
      </c>
      <c r="W255" s="71">
        <v>0</v>
      </c>
      <c r="X255" s="119">
        <v>2.14</v>
      </c>
      <c r="Y255" s="134">
        <v>17</v>
      </c>
      <c r="Z255" s="135">
        <v>16.5</v>
      </c>
      <c r="AA255" s="62">
        <v>0.51900000000000002</v>
      </c>
      <c r="AB255" s="62">
        <v>0</v>
      </c>
      <c r="AC255" s="67">
        <f t="shared" si="8"/>
        <v>0</v>
      </c>
      <c r="AD255" s="120" t="s">
        <v>1834</v>
      </c>
      <c r="AE255" s="25" t="s">
        <v>1835</v>
      </c>
      <c r="AF255" s="778">
        <v>4.13</v>
      </c>
      <c r="AG255" s="777">
        <v>4.0199999999999996</v>
      </c>
      <c r="AH255" s="773">
        <v>0.10299999999999999</v>
      </c>
      <c r="AI255" s="786">
        <f t="shared" si="9"/>
        <v>0.75705882352941178</v>
      </c>
    </row>
    <row r="256" spans="1:35" s="69" customFormat="1" ht="12.75" customHeight="1" outlineLevel="1">
      <c r="A256" s="174" t="s">
        <v>1836</v>
      </c>
      <c r="B256" s="102" t="s">
        <v>1837</v>
      </c>
      <c r="C256" s="103" t="s">
        <v>1832</v>
      </c>
      <c r="D256" s="102" t="s">
        <v>1833</v>
      </c>
      <c r="E256" s="105">
        <v>40.5</v>
      </c>
      <c r="F256" s="105" t="s">
        <v>39</v>
      </c>
      <c r="G256" s="175">
        <v>40900</v>
      </c>
      <c r="H256" s="176">
        <v>39200</v>
      </c>
      <c r="I256" s="165">
        <v>1730</v>
      </c>
      <c r="J256" s="111">
        <v>137</v>
      </c>
      <c r="K256" s="112">
        <v>135</v>
      </c>
      <c r="L256" s="112">
        <v>135</v>
      </c>
      <c r="M256" s="112">
        <v>0</v>
      </c>
      <c r="N256" s="110">
        <v>2.23</v>
      </c>
      <c r="O256" s="111">
        <v>19.399999999999999</v>
      </c>
      <c r="P256" s="112">
        <v>19.399999999999999</v>
      </c>
      <c r="Q256" s="112">
        <v>19.399999999999999</v>
      </c>
      <c r="R256" s="112">
        <v>0</v>
      </c>
      <c r="S256" s="110">
        <v>8.8599999999999998E-2</v>
      </c>
      <c r="T256" s="111">
        <v>118</v>
      </c>
      <c r="U256" s="112">
        <v>116</v>
      </c>
      <c r="V256" s="112">
        <v>116</v>
      </c>
      <c r="W256" s="112">
        <v>0</v>
      </c>
      <c r="X256" s="110">
        <v>2.14</v>
      </c>
      <c r="Y256" s="177">
        <v>16.7</v>
      </c>
      <c r="Z256" s="110">
        <v>16.2</v>
      </c>
      <c r="AA256" s="166">
        <v>0.51900000000000002</v>
      </c>
      <c r="AB256" s="166">
        <v>0</v>
      </c>
      <c r="AC256" s="67">
        <f t="shared" si="8"/>
        <v>0</v>
      </c>
      <c r="AD256" s="144" t="s">
        <v>1838</v>
      </c>
      <c r="AE256" s="69" t="s">
        <v>1835</v>
      </c>
      <c r="AF256" s="1116">
        <f>AF255</f>
        <v>4.13</v>
      </c>
      <c r="AG256" s="1116">
        <f t="shared" ref="AG256:AH258" si="12">AG255</f>
        <v>4.0199999999999996</v>
      </c>
      <c r="AH256" s="1116">
        <f t="shared" si="12"/>
        <v>0.10299999999999999</v>
      </c>
      <c r="AI256" s="786">
        <f t="shared" si="9"/>
        <v>0.75269461077844313</v>
      </c>
    </row>
    <row r="257" spans="1:35" s="69" customFormat="1" ht="12.75" customHeight="1" outlineLevel="1">
      <c r="A257" s="174" t="s">
        <v>1839</v>
      </c>
      <c r="B257" s="102" t="s">
        <v>1840</v>
      </c>
      <c r="C257" s="103" t="s">
        <v>1832</v>
      </c>
      <c r="D257" s="102" t="s">
        <v>1833</v>
      </c>
      <c r="E257" s="105">
        <v>40.5</v>
      </c>
      <c r="F257" s="105" t="s">
        <v>39</v>
      </c>
      <c r="G257" s="175">
        <v>34900</v>
      </c>
      <c r="H257" s="176">
        <v>33200</v>
      </c>
      <c r="I257" s="165">
        <v>1730</v>
      </c>
      <c r="J257" s="111">
        <v>123</v>
      </c>
      <c r="K257" s="112">
        <v>121</v>
      </c>
      <c r="L257" s="112">
        <v>121</v>
      </c>
      <c r="M257" s="112">
        <v>0</v>
      </c>
      <c r="N257" s="110">
        <v>2.23</v>
      </c>
      <c r="O257" s="111">
        <v>18.8</v>
      </c>
      <c r="P257" s="112">
        <v>18.7</v>
      </c>
      <c r="Q257" s="112">
        <v>18.7</v>
      </c>
      <c r="R257" s="112">
        <v>0</v>
      </c>
      <c r="S257" s="110">
        <v>8.8599999999999998E-2</v>
      </c>
      <c r="T257" s="111">
        <v>104</v>
      </c>
      <c r="U257" s="112">
        <v>102</v>
      </c>
      <c r="V257" s="112">
        <v>102</v>
      </c>
      <c r="W257" s="112">
        <v>0</v>
      </c>
      <c r="X257" s="110">
        <v>2.14</v>
      </c>
      <c r="Y257" s="177">
        <v>13.4</v>
      </c>
      <c r="Z257" s="110">
        <v>12.9</v>
      </c>
      <c r="AA257" s="166">
        <v>0.51900000000000002</v>
      </c>
      <c r="AB257" s="166">
        <v>0</v>
      </c>
      <c r="AC257" s="67">
        <f t="shared" si="8"/>
        <v>0</v>
      </c>
      <c r="AD257" s="144" t="s">
        <v>1841</v>
      </c>
      <c r="AE257" s="69" t="s">
        <v>1835</v>
      </c>
      <c r="AF257" s="1116">
        <f t="shared" ref="AF257:AF258" si="13">AF256</f>
        <v>4.13</v>
      </c>
      <c r="AG257" s="1116">
        <f t="shared" si="12"/>
        <v>4.0199999999999996</v>
      </c>
      <c r="AH257" s="1116">
        <f t="shared" si="12"/>
        <v>0.10299999999999999</v>
      </c>
      <c r="AI257" s="786">
        <f t="shared" si="9"/>
        <v>0.6917910447761193</v>
      </c>
    </row>
    <row r="258" spans="1:35" s="69" customFormat="1" ht="12.75" customHeight="1" outlineLevel="1">
      <c r="A258" s="174" t="s">
        <v>1842</v>
      </c>
      <c r="B258" s="102" t="s">
        <v>1843</v>
      </c>
      <c r="C258" s="103" t="s">
        <v>1832</v>
      </c>
      <c r="D258" s="102" t="s">
        <v>1833</v>
      </c>
      <c r="E258" s="105">
        <v>40.5</v>
      </c>
      <c r="F258" s="105" t="s">
        <v>39</v>
      </c>
      <c r="G258" s="175">
        <v>44700</v>
      </c>
      <c r="H258" s="176">
        <v>43000</v>
      </c>
      <c r="I258" s="165">
        <v>1730</v>
      </c>
      <c r="J258" s="111">
        <v>142</v>
      </c>
      <c r="K258" s="112">
        <v>140</v>
      </c>
      <c r="L258" s="112">
        <v>140</v>
      </c>
      <c r="M258" s="112">
        <v>0</v>
      </c>
      <c r="N258" s="110">
        <v>2.23</v>
      </c>
      <c r="O258" s="111">
        <v>19.5</v>
      </c>
      <c r="P258" s="112">
        <v>19.399999999999999</v>
      </c>
      <c r="Q258" s="112">
        <v>19.399999999999999</v>
      </c>
      <c r="R258" s="112">
        <v>0</v>
      </c>
      <c r="S258" s="110">
        <v>8.8599999999999998E-2</v>
      </c>
      <c r="T258" s="111">
        <v>123</v>
      </c>
      <c r="U258" s="112">
        <v>120</v>
      </c>
      <c r="V258" s="112">
        <v>120</v>
      </c>
      <c r="W258" s="112">
        <v>0</v>
      </c>
      <c r="X258" s="110">
        <v>2.14</v>
      </c>
      <c r="Y258" s="177">
        <v>18.100000000000001</v>
      </c>
      <c r="Z258" s="110">
        <v>17.5</v>
      </c>
      <c r="AA258" s="166">
        <v>0.51900000000000002</v>
      </c>
      <c r="AB258" s="166">
        <v>0</v>
      </c>
      <c r="AC258" s="67">
        <f t="shared" si="8"/>
        <v>0</v>
      </c>
      <c r="AD258" s="144" t="s">
        <v>1844</v>
      </c>
      <c r="AE258" s="69" t="s">
        <v>1835</v>
      </c>
      <c r="AF258" s="1116">
        <f t="shared" si="13"/>
        <v>4.13</v>
      </c>
      <c r="AG258" s="1116">
        <f t="shared" si="12"/>
        <v>4.0199999999999996</v>
      </c>
      <c r="AH258" s="1116">
        <f t="shared" si="12"/>
        <v>0.10299999999999999</v>
      </c>
      <c r="AI258" s="786">
        <f t="shared" si="9"/>
        <v>0.77182320441988961</v>
      </c>
    </row>
    <row r="259" spans="1:35" s="25" customFormat="1" outlineLevel="1">
      <c r="A259" s="173" t="s">
        <v>1845</v>
      </c>
      <c r="B259" s="83" t="s">
        <v>1846</v>
      </c>
      <c r="C259" s="61" t="s">
        <v>1832</v>
      </c>
      <c r="D259" s="61" t="s">
        <v>1833</v>
      </c>
      <c r="E259" s="63">
        <v>40.5</v>
      </c>
      <c r="F259" s="63" t="s">
        <v>39</v>
      </c>
      <c r="G259" s="64">
        <v>32100</v>
      </c>
      <c r="H259" s="65">
        <v>30400</v>
      </c>
      <c r="I259" s="65">
        <v>1730</v>
      </c>
      <c r="J259" s="70">
        <v>101</v>
      </c>
      <c r="K259" s="71">
        <v>98.8</v>
      </c>
      <c r="L259" s="71">
        <v>98.8</v>
      </c>
      <c r="M259" s="71">
        <v>0</v>
      </c>
      <c r="N259" s="119">
        <v>2.23</v>
      </c>
      <c r="O259" s="70">
        <v>13.2</v>
      </c>
      <c r="P259" s="71">
        <v>13.1</v>
      </c>
      <c r="Q259" s="71">
        <v>13.1</v>
      </c>
      <c r="R259" s="71">
        <v>0</v>
      </c>
      <c r="S259" s="119">
        <v>8.8599999999999998E-2</v>
      </c>
      <c r="T259" s="70">
        <v>87.8</v>
      </c>
      <c r="U259" s="71">
        <v>85.7</v>
      </c>
      <c r="V259" s="71">
        <v>85.7</v>
      </c>
      <c r="W259" s="71">
        <v>0</v>
      </c>
      <c r="X259" s="119">
        <v>2.14</v>
      </c>
      <c r="Y259" s="118">
        <v>13.5</v>
      </c>
      <c r="Z259" s="119">
        <v>13</v>
      </c>
      <c r="AA259" s="62">
        <v>0.51900000000000002</v>
      </c>
      <c r="AB259" s="62">
        <v>0</v>
      </c>
      <c r="AC259" s="67">
        <f t="shared" ref="AC259:AC318" si="14">AB259*$AC$10</f>
        <v>0</v>
      </c>
      <c r="AD259" s="120" t="s">
        <v>1847</v>
      </c>
      <c r="AE259" s="25" t="s">
        <v>1835</v>
      </c>
      <c r="AF259" s="774">
        <v>3.2</v>
      </c>
      <c r="AG259" s="775">
        <v>3.1</v>
      </c>
      <c r="AH259" s="773">
        <v>0.10299999999999999</v>
      </c>
      <c r="AI259" s="786">
        <f t="shared" si="9"/>
        <v>0.76296296296296306</v>
      </c>
    </row>
    <row r="260" spans="1:35" s="25" customFormat="1" outlineLevel="1">
      <c r="A260" s="173" t="s">
        <v>1848</v>
      </c>
      <c r="B260" s="83" t="s">
        <v>1849</v>
      </c>
      <c r="C260" s="61" t="s">
        <v>1832</v>
      </c>
      <c r="D260" s="61" t="s">
        <v>1833</v>
      </c>
      <c r="E260" s="63">
        <v>40.5</v>
      </c>
      <c r="F260" s="63" t="s">
        <v>39</v>
      </c>
      <c r="G260" s="64">
        <v>69900</v>
      </c>
      <c r="H260" s="65">
        <v>68200</v>
      </c>
      <c r="I260" s="65">
        <v>1730</v>
      </c>
      <c r="J260" s="70">
        <v>169</v>
      </c>
      <c r="K260" s="71">
        <v>167</v>
      </c>
      <c r="L260" s="71">
        <v>167</v>
      </c>
      <c r="M260" s="71">
        <v>0</v>
      </c>
      <c r="N260" s="119">
        <v>2.23</v>
      </c>
      <c r="O260" s="70">
        <v>24.7</v>
      </c>
      <c r="P260" s="71">
        <v>24.6</v>
      </c>
      <c r="Q260" s="71">
        <v>24.6</v>
      </c>
      <c r="R260" s="71">
        <v>0</v>
      </c>
      <c r="S260" s="119">
        <v>8.8599999999999998E-2</v>
      </c>
      <c r="T260" s="70">
        <v>144</v>
      </c>
      <c r="U260" s="71">
        <v>142</v>
      </c>
      <c r="V260" s="71">
        <v>142</v>
      </c>
      <c r="W260" s="71">
        <v>0</v>
      </c>
      <c r="X260" s="119">
        <v>2.14</v>
      </c>
      <c r="Y260" s="134">
        <v>19.7</v>
      </c>
      <c r="Z260" s="135">
        <v>19.2</v>
      </c>
      <c r="AA260" s="62">
        <v>0.51900000000000002</v>
      </c>
      <c r="AB260" s="62">
        <v>0</v>
      </c>
      <c r="AC260" s="67">
        <f t="shared" si="14"/>
        <v>0</v>
      </c>
      <c r="AD260" s="120" t="s">
        <v>1850</v>
      </c>
      <c r="AE260" s="25" t="s">
        <v>1835</v>
      </c>
      <c r="AF260" s="778">
        <v>4.88</v>
      </c>
      <c r="AG260" s="777">
        <v>4.7699999999999996</v>
      </c>
      <c r="AH260" s="773">
        <v>0.10299999999999999</v>
      </c>
      <c r="AI260" s="786">
        <f t="shared" si="9"/>
        <v>0.75228426395939085</v>
      </c>
    </row>
    <row r="261" spans="1:35" s="25" customFormat="1">
      <c r="A261" s="173" t="s">
        <v>776</v>
      </c>
      <c r="B261" s="83" t="s">
        <v>1851</v>
      </c>
      <c r="C261" s="83" t="s">
        <v>1852</v>
      </c>
      <c r="D261" s="83" t="s">
        <v>1853</v>
      </c>
      <c r="E261" s="85">
        <v>6.1</v>
      </c>
      <c r="F261" s="85" t="s">
        <v>39</v>
      </c>
      <c r="G261" s="132">
        <v>16100</v>
      </c>
      <c r="H261" s="133">
        <v>15700</v>
      </c>
      <c r="I261" s="133">
        <v>493</v>
      </c>
      <c r="J261" s="142">
        <v>130</v>
      </c>
      <c r="K261" s="141">
        <v>129</v>
      </c>
      <c r="L261" s="141">
        <v>98.9</v>
      </c>
      <c r="M261" s="141">
        <v>30.3</v>
      </c>
      <c r="N261" s="125">
        <v>0.60299999999999998</v>
      </c>
      <c r="O261" s="142">
        <v>87.5</v>
      </c>
      <c r="P261" s="141">
        <v>87.5</v>
      </c>
      <c r="Q261" s="141">
        <v>58.3</v>
      </c>
      <c r="R261" s="141">
        <v>29.2</v>
      </c>
      <c r="S261" s="125">
        <v>3.7100000000000001E-2</v>
      </c>
      <c r="T261" s="142">
        <v>42.3</v>
      </c>
      <c r="U261" s="141">
        <v>41.7</v>
      </c>
      <c r="V261" s="141">
        <v>40.6</v>
      </c>
      <c r="W261" s="141">
        <v>1.18</v>
      </c>
      <c r="X261" s="125">
        <v>0.56599999999999995</v>
      </c>
      <c r="Y261" s="129">
        <v>7.83</v>
      </c>
      <c r="Z261" s="125">
        <v>7.49</v>
      </c>
      <c r="AA261" s="125">
        <v>0.33800000000000002</v>
      </c>
      <c r="AB261" s="125">
        <v>2.69</v>
      </c>
      <c r="AC261" s="67">
        <f t="shared" si="14"/>
        <v>9.8633333333333333</v>
      </c>
      <c r="AD261" s="120" t="s">
        <v>1854</v>
      </c>
      <c r="AE261" s="25" t="s">
        <v>1855</v>
      </c>
      <c r="AF261" s="778">
        <v>3.42</v>
      </c>
      <c r="AG261" s="775">
        <v>3.38</v>
      </c>
      <c r="AH261" s="775">
        <v>4.3900000000000002E-2</v>
      </c>
      <c r="AI261" s="786">
        <f t="shared" si="9"/>
        <v>0.56321839080459768</v>
      </c>
    </row>
    <row r="262" spans="1:35" s="25" customFormat="1">
      <c r="A262" s="173" t="s">
        <v>1856</v>
      </c>
      <c r="B262" s="83" t="s">
        <v>1857</v>
      </c>
      <c r="C262" s="83" t="s">
        <v>1858</v>
      </c>
      <c r="D262" s="83" t="s">
        <v>1859</v>
      </c>
      <c r="E262" s="85">
        <v>7.9</v>
      </c>
      <c r="F262" s="85" t="s">
        <v>39</v>
      </c>
      <c r="G262" s="132">
        <v>18200</v>
      </c>
      <c r="H262" s="133">
        <v>17600</v>
      </c>
      <c r="I262" s="133">
        <v>638</v>
      </c>
      <c r="J262" s="142">
        <v>186</v>
      </c>
      <c r="K262" s="141">
        <v>185</v>
      </c>
      <c r="L262" s="141">
        <v>145</v>
      </c>
      <c r="M262" s="141">
        <v>39.5</v>
      </c>
      <c r="N262" s="125">
        <v>0.78100000000000003</v>
      </c>
      <c r="O262" s="142">
        <v>145</v>
      </c>
      <c r="P262" s="141">
        <v>145</v>
      </c>
      <c r="Q262" s="141">
        <v>106</v>
      </c>
      <c r="R262" s="141">
        <v>38.799999999999997</v>
      </c>
      <c r="S262" s="125">
        <v>4.8099999999999997E-2</v>
      </c>
      <c r="T262" s="142">
        <v>40.4</v>
      </c>
      <c r="U262" s="141">
        <v>39.700000000000003</v>
      </c>
      <c r="V262" s="141">
        <v>39</v>
      </c>
      <c r="W262" s="141">
        <v>0.68100000000000005</v>
      </c>
      <c r="X262" s="125">
        <v>0.73199999999999998</v>
      </c>
      <c r="Y262" s="129">
        <v>8.1300000000000008</v>
      </c>
      <c r="Z262" s="125">
        <v>7.7</v>
      </c>
      <c r="AA262" s="125">
        <v>0.438</v>
      </c>
      <c r="AB262" s="125">
        <v>3.54</v>
      </c>
      <c r="AC262" s="67">
        <f t="shared" si="14"/>
        <v>12.98</v>
      </c>
      <c r="AD262" s="120" t="s">
        <v>1860</v>
      </c>
      <c r="AE262" s="25" t="s">
        <v>1861</v>
      </c>
      <c r="AF262" s="778">
        <v>3.54</v>
      </c>
      <c r="AG262" s="775">
        <v>3.48</v>
      </c>
      <c r="AH262" s="775">
        <v>5.9900000000000002E-2</v>
      </c>
      <c r="AI262" s="786">
        <f t="shared" si="9"/>
        <v>0.56457564575645758</v>
      </c>
    </row>
    <row r="263" spans="1:35" s="25" customFormat="1">
      <c r="A263" s="173" t="s">
        <v>1862</v>
      </c>
      <c r="B263" s="83" t="s">
        <v>1863</v>
      </c>
      <c r="C263" s="83" t="s">
        <v>1864</v>
      </c>
      <c r="D263" s="83" t="s">
        <v>1865</v>
      </c>
      <c r="E263" s="85">
        <v>5.6</v>
      </c>
      <c r="F263" s="85" t="s">
        <v>39</v>
      </c>
      <c r="G263" s="132">
        <v>9050</v>
      </c>
      <c r="H263" s="133">
        <v>8700</v>
      </c>
      <c r="I263" s="133">
        <v>355</v>
      </c>
      <c r="J263" s="142">
        <v>113</v>
      </c>
      <c r="K263" s="141">
        <v>113</v>
      </c>
      <c r="L263" s="141">
        <v>87.9</v>
      </c>
      <c r="M263" s="141">
        <v>24.7</v>
      </c>
      <c r="N263" s="125">
        <v>0.53300000000000003</v>
      </c>
      <c r="O263" s="142">
        <v>89.9</v>
      </c>
      <c r="P263" s="141">
        <v>89.9</v>
      </c>
      <c r="Q263" s="141">
        <v>65.2</v>
      </c>
      <c r="R263" s="141">
        <v>24.7</v>
      </c>
      <c r="S263" s="125">
        <v>3.3799999999999997E-2</v>
      </c>
      <c r="T263" s="142">
        <v>23.3</v>
      </c>
      <c r="U263" s="141">
        <v>22.8</v>
      </c>
      <c r="V263" s="141">
        <v>22.8</v>
      </c>
      <c r="W263" s="141">
        <v>0</v>
      </c>
      <c r="X263" s="125">
        <v>0.499</v>
      </c>
      <c r="Y263" s="129">
        <v>3.59</v>
      </c>
      <c r="Z263" s="125">
        <v>3.37</v>
      </c>
      <c r="AA263" s="125">
        <v>0.219</v>
      </c>
      <c r="AB263" s="125">
        <v>2.23</v>
      </c>
      <c r="AC263" s="67">
        <f t="shared" si="14"/>
        <v>8.1766666666666659</v>
      </c>
      <c r="AD263" s="120" t="s">
        <v>1866</v>
      </c>
      <c r="AE263" s="25" t="s">
        <v>1867</v>
      </c>
      <c r="AF263" s="778">
        <v>1.52</v>
      </c>
      <c r="AG263" s="775">
        <v>1.48</v>
      </c>
      <c r="AH263" s="775">
        <v>3.7199999999999997E-2</v>
      </c>
      <c r="AI263" s="786">
        <f t="shared" si="9"/>
        <v>0.57660167130919215</v>
      </c>
    </row>
    <row r="264" spans="1:35" s="25" customFormat="1">
      <c r="A264" s="173" t="s">
        <v>1868</v>
      </c>
      <c r="B264" s="83" t="s">
        <v>1869</v>
      </c>
      <c r="C264" s="83" t="s">
        <v>1870</v>
      </c>
      <c r="D264" s="83" t="s">
        <v>1871</v>
      </c>
      <c r="E264" s="85">
        <v>3.1</v>
      </c>
      <c r="F264" s="85" t="s">
        <v>39</v>
      </c>
      <c r="G264" s="132">
        <v>20600</v>
      </c>
      <c r="H264" s="133">
        <v>13500</v>
      </c>
      <c r="I264" s="133">
        <v>7140</v>
      </c>
      <c r="J264" s="142">
        <v>60.4</v>
      </c>
      <c r="K264" s="141">
        <v>56.9</v>
      </c>
      <c r="L264" s="141">
        <v>48.5</v>
      </c>
      <c r="M264" s="141">
        <v>8.43</v>
      </c>
      <c r="N264" s="125">
        <v>3.5</v>
      </c>
      <c r="O264" s="142">
        <v>2.2200000000000002</v>
      </c>
      <c r="P264" s="141">
        <v>1.92</v>
      </c>
      <c r="Q264" s="141">
        <v>1.92</v>
      </c>
      <c r="R264" s="141">
        <v>0</v>
      </c>
      <c r="S264" s="125">
        <v>0.29699999999999999</v>
      </c>
      <c r="T264" s="142">
        <v>58.2</v>
      </c>
      <c r="U264" s="141">
        <v>55</v>
      </c>
      <c r="V264" s="141">
        <v>46.6</v>
      </c>
      <c r="W264" s="141">
        <v>8.43</v>
      </c>
      <c r="X264" s="125">
        <v>3.2</v>
      </c>
      <c r="Y264" s="129">
        <v>14.4</v>
      </c>
      <c r="Z264" s="125">
        <v>8.17</v>
      </c>
      <c r="AA264" s="125">
        <v>6.22</v>
      </c>
      <c r="AB264" s="125">
        <v>0</v>
      </c>
      <c r="AC264" s="67">
        <f t="shared" si="14"/>
        <v>0</v>
      </c>
      <c r="AD264" s="120" t="s">
        <v>1872</v>
      </c>
      <c r="AE264" s="25" t="s">
        <v>1873</v>
      </c>
      <c r="AF264" s="778">
        <v>6.04</v>
      </c>
      <c r="AG264" s="775">
        <v>3.89</v>
      </c>
      <c r="AH264" s="775">
        <v>2.15</v>
      </c>
      <c r="AI264" s="786">
        <f t="shared" si="9"/>
        <v>0.58055555555555549</v>
      </c>
    </row>
    <row r="265" spans="1:35" s="25" customFormat="1">
      <c r="A265" s="173" t="s">
        <v>1874</v>
      </c>
      <c r="B265" s="83" t="s">
        <v>1875</v>
      </c>
      <c r="C265" s="83" t="s">
        <v>1876</v>
      </c>
      <c r="D265" s="83" t="s">
        <v>1877</v>
      </c>
      <c r="E265" s="85">
        <v>22</v>
      </c>
      <c r="F265" s="85" t="s">
        <v>39</v>
      </c>
      <c r="G265" s="132">
        <v>16400</v>
      </c>
      <c r="H265" s="133">
        <v>15500</v>
      </c>
      <c r="I265" s="133">
        <v>940</v>
      </c>
      <c r="J265" s="129">
        <v>26.1</v>
      </c>
      <c r="K265" s="130">
        <v>24.9</v>
      </c>
      <c r="L265" s="130">
        <v>24.9</v>
      </c>
      <c r="M265" s="130">
        <v>0</v>
      </c>
      <c r="N265" s="125">
        <v>1.21</v>
      </c>
      <c r="O265" s="129">
        <v>0.96099999999999997</v>
      </c>
      <c r="P265" s="130">
        <v>0.91300000000000003</v>
      </c>
      <c r="Q265" s="130">
        <v>0.91300000000000003</v>
      </c>
      <c r="R265" s="130">
        <v>0</v>
      </c>
      <c r="S265" s="125">
        <v>4.8099999999999997E-2</v>
      </c>
      <c r="T265" s="129">
        <v>25.2</v>
      </c>
      <c r="U265" s="130">
        <v>24</v>
      </c>
      <c r="V265" s="130">
        <v>24</v>
      </c>
      <c r="W265" s="130">
        <v>0</v>
      </c>
      <c r="X265" s="125">
        <v>1.1599999999999999</v>
      </c>
      <c r="Y265" s="129">
        <v>13</v>
      </c>
      <c r="Z265" s="130">
        <v>12.7</v>
      </c>
      <c r="AA265" s="126">
        <v>0.28199999999999997</v>
      </c>
      <c r="AB265" s="126">
        <v>0</v>
      </c>
      <c r="AC265" s="67">
        <f t="shared" si="14"/>
        <v>0</v>
      </c>
      <c r="AD265" s="120" t="s">
        <v>1878</v>
      </c>
      <c r="AE265" s="25" t="s">
        <v>1879</v>
      </c>
      <c r="AF265" s="778">
        <v>11.3</v>
      </c>
      <c r="AG265" s="777">
        <v>11.2</v>
      </c>
      <c r="AH265" s="773">
        <v>6.5699999999999995E-2</v>
      </c>
      <c r="AI265" s="786">
        <f t="shared" si="9"/>
        <v>0.13076923076923072</v>
      </c>
    </row>
    <row r="266" spans="1:35" s="25" customFormat="1">
      <c r="A266" s="173" t="s">
        <v>1880</v>
      </c>
      <c r="B266" s="83" t="s">
        <v>1881</v>
      </c>
      <c r="C266" s="83" t="s">
        <v>1882</v>
      </c>
      <c r="D266" s="83" t="s">
        <v>1883</v>
      </c>
      <c r="E266" s="85">
        <v>3.4</v>
      </c>
      <c r="F266" s="85" t="s">
        <v>39</v>
      </c>
      <c r="G266" s="132">
        <v>20000</v>
      </c>
      <c r="H266" s="133">
        <v>9520</v>
      </c>
      <c r="I266" s="133">
        <v>10500</v>
      </c>
      <c r="J266" s="142">
        <v>46.5</v>
      </c>
      <c r="K266" s="141">
        <v>45.8</v>
      </c>
      <c r="L266" s="141">
        <v>33.4</v>
      </c>
      <c r="M266" s="141">
        <v>12.4</v>
      </c>
      <c r="N266" s="125">
        <v>0.67200000000000004</v>
      </c>
      <c r="O266" s="142">
        <v>3.17</v>
      </c>
      <c r="P266" s="141">
        <v>3.14</v>
      </c>
      <c r="Q266" s="141">
        <v>3.14</v>
      </c>
      <c r="R266" s="141">
        <v>0</v>
      </c>
      <c r="S266" s="125">
        <v>3.0099999999999998E-2</v>
      </c>
      <c r="T266" s="142">
        <v>43.3</v>
      </c>
      <c r="U266" s="141">
        <v>42.6</v>
      </c>
      <c r="V266" s="141">
        <v>30.2</v>
      </c>
      <c r="W266" s="141">
        <v>12.4</v>
      </c>
      <c r="X266" s="125">
        <v>0.64200000000000002</v>
      </c>
      <c r="Y266" s="129">
        <v>16</v>
      </c>
      <c r="Z266" s="125">
        <v>5.88</v>
      </c>
      <c r="AA266" s="125">
        <v>10.1</v>
      </c>
      <c r="AB266" s="125">
        <v>0</v>
      </c>
      <c r="AC266" s="67">
        <f t="shared" si="14"/>
        <v>0</v>
      </c>
      <c r="AD266" s="120" t="s">
        <v>1884</v>
      </c>
      <c r="AE266" s="25" t="s">
        <v>1885</v>
      </c>
      <c r="AF266" s="778">
        <v>6.44</v>
      </c>
      <c r="AG266" s="775">
        <v>4.0599999999999996</v>
      </c>
      <c r="AH266" s="775">
        <v>2.37</v>
      </c>
      <c r="AI266" s="786">
        <f t="shared" si="9"/>
        <v>0.59749999999999992</v>
      </c>
    </row>
    <row r="267" spans="1:35" s="25" customFormat="1">
      <c r="A267" s="173" t="s">
        <v>1886</v>
      </c>
      <c r="B267" s="83" t="s">
        <v>1887</v>
      </c>
      <c r="C267" s="83" t="s">
        <v>1888</v>
      </c>
      <c r="D267" s="83" t="s">
        <v>1889</v>
      </c>
      <c r="E267" s="85">
        <v>2.1</v>
      </c>
      <c r="F267" s="85" t="s">
        <v>39</v>
      </c>
      <c r="G267" s="132">
        <v>21200</v>
      </c>
      <c r="H267" s="133">
        <v>14700</v>
      </c>
      <c r="I267" s="133">
        <v>6470</v>
      </c>
      <c r="J267" s="142">
        <v>50.6</v>
      </c>
      <c r="K267" s="141">
        <v>50.2</v>
      </c>
      <c r="L267" s="141">
        <v>38.9</v>
      </c>
      <c r="M267" s="141">
        <v>11.3</v>
      </c>
      <c r="N267" s="125">
        <v>0.41499999999999998</v>
      </c>
      <c r="O267" s="142">
        <v>0.58499999999999996</v>
      </c>
      <c r="P267" s="141">
        <v>0.56599999999999995</v>
      </c>
      <c r="Q267" s="141">
        <v>0.56599999999999995</v>
      </c>
      <c r="R267" s="141">
        <v>0</v>
      </c>
      <c r="S267" s="125">
        <v>1.8599999999999998E-2</v>
      </c>
      <c r="T267" s="142">
        <v>50</v>
      </c>
      <c r="U267" s="141">
        <v>49.6</v>
      </c>
      <c r="V267" s="141">
        <v>38.299999999999997</v>
      </c>
      <c r="W267" s="141">
        <v>11.3</v>
      </c>
      <c r="X267" s="125">
        <v>0.39600000000000002</v>
      </c>
      <c r="Y267" s="129">
        <v>16.7</v>
      </c>
      <c r="Z267" s="130">
        <v>10.5</v>
      </c>
      <c r="AA267" s="125">
        <v>6.25</v>
      </c>
      <c r="AB267" s="125">
        <v>0</v>
      </c>
      <c r="AC267" s="67">
        <f t="shared" si="14"/>
        <v>0</v>
      </c>
      <c r="AD267" s="120" t="s">
        <v>1890</v>
      </c>
      <c r="AE267" s="25" t="s">
        <v>1891</v>
      </c>
      <c r="AF267" s="778">
        <v>10.9</v>
      </c>
      <c r="AG267" s="777">
        <v>9.91</v>
      </c>
      <c r="AH267" s="775">
        <v>1.03</v>
      </c>
      <c r="AI267" s="786">
        <f t="shared" si="9"/>
        <v>0.34730538922155685</v>
      </c>
    </row>
    <row r="268" spans="1:35" s="25" customFormat="1">
      <c r="A268" s="173" t="s">
        <v>1892</v>
      </c>
      <c r="B268" s="83" t="s">
        <v>1893</v>
      </c>
      <c r="C268" s="83" t="s">
        <v>1894</v>
      </c>
      <c r="D268" s="83" t="s">
        <v>1895</v>
      </c>
      <c r="E268" s="85">
        <v>1.3</v>
      </c>
      <c r="F268" s="85" t="s">
        <v>39</v>
      </c>
      <c r="G268" s="132">
        <v>12700</v>
      </c>
      <c r="H268" s="133">
        <v>8700</v>
      </c>
      <c r="I268" s="133">
        <v>4010</v>
      </c>
      <c r="J268" s="142">
        <v>34.9</v>
      </c>
      <c r="K268" s="141">
        <v>34.6</v>
      </c>
      <c r="L268" s="141">
        <v>24.2</v>
      </c>
      <c r="M268" s="141">
        <v>10.4</v>
      </c>
      <c r="N268" s="125">
        <v>0.25700000000000001</v>
      </c>
      <c r="O268" s="142">
        <v>0.59599999999999997</v>
      </c>
      <c r="P268" s="141">
        <v>0.58399999999999996</v>
      </c>
      <c r="Q268" s="141">
        <v>0.58399999999999996</v>
      </c>
      <c r="R268" s="141">
        <v>0</v>
      </c>
      <c r="S268" s="125">
        <v>1.15E-2</v>
      </c>
      <c r="T268" s="142">
        <v>34.299999999999997</v>
      </c>
      <c r="U268" s="141">
        <v>34</v>
      </c>
      <c r="V268" s="141">
        <v>23.6</v>
      </c>
      <c r="W268" s="141">
        <v>10.4</v>
      </c>
      <c r="X268" s="126">
        <v>0.245</v>
      </c>
      <c r="Y268" s="124">
        <v>9.85</v>
      </c>
      <c r="Z268" s="125">
        <v>5.98</v>
      </c>
      <c r="AA268" s="125">
        <v>3.87</v>
      </c>
      <c r="AB268" s="125">
        <v>0</v>
      </c>
      <c r="AC268" s="67">
        <f t="shared" si="14"/>
        <v>0</v>
      </c>
      <c r="AD268" s="120" t="s">
        <v>1896</v>
      </c>
      <c r="AE268" s="25" t="s">
        <v>1897</v>
      </c>
      <c r="AF268" s="774">
        <v>6.16</v>
      </c>
      <c r="AG268" s="775">
        <v>5.3</v>
      </c>
      <c r="AH268" s="775">
        <v>0.86099999999999999</v>
      </c>
      <c r="AI268" s="786">
        <f t="shared" si="9"/>
        <v>0.37461928934010147</v>
      </c>
    </row>
    <row r="269" spans="1:35" s="25" customFormat="1">
      <c r="A269" s="173" t="s">
        <v>1898</v>
      </c>
      <c r="B269" s="83" t="s">
        <v>1899</v>
      </c>
      <c r="C269" s="83" t="s">
        <v>1900</v>
      </c>
      <c r="D269" s="83" t="s">
        <v>1901</v>
      </c>
      <c r="E269" s="85">
        <v>2.7</v>
      </c>
      <c r="F269" s="85" t="s">
        <v>39</v>
      </c>
      <c r="G269" s="132">
        <v>15300</v>
      </c>
      <c r="H269" s="133">
        <v>13200</v>
      </c>
      <c r="I269" s="133">
        <v>2070</v>
      </c>
      <c r="J269" s="129">
        <v>26.4</v>
      </c>
      <c r="K269" s="130">
        <v>25.9</v>
      </c>
      <c r="L269" s="130">
        <v>14.2</v>
      </c>
      <c r="M269" s="130">
        <v>11.7</v>
      </c>
      <c r="N269" s="126">
        <v>0.441</v>
      </c>
      <c r="O269" s="129">
        <v>10.9</v>
      </c>
      <c r="P269" s="130">
        <v>10.8</v>
      </c>
      <c r="Q269" s="130">
        <v>1.42</v>
      </c>
      <c r="R269" s="130">
        <v>9.43</v>
      </c>
      <c r="S269" s="126">
        <v>2.3900000000000001E-2</v>
      </c>
      <c r="T269" s="129">
        <v>15.5</v>
      </c>
      <c r="U269" s="130">
        <v>15.1</v>
      </c>
      <c r="V269" s="130">
        <v>12.8</v>
      </c>
      <c r="W269" s="130">
        <v>2.2599999999999998</v>
      </c>
      <c r="X269" s="126">
        <v>0.41699999999999998</v>
      </c>
      <c r="Y269" s="124">
        <v>5.08</v>
      </c>
      <c r="Z269" s="125">
        <v>3.23</v>
      </c>
      <c r="AA269" s="125">
        <v>1.86</v>
      </c>
      <c r="AB269" s="125">
        <v>1.01</v>
      </c>
      <c r="AC269" s="67">
        <f t="shared" si="14"/>
        <v>3.7033333333333331</v>
      </c>
      <c r="AD269" s="120" t="s">
        <v>1902</v>
      </c>
      <c r="AE269" s="25" t="s">
        <v>1903</v>
      </c>
      <c r="AF269" s="774">
        <v>3.56</v>
      </c>
      <c r="AG269" s="775">
        <v>2.4300000000000002</v>
      </c>
      <c r="AH269" s="775">
        <v>1.1399999999999999</v>
      </c>
      <c r="AI269" s="786">
        <f t="shared" si="9"/>
        <v>0.29921259842519687</v>
      </c>
    </row>
    <row r="270" spans="1:35" s="25" customFormat="1">
      <c r="A270" s="173" t="s">
        <v>1904</v>
      </c>
      <c r="B270" s="83" t="s">
        <v>1905</v>
      </c>
      <c r="C270" s="83" t="s">
        <v>1906</v>
      </c>
      <c r="D270" s="83" t="s">
        <v>1907</v>
      </c>
      <c r="E270" s="85">
        <v>95</v>
      </c>
      <c r="F270" s="85" t="s">
        <v>39</v>
      </c>
      <c r="G270" s="132">
        <v>28200</v>
      </c>
      <c r="H270" s="133">
        <v>24200</v>
      </c>
      <c r="I270" s="133">
        <v>4060</v>
      </c>
      <c r="J270" s="142">
        <v>44.8</v>
      </c>
      <c r="K270" s="141">
        <v>39.5</v>
      </c>
      <c r="L270" s="141">
        <v>39.5</v>
      </c>
      <c r="M270" s="141">
        <v>0</v>
      </c>
      <c r="N270" s="125">
        <v>5.23</v>
      </c>
      <c r="O270" s="142">
        <v>4.13</v>
      </c>
      <c r="P270" s="141">
        <v>3.92</v>
      </c>
      <c r="Q270" s="141">
        <v>3.92</v>
      </c>
      <c r="R270" s="141">
        <v>0</v>
      </c>
      <c r="S270" s="125">
        <v>0.20799999999999999</v>
      </c>
      <c r="T270" s="142">
        <v>40.6</v>
      </c>
      <c r="U270" s="141">
        <v>35.6</v>
      </c>
      <c r="V270" s="141">
        <v>35.6</v>
      </c>
      <c r="W270" s="141">
        <v>0</v>
      </c>
      <c r="X270" s="125">
        <v>5.0199999999999996</v>
      </c>
      <c r="Y270" s="129">
        <v>17.3</v>
      </c>
      <c r="Z270" s="130">
        <v>16.100000000000001</v>
      </c>
      <c r="AA270" s="126">
        <v>1.22</v>
      </c>
      <c r="AB270" s="126">
        <v>0</v>
      </c>
      <c r="AC270" s="67">
        <f t="shared" si="14"/>
        <v>0</v>
      </c>
      <c r="AD270" s="120" t="s">
        <v>1908</v>
      </c>
      <c r="AE270" s="25" t="s">
        <v>1909</v>
      </c>
      <c r="AF270" s="778">
        <v>4.6100000000000003</v>
      </c>
      <c r="AG270" s="777">
        <v>4.57</v>
      </c>
      <c r="AH270" s="773">
        <v>4.2299999999999997E-2</v>
      </c>
      <c r="AI270" s="786">
        <f t="shared" si="9"/>
        <v>0.73352601156069364</v>
      </c>
    </row>
    <row r="271" spans="1:35" s="25" customFormat="1">
      <c r="A271" s="113" t="s">
        <v>1910</v>
      </c>
      <c r="B271" s="76" t="s">
        <v>1911</v>
      </c>
      <c r="C271" s="75"/>
      <c r="D271" s="76"/>
      <c r="E271" s="77" t="s">
        <v>893</v>
      </c>
      <c r="F271" s="78"/>
      <c r="G271" s="78"/>
      <c r="H271" s="78"/>
      <c r="I271" s="78"/>
      <c r="J271" s="114"/>
      <c r="K271" s="80"/>
      <c r="L271" s="80"/>
      <c r="M271" s="80"/>
      <c r="N271" s="115"/>
      <c r="O271" s="114"/>
      <c r="P271" s="80"/>
      <c r="Q271" s="80"/>
      <c r="R271" s="80"/>
      <c r="S271" s="115"/>
      <c r="T271" s="79"/>
      <c r="U271" s="80"/>
      <c r="V271" s="80"/>
      <c r="W271" s="80"/>
      <c r="X271" s="80"/>
      <c r="Y271" s="79"/>
      <c r="Z271" s="80"/>
      <c r="AA271" s="139"/>
      <c r="AB271" s="139"/>
      <c r="AC271" s="139"/>
      <c r="AD271" s="116" t="s">
        <v>1912</v>
      </c>
      <c r="AI271" s="786"/>
    </row>
    <row r="272" spans="1:35" s="25" customFormat="1">
      <c r="A272" s="173">
        <v>12.005000000000001</v>
      </c>
      <c r="B272" s="83" t="s">
        <v>1913</v>
      </c>
      <c r="C272" s="83" t="s">
        <v>1914</v>
      </c>
      <c r="D272" s="83" t="s">
        <v>1915</v>
      </c>
      <c r="E272" s="85">
        <v>25</v>
      </c>
      <c r="F272" s="85" t="s">
        <v>39</v>
      </c>
      <c r="G272" s="132">
        <v>395000</v>
      </c>
      <c r="H272" s="133">
        <v>378000</v>
      </c>
      <c r="I272" s="133">
        <v>17400</v>
      </c>
      <c r="J272" s="140">
        <v>1030</v>
      </c>
      <c r="K272" s="117">
        <v>1020</v>
      </c>
      <c r="L272" s="117">
        <v>1020</v>
      </c>
      <c r="M272" s="117">
        <v>0</v>
      </c>
      <c r="N272" s="130">
        <v>5.84</v>
      </c>
      <c r="O272" s="140">
        <v>117</v>
      </c>
      <c r="P272" s="117">
        <v>116</v>
      </c>
      <c r="Q272" s="117">
        <v>116</v>
      </c>
      <c r="R272" s="117">
        <v>0</v>
      </c>
      <c r="S272" s="130">
        <v>0.48099999999999998</v>
      </c>
      <c r="T272" s="140">
        <v>912</v>
      </c>
      <c r="U272" s="117">
        <v>906</v>
      </c>
      <c r="V272" s="117">
        <v>906</v>
      </c>
      <c r="W272" s="117">
        <v>0</v>
      </c>
      <c r="X272" s="130">
        <v>5.36</v>
      </c>
      <c r="Y272" s="129">
        <v>216</v>
      </c>
      <c r="Z272" s="130">
        <v>201</v>
      </c>
      <c r="AA272" s="125">
        <v>14.8</v>
      </c>
      <c r="AB272" s="125">
        <v>0</v>
      </c>
      <c r="AC272" s="67">
        <f t="shared" si="14"/>
        <v>0</v>
      </c>
      <c r="AD272" s="120" t="s">
        <v>1916</v>
      </c>
      <c r="AE272" s="25" t="s">
        <v>1917</v>
      </c>
      <c r="AF272" s="1117">
        <f>AG272+AH272</f>
        <v>69.752614379084974</v>
      </c>
      <c r="AG272" s="1117">
        <v>65.88333333333334</v>
      </c>
      <c r="AH272" s="1117">
        <v>3.8692810457516336</v>
      </c>
      <c r="AI272" s="786">
        <v>0.68</v>
      </c>
    </row>
    <row r="273" spans="1:35" s="25" customFormat="1">
      <c r="A273" s="173">
        <v>12.006</v>
      </c>
      <c r="B273" s="83" t="s">
        <v>1918</v>
      </c>
      <c r="C273" s="83" t="s">
        <v>1919</v>
      </c>
      <c r="D273" s="83" t="s">
        <v>1920</v>
      </c>
      <c r="E273" s="85">
        <v>25</v>
      </c>
      <c r="F273" s="85" t="s">
        <v>39</v>
      </c>
      <c r="G273" s="132">
        <v>385000</v>
      </c>
      <c r="H273" s="133">
        <v>375000</v>
      </c>
      <c r="I273" s="133">
        <v>10500</v>
      </c>
      <c r="J273" s="140">
        <v>979</v>
      </c>
      <c r="K273" s="117">
        <v>979</v>
      </c>
      <c r="L273" s="117">
        <v>979</v>
      </c>
      <c r="M273" s="117">
        <v>0</v>
      </c>
      <c r="N273" s="130">
        <v>0.82199999999999995</v>
      </c>
      <c r="O273" s="140">
        <v>142</v>
      </c>
      <c r="P273" s="117">
        <v>142</v>
      </c>
      <c r="Q273" s="117">
        <v>142</v>
      </c>
      <c r="R273" s="117">
        <v>0</v>
      </c>
      <c r="S273" s="130">
        <v>2.63E-2</v>
      </c>
      <c r="T273" s="140">
        <v>838</v>
      </c>
      <c r="U273" s="117">
        <v>837</v>
      </c>
      <c r="V273" s="117">
        <v>837</v>
      </c>
      <c r="W273" s="117">
        <v>0</v>
      </c>
      <c r="X273" s="130">
        <v>0.79600000000000004</v>
      </c>
      <c r="Y273" s="129">
        <v>193</v>
      </c>
      <c r="Z273" s="130">
        <v>183</v>
      </c>
      <c r="AA273" s="125">
        <v>10</v>
      </c>
      <c r="AB273" s="125">
        <v>0</v>
      </c>
      <c r="AC273" s="67">
        <f t="shared" si="14"/>
        <v>0</v>
      </c>
      <c r="AD273" s="120" t="s">
        <v>1921</v>
      </c>
      <c r="AE273" s="25" t="s">
        <v>1922</v>
      </c>
      <c r="AF273" s="1117">
        <f t="shared" ref="AF273:AF283" si="15">AG273+AH273</f>
        <v>62.597712418300659</v>
      </c>
      <c r="AG273" s="1117">
        <v>59.983333333333341</v>
      </c>
      <c r="AH273" s="1117">
        <v>2.6143790849673199</v>
      </c>
      <c r="AI273" s="786">
        <v>0.68</v>
      </c>
    </row>
    <row r="274" spans="1:35" s="25" customFormat="1">
      <c r="A274" s="173">
        <v>12.007999999999999</v>
      </c>
      <c r="B274" s="83" t="s">
        <v>1923</v>
      </c>
      <c r="C274" s="83" t="s">
        <v>1924</v>
      </c>
      <c r="D274" s="83" t="s">
        <v>1925</v>
      </c>
      <c r="E274" s="85">
        <v>40</v>
      </c>
      <c r="F274" s="85" t="s">
        <v>39</v>
      </c>
      <c r="G274" s="132">
        <v>125000</v>
      </c>
      <c r="H274" s="133">
        <v>116000</v>
      </c>
      <c r="I274" s="133">
        <v>9290</v>
      </c>
      <c r="J274" s="140">
        <v>548</v>
      </c>
      <c r="K274" s="117">
        <v>544</v>
      </c>
      <c r="L274" s="117">
        <v>336</v>
      </c>
      <c r="M274" s="117">
        <v>207</v>
      </c>
      <c r="N274" s="130">
        <v>4.33</v>
      </c>
      <c r="O274" s="140">
        <v>283</v>
      </c>
      <c r="P274" s="117">
        <v>283</v>
      </c>
      <c r="Q274" s="117">
        <v>102</v>
      </c>
      <c r="R274" s="117">
        <v>181</v>
      </c>
      <c r="S274" s="130">
        <v>0.13800000000000001</v>
      </c>
      <c r="T274" s="140">
        <v>265</v>
      </c>
      <c r="U274" s="117">
        <v>261</v>
      </c>
      <c r="V274" s="117">
        <v>234</v>
      </c>
      <c r="W274" s="117">
        <v>26.3</v>
      </c>
      <c r="X274" s="130">
        <v>4.1900000000000004</v>
      </c>
      <c r="Y274" s="129">
        <v>62.3</v>
      </c>
      <c r="Z274" s="130">
        <v>54.7</v>
      </c>
      <c r="AA274" s="125">
        <v>7.65</v>
      </c>
      <c r="AB274" s="125">
        <v>15.5</v>
      </c>
      <c r="AC274" s="67">
        <f t="shared" si="14"/>
        <v>56.833333333333329</v>
      </c>
      <c r="AD274" s="120" t="s">
        <v>1926</v>
      </c>
      <c r="AE274" s="25" t="s">
        <v>1927</v>
      </c>
      <c r="AF274" s="1117">
        <f t="shared" si="15"/>
        <v>36.918923435225622</v>
      </c>
      <c r="AG274" s="1117">
        <v>32.96586666666667</v>
      </c>
      <c r="AH274" s="1117">
        <v>3.9530567685589513</v>
      </c>
      <c r="AI274" s="1118">
        <v>0.41</v>
      </c>
    </row>
    <row r="275" spans="1:35" s="25" customFormat="1">
      <c r="A275" s="173" t="s">
        <v>1928</v>
      </c>
      <c r="B275" s="83" t="s">
        <v>1929</v>
      </c>
      <c r="C275" s="83" t="s">
        <v>1930</v>
      </c>
      <c r="D275" s="83" t="s">
        <v>1931</v>
      </c>
      <c r="E275" s="85">
        <v>50</v>
      </c>
      <c r="F275" s="85" t="s">
        <v>39</v>
      </c>
      <c r="G275" s="132">
        <v>231000</v>
      </c>
      <c r="H275" s="133">
        <v>222000</v>
      </c>
      <c r="I275" s="133">
        <v>9290</v>
      </c>
      <c r="J275" s="140">
        <v>834</v>
      </c>
      <c r="K275" s="117">
        <v>829</v>
      </c>
      <c r="L275" s="117">
        <v>622</v>
      </c>
      <c r="M275" s="117">
        <v>207</v>
      </c>
      <c r="N275" s="130">
        <v>4.33</v>
      </c>
      <c r="O275" s="140">
        <v>328</v>
      </c>
      <c r="P275" s="117">
        <v>328</v>
      </c>
      <c r="Q275" s="117">
        <v>147</v>
      </c>
      <c r="R275" s="117">
        <v>181</v>
      </c>
      <c r="S275" s="130">
        <v>0.13800000000000001</v>
      </c>
      <c r="T275" s="140">
        <v>506</v>
      </c>
      <c r="U275" s="117">
        <v>502</v>
      </c>
      <c r="V275" s="117">
        <v>475</v>
      </c>
      <c r="W275" s="117">
        <v>26.3</v>
      </c>
      <c r="X275" s="130">
        <v>4.1900000000000004</v>
      </c>
      <c r="Y275" s="129">
        <v>116</v>
      </c>
      <c r="Z275" s="130">
        <v>108</v>
      </c>
      <c r="AA275" s="125">
        <v>7.65</v>
      </c>
      <c r="AB275" s="125">
        <v>15.5</v>
      </c>
      <c r="AC275" s="67">
        <f t="shared" si="14"/>
        <v>56.833333333333329</v>
      </c>
      <c r="AD275" s="120" t="s">
        <v>1932</v>
      </c>
      <c r="AE275" s="25" t="s">
        <v>1933</v>
      </c>
      <c r="AF275" s="1117">
        <f t="shared" si="15"/>
        <v>37.4</v>
      </c>
      <c r="AG275" s="777">
        <v>35.4</v>
      </c>
      <c r="AH275" s="777">
        <v>2</v>
      </c>
      <c r="AI275" s="786">
        <f t="shared" ref="AI275:AI318" si="16">(Y275-AF275)/Y275</f>
        <v>0.67758620689655169</v>
      </c>
    </row>
    <row r="276" spans="1:35" s="25" customFormat="1">
      <c r="A276" s="173" t="s">
        <v>1934</v>
      </c>
      <c r="B276" s="83" t="s">
        <v>1935</v>
      </c>
      <c r="C276" s="83" t="s">
        <v>1936</v>
      </c>
      <c r="D276" s="83" t="s">
        <v>1937</v>
      </c>
      <c r="E276" s="85">
        <v>50.1</v>
      </c>
      <c r="F276" s="85" t="s">
        <v>39</v>
      </c>
      <c r="G276" s="132">
        <v>161000</v>
      </c>
      <c r="H276" s="133">
        <v>149000</v>
      </c>
      <c r="I276" s="133">
        <v>12200</v>
      </c>
      <c r="J276" s="140">
        <v>605</v>
      </c>
      <c r="K276" s="117">
        <v>599</v>
      </c>
      <c r="L276" s="117">
        <v>424</v>
      </c>
      <c r="M276" s="117">
        <v>175</v>
      </c>
      <c r="N276" s="130">
        <v>6.65</v>
      </c>
      <c r="O276" s="140">
        <v>246</v>
      </c>
      <c r="P276" s="117">
        <v>246</v>
      </c>
      <c r="Q276" s="117">
        <v>92.6</v>
      </c>
      <c r="R276" s="117">
        <v>153</v>
      </c>
      <c r="S276" s="130">
        <v>0.316</v>
      </c>
      <c r="T276" s="140">
        <v>359</v>
      </c>
      <c r="U276" s="117">
        <v>353</v>
      </c>
      <c r="V276" s="117">
        <v>331</v>
      </c>
      <c r="W276" s="117">
        <v>21.2</v>
      </c>
      <c r="X276" s="130">
        <v>6.33</v>
      </c>
      <c r="Y276" s="129">
        <v>85.9</v>
      </c>
      <c r="Z276" s="130">
        <v>76.2</v>
      </c>
      <c r="AA276" s="125">
        <v>9.7100000000000009</v>
      </c>
      <c r="AB276" s="125">
        <v>13</v>
      </c>
      <c r="AC276" s="67">
        <f t="shared" si="14"/>
        <v>47.666666666666664</v>
      </c>
      <c r="AD276" s="120" t="s">
        <v>1938</v>
      </c>
      <c r="AE276" s="25" t="s">
        <v>1939</v>
      </c>
      <c r="AF276" s="1117">
        <f t="shared" si="15"/>
        <v>55.89</v>
      </c>
      <c r="AG276" s="777">
        <v>51.4</v>
      </c>
      <c r="AH276" s="777">
        <v>4.49</v>
      </c>
      <c r="AI276" s="786">
        <f t="shared" si="16"/>
        <v>0.34935972060535508</v>
      </c>
    </row>
    <row r="277" spans="1:35" s="25" customFormat="1">
      <c r="A277" s="173">
        <v>12.007</v>
      </c>
      <c r="B277" s="83" t="s">
        <v>1940</v>
      </c>
      <c r="C277" s="83" t="s">
        <v>1941</v>
      </c>
      <c r="D277" s="83" t="s">
        <v>1942</v>
      </c>
      <c r="E277" s="85">
        <v>25</v>
      </c>
      <c r="F277" s="85" t="s">
        <v>39</v>
      </c>
      <c r="G277" s="132">
        <v>316000</v>
      </c>
      <c r="H277" s="133">
        <v>306000</v>
      </c>
      <c r="I277" s="133">
        <v>10500</v>
      </c>
      <c r="J277" s="140">
        <v>826</v>
      </c>
      <c r="K277" s="117">
        <v>822</v>
      </c>
      <c r="L277" s="117">
        <v>822</v>
      </c>
      <c r="M277" s="117">
        <v>0</v>
      </c>
      <c r="N277" s="130">
        <v>3.95</v>
      </c>
      <c r="O277" s="140">
        <v>103</v>
      </c>
      <c r="P277" s="117">
        <v>103</v>
      </c>
      <c r="Q277" s="117">
        <v>103</v>
      </c>
      <c r="R277" s="117">
        <v>0</v>
      </c>
      <c r="S277" s="130">
        <v>0.33300000000000002</v>
      </c>
      <c r="T277" s="140">
        <v>723</v>
      </c>
      <c r="U277" s="117">
        <v>719</v>
      </c>
      <c r="V277" s="117">
        <v>719</v>
      </c>
      <c r="W277" s="117">
        <v>0</v>
      </c>
      <c r="X277" s="130">
        <v>3.61</v>
      </c>
      <c r="Y277" s="129">
        <v>166</v>
      </c>
      <c r="Z277" s="130">
        <v>158</v>
      </c>
      <c r="AA277" s="125">
        <v>8.7100000000000009</v>
      </c>
      <c r="AB277" s="125">
        <v>0</v>
      </c>
      <c r="AC277" s="67">
        <f t="shared" si="14"/>
        <v>0</v>
      </c>
      <c r="AD277" s="120" t="s">
        <v>1943</v>
      </c>
      <c r="AE277" s="25" t="s">
        <v>1944</v>
      </c>
      <c r="AF277" s="1117">
        <f t="shared" si="15"/>
        <v>0</v>
      </c>
      <c r="AG277" s="1117"/>
      <c r="AH277" s="1117"/>
      <c r="AI277" s="786"/>
    </row>
    <row r="278" spans="1:35" s="25" customFormat="1">
      <c r="A278" s="173">
        <v>12.009</v>
      </c>
      <c r="B278" s="83" t="s">
        <v>1945</v>
      </c>
      <c r="C278" s="83" t="s">
        <v>1946</v>
      </c>
      <c r="D278" s="83" t="s">
        <v>1947</v>
      </c>
      <c r="E278" s="85">
        <v>46.7</v>
      </c>
      <c r="F278" s="85" t="s">
        <v>39</v>
      </c>
      <c r="G278" s="132">
        <v>88000</v>
      </c>
      <c r="H278" s="133">
        <v>79400</v>
      </c>
      <c r="I278" s="133">
        <v>8550</v>
      </c>
      <c r="J278" s="140">
        <v>470</v>
      </c>
      <c r="K278" s="117">
        <v>465</v>
      </c>
      <c r="L278" s="117">
        <v>246</v>
      </c>
      <c r="M278" s="117">
        <v>218</v>
      </c>
      <c r="N278" s="130">
        <v>5.07</v>
      </c>
      <c r="O278" s="140">
        <v>279</v>
      </c>
      <c r="P278" s="117">
        <v>279</v>
      </c>
      <c r="Q278" s="117">
        <v>88.4</v>
      </c>
      <c r="R278" s="117">
        <v>191</v>
      </c>
      <c r="S278" s="130">
        <v>0.17899999999999999</v>
      </c>
      <c r="T278" s="140">
        <v>190</v>
      </c>
      <c r="U278" s="117">
        <v>185</v>
      </c>
      <c r="V278" s="117">
        <v>158</v>
      </c>
      <c r="W278" s="117">
        <v>27.5</v>
      </c>
      <c r="X278" s="130">
        <v>4.8899999999999997</v>
      </c>
      <c r="Y278" s="129">
        <v>44.4</v>
      </c>
      <c r="Z278" s="130">
        <v>37.5</v>
      </c>
      <c r="AA278" s="125">
        <v>6.87</v>
      </c>
      <c r="AB278" s="125">
        <v>17.3</v>
      </c>
      <c r="AC278" s="67">
        <f t="shared" si="14"/>
        <v>63.43333333333333</v>
      </c>
      <c r="AD278" s="120" t="s">
        <v>1948</v>
      </c>
      <c r="AE278" s="25" t="s">
        <v>1949</v>
      </c>
      <c r="AF278" s="1117">
        <f t="shared" si="15"/>
        <v>26.150000000000002</v>
      </c>
      <c r="AG278" s="777">
        <v>22.6</v>
      </c>
      <c r="AH278" s="777">
        <v>3.55</v>
      </c>
      <c r="AI278" s="786">
        <f t="shared" si="16"/>
        <v>0.41103603603603595</v>
      </c>
    </row>
    <row r="279" spans="1:35" s="25" customFormat="1">
      <c r="A279" s="173">
        <v>12.012</v>
      </c>
      <c r="B279" s="83" t="s">
        <v>1950</v>
      </c>
      <c r="C279" s="83" t="s">
        <v>1951</v>
      </c>
      <c r="D279" s="83" t="s">
        <v>1952</v>
      </c>
      <c r="E279" s="85">
        <v>46.7</v>
      </c>
      <c r="F279" s="85" t="s">
        <v>39</v>
      </c>
      <c r="G279" s="132">
        <v>181000</v>
      </c>
      <c r="H279" s="133">
        <v>173000</v>
      </c>
      <c r="I279" s="133">
        <v>7930</v>
      </c>
      <c r="J279" s="140">
        <v>588</v>
      </c>
      <c r="K279" s="117">
        <v>584</v>
      </c>
      <c r="L279" s="117">
        <v>420</v>
      </c>
      <c r="M279" s="117">
        <v>164</v>
      </c>
      <c r="N279" s="130">
        <v>4.53</v>
      </c>
      <c r="O279" s="140">
        <v>231</v>
      </c>
      <c r="P279" s="117">
        <v>231</v>
      </c>
      <c r="Q279" s="117">
        <v>93.3</v>
      </c>
      <c r="R279" s="117">
        <v>138</v>
      </c>
      <c r="S279" s="130">
        <v>0.17100000000000001</v>
      </c>
      <c r="T279" s="140">
        <v>357</v>
      </c>
      <c r="U279" s="117">
        <v>353</v>
      </c>
      <c r="V279" s="117">
        <v>326</v>
      </c>
      <c r="W279" s="117">
        <v>26.3</v>
      </c>
      <c r="X279" s="130">
        <v>4.3600000000000003</v>
      </c>
      <c r="Y279" s="129">
        <v>97</v>
      </c>
      <c r="Z279" s="130">
        <v>90.5</v>
      </c>
      <c r="AA279" s="125">
        <v>6.47</v>
      </c>
      <c r="AB279" s="125">
        <v>13.7</v>
      </c>
      <c r="AC279" s="67">
        <f t="shared" si="14"/>
        <v>50.233333333333327</v>
      </c>
      <c r="AD279" s="120" t="s">
        <v>1953</v>
      </c>
      <c r="AE279" s="25" t="s">
        <v>1954</v>
      </c>
      <c r="AF279" s="1117">
        <f t="shared" si="15"/>
        <v>31.355392156862752</v>
      </c>
      <c r="AG279" s="1117">
        <v>29.663888888888895</v>
      </c>
      <c r="AH279" s="1117">
        <v>1.691503267973856</v>
      </c>
      <c r="AI279" s="786">
        <v>0.68</v>
      </c>
    </row>
    <row r="280" spans="1:35" s="25" customFormat="1">
      <c r="A280" s="173" t="s">
        <v>1955</v>
      </c>
      <c r="B280" s="83" t="s">
        <v>1956</v>
      </c>
      <c r="C280" s="83" t="s">
        <v>1957</v>
      </c>
      <c r="D280" s="83" t="s">
        <v>1958</v>
      </c>
      <c r="E280" s="85">
        <v>39.9</v>
      </c>
      <c r="F280" s="85" t="s">
        <v>39</v>
      </c>
      <c r="G280" s="132">
        <v>109000</v>
      </c>
      <c r="H280" s="133">
        <v>100000</v>
      </c>
      <c r="I280" s="133">
        <v>8900</v>
      </c>
      <c r="J280" s="140">
        <v>455</v>
      </c>
      <c r="K280" s="117">
        <v>449</v>
      </c>
      <c r="L280" s="117">
        <v>307</v>
      </c>
      <c r="M280" s="117">
        <v>142</v>
      </c>
      <c r="N280" s="130">
        <v>5.53</v>
      </c>
      <c r="O280" s="140">
        <v>200</v>
      </c>
      <c r="P280" s="117">
        <v>200</v>
      </c>
      <c r="Q280" s="117">
        <v>72.599999999999994</v>
      </c>
      <c r="R280" s="117">
        <v>127</v>
      </c>
      <c r="S280" s="130">
        <v>0.27500000000000002</v>
      </c>
      <c r="T280" s="140">
        <v>255</v>
      </c>
      <c r="U280" s="117">
        <v>250</v>
      </c>
      <c r="V280" s="117">
        <v>235</v>
      </c>
      <c r="W280" s="117">
        <v>14.9</v>
      </c>
      <c r="X280" s="130">
        <v>5.25</v>
      </c>
      <c r="Y280" s="129">
        <v>59.8</v>
      </c>
      <c r="Z280" s="130">
        <v>52.9</v>
      </c>
      <c r="AA280" s="125">
        <v>6.93</v>
      </c>
      <c r="AB280" s="125">
        <v>11</v>
      </c>
      <c r="AC280" s="67">
        <f t="shared" si="14"/>
        <v>40.333333333333329</v>
      </c>
      <c r="AD280" s="120" t="s">
        <v>1959</v>
      </c>
      <c r="AE280" s="25" t="s">
        <v>1960</v>
      </c>
      <c r="AF280" s="1117">
        <f t="shared" si="15"/>
        <v>44.7</v>
      </c>
      <c r="AG280" s="777">
        <v>38.700000000000003</v>
      </c>
      <c r="AH280" s="777">
        <v>6</v>
      </c>
      <c r="AI280" s="786">
        <f t="shared" si="16"/>
        <v>0.25250836120401332</v>
      </c>
    </row>
    <row r="281" spans="1:35" s="25" customFormat="1">
      <c r="A281" s="173">
        <v>12.010999999999999</v>
      </c>
      <c r="B281" s="83" t="s">
        <v>1961</v>
      </c>
      <c r="C281" s="83" t="s">
        <v>1962</v>
      </c>
      <c r="D281" s="83" t="s">
        <v>1963</v>
      </c>
      <c r="E281" s="85">
        <v>43.9</v>
      </c>
      <c r="F281" s="85" t="s">
        <v>39</v>
      </c>
      <c r="G281" s="132">
        <v>202000</v>
      </c>
      <c r="H281" s="133">
        <v>194000</v>
      </c>
      <c r="I281" s="133">
        <v>8290</v>
      </c>
      <c r="J281" s="140">
        <v>574</v>
      </c>
      <c r="K281" s="117">
        <v>569</v>
      </c>
      <c r="L281" s="117">
        <v>480</v>
      </c>
      <c r="M281" s="117">
        <v>88.1</v>
      </c>
      <c r="N281" s="130">
        <v>4.99</v>
      </c>
      <c r="O281" s="140">
        <v>152</v>
      </c>
      <c r="P281" s="117">
        <v>152</v>
      </c>
      <c r="Q281" s="117">
        <v>77.400000000000006</v>
      </c>
      <c r="R281" s="117">
        <v>74.400000000000006</v>
      </c>
      <c r="S281" s="130">
        <v>0.26600000000000001</v>
      </c>
      <c r="T281" s="140">
        <v>421</v>
      </c>
      <c r="U281" s="117">
        <v>417</v>
      </c>
      <c r="V281" s="117">
        <v>403</v>
      </c>
      <c r="W281" s="117">
        <v>13.7</v>
      </c>
      <c r="X281" s="130">
        <v>4.7300000000000004</v>
      </c>
      <c r="Y281" s="129">
        <v>112</v>
      </c>
      <c r="Z281" s="130">
        <v>106</v>
      </c>
      <c r="AA281" s="125">
        <v>6.54</v>
      </c>
      <c r="AB281" s="125">
        <v>7.46</v>
      </c>
      <c r="AC281" s="67">
        <f t="shared" si="14"/>
        <v>27.353333333333332</v>
      </c>
      <c r="AD281" s="120" t="s">
        <v>1964</v>
      </c>
      <c r="AE281" s="25" t="s">
        <v>1965</v>
      </c>
      <c r="AF281" s="1117">
        <f t="shared" si="15"/>
        <v>112.54</v>
      </c>
      <c r="AG281" s="1117">
        <v>106</v>
      </c>
      <c r="AH281" s="1117">
        <v>6.54</v>
      </c>
      <c r="AI281" s="786"/>
    </row>
    <row r="282" spans="1:35" s="25" customFormat="1">
      <c r="A282" s="173" t="s">
        <v>1966</v>
      </c>
      <c r="B282" s="83" t="s">
        <v>1967</v>
      </c>
      <c r="C282" s="83" t="s">
        <v>1968</v>
      </c>
      <c r="D282" s="83" t="s">
        <v>1969</v>
      </c>
      <c r="E282" s="85">
        <v>34.6</v>
      </c>
      <c r="F282" s="85" t="s">
        <v>39</v>
      </c>
      <c r="G282" s="132">
        <v>64600</v>
      </c>
      <c r="H282" s="133">
        <v>57900</v>
      </c>
      <c r="I282" s="133">
        <v>6710</v>
      </c>
      <c r="J282" s="140">
        <v>347</v>
      </c>
      <c r="K282" s="117">
        <v>343</v>
      </c>
      <c r="L282" s="117">
        <v>185</v>
      </c>
      <c r="M282" s="117">
        <v>158</v>
      </c>
      <c r="N282" s="130">
        <v>3.58</v>
      </c>
      <c r="O282" s="140">
        <v>206</v>
      </c>
      <c r="P282" s="117">
        <v>206</v>
      </c>
      <c r="Q282" s="117">
        <v>66.8</v>
      </c>
      <c r="R282" s="117">
        <v>139</v>
      </c>
      <c r="S282" s="130">
        <v>0.124</v>
      </c>
      <c r="T282" s="140">
        <v>141</v>
      </c>
      <c r="U282" s="117">
        <v>137</v>
      </c>
      <c r="V282" s="117">
        <v>118</v>
      </c>
      <c r="W282" s="117">
        <v>18.899999999999999</v>
      </c>
      <c r="X282" s="130">
        <v>3.46</v>
      </c>
      <c r="Y282" s="129">
        <v>32.4</v>
      </c>
      <c r="Z282" s="130">
        <v>27</v>
      </c>
      <c r="AA282" s="130">
        <v>5.4</v>
      </c>
      <c r="AB282" s="130">
        <v>12.4</v>
      </c>
      <c r="AC282" s="67">
        <f t="shared" si="14"/>
        <v>45.466666666666669</v>
      </c>
      <c r="AD282" s="120" t="s">
        <v>1970</v>
      </c>
      <c r="AE282" s="25" t="s">
        <v>1971</v>
      </c>
      <c r="AF282" s="1117">
        <f t="shared" si="15"/>
        <v>19.06239301310044</v>
      </c>
      <c r="AG282" s="1117">
        <v>16.272000000000002</v>
      </c>
      <c r="AH282" s="1117">
        <v>2.7903930131004362</v>
      </c>
      <c r="AI282" s="1118">
        <v>0.41</v>
      </c>
    </row>
    <row r="283" spans="1:35" s="25" customFormat="1">
      <c r="A283" s="173" t="s">
        <v>1972</v>
      </c>
      <c r="B283" s="83" t="s">
        <v>1973</v>
      </c>
      <c r="C283" s="83" t="s">
        <v>1974</v>
      </c>
      <c r="D283" s="83" t="s">
        <v>1975</v>
      </c>
      <c r="E283" s="85">
        <v>30.6</v>
      </c>
      <c r="F283" s="85" t="s">
        <v>39</v>
      </c>
      <c r="G283" s="132">
        <v>158000</v>
      </c>
      <c r="H283" s="133">
        <v>152000</v>
      </c>
      <c r="I283" s="133">
        <v>6100</v>
      </c>
      <c r="J283" s="140">
        <v>465</v>
      </c>
      <c r="K283" s="117">
        <v>462</v>
      </c>
      <c r="L283" s="117">
        <v>358</v>
      </c>
      <c r="M283" s="117">
        <v>104</v>
      </c>
      <c r="N283" s="130">
        <v>3.05</v>
      </c>
      <c r="O283" s="140">
        <v>158</v>
      </c>
      <c r="P283" s="117">
        <v>158</v>
      </c>
      <c r="Q283" s="117">
        <v>71.7</v>
      </c>
      <c r="R283" s="117">
        <v>86.2</v>
      </c>
      <c r="S283" s="130">
        <v>0.11600000000000001</v>
      </c>
      <c r="T283" s="140">
        <v>307</v>
      </c>
      <c r="U283" s="117">
        <v>304</v>
      </c>
      <c r="V283" s="117">
        <v>287</v>
      </c>
      <c r="W283" s="117">
        <v>17.7</v>
      </c>
      <c r="X283" s="130">
        <v>2.93</v>
      </c>
      <c r="Y283" s="129">
        <v>85</v>
      </c>
      <c r="Z283" s="130">
        <v>80</v>
      </c>
      <c r="AA283" s="130">
        <v>5</v>
      </c>
      <c r="AB283" s="130">
        <v>8.83</v>
      </c>
      <c r="AC283" s="67">
        <f t="shared" si="14"/>
        <v>32.376666666666665</v>
      </c>
      <c r="AD283" s="120" t="s">
        <v>1976</v>
      </c>
      <c r="AE283" s="25" t="s">
        <v>1977</v>
      </c>
      <c r="AF283" s="1117">
        <f t="shared" si="15"/>
        <v>27.529411764705888</v>
      </c>
      <c r="AG283" s="1117">
        <v>26.222222222222229</v>
      </c>
      <c r="AH283" s="1117">
        <v>1.3071895424836599</v>
      </c>
      <c r="AI283" s="786">
        <v>0.68</v>
      </c>
    </row>
    <row r="284" spans="1:35" s="25" customFormat="1" ht="14.25">
      <c r="A284" s="113" t="s">
        <v>1978</v>
      </c>
      <c r="B284" s="76" t="s">
        <v>1979</v>
      </c>
      <c r="C284" s="75"/>
      <c r="D284" s="76"/>
      <c r="E284" s="77" t="s">
        <v>1023</v>
      </c>
      <c r="F284" s="78"/>
      <c r="G284" s="78"/>
      <c r="H284" s="78"/>
      <c r="I284" s="78"/>
      <c r="J284" s="178"/>
      <c r="K284" s="80"/>
      <c r="L284" s="80"/>
      <c r="M284" s="80"/>
      <c r="N284" s="115"/>
      <c r="O284" s="178"/>
      <c r="P284" s="80"/>
      <c r="Q284" s="80"/>
      <c r="R284" s="80"/>
      <c r="S284" s="115"/>
      <c r="T284" s="79"/>
      <c r="U284" s="80"/>
      <c r="V284" s="80"/>
      <c r="W284" s="80"/>
      <c r="X284" s="80"/>
      <c r="Y284" s="79"/>
      <c r="Z284" s="80"/>
      <c r="AA284" s="80"/>
      <c r="AB284" s="80"/>
      <c r="AC284" s="80"/>
      <c r="AD284" s="116" t="s">
        <v>1980</v>
      </c>
      <c r="AI284" s="786"/>
    </row>
    <row r="285" spans="1:35" s="25" customFormat="1">
      <c r="A285" s="173" t="s">
        <v>1981</v>
      </c>
      <c r="B285" s="83" t="s">
        <v>1982</v>
      </c>
      <c r="C285" s="83" t="s">
        <v>1983</v>
      </c>
      <c r="D285" s="83" t="s">
        <v>1984</v>
      </c>
      <c r="E285" s="117">
        <v>1050</v>
      </c>
      <c r="F285" s="85" t="s">
        <v>202</v>
      </c>
      <c r="G285" s="132">
        <v>9780</v>
      </c>
      <c r="H285" s="133">
        <v>6790</v>
      </c>
      <c r="I285" s="133">
        <v>2980</v>
      </c>
      <c r="J285" s="142">
        <v>30.4</v>
      </c>
      <c r="K285" s="141">
        <v>29.6</v>
      </c>
      <c r="L285" s="141">
        <v>21</v>
      </c>
      <c r="M285" s="141">
        <v>8.58</v>
      </c>
      <c r="N285" s="126">
        <v>0.76200000000000001</v>
      </c>
      <c r="O285" s="142">
        <v>0.42899999999999999</v>
      </c>
      <c r="P285" s="141">
        <v>0.40799999999999997</v>
      </c>
      <c r="Q285" s="141">
        <v>0.40799999999999997</v>
      </c>
      <c r="R285" s="141">
        <v>0</v>
      </c>
      <c r="S285" s="126">
        <v>2.1000000000000001E-2</v>
      </c>
      <c r="T285" s="142">
        <v>30</v>
      </c>
      <c r="U285" s="141">
        <v>29.2</v>
      </c>
      <c r="V285" s="141">
        <v>20.6</v>
      </c>
      <c r="W285" s="141">
        <v>8.58</v>
      </c>
      <c r="X285" s="126">
        <v>0.74099999999999999</v>
      </c>
      <c r="Y285" s="124">
        <v>7.67</v>
      </c>
      <c r="Z285" s="125">
        <v>4.92</v>
      </c>
      <c r="AA285" s="125">
        <v>2.75</v>
      </c>
      <c r="AB285" s="125">
        <v>0</v>
      </c>
      <c r="AC285" s="67">
        <f t="shared" si="14"/>
        <v>0</v>
      </c>
      <c r="AD285" s="120" t="s">
        <v>1985</v>
      </c>
      <c r="AE285" s="25" t="s">
        <v>1986</v>
      </c>
      <c r="AF285" s="774">
        <v>7.65</v>
      </c>
      <c r="AG285" s="775">
        <v>4.63</v>
      </c>
      <c r="AH285" s="775">
        <v>3.02</v>
      </c>
      <c r="AI285" s="786">
        <f t="shared" si="16"/>
        <v>2.6075619295957723E-3</v>
      </c>
    </row>
    <row r="286" spans="1:35" s="25" customFormat="1">
      <c r="A286" s="173" t="s">
        <v>1987</v>
      </c>
      <c r="B286" s="83" t="s">
        <v>1988</v>
      </c>
      <c r="C286" s="83" t="s">
        <v>1402</v>
      </c>
      <c r="D286" s="83" t="s">
        <v>1403</v>
      </c>
      <c r="E286" s="117">
        <v>7850</v>
      </c>
      <c r="F286" s="85" t="s">
        <v>202</v>
      </c>
      <c r="G286" s="132">
        <v>5670</v>
      </c>
      <c r="H286" s="133">
        <v>5660</v>
      </c>
      <c r="I286" s="133">
        <v>11.2</v>
      </c>
      <c r="J286" s="129">
        <v>5.75</v>
      </c>
      <c r="K286" s="130">
        <v>5.72</v>
      </c>
      <c r="L286" s="130">
        <v>5.72</v>
      </c>
      <c r="M286" s="130">
        <v>0</v>
      </c>
      <c r="N286" s="130">
        <v>2.7900000000000001E-2</v>
      </c>
      <c r="O286" s="129">
        <v>0.26800000000000002</v>
      </c>
      <c r="P286" s="130">
        <v>0.26800000000000002</v>
      </c>
      <c r="Q286" s="130">
        <v>0.26800000000000002</v>
      </c>
      <c r="R286" s="130">
        <v>0</v>
      </c>
      <c r="S286" s="130">
        <v>5.7899999999999998E-4</v>
      </c>
      <c r="T286" s="129">
        <v>5.48</v>
      </c>
      <c r="U286" s="130">
        <v>5.45</v>
      </c>
      <c r="V286" s="130">
        <v>5.45</v>
      </c>
      <c r="W286" s="130">
        <v>0</v>
      </c>
      <c r="X286" s="130">
        <v>2.7300000000000001E-2</v>
      </c>
      <c r="Y286" s="124">
        <v>2.1</v>
      </c>
      <c r="Z286" s="125">
        <v>2.09</v>
      </c>
      <c r="AA286" s="125">
        <v>6.9899999999999997E-3</v>
      </c>
      <c r="AB286" s="125">
        <v>0</v>
      </c>
      <c r="AC286" s="67">
        <f t="shared" si="14"/>
        <v>0</v>
      </c>
      <c r="AD286" s="120" t="s">
        <v>1989</v>
      </c>
      <c r="AE286" s="25" t="s">
        <v>1405</v>
      </c>
      <c r="AF286" s="774">
        <v>1.18</v>
      </c>
      <c r="AG286" s="775">
        <v>1.18</v>
      </c>
      <c r="AH286" s="775">
        <v>0</v>
      </c>
      <c r="AI286" s="786">
        <f t="shared" si="16"/>
        <v>0.43809523809523815</v>
      </c>
    </row>
    <row r="287" spans="1:35" s="25" customFormat="1">
      <c r="A287" s="173" t="s">
        <v>514</v>
      </c>
      <c r="B287" s="83" t="s">
        <v>1990</v>
      </c>
      <c r="C287" s="83" t="s">
        <v>1991</v>
      </c>
      <c r="D287" s="83" t="s">
        <v>1992</v>
      </c>
      <c r="E287" s="117">
        <v>960</v>
      </c>
      <c r="F287" s="85" t="s">
        <v>202</v>
      </c>
      <c r="G287" s="132">
        <v>6020</v>
      </c>
      <c r="H287" s="133">
        <v>3570</v>
      </c>
      <c r="I287" s="133">
        <v>2450</v>
      </c>
      <c r="J287" s="129">
        <v>23.8</v>
      </c>
      <c r="K287" s="130">
        <v>23.5</v>
      </c>
      <c r="L287" s="130">
        <v>11.6</v>
      </c>
      <c r="M287" s="130">
        <v>11.9</v>
      </c>
      <c r="N287" s="126">
        <v>0.224</v>
      </c>
      <c r="O287" s="129">
        <v>0.53700000000000003</v>
      </c>
      <c r="P287" s="130">
        <v>0.52300000000000002</v>
      </c>
      <c r="Q287" s="130">
        <v>0.52300000000000002</v>
      </c>
      <c r="R287" s="130">
        <v>0</v>
      </c>
      <c r="S287" s="126">
        <v>1.41E-2</v>
      </c>
      <c r="T287" s="129">
        <v>23.2</v>
      </c>
      <c r="U287" s="130">
        <v>23</v>
      </c>
      <c r="V287" s="130">
        <v>11.1</v>
      </c>
      <c r="W287" s="130">
        <v>11.9</v>
      </c>
      <c r="X287" s="126">
        <v>0.21</v>
      </c>
      <c r="Y287" s="124">
        <v>4.75</v>
      </c>
      <c r="Z287" s="125">
        <v>2.38</v>
      </c>
      <c r="AA287" s="125">
        <v>2.37</v>
      </c>
      <c r="AB287" s="125">
        <v>0</v>
      </c>
      <c r="AC287" s="67">
        <f t="shared" si="14"/>
        <v>0</v>
      </c>
      <c r="AD287" s="120" t="s">
        <v>1993</v>
      </c>
      <c r="AE287" s="25" t="s">
        <v>1994</v>
      </c>
      <c r="AF287" s="781">
        <v>5.18</v>
      </c>
      <c r="AG287" s="782">
        <v>2.16</v>
      </c>
      <c r="AH287" s="772">
        <v>3.02</v>
      </c>
      <c r="AI287" s="786">
        <f t="shared" si="16"/>
        <v>-9.0526315789473621E-2</v>
      </c>
    </row>
    <row r="288" spans="1:35" s="25" customFormat="1">
      <c r="A288" s="173" t="s">
        <v>1995</v>
      </c>
      <c r="B288" s="83" t="s">
        <v>1996</v>
      </c>
      <c r="C288" s="83" t="s">
        <v>1991</v>
      </c>
      <c r="D288" s="83" t="s">
        <v>1992</v>
      </c>
      <c r="E288" s="117">
        <v>910</v>
      </c>
      <c r="F288" s="85" t="s">
        <v>202</v>
      </c>
      <c r="G288" s="132">
        <v>6050</v>
      </c>
      <c r="H288" s="133">
        <v>3600</v>
      </c>
      <c r="I288" s="133">
        <v>2450</v>
      </c>
      <c r="J288" s="129">
        <v>23.2</v>
      </c>
      <c r="K288" s="130">
        <v>22.9</v>
      </c>
      <c r="L288" s="130">
        <v>11</v>
      </c>
      <c r="M288" s="130">
        <v>11.9</v>
      </c>
      <c r="N288" s="126">
        <v>0.224</v>
      </c>
      <c r="O288" s="129">
        <v>0.42099999999999999</v>
      </c>
      <c r="P288" s="130">
        <v>0.40699999999999997</v>
      </c>
      <c r="Q288" s="130">
        <v>0.40699999999999997</v>
      </c>
      <c r="R288" s="130">
        <v>0</v>
      </c>
      <c r="S288" s="126">
        <v>1.41E-2</v>
      </c>
      <c r="T288" s="129">
        <v>22.7</v>
      </c>
      <c r="U288" s="130">
        <v>22.5</v>
      </c>
      <c r="V288" s="130">
        <v>10.6</v>
      </c>
      <c r="W288" s="130">
        <v>11.9</v>
      </c>
      <c r="X288" s="126">
        <v>0.21</v>
      </c>
      <c r="Y288" s="124">
        <v>4.78</v>
      </c>
      <c r="Z288" s="125">
        <v>2.4</v>
      </c>
      <c r="AA288" s="125">
        <v>2.37</v>
      </c>
      <c r="AB288" s="125">
        <v>0</v>
      </c>
      <c r="AC288" s="67">
        <f t="shared" si="14"/>
        <v>0</v>
      </c>
      <c r="AD288" s="120" t="s">
        <v>1997</v>
      </c>
      <c r="AE288" s="25" t="s">
        <v>1994</v>
      </c>
      <c r="AF288" s="781">
        <v>5.21</v>
      </c>
      <c r="AG288" s="782">
        <v>2.1800000000000002</v>
      </c>
      <c r="AH288" s="772">
        <v>3.02</v>
      </c>
      <c r="AI288" s="786">
        <f t="shared" si="16"/>
        <v>-8.9958158995815829E-2</v>
      </c>
    </row>
    <row r="289" spans="1:35" s="69" customFormat="1" outlineLevel="1">
      <c r="A289" s="101" t="s">
        <v>630</v>
      </c>
      <c r="B289" s="102" t="s">
        <v>1998</v>
      </c>
      <c r="C289" s="103" t="s">
        <v>1999</v>
      </c>
      <c r="D289" s="102" t="s">
        <v>2000</v>
      </c>
      <c r="E289" s="104">
        <v>1390</v>
      </c>
      <c r="F289" s="105" t="s">
        <v>202</v>
      </c>
      <c r="G289" s="106">
        <v>6250</v>
      </c>
      <c r="H289" s="107">
        <v>3880</v>
      </c>
      <c r="I289" s="107">
        <v>2370</v>
      </c>
      <c r="J289" s="108">
        <v>20.2</v>
      </c>
      <c r="K289" s="109">
        <v>19</v>
      </c>
      <c r="L289" s="109">
        <v>12.9</v>
      </c>
      <c r="M289" s="109">
        <v>6.02</v>
      </c>
      <c r="N289" s="110">
        <v>1.2</v>
      </c>
      <c r="O289" s="108">
        <v>0.63700000000000001</v>
      </c>
      <c r="P289" s="109">
        <v>0.53600000000000003</v>
      </c>
      <c r="Q289" s="109">
        <v>0.53600000000000003</v>
      </c>
      <c r="R289" s="109">
        <v>0</v>
      </c>
      <c r="S289" s="110">
        <v>0.10100000000000001</v>
      </c>
      <c r="T289" s="108">
        <v>19.5</v>
      </c>
      <c r="U289" s="109">
        <v>18.399999999999999</v>
      </c>
      <c r="V289" s="109">
        <v>12.4</v>
      </c>
      <c r="W289" s="109">
        <v>6.02</v>
      </c>
      <c r="X289" s="110">
        <v>1.1000000000000001</v>
      </c>
      <c r="Y289" s="111">
        <v>4.49</v>
      </c>
      <c r="Z289" s="110">
        <v>2.38</v>
      </c>
      <c r="AA289" s="112">
        <v>2.1</v>
      </c>
      <c r="AB289" s="112">
        <v>0</v>
      </c>
      <c r="AC289" s="67">
        <f t="shared" si="14"/>
        <v>0</v>
      </c>
      <c r="AD289" s="144" t="s">
        <v>2001</v>
      </c>
      <c r="AE289" s="69" t="s">
        <v>2002</v>
      </c>
      <c r="AF289" s="781">
        <v>1.36</v>
      </c>
      <c r="AG289" s="782">
        <v>0.69799999999999995</v>
      </c>
      <c r="AH289" s="772">
        <v>0.65800000000000003</v>
      </c>
      <c r="AI289" s="786">
        <f t="shared" si="16"/>
        <v>0.69710467706013357</v>
      </c>
    </row>
    <row r="290" spans="1:35" s="25" customFormat="1" ht="14.25">
      <c r="A290" s="113" t="s">
        <v>2003</v>
      </c>
      <c r="B290" s="76" t="s">
        <v>2004</v>
      </c>
      <c r="C290" s="75"/>
      <c r="D290" s="76"/>
      <c r="E290" s="77" t="s">
        <v>1221</v>
      </c>
      <c r="F290" s="78"/>
      <c r="G290" s="78"/>
      <c r="H290" s="78"/>
      <c r="I290" s="78"/>
      <c r="J290" s="178"/>
      <c r="K290" s="80"/>
      <c r="L290" s="80"/>
      <c r="M290" s="80"/>
      <c r="N290" s="115"/>
      <c r="O290" s="178"/>
      <c r="P290" s="80"/>
      <c r="Q290" s="80"/>
      <c r="R290" s="80"/>
      <c r="S290" s="115"/>
      <c r="T290" s="79"/>
      <c r="U290" s="80"/>
      <c r="V290" s="80"/>
      <c r="W290" s="80"/>
      <c r="X290" s="80"/>
      <c r="Y290" s="79"/>
      <c r="Z290" s="80"/>
      <c r="AA290" s="80"/>
      <c r="AB290" s="80"/>
      <c r="AC290" s="80"/>
      <c r="AD290" s="116" t="s">
        <v>2005</v>
      </c>
      <c r="AI290" s="786"/>
    </row>
    <row r="291" spans="1:35" s="25" customFormat="1">
      <c r="A291" s="173" t="s">
        <v>2006</v>
      </c>
      <c r="B291" s="83" t="s">
        <v>2007</v>
      </c>
      <c r="C291" s="83" t="s">
        <v>2008</v>
      </c>
      <c r="D291" s="83" t="s">
        <v>2009</v>
      </c>
      <c r="E291" s="126">
        <v>0.3</v>
      </c>
      <c r="F291" s="85" t="s">
        <v>39</v>
      </c>
      <c r="G291" s="132">
        <v>2270</v>
      </c>
      <c r="H291" s="133">
        <v>2200</v>
      </c>
      <c r="I291" s="133">
        <v>70.8</v>
      </c>
      <c r="J291" s="129">
        <v>7.02</v>
      </c>
      <c r="K291" s="130">
        <v>7.01</v>
      </c>
      <c r="L291" s="130">
        <v>6.1</v>
      </c>
      <c r="M291" s="130">
        <v>0.90500000000000003</v>
      </c>
      <c r="N291" s="126">
        <v>1.7500000000000002E-2</v>
      </c>
      <c r="O291" s="129">
        <v>0.45</v>
      </c>
      <c r="P291" s="130">
        <v>0.44900000000000001</v>
      </c>
      <c r="Q291" s="130">
        <v>0.44900000000000001</v>
      </c>
      <c r="R291" s="130">
        <v>0</v>
      </c>
      <c r="S291" s="126">
        <v>6.7000000000000002E-4</v>
      </c>
      <c r="T291" s="129">
        <v>6.57</v>
      </c>
      <c r="U291" s="130">
        <v>6.56</v>
      </c>
      <c r="V291" s="130">
        <v>5.65</v>
      </c>
      <c r="W291" s="130">
        <v>0.90500000000000003</v>
      </c>
      <c r="X291" s="130">
        <v>1.6799999999999999E-2</v>
      </c>
      <c r="Y291" s="127">
        <v>0.97599999999999998</v>
      </c>
      <c r="Z291" s="126">
        <v>0.92</v>
      </c>
      <c r="AA291" s="126">
        <v>5.62E-2</v>
      </c>
      <c r="AB291" s="126">
        <v>0</v>
      </c>
      <c r="AC291" s="67">
        <f t="shared" si="14"/>
        <v>0</v>
      </c>
      <c r="AD291" s="120" t="s">
        <v>2010</v>
      </c>
      <c r="AE291" s="25" t="s">
        <v>2011</v>
      </c>
      <c r="AF291" s="769">
        <v>1.47</v>
      </c>
      <c r="AG291" s="773">
        <v>0.75800000000000001</v>
      </c>
      <c r="AH291" s="773">
        <v>0.71599999999999997</v>
      </c>
      <c r="AI291" s="786">
        <f t="shared" si="16"/>
        <v>-0.50614754098360659</v>
      </c>
    </row>
    <row r="292" spans="1:35" s="25" customFormat="1">
      <c r="A292" s="173" t="s">
        <v>566</v>
      </c>
      <c r="B292" s="83" t="s">
        <v>2012</v>
      </c>
      <c r="C292" s="83" t="s">
        <v>2008</v>
      </c>
      <c r="D292" s="83" t="s">
        <v>2009</v>
      </c>
      <c r="E292" s="126">
        <v>0.3</v>
      </c>
      <c r="F292" s="85" t="s">
        <v>39</v>
      </c>
      <c r="G292" s="132">
        <v>1220</v>
      </c>
      <c r="H292" s="133">
        <v>1150</v>
      </c>
      <c r="I292" s="133">
        <v>70.8</v>
      </c>
      <c r="J292" s="129">
        <v>4.3099999999999996</v>
      </c>
      <c r="K292" s="130">
        <v>4.29</v>
      </c>
      <c r="L292" s="130">
        <v>3.39</v>
      </c>
      <c r="M292" s="130">
        <v>0.90500000000000003</v>
      </c>
      <c r="N292" s="126">
        <v>1.7500000000000002E-2</v>
      </c>
      <c r="O292" s="129">
        <v>0.14099999999999999</v>
      </c>
      <c r="P292" s="130">
        <v>0.14000000000000001</v>
      </c>
      <c r="Q292" s="130">
        <v>0.14000000000000001</v>
      </c>
      <c r="R292" s="130">
        <v>0</v>
      </c>
      <c r="S292" s="126">
        <v>6.7000000000000002E-4</v>
      </c>
      <c r="T292" s="129">
        <v>4.17</v>
      </c>
      <c r="U292" s="130">
        <v>4.1500000000000004</v>
      </c>
      <c r="V292" s="130">
        <v>3.25</v>
      </c>
      <c r="W292" s="130">
        <v>0.90500000000000003</v>
      </c>
      <c r="X292" s="130">
        <v>1.6799999999999999E-2</v>
      </c>
      <c r="Y292" s="127">
        <v>0.70199999999999996</v>
      </c>
      <c r="Z292" s="126">
        <v>0.64600000000000002</v>
      </c>
      <c r="AA292" s="126">
        <v>5.62E-2</v>
      </c>
      <c r="AB292" s="126">
        <v>0</v>
      </c>
      <c r="AC292" s="67">
        <f t="shared" si="14"/>
        <v>0</v>
      </c>
      <c r="AD292" s="120" t="s">
        <v>2013</v>
      </c>
      <c r="AE292" s="25" t="s">
        <v>2011</v>
      </c>
      <c r="AF292" s="769">
        <v>1.26</v>
      </c>
      <c r="AG292" s="773">
        <v>0.54400000000000004</v>
      </c>
      <c r="AH292" s="773">
        <v>0.71599999999999997</v>
      </c>
      <c r="AI292" s="786">
        <f t="shared" si="16"/>
        <v>-0.79487179487179505</v>
      </c>
    </row>
    <row r="293" spans="1:35" s="25" customFormat="1">
      <c r="A293" s="173" t="s">
        <v>512</v>
      </c>
      <c r="B293" s="83" t="s">
        <v>2014</v>
      </c>
      <c r="C293" s="83" t="s">
        <v>2015</v>
      </c>
      <c r="D293" s="83" t="s">
        <v>2016</v>
      </c>
      <c r="E293" s="126">
        <v>0.25</v>
      </c>
      <c r="F293" s="85" t="s">
        <v>39</v>
      </c>
      <c r="G293" s="132">
        <v>429</v>
      </c>
      <c r="H293" s="133">
        <v>370</v>
      </c>
      <c r="I293" s="133">
        <v>59</v>
      </c>
      <c r="J293" s="124">
        <v>1.87</v>
      </c>
      <c r="K293" s="125">
        <v>1.86</v>
      </c>
      <c r="L293" s="125">
        <v>0.72299999999999998</v>
      </c>
      <c r="M293" s="125">
        <v>1.1299999999999999</v>
      </c>
      <c r="N293" s="126">
        <v>1.46E-2</v>
      </c>
      <c r="O293" s="124">
        <v>1.6799999999999999E-2</v>
      </c>
      <c r="P293" s="125">
        <v>1.6199999999999999E-2</v>
      </c>
      <c r="Q293" s="125">
        <v>1.6199999999999999E-2</v>
      </c>
      <c r="R293" s="125">
        <v>0</v>
      </c>
      <c r="S293" s="126">
        <v>5.5800000000000001E-4</v>
      </c>
      <c r="T293" s="129">
        <v>1.85</v>
      </c>
      <c r="U293" s="130">
        <v>1.84</v>
      </c>
      <c r="V293" s="130">
        <v>0.70599999999999996</v>
      </c>
      <c r="W293" s="130">
        <v>1.1299999999999999</v>
      </c>
      <c r="X293" s="130">
        <v>1.4E-2</v>
      </c>
      <c r="Y293" s="127">
        <v>0.18099999999999999</v>
      </c>
      <c r="Z293" s="126">
        <v>0.13500000000000001</v>
      </c>
      <c r="AA293" s="126">
        <v>4.6800000000000001E-2</v>
      </c>
      <c r="AB293" s="126">
        <v>0</v>
      </c>
      <c r="AC293" s="67">
        <f t="shared" si="14"/>
        <v>0</v>
      </c>
      <c r="AD293" s="120" t="s">
        <v>2017</v>
      </c>
      <c r="AE293" s="25" t="s">
        <v>2018</v>
      </c>
      <c r="AF293" s="769">
        <v>0.67400000000000004</v>
      </c>
      <c r="AG293" s="773">
        <v>8.6699999999999999E-2</v>
      </c>
      <c r="AH293" s="773">
        <v>0.58699999999999997</v>
      </c>
      <c r="AI293" s="786">
        <f t="shared" si="16"/>
        <v>-2.7237569060773485</v>
      </c>
    </row>
    <row r="294" spans="1:35" s="25" customFormat="1">
      <c r="A294" s="173" t="s">
        <v>2019</v>
      </c>
      <c r="B294" s="83" t="s">
        <v>2020</v>
      </c>
      <c r="C294" s="83" t="s">
        <v>893</v>
      </c>
      <c r="D294" s="83" t="s">
        <v>2021</v>
      </c>
      <c r="E294" s="126" t="s">
        <v>893</v>
      </c>
      <c r="F294" s="85" t="s">
        <v>39</v>
      </c>
      <c r="G294" s="132">
        <v>16400</v>
      </c>
      <c r="H294" s="133">
        <v>16400</v>
      </c>
      <c r="I294" s="133">
        <v>0</v>
      </c>
      <c r="J294" s="142">
        <v>47.4</v>
      </c>
      <c r="K294" s="141">
        <v>47.4</v>
      </c>
      <c r="L294" s="141">
        <v>47.4</v>
      </c>
      <c r="M294" s="141">
        <v>0</v>
      </c>
      <c r="N294" s="141">
        <v>0</v>
      </c>
      <c r="O294" s="142">
        <v>3.98</v>
      </c>
      <c r="P294" s="141">
        <v>3.98</v>
      </c>
      <c r="Q294" s="141">
        <v>3.98</v>
      </c>
      <c r="R294" s="141">
        <v>0</v>
      </c>
      <c r="S294" s="141">
        <v>0</v>
      </c>
      <c r="T294" s="142">
        <v>43.5</v>
      </c>
      <c r="U294" s="141">
        <v>43.5</v>
      </c>
      <c r="V294" s="141">
        <v>43.5</v>
      </c>
      <c r="W294" s="141">
        <v>0</v>
      </c>
      <c r="X294" s="85">
        <v>0</v>
      </c>
      <c r="Y294" s="124">
        <v>8.1199999999999992</v>
      </c>
      <c r="Z294" s="125">
        <v>8.1199999999999992</v>
      </c>
      <c r="AA294" s="85">
        <v>0</v>
      </c>
      <c r="AB294" s="85">
        <v>0</v>
      </c>
      <c r="AC294" s="67">
        <f t="shared" si="14"/>
        <v>0</v>
      </c>
      <c r="AD294" s="120" t="s">
        <v>2022</v>
      </c>
      <c r="AE294" s="25" t="s">
        <v>2023</v>
      </c>
      <c r="AF294" s="774">
        <v>2.33</v>
      </c>
      <c r="AG294" s="775">
        <v>2.33</v>
      </c>
      <c r="AH294" s="780">
        <v>0</v>
      </c>
      <c r="AI294" s="786">
        <f t="shared" si="16"/>
        <v>0.71305418719211822</v>
      </c>
    </row>
    <row r="295" spans="1:35" s="25" customFormat="1">
      <c r="A295" s="173" t="s">
        <v>2024</v>
      </c>
      <c r="B295" s="83" t="s">
        <v>2025</v>
      </c>
      <c r="C295" s="83" t="s">
        <v>893</v>
      </c>
      <c r="D295" s="83" t="s">
        <v>2021</v>
      </c>
      <c r="E295" s="126" t="s">
        <v>893</v>
      </c>
      <c r="F295" s="85" t="s">
        <v>39</v>
      </c>
      <c r="G295" s="132">
        <v>6270</v>
      </c>
      <c r="H295" s="133">
        <v>6270</v>
      </c>
      <c r="I295" s="133">
        <v>0</v>
      </c>
      <c r="J295" s="129">
        <v>17.100000000000001</v>
      </c>
      <c r="K295" s="130">
        <v>17.100000000000001</v>
      </c>
      <c r="L295" s="130">
        <v>17.100000000000001</v>
      </c>
      <c r="M295" s="130">
        <v>0</v>
      </c>
      <c r="N295" s="141">
        <v>0</v>
      </c>
      <c r="O295" s="129">
        <v>0.57599999999999996</v>
      </c>
      <c r="P295" s="130">
        <v>0.57599999999999996</v>
      </c>
      <c r="Q295" s="130">
        <v>0.57599999999999996</v>
      </c>
      <c r="R295" s="130">
        <v>0</v>
      </c>
      <c r="S295" s="141">
        <v>0</v>
      </c>
      <c r="T295" s="129">
        <v>16.600000000000001</v>
      </c>
      <c r="U295" s="130">
        <v>16.600000000000001</v>
      </c>
      <c r="V295" s="130">
        <v>16.600000000000001</v>
      </c>
      <c r="W295" s="130">
        <v>0</v>
      </c>
      <c r="X295" s="85">
        <v>0</v>
      </c>
      <c r="Y295" s="124">
        <v>3.65</v>
      </c>
      <c r="Z295" s="125">
        <v>3.65</v>
      </c>
      <c r="AA295" s="85">
        <v>0</v>
      </c>
      <c r="AB295" s="85">
        <v>0</v>
      </c>
      <c r="AC295" s="67">
        <f t="shared" si="14"/>
        <v>0</v>
      </c>
      <c r="AD295" s="120" t="s">
        <v>2026</v>
      </c>
      <c r="AE295" s="25" t="s">
        <v>2027</v>
      </c>
      <c r="AF295" s="774">
        <v>2.92</v>
      </c>
      <c r="AG295" s="775">
        <v>2.92</v>
      </c>
      <c r="AH295" s="780">
        <v>0</v>
      </c>
      <c r="AI295" s="786">
        <f t="shared" si="16"/>
        <v>0.2</v>
      </c>
    </row>
    <row r="296" spans="1:35" s="25" customFormat="1">
      <c r="A296" s="173" t="s">
        <v>765</v>
      </c>
      <c r="B296" s="83" t="s">
        <v>2028</v>
      </c>
      <c r="C296" s="83" t="s">
        <v>893</v>
      </c>
      <c r="D296" s="83" t="s">
        <v>2021</v>
      </c>
      <c r="E296" s="126" t="s">
        <v>893</v>
      </c>
      <c r="F296" s="85" t="s">
        <v>39</v>
      </c>
      <c r="G296" s="132">
        <v>6760</v>
      </c>
      <c r="H296" s="133">
        <v>6760</v>
      </c>
      <c r="I296" s="133">
        <v>0</v>
      </c>
      <c r="J296" s="129">
        <v>21.8</v>
      </c>
      <c r="K296" s="130">
        <v>21.8</v>
      </c>
      <c r="L296" s="130">
        <v>21.8</v>
      </c>
      <c r="M296" s="130">
        <v>0</v>
      </c>
      <c r="N296" s="141">
        <v>0</v>
      </c>
      <c r="O296" s="129">
        <v>0.69499999999999995</v>
      </c>
      <c r="P296" s="130">
        <v>0.69499999999999995</v>
      </c>
      <c r="Q296" s="130">
        <v>0.69499999999999995</v>
      </c>
      <c r="R296" s="130">
        <v>0</v>
      </c>
      <c r="S296" s="141">
        <v>0</v>
      </c>
      <c r="T296" s="129">
        <v>21.1</v>
      </c>
      <c r="U296" s="130">
        <v>21.1</v>
      </c>
      <c r="V296" s="130">
        <v>21.1</v>
      </c>
      <c r="W296" s="130">
        <v>0</v>
      </c>
      <c r="X296" s="85">
        <v>0</v>
      </c>
      <c r="Y296" s="124">
        <v>4.3899999999999997</v>
      </c>
      <c r="Z296" s="125">
        <v>4.3899999999999997</v>
      </c>
      <c r="AA296" s="85">
        <v>0</v>
      </c>
      <c r="AB296" s="85">
        <v>0</v>
      </c>
      <c r="AC296" s="67">
        <f t="shared" si="14"/>
        <v>0</v>
      </c>
      <c r="AD296" s="120" t="s">
        <v>2029</v>
      </c>
      <c r="AE296" s="25" t="s">
        <v>2027</v>
      </c>
      <c r="AF296" s="774">
        <v>3.52</v>
      </c>
      <c r="AG296" s="775">
        <v>3.52</v>
      </c>
      <c r="AH296" s="780">
        <v>0</v>
      </c>
      <c r="AI296" s="786">
        <f t="shared" si="16"/>
        <v>0.19817767653758536</v>
      </c>
    </row>
    <row r="297" spans="1:35" s="25" customFormat="1">
      <c r="A297" s="173" t="s">
        <v>2030</v>
      </c>
      <c r="B297" s="83" t="s">
        <v>2031</v>
      </c>
      <c r="C297" s="83" t="s">
        <v>893</v>
      </c>
      <c r="D297" s="83" t="s">
        <v>2021</v>
      </c>
      <c r="E297" s="126" t="s">
        <v>893</v>
      </c>
      <c r="F297" s="85" t="s">
        <v>39</v>
      </c>
      <c r="G297" s="132">
        <v>6320</v>
      </c>
      <c r="H297" s="133">
        <v>6320</v>
      </c>
      <c r="I297" s="133">
        <v>0</v>
      </c>
      <c r="J297" s="129">
        <v>5.31</v>
      </c>
      <c r="K297" s="130">
        <v>5.31</v>
      </c>
      <c r="L297" s="130">
        <v>5.31</v>
      </c>
      <c r="M297" s="130">
        <v>0</v>
      </c>
      <c r="N297" s="141">
        <v>0</v>
      </c>
      <c r="O297" s="129">
        <v>0.85499999999999998</v>
      </c>
      <c r="P297" s="130">
        <v>0.85499999999999998</v>
      </c>
      <c r="Q297" s="130">
        <v>0.85499999999999998</v>
      </c>
      <c r="R297" s="130">
        <v>0</v>
      </c>
      <c r="S297" s="141">
        <v>0</v>
      </c>
      <c r="T297" s="129">
        <v>4.45</v>
      </c>
      <c r="U297" s="130">
        <v>4.45</v>
      </c>
      <c r="V297" s="130">
        <v>4.45</v>
      </c>
      <c r="W297" s="130">
        <v>0</v>
      </c>
      <c r="X297" s="85">
        <v>0</v>
      </c>
      <c r="Y297" s="127">
        <v>0.61199999999999999</v>
      </c>
      <c r="Z297" s="126">
        <v>0.61199999999999999</v>
      </c>
      <c r="AA297" s="85">
        <v>0</v>
      </c>
      <c r="AB297" s="85">
        <v>0</v>
      </c>
      <c r="AC297" s="67">
        <f t="shared" si="14"/>
        <v>0</v>
      </c>
      <c r="AD297" s="120" t="s">
        <v>2032</v>
      </c>
      <c r="AE297" s="25" t="s">
        <v>2027</v>
      </c>
      <c r="AF297" s="769">
        <v>0.32500000000000001</v>
      </c>
      <c r="AG297" s="773">
        <v>0.32500000000000001</v>
      </c>
      <c r="AH297" s="780">
        <v>0</v>
      </c>
      <c r="AI297" s="786">
        <f t="shared" si="16"/>
        <v>0.46895424836601307</v>
      </c>
    </row>
    <row r="298" spans="1:35" s="25" customFormat="1">
      <c r="A298" s="173" t="s">
        <v>2033</v>
      </c>
      <c r="B298" s="83" t="s">
        <v>2034</v>
      </c>
      <c r="C298" s="83" t="s">
        <v>893</v>
      </c>
      <c r="D298" s="83" t="s">
        <v>2021</v>
      </c>
      <c r="E298" s="126" t="s">
        <v>893</v>
      </c>
      <c r="F298" s="85" t="s">
        <v>39</v>
      </c>
      <c r="G298" s="132">
        <v>29500</v>
      </c>
      <c r="H298" s="133">
        <v>29500</v>
      </c>
      <c r="I298" s="133">
        <v>0</v>
      </c>
      <c r="J298" s="142">
        <v>28.2</v>
      </c>
      <c r="K298" s="141">
        <v>28.2</v>
      </c>
      <c r="L298" s="141">
        <v>28.2</v>
      </c>
      <c r="M298" s="141">
        <v>0</v>
      </c>
      <c r="N298" s="141">
        <v>0</v>
      </c>
      <c r="O298" s="142">
        <v>2.63</v>
      </c>
      <c r="P298" s="141">
        <v>2.63</v>
      </c>
      <c r="Q298" s="141">
        <v>2.63</v>
      </c>
      <c r="R298" s="141">
        <v>0</v>
      </c>
      <c r="S298" s="141">
        <v>0</v>
      </c>
      <c r="T298" s="129">
        <v>25.6</v>
      </c>
      <c r="U298" s="130">
        <v>25.6</v>
      </c>
      <c r="V298" s="130">
        <v>25.6</v>
      </c>
      <c r="W298" s="130">
        <v>0</v>
      </c>
      <c r="X298" s="85">
        <v>0</v>
      </c>
      <c r="Y298" s="124">
        <v>6.1</v>
      </c>
      <c r="Z298" s="125">
        <v>6.1</v>
      </c>
      <c r="AA298" s="85">
        <v>0</v>
      </c>
      <c r="AB298" s="85">
        <v>0</v>
      </c>
      <c r="AC298" s="67">
        <f t="shared" si="14"/>
        <v>0</v>
      </c>
      <c r="AD298" s="179" t="s">
        <v>2035</v>
      </c>
      <c r="AE298" s="25" t="s">
        <v>2023</v>
      </c>
      <c r="AF298" s="774">
        <v>3.54</v>
      </c>
      <c r="AG298" s="775">
        <v>3.54</v>
      </c>
      <c r="AH298" s="780">
        <v>0</v>
      </c>
      <c r="AI298" s="786">
        <f t="shared" si="16"/>
        <v>0.41967213114754093</v>
      </c>
    </row>
    <row r="299" spans="1:35" s="25" customFormat="1" ht="14.25">
      <c r="A299" s="113" t="s">
        <v>2036</v>
      </c>
      <c r="B299" s="76" t="s">
        <v>2037</v>
      </c>
      <c r="C299" s="75"/>
      <c r="D299" s="76"/>
      <c r="E299" s="77" t="s">
        <v>1023</v>
      </c>
      <c r="F299" s="78"/>
      <c r="G299" s="78"/>
      <c r="H299" s="78"/>
      <c r="I299" s="78"/>
      <c r="J299" s="178"/>
      <c r="K299" s="80"/>
      <c r="L299" s="80"/>
      <c r="M299" s="80"/>
      <c r="N299" s="115"/>
      <c r="O299" s="178"/>
      <c r="P299" s="80"/>
      <c r="Q299" s="80"/>
      <c r="R299" s="80"/>
      <c r="S299" s="115"/>
      <c r="T299" s="79"/>
      <c r="U299" s="80"/>
      <c r="V299" s="80"/>
      <c r="W299" s="80"/>
      <c r="X299" s="80"/>
      <c r="Y299" s="79"/>
      <c r="Z299" s="80"/>
      <c r="AA299" s="80"/>
      <c r="AB299" s="80"/>
      <c r="AC299" s="80"/>
      <c r="AD299" s="116" t="s">
        <v>2038</v>
      </c>
      <c r="AI299" s="786"/>
    </row>
    <row r="300" spans="1:35" s="25" customFormat="1">
      <c r="A300" s="173" t="s">
        <v>2039</v>
      </c>
      <c r="B300" s="83" t="s">
        <v>2040</v>
      </c>
      <c r="C300" s="83" t="s">
        <v>2041</v>
      </c>
      <c r="D300" s="83" t="s">
        <v>2042</v>
      </c>
      <c r="E300" s="117">
        <v>1180</v>
      </c>
      <c r="F300" s="85" t="s">
        <v>202</v>
      </c>
      <c r="G300" s="132">
        <v>14800</v>
      </c>
      <c r="H300" s="133">
        <v>11700</v>
      </c>
      <c r="I300" s="133">
        <v>3090</v>
      </c>
      <c r="J300" s="142">
        <v>40.6</v>
      </c>
      <c r="K300" s="141">
        <v>40.299999999999997</v>
      </c>
      <c r="L300" s="141">
        <v>32.700000000000003</v>
      </c>
      <c r="M300" s="141">
        <v>7.6</v>
      </c>
      <c r="N300" s="126">
        <v>0.22500000000000001</v>
      </c>
      <c r="O300" s="142">
        <v>0.38500000000000001</v>
      </c>
      <c r="P300" s="141">
        <v>0.371</v>
      </c>
      <c r="Q300" s="141">
        <v>0.371</v>
      </c>
      <c r="R300" s="141">
        <v>0</v>
      </c>
      <c r="S300" s="126">
        <v>1.35E-2</v>
      </c>
      <c r="T300" s="142">
        <v>40.200000000000003</v>
      </c>
      <c r="U300" s="141">
        <v>40</v>
      </c>
      <c r="V300" s="141">
        <v>32.4</v>
      </c>
      <c r="W300" s="141">
        <v>7.6</v>
      </c>
      <c r="X300" s="126">
        <v>0.21099999999999999</v>
      </c>
      <c r="Y300" s="129">
        <v>11.6</v>
      </c>
      <c r="Z300" s="125">
        <v>8.68</v>
      </c>
      <c r="AA300" s="125">
        <v>2.92</v>
      </c>
      <c r="AB300" s="125">
        <v>0</v>
      </c>
      <c r="AC300" s="67">
        <f t="shared" si="14"/>
        <v>0</v>
      </c>
      <c r="AD300" s="120" t="s">
        <v>2043</v>
      </c>
      <c r="AE300" s="25" t="s">
        <v>2044</v>
      </c>
      <c r="AF300" s="778">
        <v>11.7</v>
      </c>
      <c r="AG300" s="775">
        <v>8.66</v>
      </c>
      <c r="AH300" s="775">
        <v>3.02</v>
      </c>
      <c r="AI300" s="786">
        <f t="shared" si="16"/>
        <v>-8.6206896551723842E-3</v>
      </c>
    </row>
    <row r="301" spans="1:35" s="25" customFormat="1">
      <c r="A301" s="173" t="s">
        <v>603</v>
      </c>
      <c r="B301" s="83" t="s">
        <v>2045</v>
      </c>
      <c r="C301" s="83" t="s">
        <v>2046</v>
      </c>
      <c r="D301" s="83" t="s">
        <v>2047</v>
      </c>
      <c r="E301" s="117">
        <v>1360</v>
      </c>
      <c r="F301" s="85" t="s">
        <v>202</v>
      </c>
      <c r="G301" s="132">
        <v>15200</v>
      </c>
      <c r="H301" s="133">
        <v>12300</v>
      </c>
      <c r="I301" s="133">
        <v>2920</v>
      </c>
      <c r="J301" s="142">
        <v>41.3</v>
      </c>
      <c r="K301" s="141">
        <v>40.6</v>
      </c>
      <c r="L301" s="141">
        <v>36.6</v>
      </c>
      <c r="M301" s="141">
        <v>3.96</v>
      </c>
      <c r="N301" s="126">
        <v>0.70799999999999996</v>
      </c>
      <c r="O301" s="142">
        <v>0.97899999999999998</v>
      </c>
      <c r="P301" s="141">
        <v>0.96</v>
      </c>
      <c r="Q301" s="141">
        <v>0.96</v>
      </c>
      <c r="R301" s="141">
        <v>0</v>
      </c>
      <c r="S301" s="126">
        <v>1.95E-2</v>
      </c>
      <c r="T301" s="142">
        <v>40.299999999999997</v>
      </c>
      <c r="U301" s="141">
        <v>39.6</v>
      </c>
      <c r="V301" s="141">
        <v>35.6</v>
      </c>
      <c r="W301" s="141">
        <v>3.96</v>
      </c>
      <c r="X301" s="126">
        <v>0.68799999999999994</v>
      </c>
      <c r="Y301" s="124">
        <v>11.5</v>
      </c>
      <c r="Z301" s="125">
        <v>8.89</v>
      </c>
      <c r="AA301" s="126">
        <v>2.62</v>
      </c>
      <c r="AB301" s="126">
        <v>0</v>
      </c>
      <c r="AC301" s="67">
        <f t="shared" si="14"/>
        <v>0</v>
      </c>
      <c r="AD301" s="120" t="s">
        <v>2048</v>
      </c>
      <c r="AE301" s="25" t="s">
        <v>2049</v>
      </c>
      <c r="AF301" s="774">
        <v>8.92</v>
      </c>
      <c r="AG301" s="775">
        <v>8.2200000000000006</v>
      </c>
      <c r="AH301" s="773">
        <v>0.70099999999999996</v>
      </c>
      <c r="AI301" s="786">
        <f t="shared" si="16"/>
        <v>0.22434782608695653</v>
      </c>
    </row>
    <row r="302" spans="1:35" s="25" customFormat="1">
      <c r="A302" s="173" t="s">
        <v>2050</v>
      </c>
      <c r="B302" s="83" t="s">
        <v>2051</v>
      </c>
      <c r="C302" s="83" t="s">
        <v>2041</v>
      </c>
      <c r="D302" s="83" t="s">
        <v>2042</v>
      </c>
      <c r="E302" s="117">
        <v>1200</v>
      </c>
      <c r="F302" s="85" t="s">
        <v>202</v>
      </c>
      <c r="G302" s="132">
        <v>15900</v>
      </c>
      <c r="H302" s="133">
        <v>12800</v>
      </c>
      <c r="I302" s="133">
        <v>3090</v>
      </c>
      <c r="J302" s="142">
        <v>32.200000000000003</v>
      </c>
      <c r="K302" s="141">
        <v>32</v>
      </c>
      <c r="L302" s="141">
        <v>26</v>
      </c>
      <c r="M302" s="141">
        <v>6</v>
      </c>
      <c r="N302" s="126">
        <v>0.22500000000000001</v>
      </c>
      <c r="O302" s="142">
        <v>0.41899999999999998</v>
      </c>
      <c r="P302" s="141">
        <v>0.40500000000000003</v>
      </c>
      <c r="Q302" s="141">
        <v>0.40500000000000003</v>
      </c>
      <c r="R302" s="141">
        <v>0</v>
      </c>
      <c r="S302" s="126">
        <v>1.35E-2</v>
      </c>
      <c r="T302" s="142">
        <v>31.8</v>
      </c>
      <c r="U302" s="141">
        <v>31.6</v>
      </c>
      <c r="V302" s="141">
        <v>25.6</v>
      </c>
      <c r="W302" s="141">
        <v>6</v>
      </c>
      <c r="X302" s="126">
        <v>0.21099999999999999</v>
      </c>
      <c r="Y302" s="129">
        <v>11.4</v>
      </c>
      <c r="Z302" s="125">
        <v>8.49</v>
      </c>
      <c r="AA302" s="125">
        <v>2.92</v>
      </c>
      <c r="AB302" s="125">
        <v>0</v>
      </c>
      <c r="AC302" s="67">
        <f t="shared" si="14"/>
        <v>0</v>
      </c>
      <c r="AD302" s="120" t="s">
        <v>2052</v>
      </c>
      <c r="AE302" s="25" t="s">
        <v>2044</v>
      </c>
      <c r="AF302" s="778">
        <v>11.3</v>
      </c>
      <c r="AG302" s="775">
        <v>8.26</v>
      </c>
      <c r="AH302" s="775">
        <v>3.02</v>
      </c>
      <c r="AI302" s="786">
        <f t="shared" si="16"/>
        <v>8.7719298245613718E-3</v>
      </c>
    </row>
    <row r="303" spans="1:35" s="25" customFormat="1">
      <c r="A303" s="173" t="s">
        <v>2053</v>
      </c>
      <c r="B303" s="83" t="s">
        <v>2054</v>
      </c>
      <c r="C303" s="61" t="s">
        <v>2041</v>
      </c>
      <c r="D303" s="61" t="s">
        <v>2042</v>
      </c>
      <c r="E303" s="84">
        <v>1500</v>
      </c>
      <c r="F303" s="85" t="s">
        <v>202</v>
      </c>
      <c r="G303" s="64">
        <v>13800</v>
      </c>
      <c r="H303" s="65">
        <v>10700</v>
      </c>
      <c r="I303" s="65">
        <v>3090</v>
      </c>
      <c r="J303" s="134">
        <v>32.799999999999997</v>
      </c>
      <c r="K303" s="135">
        <v>32.6</v>
      </c>
      <c r="L303" s="135">
        <v>28.9</v>
      </c>
      <c r="M303" s="135">
        <v>3.76</v>
      </c>
      <c r="N303" s="62">
        <v>0.22500000000000001</v>
      </c>
      <c r="O303" s="134">
        <v>1.48</v>
      </c>
      <c r="P303" s="135">
        <v>1.47</v>
      </c>
      <c r="Q303" s="135">
        <v>1.47</v>
      </c>
      <c r="R303" s="135">
        <v>0</v>
      </c>
      <c r="S303" s="62">
        <v>1.35E-2</v>
      </c>
      <c r="T303" s="134">
        <v>31.4</v>
      </c>
      <c r="U303" s="135">
        <v>31.2</v>
      </c>
      <c r="V303" s="135">
        <v>27.4</v>
      </c>
      <c r="W303" s="135">
        <v>3.76</v>
      </c>
      <c r="X303" s="62">
        <v>0.21099999999999999</v>
      </c>
      <c r="Y303" s="118">
        <v>9.85</v>
      </c>
      <c r="Z303" s="119">
        <v>6.93</v>
      </c>
      <c r="AA303" s="62">
        <v>2.92</v>
      </c>
      <c r="AB303" s="62">
        <v>0</v>
      </c>
      <c r="AC303" s="67">
        <f t="shared" si="14"/>
        <v>0</v>
      </c>
      <c r="AD303" s="120" t="s">
        <v>2055</v>
      </c>
      <c r="AE303" s="25" t="s">
        <v>2044</v>
      </c>
      <c r="AF303" s="774">
        <v>6.15</v>
      </c>
      <c r="AG303" s="775">
        <v>5.68</v>
      </c>
      <c r="AH303" s="773">
        <v>0.46400000000000002</v>
      </c>
      <c r="AI303" s="786">
        <f t="shared" si="16"/>
        <v>0.37563451776649742</v>
      </c>
    </row>
    <row r="304" spans="1:35">
      <c r="A304" s="173" t="s">
        <v>2056</v>
      </c>
      <c r="B304" s="83" t="s">
        <v>2057</v>
      </c>
      <c r="C304" s="83" t="s">
        <v>2058</v>
      </c>
      <c r="D304" s="83" t="s">
        <v>2059</v>
      </c>
      <c r="E304" s="117">
        <v>1050</v>
      </c>
      <c r="F304" s="85" t="s">
        <v>202</v>
      </c>
      <c r="G304" s="132">
        <v>8170</v>
      </c>
      <c r="H304" s="133">
        <v>4880</v>
      </c>
      <c r="I304" s="133">
        <v>3290</v>
      </c>
      <c r="J304" s="142">
        <v>24.7</v>
      </c>
      <c r="K304" s="141">
        <v>24.5</v>
      </c>
      <c r="L304" s="141">
        <v>13.7</v>
      </c>
      <c r="M304" s="141">
        <v>10.8</v>
      </c>
      <c r="N304" s="141">
        <v>0.223</v>
      </c>
      <c r="O304" s="142">
        <v>0.11</v>
      </c>
      <c r="P304" s="141">
        <v>9.7100000000000006E-2</v>
      </c>
      <c r="Q304" s="141">
        <v>9.7100000000000006E-2</v>
      </c>
      <c r="R304" s="141">
        <v>0</v>
      </c>
      <c r="S304" s="141">
        <v>1.3299999999999999E-2</v>
      </c>
      <c r="T304" s="129">
        <v>24.6</v>
      </c>
      <c r="U304" s="130">
        <v>24.4</v>
      </c>
      <c r="V304" s="130">
        <v>13.6</v>
      </c>
      <c r="W304" s="130">
        <v>10.8</v>
      </c>
      <c r="X304" s="85">
        <v>0.20899999999999999</v>
      </c>
      <c r="Y304" s="124">
        <v>6.73</v>
      </c>
      <c r="Z304" s="125">
        <v>3.64</v>
      </c>
      <c r="AA304" s="85">
        <v>3.08</v>
      </c>
      <c r="AB304" s="85">
        <v>0</v>
      </c>
      <c r="AC304" s="67">
        <f t="shared" si="14"/>
        <v>0</v>
      </c>
      <c r="AD304" s="120" t="s">
        <v>2060</v>
      </c>
      <c r="AE304" s="180" t="s">
        <v>2061</v>
      </c>
      <c r="AF304" s="781">
        <v>6.66</v>
      </c>
      <c r="AG304" s="782">
        <v>3.64</v>
      </c>
      <c r="AH304" s="772">
        <v>3.02</v>
      </c>
      <c r="AI304" s="786">
        <f t="shared" si="16"/>
        <v>1.0401188707280873E-2</v>
      </c>
    </row>
    <row r="305" spans="1:35" s="69" customFormat="1">
      <c r="A305" s="50">
        <v>21</v>
      </c>
      <c r="B305" s="51" t="s">
        <v>2062</v>
      </c>
      <c r="C305" s="52"/>
      <c r="D305" s="51"/>
      <c r="E305" s="53" t="s">
        <v>893</v>
      </c>
      <c r="F305" s="54"/>
      <c r="G305" s="54"/>
      <c r="H305" s="54"/>
      <c r="I305" s="54"/>
      <c r="J305" s="55"/>
      <c r="K305" s="56"/>
      <c r="L305" s="56"/>
      <c r="M305" s="56"/>
      <c r="N305" s="57"/>
      <c r="O305" s="55"/>
      <c r="P305" s="56"/>
      <c r="Q305" s="56"/>
      <c r="R305" s="56"/>
      <c r="S305" s="57"/>
      <c r="T305" s="58"/>
      <c r="U305" s="56"/>
      <c r="V305" s="56"/>
      <c r="W305" s="56"/>
      <c r="X305" s="56"/>
      <c r="Y305" s="58"/>
      <c r="Z305" s="56"/>
      <c r="AA305" s="56"/>
      <c r="AB305" s="56"/>
      <c r="AC305" s="56"/>
      <c r="AD305" s="59" t="s">
        <v>2063</v>
      </c>
      <c r="AI305" s="786"/>
    </row>
    <row r="306" spans="1:35" s="69" customFormat="1">
      <c r="A306" s="60" t="s">
        <v>2064</v>
      </c>
      <c r="B306" s="61" t="s">
        <v>2065</v>
      </c>
      <c r="C306" s="61" t="s">
        <v>2066</v>
      </c>
      <c r="D306" s="61" t="s">
        <v>2067</v>
      </c>
      <c r="E306" s="62" t="s">
        <v>893</v>
      </c>
      <c r="F306" s="63" t="s">
        <v>2068</v>
      </c>
      <c r="G306" s="64">
        <v>35300</v>
      </c>
      <c r="H306" s="65">
        <v>26600</v>
      </c>
      <c r="I306" s="65">
        <v>8770</v>
      </c>
      <c r="J306" s="70">
        <v>130</v>
      </c>
      <c r="K306" s="71">
        <v>129</v>
      </c>
      <c r="L306" s="71">
        <v>126</v>
      </c>
      <c r="M306" s="71">
        <v>3.62</v>
      </c>
      <c r="N306" s="62">
        <v>0.92900000000000005</v>
      </c>
      <c r="O306" s="70">
        <v>16.8</v>
      </c>
      <c r="P306" s="71">
        <v>16.7</v>
      </c>
      <c r="Q306" s="71">
        <v>16.7</v>
      </c>
      <c r="R306" s="71">
        <v>0</v>
      </c>
      <c r="S306" s="62">
        <v>5.2299999999999999E-2</v>
      </c>
      <c r="T306" s="70">
        <v>113</v>
      </c>
      <c r="U306" s="71">
        <v>112</v>
      </c>
      <c r="V306" s="71">
        <v>109</v>
      </c>
      <c r="W306" s="71">
        <v>3.62</v>
      </c>
      <c r="X306" s="62">
        <v>0.877</v>
      </c>
      <c r="Y306" s="134">
        <v>24.2</v>
      </c>
      <c r="Z306" s="119">
        <v>16.100000000000001</v>
      </c>
      <c r="AA306" s="119">
        <v>8.1300000000000008</v>
      </c>
      <c r="AB306" s="119">
        <v>0</v>
      </c>
      <c r="AC306" s="67">
        <f t="shared" si="14"/>
        <v>0</v>
      </c>
      <c r="AD306" s="72" t="s">
        <v>2069</v>
      </c>
      <c r="AE306" s="69" t="s">
        <v>2070</v>
      </c>
      <c r="AF306" s="778">
        <v>20.399999999999999</v>
      </c>
      <c r="AG306" s="775">
        <v>12.7</v>
      </c>
      <c r="AH306" s="775">
        <v>7.66</v>
      </c>
      <c r="AI306" s="786">
        <f t="shared" si="16"/>
        <v>0.15702479338842978</v>
      </c>
    </row>
    <row r="307" spans="1:35" s="69" customFormat="1">
      <c r="A307" s="60" t="s">
        <v>2071</v>
      </c>
      <c r="B307" s="61" t="s">
        <v>2072</v>
      </c>
      <c r="C307" s="61" t="s">
        <v>2073</v>
      </c>
      <c r="D307" s="61" t="s">
        <v>2074</v>
      </c>
      <c r="E307" s="62" t="s">
        <v>893</v>
      </c>
      <c r="F307" s="63" t="s">
        <v>39</v>
      </c>
      <c r="G307" s="64">
        <v>838000</v>
      </c>
      <c r="H307" s="65">
        <v>837000</v>
      </c>
      <c r="I307" s="65">
        <v>715</v>
      </c>
      <c r="J307" s="70">
        <v>1710</v>
      </c>
      <c r="K307" s="71">
        <v>1710</v>
      </c>
      <c r="L307" s="71">
        <v>1710</v>
      </c>
      <c r="M307" s="71">
        <v>0</v>
      </c>
      <c r="N307" s="62">
        <v>1.79</v>
      </c>
      <c r="O307" s="70">
        <v>450</v>
      </c>
      <c r="P307" s="71">
        <v>450</v>
      </c>
      <c r="Q307" s="71">
        <v>450</v>
      </c>
      <c r="R307" s="71">
        <v>0</v>
      </c>
      <c r="S307" s="62">
        <v>3.6999999999999998E-2</v>
      </c>
      <c r="T307" s="70">
        <v>1260</v>
      </c>
      <c r="U307" s="71">
        <v>1260</v>
      </c>
      <c r="V307" s="71">
        <v>1260</v>
      </c>
      <c r="W307" s="71">
        <v>0</v>
      </c>
      <c r="X307" s="62">
        <v>1.75</v>
      </c>
      <c r="Y307" s="134">
        <v>333</v>
      </c>
      <c r="Z307" s="119">
        <v>333</v>
      </c>
      <c r="AA307" s="119">
        <v>0.44700000000000001</v>
      </c>
      <c r="AB307" s="119">
        <v>0</v>
      </c>
      <c r="AC307" s="67">
        <f t="shared" si="14"/>
        <v>0</v>
      </c>
      <c r="AD307" s="72" t="s">
        <v>2075</v>
      </c>
      <c r="AE307" s="69" t="s">
        <v>2076</v>
      </c>
      <c r="AF307" s="778">
        <v>69.3</v>
      </c>
      <c r="AG307" s="775">
        <v>69.3</v>
      </c>
      <c r="AH307" s="775">
        <v>0</v>
      </c>
      <c r="AI307" s="786">
        <f t="shared" si="16"/>
        <v>0.79189189189189191</v>
      </c>
    </row>
    <row r="308" spans="1:35" s="69" customFormat="1">
      <c r="A308" s="60" t="s">
        <v>2077</v>
      </c>
      <c r="B308" s="61" t="s">
        <v>2078</v>
      </c>
      <c r="C308" s="61" t="s">
        <v>2079</v>
      </c>
      <c r="D308" s="61" t="s">
        <v>2080</v>
      </c>
      <c r="E308" s="62" t="s">
        <v>893</v>
      </c>
      <c r="F308" s="63" t="s">
        <v>39</v>
      </c>
      <c r="G308" s="64">
        <v>137000</v>
      </c>
      <c r="H308" s="65">
        <v>136000</v>
      </c>
      <c r="I308" s="65">
        <v>1430</v>
      </c>
      <c r="J308" s="70">
        <v>313</v>
      </c>
      <c r="K308" s="71">
        <v>312</v>
      </c>
      <c r="L308" s="71">
        <v>258</v>
      </c>
      <c r="M308" s="71">
        <v>54.3</v>
      </c>
      <c r="N308" s="62">
        <v>1.55</v>
      </c>
      <c r="O308" s="70">
        <v>88.9</v>
      </c>
      <c r="P308" s="71">
        <v>88.8</v>
      </c>
      <c r="Q308" s="71">
        <v>45.1</v>
      </c>
      <c r="R308" s="71">
        <v>43.7</v>
      </c>
      <c r="S308" s="62">
        <v>8.1500000000000003E-2</v>
      </c>
      <c r="T308" s="70">
        <v>225</v>
      </c>
      <c r="U308" s="71">
        <v>223</v>
      </c>
      <c r="V308" s="71">
        <v>213</v>
      </c>
      <c r="W308" s="71">
        <v>10.6</v>
      </c>
      <c r="X308" s="62">
        <v>1.47</v>
      </c>
      <c r="Y308" s="134">
        <v>56.9</v>
      </c>
      <c r="Z308" s="119">
        <v>55.9</v>
      </c>
      <c r="AA308" s="119">
        <v>1.05</v>
      </c>
      <c r="AB308" s="119">
        <v>5.09</v>
      </c>
      <c r="AC308" s="67">
        <f t="shared" si="14"/>
        <v>18.66333333333333</v>
      </c>
      <c r="AD308" s="72" t="s">
        <v>2081</v>
      </c>
      <c r="AE308" s="69" t="s">
        <v>2082</v>
      </c>
      <c r="AF308" s="778">
        <v>11.6</v>
      </c>
      <c r="AG308" s="775">
        <v>11</v>
      </c>
      <c r="AH308" s="775">
        <v>0.55100000000000005</v>
      </c>
      <c r="AI308" s="786">
        <f t="shared" si="16"/>
        <v>0.79613356766256582</v>
      </c>
    </row>
    <row r="309" spans="1:35" s="69" customFormat="1" ht="14.25" customHeight="1">
      <c r="A309" s="60" t="s">
        <v>2083</v>
      </c>
      <c r="B309" s="61" t="s">
        <v>2084</v>
      </c>
      <c r="C309" s="61" t="s">
        <v>2085</v>
      </c>
      <c r="D309" s="61" t="s">
        <v>2086</v>
      </c>
      <c r="E309" s="62" t="s">
        <v>893</v>
      </c>
      <c r="F309" s="63" t="s">
        <v>39</v>
      </c>
      <c r="G309" s="64">
        <v>137000</v>
      </c>
      <c r="H309" s="65">
        <v>116000</v>
      </c>
      <c r="I309" s="65">
        <v>20800</v>
      </c>
      <c r="J309" s="70">
        <v>361</v>
      </c>
      <c r="K309" s="71">
        <v>356</v>
      </c>
      <c r="L309" s="71">
        <v>303</v>
      </c>
      <c r="M309" s="71">
        <v>53.4</v>
      </c>
      <c r="N309" s="62">
        <v>4.76</v>
      </c>
      <c r="O309" s="70">
        <v>6.3</v>
      </c>
      <c r="P309" s="71">
        <v>6.06</v>
      </c>
      <c r="Q309" s="71">
        <v>6.06</v>
      </c>
      <c r="R309" s="71">
        <v>0</v>
      </c>
      <c r="S309" s="62">
        <v>0.23499999999999999</v>
      </c>
      <c r="T309" s="70">
        <v>355</v>
      </c>
      <c r="U309" s="71">
        <v>350</v>
      </c>
      <c r="V309" s="71">
        <v>297</v>
      </c>
      <c r="W309" s="71">
        <v>53.4</v>
      </c>
      <c r="X309" s="62">
        <v>4.5199999999999996</v>
      </c>
      <c r="Y309" s="134">
        <v>95.6</v>
      </c>
      <c r="Z309" s="119">
        <v>76.3</v>
      </c>
      <c r="AA309" s="119">
        <v>19.3</v>
      </c>
      <c r="AB309" s="119">
        <v>0</v>
      </c>
      <c r="AC309" s="67">
        <f t="shared" si="14"/>
        <v>0</v>
      </c>
      <c r="AD309" s="72" t="s">
        <v>2087</v>
      </c>
      <c r="AE309" s="69" t="s">
        <v>2088</v>
      </c>
      <c r="AF309" s="778">
        <v>86</v>
      </c>
      <c r="AG309" s="775">
        <v>69.2</v>
      </c>
      <c r="AH309" s="775">
        <v>16.8</v>
      </c>
      <c r="AI309" s="786">
        <f t="shared" si="16"/>
        <v>0.10041841004184095</v>
      </c>
    </row>
    <row r="310" spans="1:35" s="69" customFormat="1">
      <c r="A310" s="60" t="s">
        <v>2089</v>
      </c>
      <c r="B310" s="61" t="s">
        <v>2090</v>
      </c>
      <c r="C310" s="61" t="s">
        <v>2091</v>
      </c>
      <c r="D310" s="61" t="s">
        <v>2092</v>
      </c>
      <c r="E310" s="62" t="s">
        <v>893</v>
      </c>
      <c r="F310" s="63" t="s">
        <v>39</v>
      </c>
      <c r="G310" s="64">
        <v>34300</v>
      </c>
      <c r="H310" s="65">
        <v>32800</v>
      </c>
      <c r="I310" s="65">
        <v>1550</v>
      </c>
      <c r="J310" s="70">
        <v>250</v>
      </c>
      <c r="K310" s="71">
        <v>249</v>
      </c>
      <c r="L310" s="71">
        <v>124</v>
      </c>
      <c r="M310" s="71">
        <v>125</v>
      </c>
      <c r="N310" s="62">
        <v>1.33</v>
      </c>
      <c r="O310" s="70">
        <v>148</v>
      </c>
      <c r="P310" s="71">
        <v>148</v>
      </c>
      <c r="Q310" s="71">
        <v>48.9</v>
      </c>
      <c r="R310" s="71">
        <v>99</v>
      </c>
      <c r="S310" s="62">
        <v>7.85E-2</v>
      </c>
      <c r="T310" s="70">
        <v>102</v>
      </c>
      <c r="U310" s="71">
        <v>101</v>
      </c>
      <c r="V310" s="71">
        <v>75</v>
      </c>
      <c r="W310" s="71">
        <v>25.8</v>
      </c>
      <c r="X310" s="62">
        <v>1.26</v>
      </c>
      <c r="Y310" s="134">
        <v>20.2</v>
      </c>
      <c r="Z310" s="119">
        <v>19</v>
      </c>
      <c r="AA310" s="119">
        <v>1.2</v>
      </c>
      <c r="AB310" s="119">
        <v>11.6</v>
      </c>
      <c r="AC310" s="67">
        <f t="shared" si="14"/>
        <v>42.533333333333331</v>
      </c>
      <c r="AD310" s="72" t="s">
        <v>2093</v>
      </c>
      <c r="AE310" s="69" t="s">
        <v>2094</v>
      </c>
      <c r="AF310" s="778">
        <v>16.2</v>
      </c>
      <c r="AG310" s="775">
        <v>14.7</v>
      </c>
      <c r="AH310" s="775">
        <v>1.49</v>
      </c>
      <c r="AI310" s="786">
        <f t="shared" si="16"/>
        <v>0.19801980198019803</v>
      </c>
    </row>
    <row r="311" spans="1:35" s="69" customFormat="1">
      <c r="A311" s="60" t="s">
        <v>2095</v>
      </c>
      <c r="B311" s="61" t="s">
        <v>2096</v>
      </c>
      <c r="C311" s="61" t="s">
        <v>2097</v>
      </c>
      <c r="D311" s="61" t="s">
        <v>2098</v>
      </c>
      <c r="E311" s="62" t="s">
        <v>893</v>
      </c>
      <c r="F311" s="63" t="s">
        <v>39</v>
      </c>
      <c r="G311" s="64">
        <v>27600</v>
      </c>
      <c r="H311" s="65">
        <v>26100</v>
      </c>
      <c r="I311" s="65">
        <v>1490</v>
      </c>
      <c r="J311" s="70">
        <v>396</v>
      </c>
      <c r="K311" s="71">
        <v>394</v>
      </c>
      <c r="L311" s="71">
        <v>256</v>
      </c>
      <c r="M311" s="71">
        <v>138</v>
      </c>
      <c r="N311" s="62">
        <v>2.2400000000000002</v>
      </c>
      <c r="O311" s="70">
        <v>335</v>
      </c>
      <c r="P311" s="71">
        <v>335</v>
      </c>
      <c r="Q311" s="71">
        <v>206</v>
      </c>
      <c r="R311" s="71">
        <v>129</v>
      </c>
      <c r="S311" s="62">
        <v>0.14199999999999999</v>
      </c>
      <c r="T311" s="70">
        <v>60.8</v>
      </c>
      <c r="U311" s="71">
        <v>58.7</v>
      </c>
      <c r="V311" s="71">
        <v>49.8</v>
      </c>
      <c r="W311" s="71">
        <v>8.81</v>
      </c>
      <c r="X311" s="62">
        <v>2.1</v>
      </c>
      <c r="Y311" s="134">
        <v>12.6</v>
      </c>
      <c r="Z311" s="119">
        <v>11.7</v>
      </c>
      <c r="AA311" s="119">
        <v>0.92</v>
      </c>
      <c r="AB311" s="119">
        <v>6.36</v>
      </c>
      <c r="AC311" s="67">
        <f t="shared" si="14"/>
        <v>23.32</v>
      </c>
      <c r="AD311" s="72" t="s">
        <v>2099</v>
      </c>
      <c r="AE311" s="69" t="s">
        <v>2100</v>
      </c>
      <c r="AF311" s="778">
        <v>4.3600000000000003</v>
      </c>
      <c r="AG311" s="775">
        <v>4.1900000000000004</v>
      </c>
      <c r="AH311" s="775">
        <v>0.17100000000000001</v>
      </c>
      <c r="AI311" s="786">
        <f t="shared" si="16"/>
        <v>0.65396825396825387</v>
      </c>
    </row>
    <row r="312" spans="1:35" s="69" customFormat="1">
      <c r="A312" s="60" t="s">
        <v>2101</v>
      </c>
      <c r="B312" s="61" t="s">
        <v>2102</v>
      </c>
      <c r="C312" s="61" t="s">
        <v>1054</v>
      </c>
      <c r="D312" s="61" t="s">
        <v>1055</v>
      </c>
      <c r="E312" s="62" t="s">
        <v>893</v>
      </c>
      <c r="F312" s="63" t="s">
        <v>39</v>
      </c>
      <c r="G312" s="64">
        <v>159000</v>
      </c>
      <c r="H312" s="65">
        <v>155000</v>
      </c>
      <c r="I312" s="65">
        <v>3530</v>
      </c>
      <c r="J312" s="70">
        <v>428</v>
      </c>
      <c r="K312" s="71">
        <v>423</v>
      </c>
      <c r="L312" s="71">
        <v>423</v>
      </c>
      <c r="M312" s="71">
        <v>0</v>
      </c>
      <c r="N312" s="62">
        <v>4.54</v>
      </c>
      <c r="O312" s="70">
        <v>71.5</v>
      </c>
      <c r="P312" s="71">
        <v>71.400000000000006</v>
      </c>
      <c r="Q312" s="71">
        <v>71.400000000000006</v>
      </c>
      <c r="R312" s="71">
        <v>0</v>
      </c>
      <c r="S312" s="62">
        <v>0.18099999999999999</v>
      </c>
      <c r="T312" s="70">
        <v>356</v>
      </c>
      <c r="U312" s="71">
        <v>352</v>
      </c>
      <c r="V312" s="71">
        <v>352</v>
      </c>
      <c r="W312" s="71">
        <v>0</v>
      </c>
      <c r="X312" s="62">
        <v>4.3600000000000003</v>
      </c>
      <c r="Y312" s="134">
        <v>41.3</v>
      </c>
      <c r="Z312" s="119">
        <v>40.299999999999997</v>
      </c>
      <c r="AA312" s="119">
        <v>1.06</v>
      </c>
      <c r="AB312" s="119">
        <v>0</v>
      </c>
      <c r="AC312" s="67">
        <f t="shared" si="14"/>
        <v>0</v>
      </c>
      <c r="AD312" s="72" t="s">
        <v>2103</v>
      </c>
      <c r="AE312" s="69" t="s">
        <v>1641</v>
      </c>
      <c r="AF312" s="778">
        <v>11.3</v>
      </c>
      <c r="AG312" s="775">
        <v>11.1</v>
      </c>
      <c r="AH312" s="775">
        <v>0.21</v>
      </c>
      <c r="AI312" s="786">
        <f t="shared" si="16"/>
        <v>0.72639225181598055</v>
      </c>
    </row>
    <row r="313" spans="1:35" s="69" customFormat="1">
      <c r="A313" s="60" t="s">
        <v>2104</v>
      </c>
      <c r="B313" s="61" t="s">
        <v>2105</v>
      </c>
      <c r="C313" s="61" t="s">
        <v>2106</v>
      </c>
      <c r="D313" s="61" t="s">
        <v>2107</v>
      </c>
      <c r="E313" s="62" t="s">
        <v>893</v>
      </c>
      <c r="F313" s="63" t="s">
        <v>2068</v>
      </c>
      <c r="G313" s="64">
        <v>357000</v>
      </c>
      <c r="H313" s="65">
        <v>339000</v>
      </c>
      <c r="I313" s="65">
        <v>17700</v>
      </c>
      <c r="J313" s="70">
        <v>668</v>
      </c>
      <c r="K313" s="71">
        <v>666</v>
      </c>
      <c r="L313" s="71">
        <v>666</v>
      </c>
      <c r="M313" s="71">
        <v>0</v>
      </c>
      <c r="N313" s="62">
        <v>1.36</v>
      </c>
      <c r="O313" s="70">
        <v>69.3</v>
      </c>
      <c r="P313" s="71">
        <v>69.3</v>
      </c>
      <c r="Q313" s="71">
        <v>69.3</v>
      </c>
      <c r="R313" s="71">
        <v>0</v>
      </c>
      <c r="S313" s="62">
        <v>3.9199999999999999E-2</v>
      </c>
      <c r="T313" s="70">
        <v>598</v>
      </c>
      <c r="U313" s="71">
        <v>597</v>
      </c>
      <c r="V313" s="71">
        <v>597</v>
      </c>
      <c r="W313" s="71">
        <v>0</v>
      </c>
      <c r="X313" s="62">
        <v>1.32</v>
      </c>
      <c r="Y313" s="134">
        <v>151</v>
      </c>
      <c r="Z313" s="119">
        <v>134</v>
      </c>
      <c r="AA313" s="119">
        <v>17.100000000000001</v>
      </c>
      <c r="AB313" s="119">
        <v>0</v>
      </c>
      <c r="AC313" s="67">
        <f t="shared" si="14"/>
        <v>0</v>
      </c>
      <c r="AD313" s="72" t="s">
        <v>2108</v>
      </c>
      <c r="AE313" s="69" t="s">
        <v>2109</v>
      </c>
      <c r="AF313" s="778">
        <v>78.099999999999994</v>
      </c>
      <c r="AG313" s="775">
        <v>64.2</v>
      </c>
      <c r="AH313" s="775">
        <v>14</v>
      </c>
      <c r="AI313" s="786">
        <f t="shared" si="16"/>
        <v>0.48278145695364244</v>
      </c>
    </row>
    <row r="314" spans="1:35" s="69" customFormat="1">
      <c r="A314" s="60" t="s">
        <v>2110</v>
      </c>
      <c r="B314" s="61" t="s">
        <v>2111</v>
      </c>
      <c r="C314" s="61" t="s">
        <v>2112</v>
      </c>
      <c r="D314" s="61" t="s">
        <v>2113</v>
      </c>
      <c r="E314" s="62" t="s">
        <v>893</v>
      </c>
      <c r="F314" s="63" t="s">
        <v>2068</v>
      </c>
      <c r="G314" s="64">
        <v>1010000</v>
      </c>
      <c r="H314" s="65">
        <v>944000</v>
      </c>
      <c r="I314" s="65">
        <v>62800</v>
      </c>
      <c r="J314" s="70">
        <v>7020</v>
      </c>
      <c r="K314" s="71">
        <v>6980</v>
      </c>
      <c r="L314" s="71">
        <v>4950</v>
      </c>
      <c r="M314" s="71">
        <v>2030</v>
      </c>
      <c r="N314" s="62">
        <v>40.9</v>
      </c>
      <c r="O314" s="70">
        <v>5040</v>
      </c>
      <c r="P314" s="71">
        <v>5040</v>
      </c>
      <c r="Q314" s="71">
        <v>3140</v>
      </c>
      <c r="R314" s="71">
        <v>1900</v>
      </c>
      <c r="S314" s="62">
        <v>2.46</v>
      </c>
      <c r="T314" s="70">
        <v>1980</v>
      </c>
      <c r="U314" s="71">
        <v>1940</v>
      </c>
      <c r="V314" s="71">
        <v>1810</v>
      </c>
      <c r="W314" s="71">
        <v>129</v>
      </c>
      <c r="X314" s="62">
        <v>38.4</v>
      </c>
      <c r="Y314" s="134">
        <v>471</v>
      </c>
      <c r="Z314" s="119">
        <v>419</v>
      </c>
      <c r="AA314" s="119">
        <v>51.4</v>
      </c>
      <c r="AB314" s="119">
        <v>160</v>
      </c>
      <c r="AC314" s="67">
        <f t="shared" si="14"/>
        <v>586.66666666666663</v>
      </c>
      <c r="AD314" s="72" t="s">
        <v>2114</v>
      </c>
      <c r="AE314" s="69" t="s">
        <v>2115</v>
      </c>
      <c r="AF314" s="778">
        <v>226</v>
      </c>
      <c r="AG314" s="775">
        <v>185</v>
      </c>
      <c r="AH314" s="775">
        <v>41.1</v>
      </c>
      <c r="AI314" s="786">
        <f t="shared" si="16"/>
        <v>0.52016985138004246</v>
      </c>
    </row>
    <row r="315" spans="1:35" s="69" customFormat="1">
      <c r="A315" s="60" t="s">
        <v>2116</v>
      </c>
      <c r="B315" s="61" t="s">
        <v>2117</v>
      </c>
      <c r="C315" s="61" t="s">
        <v>2118</v>
      </c>
      <c r="D315" s="61" t="s">
        <v>2119</v>
      </c>
      <c r="E315" s="62" t="s">
        <v>893</v>
      </c>
      <c r="F315" s="63" t="s">
        <v>2068</v>
      </c>
      <c r="G315" s="64">
        <v>6620000</v>
      </c>
      <c r="H315" s="65">
        <v>6560000</v>
      </c>
      <c r="I315" s="65">
        <v>54300</v>
      </c>
      <c r="J315" s="70">
        <v>10900</v>
      </c>
      <c r="K315" s="71">
        <v>10900</v>
      </c>
      <c r="L315" s="71">
        <v>10900</v>
      </c>
      <c r="M315" s="71">
        <v>67.3</v>
      </c>
      <c r="N315" s="62">
        <v>5.42</v>
      </c>
      <c r="O315" s="70">
        <v>683</v>
      </c>
      <c r="P315" s="71">
        <v>683</v>
      </c>
      <c r="Q315" s="71">
        <v>615</v>
      </c>
      <c r="R315" s="71">
        <v>67.3</v>
      </c>
      <c r="S315" s="62">
        <v>0.26100000000000001</v>
      </c>
      <c r="T315" s="70">
        <v>10300</v>
      </c>
      <c r="U315" s="71">
        <v>10300</v>
      </c>
      <c r="V315" s="71">
        <v>10300</v>
      </c>
      <c r="W315" s="71">
        <v>0</v>
      </c>
      <c r="X315" s="62">
        <v>5.16</v>
      </c>
      <c r="Y315" s="134">
        <v>2770</v>
      </c>
      <c r="Z315" s="119">
        <v>2720</v>
      </c>
      <c r="AA315" s="119">
        <v>51</v>
      </c>
      <c r="AB315" s="119">
        <v>3.45</v>
      </c>
      <c r="AC315" s="67">
        <f t="shared" si="14"/>
        <v>12.65</v>
      </c>
      <c r="AD315" s="72" t="s">
        <v>2120</v>
      </c>
      <c r="AE315" s="69" t="s">
        <v>2121</v>
      </c>
      <c r="AF315" s="778">
        <v>1350</v>
      </c>
      <c r="AG315" s="775">
        <v>1330</v>
      </c>
      <c r="AH315" s="775">
        <v>26.4</v>
      </c>
      <c r="AI315" s="786">
        <f t="shared" si="16"/>
        <v>0.5126353790613718</v>
      </c>
    </row>
    <row r="316" spans="1:35" s="69" customFormat="1">
      <c r="A316" s="60" t="s">
        <v>2122</v>
      </c>
      <c r="B316" s="61" t="s">
        <v>2123</v>
      </c>
      <c r="C316" s="61" t="s">
        <v>2124</v>
      </c>
      <c r="D316" s="61" t="s">
        <v>2125</v>
      </c>
      <c r="E316" s="62" t="s">
        <v>893</v>
      </c>
      <c r="F316" s="63" t="s">
        <v>2068</v>
      </c>
      <c r="G316" s="64">
        <v>1200000</v>
      </c>
      <c r="H316" s="65">
        <v>1110000</v>
      </c>
      <c r="I316" s="65">
        <v>91300</v>
      </c>
      <c r="J316" s="70">
        <v>5400</v>
      </c>
      <c r="K316" s="71">
        <v>5340</v>
      </c>
      <c r="L316" s="71">
        <v>2880</v>
      </c>
      <c r="M316" s="71">
        <v>2460</v>
      </c>
      <c r="N316" s="62">
        <v>59.9</v>
      </c>
      <c r="O316" s="70">
        <v>2530</v>
      </c>
      <c r="P316" s="71">
        <v>2520</v>
      </c>
      <c r="Q316" s="71">
        <v>599</v>
      </c>
      <c r="R316" s="71">
        <v>1930</v>
      </c>
      <c r="S316" s="62">
        <v>3.48</v>
      </c>
      <c r="T316" s="70">
        <v>2870</v>
      </c>
      <c r="U316" s="71">
        <v>2820</v>
      </c>
      <c r="V316" s="71">
        <v>2280</v>
      </c>
      <c r="W316" s="71">
        <v>531</v>
      </c>
      <c r="X316" s="62">
        <v>56.4</v>
      </c>
      <c r="Y316" s="134">
        <v>633</v>
      </c>
      <c r="Z316" s="119">
        <v>558</v>
      </c>
      <c r="AA316" s="119">
        <v>74.900000000000006</v>
      </c>
      <c r="AB316" s="119">
        <v>223</v>
      </c>
      <c r="AC316" s="67">
        <f t="shared" si="14"/>
        <v>817.66666666666663</v>
      </c>
      <c r="AD316" s="72" t="s">
        <v>2126</v>
      </c>
      <c r="AE316" s="69" t="s">
        <v>2127</v>
      </c>
      <c r="AF316" s="778">
        <v>431</v>
      </c>
      <c r="AG316" s="775">
        <v>360</v>
      </c>
      <c r="AH316" s="775">
        <v>70.400000000000006</v>
      </c>
      <c r="AI316" s="786">
        <f t="shared" si="16"/>
        <v>0.31911532385466035</v>
      </c>
    </row>
    <row r="317" spans="1:35" s="69" customFormat="1">
      <c r="A317" s="60" t="s">
        <v>2128</v>
      </c>
      <c r="B317" s="61" t="s">
        <v>2129</v>
      </c>
      <c r="C317" s="61" t="s">
        <v>2130</v>
      </c>
      <c r="D317" s="61" t="s">
        <v>2131</v>
      </c>
      <c r="E317" s="62" t="s">
        <v>893</v>
      </c>
      <c r="F317" s="63" t="s">
        <v>2068</v>
      </c>
      <c r="G317" s="64">
        <v>110000</v>
      </c>
      <c r="H317" s="65">
        <v>105000</v>
      </c>
      <c r="I317" s="65">
        <v>5340</v>
      </c>
      <c r="J317" s="70">
        <v>254</v>
      </c>
      <c r="K317" s="71">
        <v>254</v>
      </c>
      <c r="L317" s="71">
        <v>254</v>
      </c>
      <c r="M317" s="71">
        <v>0</v>
      </c>
      <c r="N317" s="62">
        <v>0.75</v>
      </c>
      <c r="O317" s="70">
        <v>40.9</v>
      </c>
      <c r="P317" s="71">
        <v>40.799999999999997</v>
      </c>
      <c r="Q317" s="71">
        <v>40.799999999999997</v>
      </c>
      <c r="R317" s="71">
        <v>0</v>
      </c>
      <c r="S317" s="62">
        <v>3.5400000000000001E-2</v>
      </c>
      <c r="T317" s="70">
        <v>214</v>
      </c>
      <c r="U317" s="71">
        <v>213</v>
      </c>
      <c r="V317" s="71">
        <v>213</v>
      </c>
      <c r="W317" s="71">
        <v>0</v>
      </c>
      <c r="X317" s="62">
        <v>0.71399999999999997</v>
      </c>
      <c r="Y317" s="134">
        <v>48.6</v>
      </c>
      <c r="Z317" s="119">
        <v>43.7</v>
      </c>
      <c r="AA317" s="119">
        <v>4.93</v>
      </c>
      <c r="AB317" s="119">
        <v>0</v>
      </c>
      <c r="AC317" s="67">
        <f t="shared" si="14"/>
        <v>0</v>
      </c>
      <c r="AD317" s="72" t="s">
        <v>2132</v>
      </c>
      <c r="AE317" s="69" t="s">
        <v>2133</v>
      </c>
      <c r="AF317" s="778">
        <v>20.5</v>
      </c>
      <c r="AG317" s="775">
        <v>15.9</v>
      </c>
      <c r="AH317" s="775">
        <v>4.55</v>
      </c>
      <c r="AI317" s="786">
        <f t="shared" si="16"/>
        <v>0.57818930041152261</v>
      </c>
    </row>
    <row r="318" spans="1:35" s="69" customFormat="1">
      <c r="A318" s="60" t="s">
        <v>2134</v>
      </c>
      <c r="B318" s="61" t="s">
        <v>2135</v>
      </c>
      <c r="C318" s="61" t="s">
        <v>2136</v>
      </c>
      <c r="D318" s="61" t="s">
        <v>2137</v>
      </c>
      <c r="E318" s="62" t="s">
        <v>893</v>
      </c>
      <c r="F318" s="63" t="s">
        <v>2068</v>
      </c>
      <c r="G318" s="64">
        <v>46700</v>
      </c>
      <c r="H318" s="65">
        <v>46100</v>
      </c>
      <c r="I318" s="65">
        <v>598</v>
      </c>
      <c r="J318" s="70">
        <v>160</v>
      </c>
      <c r="K318" s="71">
        <v>160</v>
      </c>
      <c r="L318" s="71">
        <v>143</v>
      </c>
      <c r="M318" s="71">
        <v>16.8</v>
      </c>
      <c r="N318" s="62">
        <v>0.77100000000000002</v>
      </c>
      <c r="O318" s="70">
        <v>16.399999999999999</v>
      </c>
      <c r="P318" s="71">
        <v>16.399999999999999</v>
      </c>
      <c r="Q318" s="71">
        <v>16.399999999999999</v>
      </c>
      <c r="R318" s="71">
        <v>0</v>
      </c>
      <c r="S318" s="62">
        <v>3.0599999999999999E-2</v>
      </c>
      <c r="T318" s="70">
        <v>144</v>
      </c>
      <c r="U318" s="71">
        <v>143</v>
      </c>
      <c r="V318" s="71">
        <v>126</v>
      </c>
      <c r="W318" s="71">
        <v>16.8</v>
      </c>
      <c r="X318" s="62">
        <v>0.74</v>
      </c>
      <c r="Y318" s="134">
        <v>30.7</v>
      </c>
      <c r="Z318" s="119">
        <v>30.6</v>
      </c>
      <c r="AA318" s="119">
        <v>0.17899999999999999</v>
      </c>
      <c r="AB318" s="119">
        <v>0</v>
      </c>
      <c r="AC318" s="67">
        <f t="shared" si="14"/>
        <v>0</v>
      </c>
      <c r="AD318" s="72" t="s">
        <v>2138</v>
      </c>
      <c r="AE318" s="69" t="s">
        <v>2139</v>
      </c>
      <c r="AF318" s="778">
        <v>34.4</v>
      </c>
      <c r="AG318" s="775">
        <v>28.1</v>
      </c>
      <c r="AH318" s="775">
        <v>6.29</v>
      </c>
      <c r="AI318" s="786">
        <f t="shared" si="16"/>
        <v>-0.12052117263843647</v>
      </c>
    </row>
  </sheetData>
  <sheetProtection selectLockedCells="1" selectUnlockedCells="1"/>
  <customSheetViews>
    <customSheetView guid="{B32447E2-AB5B-4CBB-881B-FF11349CA4D6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2"/>
      <headerFooter scaleWithDoc="0" alignWithMargins="0">
        <oddFooter>&amp;C&amp;8&amp;P</oddFooter>
      </headerFooter>
    </customSheetView>
  </customSheetViews>
  <mergeCells count="23">
    <mergeCell ref="A5:A6"/>
    <mergeCell ref="C5:C6"/>
    <mergeCell ref="G5:I6"/>
    <mergeCell ref="J5:N5"/>
    <mergeCell ref="O5:S5"/>
    <mergeCell ref="E6:E8"/>
    <mergeCell ref="B4:B6"/>
    <mergeCell ref="B7:B8"/>
    <mergeCell ref="AF1:AL1"/>
    <mergeCell ref="D4:D6"/>
    <mergeCell ref="E4:E5"/>
    <mergeCell ref="F4:F9"/>
    <mergeCell ref="G4:I4"/>
    <mergeCell ref="Y6:AA6"/>
    <mergeCell ref="J4:X4"/>
    <mergeCell ref="J6:N6"/>
    <mergeCell ref="O6:S6"/>
    <mergeCell ref="T6:X6"/>
    <mergeCell ref="Y4:AA4"/>
    <mergeCell ref="AD4:AD6"/>
    <mergeCell ref="T5:X5"/>
    <mergeCell ref="Y5:AA5"/>
    <mergeCell ref="AD7:AD8"/>
  </mergeCells>
  <conditionalFormatting sqref="G144:AB178">
    <cfRule type="cellIs" dxfId="385" priority="916" operator="equal">
      <formula>0</formula>
    </cfRule>
    <cfRule type="cellIs" dxfId="384" priority="917" operator="greaterThan">
      <formula>100</formula>
    </cfRule>
    <cfRule type="cellIs" dxfId="383" priority="918" operator="between">
      <formula>10</formula>
      <formula>100</formula>
    </cfRule>
    <cfRule type="cellIs" dxfId="382" priority="919" operator="between">
      <formula>1</formula>
      <formula>10</formula>
    </cfRule>
    <cfRule type="cellIs" dxfId="381" priority="920" operator="between">
      <formula>0.00000001</formula>
      <formula>1</formula>
    </cfRule>
  </conditionalFormatting>
  <conditionalFormatting sqref="G235:AB235">
    <cfRule type="cellIs" dxfId="380" priority="508" operator="between">
      <formula>10</formula>
      <formula>100</formula>
    </cfRule>
    <cfRule type="cellIs" dxfId="379" priority="509" operator="between">
      <formula>1</formula>
      <formula>10</formula>
    </cfRule>
    <cfRule type="cellIs" dxfId="378" priority="510" operator="between">
      <formula>0.00000001</formula>
      <formula>1</formula>
    </cfRule>
  </conditionalFormatting>
  <conditionalFormatting sqref="G11:AC34">
    <cfRule type="cellIs" dxfId="377" priority="906" operator="equal">
      <formula>0</formula>
    </cfRule>
    <cfRule type="cellIs" dxfId="376" priority="907" operator="greaterThan">
      <formula>100</formula>
    </cfRule>
    <cfRule type="cellIs" dxfId="375" priority="908" operator="between">
      <formula>10</formula>
      <formula>100</formula>
    </cfRule>
    <cfRule type="cellIs" dxfId="374" priority="909" operator="between">
      <formula>1</formula>
      <formula>10</formula>
    </cfRule>
    <cfRule type="cellIs" dxfId="373" priority="910" operator="between">
      <formula>0.00000001</formula>
      <formula>1</formula>
    </cfRule>
  </conditionalFormatting>
  <conditionalFormatting sqref="G36:AC43 G45:AC56 G128:AB142">
    <cfRule type="cellIs" dxfId="372" priority="961" operator="equal">
      <formula>0</formula>
    </cfRule>
    <cfRule type="cellIs" dxfId="371" priority="962" operator="greaterThan">
      <formula>100</formula>
    </cfRule>
    <cfRule type="cellIs" dxfId="370" priority="963" operator="between">
      <formula>10</formula>
      <formula>100</formula>
    </cfRule>
    <cfRule type="cellIs" dxfId="369" priority="964" operator="between">
      <formula>1</formula>
      <formula>10</formula>
    </cfRule>
    <cfRule type="cellIs" dxfId="368" priority="965" operator="between">
      <formula>0.00000001</formula>
      <formula>1</formula>
    </cfRule>
  </conditionalFormatting>
  <conditionalFormatting sqref="G58:AC77">
    <cfRule type="cellIs" dxfId="367" priority="891" operator="equal">
      <formula>0</formula>
    </cfRule>
    <cfRule type="cellIs" dxfId="366" priority="892" operator="greaterThan">
      <formula>100</formula>
    </cfRule>
    <cfRule type="cellIs" dxfId="365" priority="893" operator="between">
      <formula>10</formula>
      <formula>100</formula>
    </cfRule>
    <cfRule type="cellIs" dxfId="364" priority="894" operator="between">
      <formula>1</formula>
      <formula>10</formula>
    </cfRule>
    <cfRule type="cellIs" dxfId="363" priority="895" operator="between">
      <formula>0.00000001</formula>
      <formula>1</formula>
    </cfRule>
  </conditionalFormatting>
  <conditionalFormatting sqref="G79:AC95">
    <cfRule type="cellIs" dxfId="362" priority="886" operator="equal">
      <formula>0</formula>
    </cfRule>
    <cfRule type="cellIs" dxfId="361" priority="887" operator="greaterThan">
      <formula>100</formula>
    </cfRule>
    <cfRule type="cellIs" dxfId="360" priority="888" operator="between">
      <formula>10</formula>
      <formula>100</formula>
    </cfRule>
    <cfRule type="cellIs" dxfId="359" priority="889" operator="between">
      <formula>1</formula>
      <formula>10</formula>
    </cfRule>
    <cfRule type="cellIs" dxfId="358" priority="890" operator="between">
      <formula>0.00000001</formula>
      <formula>1</formula>
    </cfRule>
  </conditionalFormatting>
  <conditionalFormatting sqref="G97:AC126">
    <cfRule type="cellIs" dxfId="357" priority="881" operator="equal">
      <formula>0</formula>
    </cfRule>
    <cfRule type="cellIs" dxfId="356" priority="882" operator="greaterThan">
      <formula>100</formula>
    </cfRule>
    <cfRule type="cellIs" dxfId="355" priority="883" operator="between">
      <formula>10</formula>
      <formula>100</formula>
    </cfRule>
    <cfRule type="cellIs" dxfId="354" priority="884" operator="between">
      <formula>1</formula>
      <formula>10</formula>
    </cfRule>
    <cfRule type="cellIs" dxfId="353" priority="885" operator="between">
      <formula>0.00000001</formula>
      <formula>1</formula>
    </cfRule>
  </conditionalFormatting>
  <conditionalFormatting sqref="G180:AC184">
    <cfRule type="cellIs" dxfId="352" priority="871" operator="equal">
      <formula>0</formula>
    </cfRule>
    <cfRule type="cellIs" dxfId="351" priority="872" operator="greaterThan">
      <formula>100</formula>
    </cfRule>
    <cfRule type="cellIs" dxfId="350" priority="873" operator="between">
      <formula>10</formula>
      <formula>100</formula>
    </cfRule>
    <cfRule type="cellIs" dxfId="349" priority="874" operator="between">
      <formula>1</formula>
      <formula>10</formula>
    </cfRule>
    <cfRule type="cellIs" dxfId="348" priority="875" operator="between">
      <formula>0.00000001</formula>
      <formula>1</formula>
    </cfRule>
  </conditionalFormatting>
  <conditionalFormatting sqref="G186:AC204">
    <cfRule type="cellIs" dxfId="347" priority="866" operator="equal">
      <formula>0</formula>
    </cfRule>
    <cfRule type="cellIs" dxfId="346" priority="867" operator="greaterThan">
      <formula>100</formula>
    </cfRule>
    <cfRule type="cellIs" dxfId="345" priority="868" operator="between">
      <formula>10</formula>
      <formula>100</formula>
    </cfRule>
    <cfRule type="cellIs" dxfId="344" priority="869" operator="between">
      <formula>1</formula>
      <formula>10</formula>
    </cfRule>
    <cfRule type="cellIs" dxfId="343" priority="870" operator="between">
      <formula>0.00000001</formula>
      <formula>1</formula>
    </cfRule>
  </conditionalFormatting>
  <conditionalFormatting sqref="G206:AC234 G236:AC239">
    <cfRule type="cellIs" dxfId="342" priority="863" operator="between">
      <formula>10</formula>
      <formula>100</formula>
    </cfRule>
    <cfRule type="cellIs" dxfId="341" priority="864" operator="between">
      <formula>1</formula>
      <formula>10</formula>
    </cfRule>
    <cfRule type="cellIs" dxfId="340" priority="865" operator="between">
      <formula>0.00000001</formula>
      <formula>1</formula>
    </cfRule>
  </conditionalFormatting>
  <conditionalFormatting sqref="G206:AC239">
    <cfRule type="cellIs" dxfId="339" priority="506" operator="equal">
      <formula>0</formula>
    </cfRule>
    <cfRule type="cellIs" dxfId="338" priority="507" operator="greaterThan">
      <formula>100</formula>
    </cfRule>
  </conditionalFormatting>
  <conditionalFormatting sqref="G241:AC270">
    <cfRule type="cellIs" dxfId="337" priority="856" operator="equal">
      <formula>0</formula>
    </cfRule>
    <cfRule type="cellIs" dxfId="336" priority="857" operator="greaterThan">
      <formula>100</formula>
    </cfRule>
    <cfRule type="cellIs" dxfId="335" priority="858" operator="between">
      <formula>10</formula>
      <formula>100</formula>
    </cfRule>
    <cfRule type="cellIs" dxfId="334" priority="859" operator="between">
      <formula>1</formula>
      <formula>10</formula>
    </cfRule>
    <cfRule type="cellIs" dxfId="333" priority="860" operator="between">
      <formula>0.00000001</formula>
      <formula>1</formula>
    </cfRule>
  </conditionalFormatting>
  <conditionalFormatting sqref="G272:AC283">
    <cfRule type="cellIs" dxfId="332" priority="851" operator="equal">
      <formula>0</formula>
    </cfRule>
    <cfRule type="cellIs" dxfId="331" priority="852" operator="greaterThan">
      <formula>100</formula>
    </cfRule>
    <cfRule type="cellIs" dxfId="330" priority="853" operator="between">
      <formula>10</formula>
      <formula>100</formula>
    </cfRule>
    <cfRule type="cellIs" dxfId="329" priority="854" operator="between">
      <formula>1</formula>
      <formula>10</formula>
    </cfRule>
    <cfRule type="cellIs" dxfId="328" priority="855" operator="between">
      <formula>0.00000001</formula>
      <formula>1</formula>
    </cfRule>
  </conditionalFormatting>
  <conditionalFormatting sqref="G285:AC289">
    <cfRule type="cellIs" dxfId="327" priority="846" operator="equal">
      <formula>0</formula>
    </cfRule>
    <cfRule type="cellIs" dxfId="326" priority="847" operator="greaterThan">
      <formula>100</formula>
    </cfRule>
    <cfRule type="cellIs" dxfId="325" priority="848" operator="between">
      <formula>10</formula>
      <formula>100</formula>
    </cfRule>
    <cfRule type="cellIs" dxfId="324" priority="849" operator="between">
      <formula>1</formula>
      <formula>10</formula>
    </cfRule>
    <cfRule type="cellIs" dxfId="323" priority="850" operator="between">
      <formula>0.00000001</formula>
      <formula>1</formula>
    </cfRule>
  </conditionalFormatting>
  <conditionalFormatting sqref="G291:AC298">
    <cfRule type="cellIs" dxfId="322" priority="841" operator="equal">
      <formula>0</formula>
    </cfRule>
    <cfRule type="cellIs" dxfId="321" priority="842" operator="greaterThan">
      <formula>100</formula>
    </cfRule>
    <cfRule type="cellIs" dxfId="320" priority="843" operator="between">
      <formula>10</formula>
      <formula>100</formula>
    </cfRule>
    <cfRule type="cellIs" dxfId="319" priority="844" operator="between">
      <formula>1</formula>
      <formula>10</formula>
    </cfRule>
    <cfRule type="cellIs" dxfId="318" priority="845" operator="between">
      <formula>0.00000001</formula>
      <formula>1</formula>
    </cfRule>
  </conditionalFormatting>
  <conditionalFormatting sqref="G300:AC304">
    <cfRule type="cellIs" dxfId="317" priority="836" operator="equal">
      <formula>0</formula>
    </cfRule>
    <cfRule type="cellIs" dxfId="316" priority="837" operator="greaterThan">
      <formula>100</formula>
    </cfRule>
    <cfRule type="cellIs" dxfId="315" priority="838" operator="between">
      <formula>10</formula>
      <formula>100</formula>
    </cfRule>
    <cfRule type="cellIs" dxfId="314" priority="839" operator="between">
      <formula>1</formula>
      <formula>10</formula>
    </cfRule>
    <cfRule type="cellIs" dxfId="313" priority="840" operator="between">
      <formula>0.00000001</formula>
      <formula>1</formula>
    </cfRule>
  </conditionalFormatting>
  <conditionalFormatting sqref="G306:AC318">
    <cfRule type="cellIs" dxfId="312" priority="831" operator="equal">
      <formula>0</formula>
    </cfRule>
    <cfRule type="cellIs" dxfId="311" priority="832" operator="greaterThan">
      <formula>100</formula>
    </cfRule>
    <cfRule type="cellIs" dxfId="310" priority="833" operator="between">
      <formula>10</formula>
      <formula>100</formula>
    </cfRule>
    <cfRule type="cellIs" dxfId="309" priority="834" operator="between">
      <formula>1</formula>
      <formula>10</formula>
    </cfRule>
    <cfRule type="cellIs" dxfId="308" priority="835" operator="between">
      <formula>0.00000001</formula>
      <formula>1</formula>
    </cfRule>
  </conditionalFormatting>
  <conditionalFormatting sqref="AB235:AC235">
    <cfRule type="cellIs" dxfId="307" priority="513" operator="between">
      <formula>10</formula>
      <formula>100</formula>
    </cfRule>
    <cfRule type="cellIs" dxfId="306" priority="514" operator="between">
      <formula>1</formula>
      <formula>10</formula>
    </cfRule>
    <cfRule type="cellIs" dxfId="305" priority="515" operator="between">
      <formula>0.00000001</formula>
      <formula>1</formula>
    </cfRule>
  </conditionalFormatting>
  <conditionalFormatting sqref="AC128:AC178">
    <cfRule type="cellIs" dxfId="304" priority="876" operator="equal">
      <formula>0</formula>
    </cfRule>
    <cfRule type="cellIs" dxfId="303" priority="877" operator="greaterThan">
      <formula>100</formula>
    </cfRule>
    <cfRule type="cellIs" dxfId="302" priority="878" operator="between">
      <formula>10</formula>
      <formula>100</formula>
    </cfRule>
    <cfRule type="cellIs" dxfId="301" priority="879" operator="between">
      <formula>1</formula>
      <formula>10</formula>
    </cfRule>
    <cfRule type="cellIs" dxfId="300" priority="880" operator="between">
      <formula>0.00000001</formula>
      <formula>1</formula>
    </cfRule>
  </conditionalFormatting>
  <conditionalFormatting sqref="AF11:AH34">
    <cfRule type="cellIs" dxfId="299" priority="256" operator="equal">
      <formula>0</formula>
    </cfRule>
    <cfRule type="cellIs" dxfId="298" priority="257" operator="greaterThan">
      <formula>100</formula>
    </cfRule>
    <cfRule type="cellIs" dxfId="297" priority="258" operator="between">
      <formula>10</formula>
      <formula>100</formula>
    </cfRule>
    <cfRule type="cellIs" dxfId="296" priority="259" operator="between">
      <formula>1</formula>
      <formula>10</formula>
    </cfRule>
    <cfRule type="cellIs" dxfId="295" priority="260" operator="between">
      <formula>0.00000001</formula>
      <formula>1</formula>
    </cfRule>
  </conditionalFormatting>
  <conditionalFormatting sqref="AF36:AH42">
    <cfRule type="cellIs" dxfId="294" priority="251" operator="equal">
      <formula>0</formula>
    </cfRule>
    <cfRule type="cellIs" dxfId="293" priority="252" operator="greaterThan">
      <formula>100</formula>
    </cfRule>
    <cfRule type="cellIs" dxfId="292" priority="253" operator="between">
      <formula>10</formula>
      <formula>100</formula>
    </cfRule>
    <cfRule type="cellIs" dxfId="291" priority="254" operator="between">
      <formula>1</formula>
      <formula>10</formula>
    </cfRule>
    <cfRule type="cellIs" dxfId="290" priority="255" operator="between">
      <formula>0.00000001</formula>
      <formula>1</formula>
    </cfRule>
  </conditionalFormatting>
  <conditionalFormatting sqref="AF45:AH45">
    <cfRule type="cellIs" dxfId="289" priority="246" operator="equal">
      <formula>0</formula>
    </cfRule>
    <cfRule type="cellIs" dxfId="288" priority="247" operator="greaterThan">
      <formula>100</formula>
    </cfRule>
    <cfRule type="cellIs" dxfId="287" priority="248" operator="between">
      <formula>10</formula>
      <formula>100</formula>
    </cfRule>
    <cfRule type="cellIs" dxfId="286" priority="249" operator="between">
      <formula>1</formula>
      <formula>10</formula>
    </cfRule>
    <cfRule type="cellIs" dxfId="285" priority="250" operator="between">
      <formula>0.00000001</formula>
      <formula>1</formula>
    </cfRule>
  </conditionalFormatting>
  <conditionalFormatting sqref="AF47:AH47">
    <cfRule type="cellIs" dxfId="284" priority="241" operator="equal">
      <formula>0</formula>
    </cfRule>
    <cfRule type="cellIs" dxfId="283" priority="242" operator="greaterThan">
      <formula>100</formula>
    </cfRule>
    <cfRule type="cellIs" dxfId="282" priority="243" operator="between">
      <formula>10</formula>
      <formula>100</formula>
    </cfRule>
    <cfRule type="cellIs" dxfId="281" priority="244" operator="between">
      <formula>1</formula>
      <formula>10</formula>
    </cfRule>
    <cfRule type="cellIs" dxfId="280" priority="245" operator="between">
      <formula>0.00000001</formula>
      <formula>1</formula>
    </cfRule>
  </conditionalFormatting>
  <conditionalFormatting sqref="AF50:AH54">
    <cfRule type="cellIs" dxfId="279" priority="236" operator="equal">
      <formula>0</formula>
    </cfRule>
    <cfRule type="cellIs" dxfId="278" priority="237" operator="greaterThan">
      <formula>100</formula>
    </cfRule>
    <cfRule type="cellIs" dxfId="277" priority="238" operator="between">
      <formula>10</formula>
      <formula>100</formula>
    </cfRule>
    <cfRule type="cellIs" dxfId="276" priority="239" operator="between">
      <formula>1</formula>
      <formula>10</formula>
    </cfRule>
    <cfRule type="cellIs" dxfId="275" priority="240" operator="between">
      <formula>0.00000001</formula>
      <formula>1</formula>
    </cfRule>
  </conditionalFormatting>
  <conditionalFormatting sqref="AF59:AH71">
    <cfRule type="cellIs" dxfId="274" priority="231" operator="equal">
      <formula>0</formula>
    </cfRule>
    <cfRule type="cellIs" dxfId="273" priority="232" operator="greaterThan">
      <formula>100</formula>
    </cfRule>
    <cfRule type="cellIs" dxfId="272" priority="233" operator="between">
      <formula>10</formula>
      <formula>100</formula>
    </cfRule>
    <cfRule type="cellIs" dxfId="271" priority="234" operator="between">
      <formula>1</formula>
      <formula>10</formula>
    </cfRule>
    <cfRule type="cellIs" dxfId="270" priority="235" operator="between">
      <formula>0.00000001</formula>
      <formula>1</formula>
    </cfRule>
  </conditionalFormatting>
  <conditionalFormatting sqref="AF73:AH77">
    <cfRule type="cellIs" dxfId="269" priority="226" operator="equal">
      <formula>0</formula>
    </cfRule>
    <cfRule type="cellIs" dxfId="268" priority="227" operator="greaterThan">
      <formula>100</formula>
    </cfRule>
    <cfRule type="cellIs" dxfId="267" priority="228" operator="between">
      <formula>10</formula>
      <formula>100</formula>
    </cfRule>
    <cfRule type="cellIs" dxfId="266" priority="229" operator="between">
      <formula>1</formula>
      <formula>10</formula>
    </cfRule>
    <cfRule type="cellIs" dxfId="265" priority="230" operator="between">
      <formula>0.00000001</formula>
      <formula>1</formula>
    </cfRule>
  </conditionalFormatting>
  <conditionalFormatting sqref="AF79:AH95">
    <cfRule type="cellIs" dxfId="264" priority="221" operator="equal">
      <formula>0</formula>
    </cfRule>
    <cfRule type="cellIs" dxfId="263" priority="222" operator="greaterThan">
      <formula>100</formula>
    </cfRule>
    <cfRule type="cellIs" dxfId="262" priority="223" operator="between">
      <formula>10</formula>
      <formula>100</formula>
    </cfRule>
    <cfRule type="cellIs" dxfId="261" priority="224" operator="between">
      <formula>1</formula>
      <formula>10</formula>
    </cfRule>
    <cfRule type="cellIs" dxfId="260" priority="225" operator="between">
      <formula>0.00000001</formula>
      <formula>1</formula>
    </cfRule>
  </conditionalFormatting>
  <conditionalFormatting sqref="AF97:AH102">
    <cfRule type="cellIs" dxfId="259" priority="216" operator="equal">
      <formula>0</formula>
    </cfRule>
    <cfRule type="cellIs" dxfId="258" priority="217" operator="greaterThan">
      <formula>100</formula>
    </cfRule>
    <cfRule type="cellIs" dxfId="257" priority="218" operator="between">
      <formula>10</formula>
      <formula>100</formula>
    </cfRule>
    <cfRule type="cellIs" dxfId="256" priority="219" operator="between">
      <formula>1</formula>
      <formula>10</formula>
    </cfRule>
    <cfRule type="cellIs" dxfId="255" priority="220" operator="between">
      <formula>0.00000001</formula>
      <formula>1</formula>
    </cfRule>
  </conditionalFormatting>
  <conditionalFormatting sqref="AF104:AH104">
    <cfRule type="cellIs" dxfId="254" priority="211" operator="equal">
      <formula>0</formula>
    </cfRule>
    <cfRule type="cellIs" dxfId="253" priority="212" operator="greaterThan">
      <formula>100</formula>
    </cfRule>
    <cfRule type="cellIs" dxfId="252" priority="213" operator="between">
      <formula>10</formula>
      <formula>100</formula>
    </cfRule>
    <cfRule type="cellIs" dxfId="251" priority="214" operator="between">
      <formula>1</formula>
      <formula>10</formula>
    </cfRule>
    <cfRule type="cellIs" dxfId="250" priority="215" operator="between">
      <formula>0.00000001</formula>
      <formula>1</formula>
    </cfRule>
  </conditionalFormatting>
  <conditionalFormatting sqref="AF106:AH106">
    <cfRule type="cellIs" dxfId="249" priority="206" operator="equal">
      <formula>0</formula>
    </cfRule>
    <cfRule type="cellIs" dxfId="248" priority="207" operator="greaterThan">
      <formula>100</formula>
    </cfRule>
    <cfRule type="cellIs" dxfId="247" priority="208" operator="between">
      <formula>10</formula>
      <formula>100</formula>
    </cfRule>
    <cfRule type="cellIs" dxfId="246" priority="209" operator="between">
      <formula>1</formula>
      <formula>10</formula>
    </cfRule>
    <cfRule type="cellIs" dxfId="245" priority="210" operator="between">
      <formula>0.00000001</formula>
      <formula>1</formula>
    </cfRule>
  </conditionalFormatting>
  <conditionalFormatting sqref="AF108:AH121">
    <cfRule type="cellIs" dxfId="244" priority="201" operator="equal">
      <formula>0</formula>
    </cfRule>
    <cfRule type="cellIs" dxfId="243" priority="202" operator="greaterThan">
      <formula>100</formula>
    </cfRule>
    <cfRule type="cellIs" dxfId="242" priority="203" operator="between">
      <formula>10</formula>
      <formula>100</formula>
    </cfRule>
    <cfRule type="cellIs" dxfId="241" priority="204" operator="between">
      <formula>1</formula>
      <formula>10</formula>
    </cfRule>
    <cfRule type="cellIs" dxfId="240" priority="205" operator="between">
      <formula>0.00000001</formula>
      <formula>1</formula>
    </cfRule>
  </conditionalFormatting>
  <conditionalFormatting sqref="AF124:AH126">
    <cfRule type="cellIs" dxfId="239" priority="196" operator="equal">
      <formula>0</formula>
    </cfRule>
    <cfRule type="cellIs" dxfId="238" priority="197" operator="greaterThan">
      <formula>100</formula>
    </cfRule>
    <cfRule type="cellIs" dxfId="237" priority="198" operator="between">
      <formula>10</formula>
      <formula>100</formula>
    </cfRule>
    <cfRule type="cellIs" dxfId="236" priority="199" operator="between">
      <formula>1</formula>
      <formula>10</formula>
    </cfRule>
    <cfRule type="cellIs" dxfId="235" priority="200" operator="between">
      <formula>0.00000001</formula>
      <formula>1</formula>
    </cfRule>
  </conditionalFormatting>
  <conditionalFormatting sqref="AF128:AH129">
    <cfRule type="cellIs" dxfId="234" priority="191" operator="equal">
      <formula>0</formula>
    </cfRule>
    <cfRule type="cellIs" dxfId="233" priority="192" operator="greaterThan">
      <formula>100</formula>
    </cfRule>
    <cfRule type="cellIs" dxfId="232" priority="193" operator="between">
      <formula>10</formula>
      <formula>100</formula>
    </cfRule>
    <cfRule type="cellIs" dxfId="231" priority="194" operator="between">
      <formula>1</formula>
      <formula>10</formula>
    </cfRule>
    <cfRule type="cellIs" dxfId="230" priority="195" operator="between">
      <formula>0.00000001</formula>
      <formula>1</formula>
    </cfRule>
  </conditionalFormatting>
  <conditionalFormatting sqref="AF131:AH142">
    <cfRule type="cellIs" dxfId="229" priority="186" operator="equal">
      <formula>0</formula>
    </cfRule>
    <cfRule type="cellIs" dxfId="228" priority="187" operator="greaterThan">
      <formula>100</formula>
    </cfRule>
    <cfRule type="cellIs" dxfId="227" priority="188" operator="between">
      <formula>10</formula>
      <formula>100</formula>
    </cfRule>
    <cfRule type="cellIs" dxfId="226" priority="189" operator="between">
      <formula>1</formula>
      <formula>10</formula>
    </cfRule>
    <cfRule type="cellIs" dxfId="225" priority="190" operator="between">
      <formula>0.00000001</formula>
      <formula>1</formula>
    </cfRule>
  </conditionalFormatting>
  <conditionalFormatting sqref="AF144:AH144">
    <cfRule type="cellIs" dxfId="224" priority="131" operator="equal">
      <formula>0</formula>
    </cfRule>
    <cfRule type="cellIs" dxfId="223" priority="132" operator="greaterThan">
      <formula>100</formula>
    </cfRule>
    <cfRule type="cellIs" dxfId="222" priority="133" operator="between">
      <formula>10</formula>
      <formula>100</formula>
    </cfRule>
    <cfRule type="cellIs" dxfId="221" priority="134" operator="between">
      <formula>1</formula>
      <formula>10</formula>
    </cfRule>
    <cfRule type="cellIs" dxfId="220" priority="135" operator="between">
      <formula>0.00000001</formula>
      <formula>1</formula>
    </cfRule>
  </conditionalFormatting>
  <conditionalFormatting sqref="AF146:AH149">
    <cfRule type="cellIs" dxfId="219" priority="176" operator="equal">
      <formula>0</formula>
    </cfRule>
    <cfRule type="cellIs" dxfId="218" priority="177" operator="greaterThan">
      <formula>100</formula>
    </cfRule>
    <cfRule type="cellIs" dxfId="217" priority="178" operator="between">
      <formula>10</formula>
      <formula>100</formula>
    </cfRule>
    <cfRule type="cellIs" dxfId="216" priority="179" operator="between">
      <formula>1</formula>
      <formula>10</formula>
    </cfRule>
    <cfRule type="cellIs" dxfId="215" priority="180" operator="between">
      <formula>0.00000001</formula>
      <formula>1</formula>
    </cfRule>
  </conditionalFormatting>
  <conditionalFormatting sqref="AF153:AH154">
    <cfRule type="cellIs" dxfId="214" priority="181" operator="equal">
      <formula>0</formula>
    </cfRule>
    <cfRule type="cellIs" dxfId="213" priority="182" operator="greaterThan">
      <formula>100</formula>
    </cfRule>
    <cfRule type="cellIs" dxfId="212" priority="183" operator="between">
      <formula>10</formula>
      <formula>100</formula>
    </cfRule>
    <cfRule type="cellIs" dxfId="211" priority="184" operator="between">
      <formula>1</formula>
      <formula>10</formula>
    </cfRule>
    <cfRule type="cellIs" dxfId="210" priority="185" operator="between">
      <formula>0.00000001</formula>
      <formula>1</formula>
    </cfRule>
  </conditionalFormatting>
  <conditionalFormatting sqref="AF156:AH156">
    <cfRule type="cellIs" dxfId="209" priority="171" operator="equal">
      <formula>0</formula>
    </cfRule>
    <cfRule type="cellIs" dxfId="208" priority="172" operator="greaterThan">
      <formula>100</formula>
    </cfRule>
    <cfRule type="cellIs" dxfId="207" priority="173" operator="between">
      <formula>10</formula>
      <formula>100</formula>
    </cfRule>
    <cfRule type="cellIs" dxfId="206" priority="174" operator="between">
      <formula>1</formula>
      <formula>10</formula>
    </cfRule>
    <cfRule type="cellIs" dxfId="205" priority="175" operator="between">
      <formula>0.00000001</formula>
      <formula>1</formula>
    </cfRule>
  </conditionalFormatting>
  <conditionalFormatting sqref="AF158:AH158">
    <cfRule type="cellIs" dxfId="204" priority="166" operator="equal">
      <formula>0</formula>
    </cfRule>
    <cfRule type="cellIs" dxfId="203" priority="167" operator="greaterThan">
      <formula>100</formula>
    </cfRule>
    <cfRule type="cellIs" dxfId="202" priority="168" operator="between">
      <formula>10</formula>
      <formula>100</formula>
    </cfRule>
    <cfRule type="cellIs" dxfId="201" priority="169" operator="between">
      <formula>1</formula>
      <formula>10</formula>
    </cfRule>
    <cfRule type="cellIs" dxfId="200" priority="170" operator="between">
      <formula>0.00000001</formula>
      <formula>1</formula>
    </cfRule>
  </conditionalFormatting>
  <conditionalFormatting sqref="AF160:AH160">
    <cfRule type="cellIs" dxfId="199" priority="161" operator="equal">
      <formula>0</formula>
    </cfRule>
    <cfRule type="cellIs" dxfId="198" priority="162" operator="greaterThan">
      <formula>100</formula>
    </cfRule>
    <cfRule type="cellIs" dxfId="197" priority="163" operator="between">
      <formula>10</formula>
      <formula>100</formula>
    </cfRule>
    <cfRule type="cellIs" dxfId="196" priority="164" operator="between">
      <formula>1</formula>
      <formula>10</formula>
    </cfRule>
    <cfRule type="cellIs" dxfId="195" priority="165" operator="between">
      <formula>0.00000001</formula>
      <formula>1</formula>
    </cfRule>
  </conditionalFormatting>
  <conditionalFormatting sqref="AF162:AH162">
    <cfRule type="cellIs" dxfId="194" priority="156" operator="equal">
      <formula>0</formula>
    </cfRule>
    <cfRule type="cellIs" dxfId="193" priority="157" operator="greaterThan">
      <formula>100</formula>
    </cfRule>
    <cfRule type="cellIs" dxfId="192" priority="158" operator="between">
      <formula>10</formula>
      <formula>100</formula>
    </cfRule>
    <cfRule type="cellIs" dxfId="191" priority="159" operator="between">
      <formula>1</formula>
      <formula>10</formula>
    </cfRule>
    <cfRule type="cellIs" dxfId="190" priority="160" operator="between">
      <formula>0.00000001</formula>
      <formula>1</formula>
    </cfRule>
  </conditionalFormatting>
  <conditionalFormatting sqref="AF165:AH165">
    <cfRule type="cellIs" dxfId="189" priority="151" operator="equal">
      <formula>0</formula>
    </cfRule>
    <cfRule type="cellIs" dxfId="188" priority="152" operator="greaterThan">
      <formula>100</formula>
    </cfRule>
    <cfRule type="cellIs" dxfId="187" priority="153" operator="between">
      <formula>10</formula>
      <formula>100</formula>
    </cfRule>
    <cfRule type="cellIs" dxfId="186" priority="154" operator="between">
      <formula>1</formula>
      <formula>10</formula>
    </cfRule>
    <cfRule type="cellIs" dxfId="185" priority="155" operator="between">
      <formula>0.00000001</formula>
      <formula>1</formula>
    </cfRule>
  </conditionalFormatting>
  <conditionalFormatting sqref="AF167:AH167">
    <cfRule type="cellIs" dxfId="184" priority="146" operator="equal">
      <formula>0</formula>
    </cfRule>
    <cfRule type="cellIs" dxfId="183" priority="147" operator="greaterThan">
      <formula>100</formula>
    </cfRule>
    <cfRule type="cellIs" dxfId="182" priority="148" operator="between">
      <formula>10</formula>
      <formula>100</formula>
    </cfRule>
    <cfRule type="cellIs" dxfId="181" priority="149" operator="between">
      <formula>1</formula>
      <formula>10</formula>
    </cfRule>
    <cfRule type="cellIs" dxfId="180" priority="150" operator="between">
      <formula>0.00000001</formula>
      <formula>1</formula>
    </cfRule>
  </conditionalFormatting>
  <conditionalFormatting sqref="AF169:AH170">
    <cfRule type="cellIs" dxfId="179" priority="141" operator="equal">
      <formula>0</formula>
    </cfRule>
    <cfRule type="cellIs" dxfId="178" priority="142" operator="greaterThan">
      <formula>100</formula>
    </cfRule>
    <cfRule type="cellIs" dxfId="177" priority="143" operator="between">
      <formula>10</formula>
      <formula>100</formula>
    </cfRule>
    <cfRule type="cellIs" dxfId="176" priority="144" operator="between">
      <formula>1</formula>
      <formula>10</formula>
    </cfRule>
    <cfRule type="cellIs" dxfId="175" priority="145" operator="between">
      <formula>0.00000001</formula>
      <formula>1</formula>
    </cfRule>
  </conditionalFormatting>
  <conditionalFormatting sqref="AF172:AH176">
    <cfRule type="cellIs" dxfId="174" priority="136" operator="equal">
      <formula>0</formula>
    </cfRule>
    <cfRule type="cellIs" dxfId="173" priority="137" operator="greaterThan">
      <formula>100</formula>
    </cfRule>
    <cfRule type="cellIs" dxfId="172" priority="138" operator="between">
      <formula>10</formula>
      <formula>100</formula>
    </cfRule>
    <cfRule type="cellIs" dxfId="171" priority="139" operator="between">
      <formula>1</formula>
      <formula>10</formula>
    </cfRule>
    <cfRule type="cellIs" dxfId="170" priority="140" operator="between">
      <formula>0.00000001</formula>
      <formula>1</formula>
    </cfRule>
  </conditionalFormatting>
  <conditionalFormatting sqref="AF180:AH184">
    <cfRule type="cellIs" dxfId="169" priority="126" operator="equal">
      <formula>0</formula>
    </cfRule>
    <cfRule type="cellIs" dxfId="168" priority="127" operator="greaterThan">
      <formula>100</formula>
    </cfRule>
    <cfRule type="cellIs" dxfId="167" priority="128" operator="between">
      <formula>10</formula>
      <formula>100</formula>
    </cfRule>
    <cfRule type="cellIs" dxfId="166" priority="129" operator="between">
      <formula>1</formula>
      <formula>10</formula>
    </cfRule>
    <cfRule type="cellIs" dxfId="165" priority="130" operator="between">
      <formula>0.00000001</formula>
      <formula>1</formula>
    </cfRule>
  </conditionalFormatting>
  <conditionalFormatting sqref="AF186:AH188">
    <cfRule type="cellIs" dxfId="164" priority="121" operator="equal">
      <formula>0</formula>
    </cfRule>
    <cfRule type="cellIs" dxfId="163" priority="122" operator="greaterThan">
      <formula>100</formula>
    </cfRule>
    <cfRule type="cellIs" dxfId="162" priority="123" operator="between">
      <formula>10</formula>
      <formula>100</formula>
    </cfRule>
    <cfRule type="cellIs" dxfId="161" priority="124" operator="between">
      <formula>1</formula>
      <formula>10</formula>
    </cfRule>
    <cfRule type="cellIs" dxfId="160" priority="125" operator="between">
      <formula>0.00000001</formula>
      <formula>1</formula>
    </cfRule>
  </conditionalFormatting>
  <conditionalFormatting sqref="AF200:AH204">
    <cfRule type="cellIs" dxfId="159" priority="116" operator="equal">
      <formula>0</formula>
    </cfRule>
    <cfRule type="cellIs" dxfId="158" priority="117" operator="greaterThan">
      <formula>100</formula>
    </cfRule>
    <cfRule type="cellIs" dxfId="157" priority="118" operator="between">
      <formula>10</formula>
      <formula>100</formula>
    </cfRule>
    <cfRule type="cellIs" dxfId="156" priority="119" operator="between">
      <formula>1</formula>
      <formula>10</formula>
    </cfRule>
    <cfRule type="cellIs" dxfId="155" priority="120" operator="between">
      <formula>0.00000001</formula>
      <formula>1</formula>
    </cfRule>
  </conditionalFormatting>
  <conditionalFormatting sqref="AF206:AH209">
    <cfRule type="cellIs" dxfId="154" priority="111" operator="equal">
      <formula>0</formula>
    </cfRule>
    <cfRule type="cellIs" dxfId="153" priority="112" operator="greaterThan">
      <formula>100</formula>
    </cfRule>
    <cfRule type="cellIs" dxfId="152" priority="113" operator="between">
      <formula>10</formula>
      <formula>100</formula>
    </cfRule>
    <cfRule type="cellIs" dxfId="151" priority="114" operator="between">
      <formula>1</formula>
      <formula>10</formula>
    </cfRule>
    <cfRule type="cellIs" dxfId="150" priority="115" operator="between">
      <formula>0.00000001</formula>
      <formula>1</formula>
    </cfRule>
  </conditionalFormatting>
  <conditionalFormatting sqref="AF211:AH211">
    <cfRule type="cellIs" dxfId="149" priority="106" operator="equal">
      <formula>0</formula>
    </cfRule>
    <cfRule type="cellIs" dxfId="148" priority="107" operator="greaterThan">
      <formula>100</formula>
    </cfRule>
    <cfRule type="cellIs" dxfId="147" priority="108" operator="between">
      <formula>10</formula>
      <formula>100</formula>
    </cfRule>
    <cfRule type="cellIs" dxfId="146" priority="109" operator="between">
      <formula>1</formula>
      <formula>10</formula>
    </cfRule>
    <cfRule type="cellIs" dxfId="145" priority="110" operator="between">
      <formula>0.00000001</formula>
      <formula>1</formula>
    </cfRule>
  </conditionalFormatting>
  <conditionalFormatting sqref="AF213:AH213">
    <cfRule type="cellIs" dxfId="144" priority="101" operator="equal">
      <formula>0</formula>
    </cfRule>
    <cfRule type="cellIs" dxfId="143" priority="102" operator="greaterThan">
      <formula>100</formula>
    </cfRule>
    <cfRule type="cellIs" dxfId="142" priority="103" operator="between">
      <formula>10</formula>
      <formula>100</formula>
    </cfRule>
    <cfRule type="cellIs" dxfId="141" priority="104" operator="between">
      <formula>1</formula>
      <formula>10</formula>
    </cfRule>
    <cfRule type="cellIs" dxfId="140" priority="105" operator="between">
      <formula>0.00000001</formula>
      <formula>1</formula>
    </cfRule>
  </conditionalFormatting>
  <conditionalFormatting sqref="AF217:AH219">
    <cfRule type="cellIs" dxfId="139" priority="96" operator="equal">
      <formula>0</formula>
    </cfRule>
    <cfRule type="cellIs" dxfId="138" priority="97" operator="greaterThan">
      <formula>100</formula>
    </cfRule>
    <cfRule type="cellIs" dxfId="137" priority="98" operator="between">
      <formula>10</formula>
      <formula>100</formula>
    </cfRule>
    <cfRule type="cellIs" dxfId="136" priority="99" operator="between">
      <formula>1</formula>
      <formula>10</formula>
    </cfRule>
    <cfRule type="cellIs" dxfId="135" priority="100" operator="between">
      <formula>0.00000001</formula>
      <formula>1</formula>
    </cfRule>
  </conditionalFormatting>
  <conditionalFormatting sqref="AF223:AH223">
    <cfRule type="cellIs" dxfId="134" priority="91" operator="equal">
      <formula>0</formula>
    </cfRule>
    <cfRule type="cellIs" dxfId="133" priority="92" operator="greaterThan">
      <formula>100</formula>
    </cfRule>
    <cfRule type="cellIs" dxfId="132" priority="93" operator="between">
      <formula>10</formula>
      <formula>100</formula>
    </cfRule>
    <cfRule type="cellIs" dxfId="131" priority="94" operator="between">
      <formula>1</formula>
      <formula>10</formula>
    </cfRule>
    <cfRule type="cellIs" dxfId="130" priority="95" operator="between">
      <formula>0.00000001</formula>
      <formula>1</formula>
    </cfRule>
  </conditionalFormatting>
  <conditionalFormatting sqref="AF225:AH225">
    <cfRule type="cellIs" dxfId="129" priority="86" operator="equal">
      <formula>0</formula>
    </cfRule>
    <cfRule type="cellIs" dxfId="128" priority="87" operator="greaterThan">
      <formula>100</formula>
    </cfRule>
    <cfRule type="cellIs" dxfId="127" priority="88" operator="between">
      <formula>10</formula>
      <formula>100</formula>
    </cfRule>
    <cfRule type="cellIs" dxfId="126" priority="89" operator="between">
      <formula>1</formula>
      <formula>10</formula>
    </cfRule>
    <cfRule type="cellIs" dxfId="125" priority="90" operator="between">
      <formula>0.00000001</formula>
      <formula>1</formula>
    </cfRule>
  </conditionalFormatting>
  <conditionalFormatting sqref="AF227:AH227">
    <cfRule type="cellIs" dxfId="124" priority="81" operator="equal">
      <formula>0</formula>
    </cfRule>
    <cfRule type="cellIs" dxfId="123" priority="82" operator="greaterThan">
      <formula>100</formula>
    </cfRule>
    <cfRule type="cellIs" dxfId="122" priority="83" operator="between">
      <formula>10</formula>
      <formula>100</formula>
    </cfRule>
    <cfRule type="cellIs" dxfId="121" priority="84" operator="between">
      <formula>1</formula>
      <formula>10</formula>
    </cfRule>
    <cfRule type="cellIs" dxfId="120" priority="85" operator="between">
      <formula>0.00000001</formula>
      <formula>1</formula>
    </cfRule>
  </conditionalFormatting>
  <conditionalFormatting sqref="AF229:AH229">
    <cfRule type="cellIs" dxfId="119" priority="76" operator="equal">
      <formula>0</formula>
    </cfRule>
    <cfRule type="cellIs" dxfId="118" priority="77" operator="greaterThan">
      <formula>100</formula>
    </cfRule>
    <cfRule type="cellIs" dxfId="117" priority="78" operator="between">
      <formula>10</formula>
      <formula>100</formula>
    </cfRule>
    <cfRule type="cellIs" dxfId="116" priority="79" operator="between">
      <formula>1</formula>
      <formula>10</formula>
    </cfRule>
    <cfRule type="cellIs" dxfId="115" priority="80" operator="between">
      <formula>0.00000001</formula>
      <formula>1</formula>
    </cfRule>
  </conditionalFormatting>
  <conditionalFormatting sqref="AF231:AH231">
    <cfRule type="cellIs" dxfId="114" priority="71" operator="equal">
      <formula>0</formula>
    </cfRule>
    <cfRule type="cellIs" dxfId="113" priority="72" operator="greaterThan">
      <formula>100</formula>
    </cfRule>
    <cfRule type="cellIs" dxfId="112" priority="73" operator="between">
      <formula>10</formula>
      <formula>100</formula>
    </cfRule>
    <cfRule type="cellIs" dxfId="111" priority="74" operator="between">
      <formula>1</formula>
      <formula>10</formula>
    </cfRule>
    <cfRule type="cellIs" dxfId="110" priority="75" operator="between">
      <formula>0.00000001</formula>
      <formula>1</formula>
    </cfRule>
  </conditionalFormatting>
  <conditionalFormatting sqref="AF233:AH236">
    <cfRule type="cellIs" dxfId="109" priority="21" operator="equal">
      <formula>0</formula>
    </cfRule>
    <cfRule type="cellIs" dxfId="108" priority="22" operator="greaterThan">
      <formula>100</formula>
    </cfRule>
    <cfRule type="cellIs" dxfId="107" priority="23" operator="between">
      <formula>10</formula>
      <formula>100</formula>
    </cfRule>
    <cfRule type="cellIs" dxfId="106" priority="24" operator="between">
      <formula>1</formula>
      <formula>10</formula>
    </cfRule>
    <cfRule type="cellIs" dxfId="105" priority="25" operator="between">
      <formula>0.00000001</formula>
      <formula>1</formula>
    </cfRule>
  </conditionalFormatting>
  <conditionalFormatting sqref="AF241:AH255">
    <cfRule type="cellIs" dxfId="104" priority="66" operator="equal">
      <formula>0</formula>
    </cfRule>
    <cfRule type="cellIs" dxfId="103" priority="67" operator="greaterThan">
      <formula>100</formula>
    </cfRule>
    <cfRule type="cellIs" dxfId="102" priority="68" operator="between">
      <formula>10</formula>
      <formula>100</formula>
    </cfRule>
    <cfRule type="cellIs" dxfId="101" priority="69" operator="between">
      <formula>1</formula>
      <formula>10</formula>
    </cfRule>
    <cfRule type="cellIs" dxfId="100" priority="70" operator="between">
      <formula>0.00000001</formula>
      <formula>1</formula>
    </cfRule>
  </conditionalFormatting>
  <conditionalFormatting sqref="AF259:AH270">
    <cfRule type="cellIs" dxfId="99" priority="61" operator="equal">
      <formula>0</formula>
    </cfRule>
    <cfRule type="cellIs" dxfId="98" priority="62" operator="greaterThan">
      <formula>100</formula>
    </cfRule>
    <cfRule type="cellIs" dxfId="97" priority="63" operator="between">
      <formula>10</formula>
      <formula>100</formula>
    </cfRule>
    <cfRule type="cellIs" dxfId="96" priority="64" operator="between">
      <formula>1</formula>
      <formula>10</formula>
    </cfRule>
    <cfRule type="cellIs" dxfId="95" priority="65" operator="between">
      <formula>0.00000001</formula>
      <formula>1</formula>
    </cfRule>
  </conditionalFormatting>
  <conditionalFormatting sqref="AG275:AH276">
    <cfRule type="cellIs" dxfId="94" priority="56" operator="equal">
      <formula>0</formula>
    </cfRule>
    <cfRule type="cellIs" dxfId="93" priority="57" operator="greaterThan">
      <formula>100</formula>
    </cfRule>
    <cfRule type="cellIs" dxfId="92" priority="58" operator="between">
      <formula>10</formula>
      <formula>100</formula>
    </cfRule>
    <cfRule type="cellIs" dxfId="91" priority="59" operator="between">
      <formula>1</formula>
      <formula>10</formula>
    </cfRule>
    <cfRule type="cellIs" dxfId="90" priority="60" operator="between">
      <formula>0.00000001</formula>
      <formula>1</formula>
    </cfRule>
  </conditionalFormatting>
  <conditionalFormatting sqref="AG278:AH278">
    <cfRule type="cellIs" dxfId="89" priority="51" operator="equal">
      <formula>0</formula>
    </cfRule>
    <cfRule type="cellIs" dxfId="88" priority="52" operator="greaterThan">
      <formula>100</formula>
    </cfRule>
    <cfRule type="cellIs" dxfId="87" priority="53" operator="between">
      <formula>10</formula>
      <formula>100</formula>
    </cfRule>
    <cfRule type="cellIs" dxfId="86" priority="54" operator="between">
      <formula>1</formula>
      <formula>10</formula>
    </cfRule>
    <cfRule type="cellIs" dxfId="85" priority="55" operator="between">
      <formula>0.00000001</formula>
      <formula>1</formula>
    </cfRule>
  </conditionalFormatting>
  <conditionalFormatting sqref="AG280:AH280">
    <cfRule type="cellIs" dxfId="84" priority="46" operator="equal">
      <formula>0</formula>
    </cfRule>
    <cfRule type="cellIs" dxfId="83" priority="47" operator="greaterThan">
      <formula>100</formula>
    </cfRule>
    <cfRule type="cellIs" dxfId="82" priority="48" operator="between">
      <formula>10</formula>
      <formula>100</formula>
    </cfRule>
    <cfRule type="cellIs" dxfId="81" priority="49" operator="between">
      <formula>1</formula>
      <formula>10</formula>
    </cfRule>
    <cfRule type="cellIs" dxfId="80" priority="50" operator="between">
      <formula>0.00000001</formula>
      <formula>1</formula>
    </cfRule>
  </conditionalFormatting>
  <conditionalFormatting sqref="AF285:AH289">
    <cfRule type="cellIs" dxfId="79" priority="41" operator="equal">
      <formula>0</formula>
    </cfRule>
    <cfRule type="cellIs" dxfId="78" priority="42" operator="greaterThan">
      <formula>100</formula>
    </cfRule>
    <cfRule type="cellIs" dxfId="77" priority="43" operator="between">
      <formula>10</formula>
      <formula>100</formula>
    </cfRule>
    <cfRule type="cellIs" dxfId="76" priority="44" operator="between">
      <formula>1</formula>
      <formula>10</formula>
    </cfRule>
    <cfRule type="cellIs" dxfId="75" priority="45" operator="between">
      <formula>0.00000001</formula>
      <formula>1</formula>
    </cfRule>
  </conditionalFormatting>
  <conditionalFormatting sqref="AF291:AH298">
    <cfRule type="cellIs" dxfId="74" priority="36" operator="equal">
      <formula>0</formula>
    </cfRule>
    <cfRule type="cellIs" dxfId="73" priority="37" operator="greaterThan">
      <formula>100</formula>
    </cfRule>
    <cfRule type="cellIs" dxfId="72" priority="38" operator="between">
      <formula>10</formula>
      <formula>100</formula>
    </cfRule>
    <cfRule type="cellIs" dxfId="71" priority="39" operator="between">
      <formula>1</formula>
      <formula>10</formula>
    </cfRule>
    <cfRule type="cellIs" dxfId="70" priority="40" operator="between">
      <formula>0.00000001</formula>
      <formula>1</formula>
    </cfRule>
  </conditionalFormatting>
  <conditionalFormatting sqref="AF300:AH304">
    <cfRule type="cellIs" dxfId="69" priority="31" operator="equal">
      <formula>0</formula>
    </cfRule>
    <cfRule type="cellIs" dxfId="68" priority="32" operator="greaterThan">
      <formula>100</formula>
    </cfRule>
    <cfRule type="cellIs" dxfId="67" priority="33" operator="between">
      <formula>10</formula>
      <formula>100</formula>
    </cfRule>
    <cfRule type="cellIs" dxfId="66" priority="34" operator="between">
      <formula>1</formula>
      <formula>10</formula>
    </cfRule>
    <cfRule type="cellIs" dxfId="65" priority="35" operator="between">
      <formula>0.00000001</formula>
      <formula>1</formula>
    </cfRule>
  </conditionalFormatting>
  <conditionalFormatting sqref="AF306:AH318">
    <cfRule type="cellIs" dxfId="64" priority="26" operator="equal">
      <formula>0</formula>
    </cfRule>
    <cfRule type="cellIs" dxfId="63" priority="27" operator="greaterThan">
      <formula>100</formula>
    </cfRule>
    <cfRule type="cellIs" dxfId="62" priority="28" operator="between">
      <formula>10</formula>
      <formula>100</formula>
    </cfRule>
    <cfRule type="cellIs" dxfId="61" priority="29" operator="between">
      <formula>1</formula>
      <formula>10</formula>
    </cfRule>
    <cfRule type="cellIs" dxfId="60" priority="30" operator="between">
      <formula>0.00000001</formula>
      <formula>1</formula>
    </cfRule>
  </conditionalFormatting>
  <conditionalFormatting sqref="AH155">
    <cfRule type="cellIs" dxfId="59" priority="16" operator="equal">
      <formula>0</formula>
    </cfRule>
    <cfRule type="cellIs" dxfId="58" priority="17" operator="greaterThan">
      <formula>100</formula>
    </cfRule>
    <cfRule type="cellIs" dxfId="57" priority="18" operator="between">
      <formula>10</formula>
      <formula>100</formula>
    </cfRule>
    <cfRule type="cellIs" dxfId="56" priority="19" operator="between">
      <formula>1</formula>
      <formula>10</formula>
    </cfRule>
    <cfRule type="cellIs" dxfId="55" priority="20" operator="between">
      <formula>0.00000001</formula>
      <formula>1</formula>
    </cfRule>
  </conditionalFormatting>
  <conditionalFormatting sqref="AH150">
    <cfRule type="cellIs" dxfId="54" priority="11" operator="equal">
      <formula>0</formula>
    </cfRule>
    <cfRule type="cellIs" dxfId="53" priority="12" operator="greaterThan">
      <formula>100</formula>
    </cfRule>
    <cfRule type="cellIs" dxfId="52" priority="13" operator="between">
      <formula>10</formula>
      <formula>100</formula>
    </cfRule>
    <cfRule type="cellIs" dxfId="51" priority="14" operator="between">
      <formula>1</formula>
      <formula>10</formula>
    </cfRule>
    <cfRule type="cellIs" dxfId="50" priority="15" operator="between">
      <formula>0.00000001</formula>
      <formula>1</formula>
    </cfRule>
  </conditionalFormatting>
  <conditionalFormatting sqref="AH151">
    <cfRule type="cellIs" dxfId="49" priority="6" operator="equal">
      <formula>0</formula>
    </cfRule>
    <cfRule type="cellIs" dxfId="48" priority="7" operator="greaterThan">
      <formula>100</formula>
    </cfRule>
    <cfRule type="cellIs" dxfId="47" priority="8" operator="between">
      <formula>10</formula>
      <formula>100</formula>
    </cfRule>
    <cfRule type="cellIs" dxfId="46" priority="9" operator="between">
      <formula>1</formula>
      <formula>10</formula>
    </cfRule>
    <cfRule type="cellIs" dxfId="45" priority="10" operator="between">
      <formula>0.00000001</formula>
      <formula>1</formula>
    </cfRule>
  </conditionalFormatting>
  <conditionalFormatting sqref="AH152">
    <cfRule type="cellIs" dxfId="44" priority="1" operator="equal">
      <formula>0</formula>
    </cfRule>
    <cfRule type="cellIs" dxfId="43" priority="2" operator="greaterThan">
      <formula>100</formula>
    </cfRule>
    <cfRule type="cellIs" dxfId="42" priority="3" operator="between">
      <formula>10</formula>
      <formula>100</formula>
    </cfRule>
    <cfRule type="cellIs" dxfId="41" priority="4" operator="between">
      <formula>1</formula>
      <formula>10</formula>
    </cfRule>
    <cfRule type="cellIs" dxfId="40" priority="5" operator="between">
      <formula>0.00000001</formula>
      <formula>1</formula>
    </cfRule>
  </conditionalFormatting>
  <hyperlinks>
    <hyperlink ref="AF2" r:id="rId3" xr:uid="{1D8768A8-026B-4FF3-9384-869BEDED89BB}"/>
  </hyperlinks>
  <pageMargins left="0.39370078740157483" right="0.39370078740157483" top="0.59055118110236227" bottom="0.43307086614173229" header="0.23622047244094491" footer="0.23622047244094491"/>
  <pageSetup paperSize="9" scale="36" fitToHeight="0" orientation="landscape" r:id="rId4"/>
  <headerFooter scaleWithDoc="0" alignWithMargins="0">
    <oddFooter>&amp;C&amp;8&amp;P</oddFooter>
  </headerFooter>
  <rowBreaks count="4" manualBreakCount="4">
    <brk id="95" max="18" man="1"/>
    <brk id="155" max="18" man="1"/>
    <brk id="239" max="18" man="1"/>
    <brk id="289" max="18" man="1"/>
  </rowBreaks>
  <drawing r:id="rId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  <outlinePr summaryRight="0"/>
    <pageSetUpPr autoPageBreaks="0" fitToPage="1"/>
  </sheetPr>
  <dimension ref="A1:AA122"/>
  <sheetViews>
    <sheetView zoomScaleSheetLayoutView="100" workbookViewId="0">
      <pane xSplit="6" ySplit="9" topLeftCell="T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0.25" defaultRowHeight="12.75" outlineLevelRow="1" outlineLevelCol="1"/>
  <cols>
    <col min="1" max="1" width="9.625" style="607" customWidth="1" collapsed="1"/>
    <col min="2" max="2" width="37.75" style="607" hidden="1" customWidth="1" outlineLevel="1"/>
    <col min="3" max="3" width="52.25" style="608" customWidth="1" collapsed="1"/>
    <col min="4" max="4" width="10.25" style="607" hidden="1" customWidth="1" outlineLevel="1"/>
    <col min="5" max="5" width="57.25" style="608" hidden="1" customWidth="1" outlineLevel="1"/>
    <col min="6" max="6" width="11.375" style="609" customWidth="1" collapsed="1"/>
    <col min="7" max="7" width="6.375" style="1002" customWidth="1"/>
    <col min="8" max="10" width="9.625" style="1003" customWidth="1"/>
    <col min="11" max="13" width="9.625" style="1003" customWidth="1" outlineLevel="1"/>
    <col min="14" max="14" width="9.625" style="1003" customWidth="1" collapsed="1"/>
    <col min="15" max="19" width="9.625" style="1003" customWidth="1"/>
    <col min="20" max="22" width="9.625" style="1004" customWidth="1"/>
    <col min="23" max="23" width="13.625" style="609" bestFit="1" customWidth="1"/>
    <col min="24" max="24" width="61.625" style="1005" bestFit="1" customWidth="1"/>
    <col min="25" max="25" width="57.25" style="608" customWidth="1" outlineLevel="1"/>
    <col min="26" max="26" width="40.125" style="607" customWidth="1" collapsed="1"/>
    <col min="27" max="27" width="26.875" style="607" customWidth="1"/>
    <col min="28" max="16384" width="10.25" style="607"/>
  </cols>
  <sheetData>
    <row r="1" spans="1:27" s="912" customFormat="1" ht="20.25">
      <c r="A1" s="903"/>
      <c r="B1" s="904"/>
      <c r="C1" s="905" t="s">
        <v>838</v>
      </c>
      <c r="D1" s="904"/>
      <c r="E1" s="906"/>
      <c r="F1" s="907"/>
      <c r="G1" s="907"/>
      <c r="H1" s="908"/>
      <c r="I1" s="909"/>
      <c r="J1" s="909"/>
      <c r="K1" s="908"/>
      <c r="L1" s="909"/>
      <c r="M1" s="909"/>
      <c r="N1" s="908" t="s">
        <v>3078</v>
      </c>
      <c r="O1" s="909"/>
      <c r="P1" s="909"/>
      <c r="Q1" s="909"/>
      <c r="R1" s="909"/>
      <c r="S1" s="909"/>
      <c r="T1" s="910"/>
      <c r="U1" s="910"/>
      <c r="V1" s="910"/>
      <c r="W1" s="907"/>
      <c r="X1" s="911" t="s">
        <v>2140</v>
      </c>
      <c r="Y1" s="906"/>
    </row>
    <row r="2" spans="1:27" s="919" customFormat="1" ht="15.75">
      <c r="A2" s="913"/>
      <c r="B2" s="914"/>
      <c r="C2" s="1278"/>
      <c r="D2" s="1279"/>
      <c r="E2" s="1279"/>
      <c r="F2" s="1279"/>
      <c r="G2" s="1279"/>
      <c r="H2" s="1279"/>
      <c r="I2" s="915"/>
      <c r="J2" s="915"/>
      <c r="K2" s="915"/>
      <c r="L2" s="915"/>
      <c r="M2" s="916"/>
      <c r="N2" s="915"/>
      <c r="O2" s="915"/>
      <c r="P2" s="916"/>
      <c r="Q2" s="916"/>
      <c r="R2" s="915"/>
      <c r="S2" s="915"/>
      <c r="T2" s="917"/>
      <c r="U2" s="917"/>
      <c r="V2" s="917"/>
      <c r="W2" s="914"/>
      <c r="X2" s="918"/>
      <c r="Y2" s="918"/>
    </row>
    <row r="3" spans="1:27" s="25" customFormat="1" ht="12.75" hidden="1" customHeight="1" outlineLevel="1">
      <c r="A3" s="21"/>
      <c r="C3" s="22"/>
      <c r="D3" s="23"/>
      <c r="E3" s="24"/>
      <c r="F3" s="24"/>
      <c r="H3" s="26"/>
      <c r="I3" s="25" t="s">
        <v>860</v>
      </c>
      <c r="J3" s="25" t="s">
        <v>860</v>
      </c>
      <c r="L3" s="25" t="s">
        <v>2141</v>
      </c>
      <c r="M3" s="25" t="s">
        <v>2141</v>
      </c>
      <c r="O3" s="25" t="s">
        <v>2142</v>
      </c>
      <c r="P3" s="25" t="s">
        <v>2142</v>
      </c>
      <c r="R3" s="25" t="s">
        <v>2143</v>
      </c>
      <c r="S3" s="27" t="s">
        <v>2143</v>
      </c>
      <c r="U3" s="25" t="s">
        <v>2144</v>
      </c>
      <c r="V3" s="25" t="s">
        <v>2144</v>
      </c>
      <c r="W3" s="920"/>
      <c r="Y3" s="24"/>
    </row>
    <row r="4" spans="1:27" ht="39" customHeight="1" collapsed="1">
      <c r="A4" s="189" t="s">
        <v>847</v>
      </c>
      <c r="B4" s="29" t="s">
        <v>2559</v>
      </c>
      <c r="C4" s="1276" t="s">
        <v>2145</v>
      </c>
      <c r="D4" s="189" t="s">
        <v>849</v>
      </c>
      <c r="E4" s="1253" t="s">
        <v>850</v>
      </c>
      <c r="F4" s="1280" t="s">
        <v>2146</v>
      </c>
      <c r="G4" s="1281"/>
      <c r="H4" s="1282" t="s">
        <v>3079</v>
      </c>
      <c r="I4" s="1283"/>
      <c r="J4" s="1284"/>
      <c r="K4" s="1257" t="s">
        <v>2563</v>
      </c>
      <c r="L4" s="1257"/>
      <c r="M4" s="1257"/>
      <c r="N4" s="1257"/>
      <c r="O4" s="1257"/>
      <c r="P4" s="1257"/>
      <c r="Q4" s="1257"/>
      <c r="R4" s="1257"/>
      <c r="S4" s="1257"/>
      <c r="T4" s="1258" t="s">
        <v>2372</v>
      </c>
      <c r="U4" s="1259"/>
      <c r="V4" s="1260"/>
      <c r="W4" s="551" t="s">
        <v>2147</v>
      </c>
      <c r="X4" s="1261" t="s">
        <v>3080</v>
      </c>
      <c r="Y4" s="1253" t="s">
        <v>3081</v>
      </c>
    </row>
    <row r="5" spans="1:27" ht="12.75" customHeight="1">
      <c r="A5" s="1274" t="s">
        <v>858</v>
      </c>
      <c r="B5" s="899"/>
      <c r="C5" s="1277"/>
      <c r="D5" s="1274" t="s">
        <v>859</v>
      </c>
      <c r="E5" s="1263"/>
      <c r="F5" s="921"/>
      <c r="G5" s="550"/>
      <c r="H5" s="1285" t="s">
        <v>860</v>
      </c>
      <c r="I5" s="1286"/>
      <c r="J5" s="1287"/>
      <c r="K5" s="1270" t="s">
        <v>861</v>
      </c>
      <c r="L5" s="1270"/>
      <c r="M5" s="1270"/>
      <c r="N5" s="1271" t="s">
        <v>862</v>
      </c>
      <c r="O5" s="1271"/>
      <c r="P5" s="1271"/>
      <c r="Q5" s="1271" t="s">
        <v>2148</v>
      </c>
      <c r="R5" s="1271"/>
      <c r="S5" s="1271"/>
      <c r="T5" s="1264" t="s">
        <v>864</v>
      </c>
      <c r="U5" s="1265"/>
      <c r="V5" s="1266"/>
      <c r="W5" s="922"/>
      <c r="X5" s="1262"/>
      <c r="Y5" s="1263"/>
    </row>
    <row r="6" spans="1:27" ht="12.75" customHeight="1">
      <c r="A6" s="1275"/>
      <c r="B6" s="923"/>
      <c r="C6" s="1277"/>
      <c r="D6" s="1275"/>
      <c r="E6" s="1263"/>
      <c r="F6" s="554" t="s">
        <v>2149</v>
      </c>
      <c r="G6" s="554"/>
      <c r="H6" s="1288"/>
      <c r="I6" s="1289"/>
      <c r="J6" s="1290"/>
      <c r="K6" s="1272" t="s">
        <v>866</v>
      </c>
      <c r="L6" s="1272"/>
      <c r="M6" s="1272"/>
      <c r="N6" s="1273" t="s">
        <v>867</v>
      </c>
      <c r="O6" s="1273"/>
      <c r="P6" s="1273"/>
      <c r="Q6" s="1273" t="s">
        <v>2150</v>
      </c>
      <c r="R6" s="1273"/>
      <c r="S6" s="1273"/>
      <c r="T6" s="1267" t="s">
        <v>869</v>
      </c>
      <c r="U6" s="1268"/>
      <c r="V6" s="1269"/>
      <c r="W6" s="924" t="s">
        <v>2151</v>
      </c>
      <c r="X6" s="1262"/>
      <c r="Y6" s="1263"/>
    </row>
    <row r="7" spans="1:27" s="545" customFormat="1" ht="22.5" customHeight="1">
      <c r="A7" s="31"/>
      <c r="B7" s="31"/>
      <c r="C7" s="925" t="s">
        <v>403</v>
      </c>
      <c r="D7" s="31"/>
      <c r="E7" s="191" t="s">
        <v>403</v>
      </c>
      <c r="F7" s="901"/>
      <c r="G7" s="554"/>
      <c r="H7" s="926" t="s">
        <v>843</v>
      </c>
      <c r="I7" s="927" t="s">
        <v>871</v>
      </c>
      <c r="J7" s="927" t="s">
        <v>850</v>
      </c>
      <c r="K7" s="928" t="s">
        <v>843</v>
      </c>
      <c r="L7" s="929" t="s">
        <v>871</v>
      </c>
      <c r="M7" s="929" t="s">
        <v>850</v>
      </c>
      <c r="N7" s="928" t="s">
        <v>843</v>
      </c>
      <c r="O7" s="929" t="s">
        <v>871</v>
      </c>
      <c r="P7" s="929" t="s">
        <v>850</v>
      </c>
      <c r="Q7" s="928" t="s">
        <v>843</v>
      </c>
      <c r="R7" s="929" t="s">
        <v>871</v>
      </c>
      <c r="S7" s="929" t="s">
        <v>850</v>
      </c>
      <c r="T7" s="930" t="s">
        <v>843</v>
      </c>
      <c r="U7" s="931" t="s">
        <v>871</v>
      </c>
      <c r="V7" s="931" t="s">
        <v>850</v>
      </c>
      <c r="W7" s="932"/>
      <c r="X7" s="933"/>
      <c r="Y7" s="191" t="s">
        <v>3082</v>
      </c>
    </row>
    <row r="8" spans="1:27" s="567" customFormat="1" ht="22.5" customHeight="1">
      <c r="A8" s="37"/>
      <c r="B8" s="37"/>
      <c r="C8" s="925"/>
      <c r="D8" s="37"/>
      <c r="E8" s="191"/>
      <c r="F8" s="554"/>
      <c r="G8" s="557"/>
      <c r="H8" s="934" t="s">
        <v>843</v>
      </c>
      <c r="I8" s="935" t="s">
        <v>877</v>
      </c>
      <c r="J8" s="935" t="s">
        <v>3083</v>
      </c>
      <c r="K8" s="936" t="s">
        <v>843</v>
      </c>
      <c r="L8" s="937" t="s">
        <v>877</v>
      </c>
      <c r="M8" s="937" t="s">
        <v>3083</v>
      </c>
      <c r="N8" s="936" t="s">
        <v>843</v>
      </c>
      <c r="O8" s="937" t="s">
        <v>877</v>
      </c>
      <c r="P8" s="937" t="s">
        <v>3083</v>
      </c>
      <c r="Q8" s="936" t="s">
        <v>843</v>
      </c>
      <c r="R8" s="937" t="s">
        <v>877</v>
      </c>
      <c r="S8" s="937" t="s">
        <v>3083</v>
      </c>
      <c r="T8" s="938" t="s">
        <v>843</v>
      </c>
      <c r="U8" s="939" t="s">
        <v>877</v>
      </c>
      <c r="V8" s="939" t="s">
        <v>3083</v>
      </c>
      <c r="W8" s="932"/>
      <c r="X8" s="933"/>
      <c r="Y8" s="191"/>
      <c r="Z8" s="545"/>
      <c r="AA8" s="545"/>
    </row>
    <row r="9" spans="1:27" s="567" customFormat="1" ht="24">
      <c r="A9" s="43"/>
      <c r="B9" s="43"/>
      <c r="C9" s="940"/>
      <c r="D9" s="43"/>
      <c r="E9" s="194"/>
      <c r="F9" s="941"/>
      <c r="G9" s="942" t="s">
        <v>2152</v>
      </c>
      <c r="H9" s="943" t="s">
        <v>860</v>
      </c>
      <c r="I9" s="943" t="s">
        <v>860</v>
      </c>
      <c r="J9" s="943" t="s">
        <v>860</v>
      </c>
      <c r="K9" s="563" t="s">
        <v>882</v>
      </c>
      <c r="L9" s="563" t="s">
        <v>882</v>
      </c>
      <c r="M9" s="563" t="s">
        <v>882</v>
      </c>
      <c r="N9" s="563" t="s">
        <v>882</v>
      </c>
      <c r="O9" s="563" t="s">
        <v>882</v>
      </c>
      <c r="P9" s="563" t="s">
        <v>882</v>
      </c>
      <c r="Q9" s="563" t="s">
        <v>882</v>
      </c>
      <c r="R9" s="563" t="s">
        <v>882</v>
      </c>
      <c r="S9" s="563" t="s">
        <v>882</v>
      </c>
      <c r="T9" s="564" t="s">
        <v>883</v>
      </c>
      <c r="U9" s="564" t="s">
        <v>883</v>
      </c>
      <c r="V9" s="564" t="s">
        <v>883</v>
      </c>
      <c r="W9" s="944"/>
      <c r="X9" s="566"/>
      <c r="Y9" s="194"/>
      <c r="Z9" s="607"/>
      <c r="AA9" s="607"/>
    </row>
    <row r="10" spans="1:27" s="545" customFormat="1">
      <c r="A10" s="195" t="s">
        <v>2153</v>
      </c>
      <c r="B10" s="195"/>
      <c r="C10" s="945" t="s">
        <v>2154</v>
      </c>
      <c r="D10" s="196"/>
      <c r="E10" s="197"/>
      <c r="F10" s="946"/>
      <c r="G10" s="946"/>
      <c r="H10" s="947"/>
      <c r="I10" s="947"/>
      <c r="J10" s="947"/>
      <c r="K10" s="947"/>
      <c r="L10" s="948"/>
      <c r="M10" s="948"/>
      <c r="N10" s="947"/>
      <c r="O10" s="948"/>
      <c r="P10" s="948"/>
      <c r="Q10" s="1256"/>
      <c r="R10" s="1256"/>
      <c r="S10" s="1256"/>
      <c r="T10" s="949"/>
      <c r="U10" s="949"/>
      <c r="V10" s="949"/>
      <c r="W10" s="946"/>
      <c r="X10" s="945" t="s">
        <v>2155</v>
      </c>
      <c r="Y10" s="76"/>
      <c r="Z10" s="607"/>
      <c r="AA10" s="607"/>
    </row>
    <row r="11" spans="1:27" s="545" customFormat="1" ht="14.25">
      <c r="A11" s="198" t="s">
        <v>2156</v>
      </c>
      <c r="B11" s="574" t="s">
        <v>3084</v>
      </c>
      <c r="C11" s="950" t="s">
        <v>3085</v>
      </c>
      <c r="D11" s="198" t="s">
        <v>2157</v>
      </c>
      <c r="E11" s="199" t="s">
        <v>3086</v>
      </c>
      <c r="F11" s="579" t="s">
        <v>217</v>
      </c>
      <c r="G11" s="200" t="s">
        <v>3087</v>
      </c>
      <c r="H11" s="951">
        <v>1810</v>
      </c>
      <c r="I11" s="952">
        <v>1770</v>
      </c>
      <c r="J11" s="952">
        <v>36.5</v>
      </c>
      <c r="K11" s="953">
        <v>3.46</v>
      </c>
      <c r="L11" s="954">
        <v>3.46</v>
      </c>
      <c r="M11" s="954">
        <v>7.2300000000000003E-3</v>
      </c>
      <c r="N11" s="953">
        <v>0.29499999999999998</v>
      </c>
      <c r="O11" s="954">
        <v>0.29499999999999998</v>
      </c>
      <c r="P11" s="954">
        <v>2.9300000000000002E-4</v>
      </c>
      <c r="Q11" s="953">
        <v>3.17</v>
      </c>
      <c r="R11" s="954">
        <v>3.16</v>
      </c>
      <c r="S11" s="954">
        <v>6.9300000000000004E-3</v>
      </c>
      <c r="T11" s="953">
        <v>0.85799999999999998</v>
      </c>
      <c r="U11" s="954">
        <v>0.84899999999999998</v>
      </c>
      <c r="V11" s="954">
        <v>9.6100000000000005E-3</v>
      </c>
      <c r="W11" s="955" t="s">
        <v>77</v>
      </c>
      <c r="X11" s="950" t="s">
        <v>3088</v>
      </c>
      <c r="Y11" s="83" t="s">
        <v>3089</v>
      </c>
      <c r="Z11" s="607"/>
      <c r="AA11" s="607"/>
    </row>
    <row r="12" spans="1:27" s="545" customFormat="1" ht="14.25">
      <c r="A12" s="198" t="s">
        <v>155</v>
      </c>
      <c r="B12" s="574" t="s">
        <v>3090</v>
      </c>
      <c r="C12" s="598" t="s">
        <v>3091</v>
      </c>
      <c r="D12" s="198" t="s">
        <v>2158</v>
      </c>
      <c r="E12" s="199" t="s">
        <v>3092</v>
      </c>
      <c r="F12" s="579" t="s">
        <v>217</v>
      </c>
      <c r="G12" s="200" t="s">
        <v>3087</v>
      </c>
      <c r="H12" s="951">
        <v>5420</v>
      </c>
      <c r="I12" s="952">
        <v>5310</v>
      </c>
      <c r="J12" s="952">
        <v>110</v>
      </c>
      <c r="K12" s="953">
        <v>10.4</v>
      </c>
      <c r="L12" s="954">
        <v>10.4</v>
      </c>
      <c r="M12" s="954">
        <v>2.1700000000000001E-2</v>
      </c>
      <c r="N12" s="953">
        <v>0.88600000000000001</v>
      </c>
      <c r="O12" s="954">
        <v>0.88500000000000001</v>
      </c>
      <c r="P12" s="954">
        <v>8.8000000000000003E-4</v>
      </c>
      <c r="Q12" s="953">
        <v>9.5</v>
      </c>
      <c r="R12" s="954">
        <v>9.48</v>
      </c>
      <c r="S12" s="954">
        <v>2.0799999999999999E-2</v>
      </c>
      <c r="T12" s="953">
        <v>2.57</v>
      </c>
      <c r="U12" s="954">
        <v>2.5499999999999998</v>
      </c>
      <c r="V12" s="954">
        <v>2.8799999999999999E-2</v>
      </c>
      <c r="W12" s="579" t="s">
        <v>77</v>
      </c>
      <c r="X12" s="598" t="s">
        <v>3093</v>
      </c>
      <c r="Y12" s="83" t="s">
        <v>3094</v>
      </c>
      <c r="Z12" s="607"/>
      <c r="AA12" s="607"/>
    </row>
    <row r="13" spans="1:27" s="545" customFormat="1" ht="14.25">
      <c r="A13" s="198" t="s">
        <v>2159</v>
      </c>
      <c r="B13" s="574" t="s">
        <v>3095</v>
      </c>
      <c r="C13" s="598" t="s">
        <v>3096</v>
      </c>
      <c r="D13" s="198" t="s">
        <v>2160</v>
      </c>
      <c r="E13" s="199" t="s">
        <v>3097</v>
      </c>
      <c r="F13" s="579" t="s">
        <v>217</v>
      </c>
      <c r="G13" s="200" t="s">
        <v>3087</v>
      </c>
      <c r="H13" s="951">
        <v>9030</v>
      </c>
      <c r="I13" s="952">
        <v>8850</v>
      </c>
      <c r="J13" s="952">
        <v>183</v>
      </c>
      <c r="K13" s="953">
        <v>17.3</v>
      </c>
      <c r="L13" s="954">
        <v>17.3</v>
      </c>
      <c r="M13" s="954">
        <v>3.61E-2</v>
      </c>
      <c r="N13" s="953">
        <v>1.48</v>
      </c>
      <c r="O13" s="954">
        <v>1.48</v>
      </c>
      <c r="P13" s="954">
        <v>1.47E-3</v>
      </c>
      <c r="Q13" s="953">
        <v>15.8</v>
      </c>
      <c r="R13" s="954">
        <v>15.8</v>
      </c>
      <c r="S13" s="954">
        <v>3.4599999999999999E-2</v>
      </c>
      <c r="T13" s="953">
        <v>4.29</v>
      </c>
      <c r="U13" s="954">
        <v>4.24</v>
      </c>
      <c r="V13" s="954">
        <v>4.8000000000000001E-2</v>
      </c>
      <c r="W13" s="579" t="s">
        <v>77</v>
      </c>
      <c r="X13" s="598" t="s">
        <v>3098</v>
      </c>
      <c r="Y13" s="83" t="s">
        <v>3099</v>
      </c>
      <c r="Z13" s="607"/>
      <c r="AA13" s="607"/>
    </row>
    <row r="14" spans="1:27" s="593" customFormat="1">
      <c r="A14" s="583" t="s">
        <v>2161</v>
      </c>
      <c r="B14" s="574" t="s">
        <v>3100</v>
      </c>
      <c r="C14" s="956" t="s">
        <v>2162</v>
      </c>
      <c r="D14" s="583" t="s">
        <v>2163</v>
      </c>
      <c r="E14" s="957" t="s">
        <v>2164</v>
      </c>
      <c r="F14" s="590" t="s">
        <v>2165</v>
      </c>
      <c r="G14" s="958" t="s">
        <v>202</v>
      </c>
      <c r="H14" s="959">
        <v>7070</v>
      </c>
      <c r="I14" s="960">
        <v>6720</v>
      </c>
      <c r="J14" s="960">
        <v>348</v>
      </c>
      <c r="K14" s="961">
        <v>11.6</v>
      </c>
      <c r="L14" s="962">
        <v>11.4</v>
      </c>
      <c r="M14" s="962">
        <v>0.20799999999999999</v>
      </c>
      <c r="N14" s="961">
        <v>0.96699999999999997</v>
      </c>
      <c r="O14" s="962">
        <v>0.94899999999999995</v>
      </c>
      <c r="P14" s="962">
        <v>1.7999999999999999E-2</v>
      </c>
      <c r="Q14" s="961">
        <v>10.6</v>
      </c>
      <c r="R14" s="962">
        <v>10.5</v>
      </c>
      <c r="S14" s="962">
        <v>0.19</v>
      </c>
      <c r="T14" s="961">
        <v>2.87</v>
      </c>
      <c r="U14" s="962">
        <v>2.58</v>
      </c>
      <c r="V14" s="962">
        <v>0.29599999999999999</v>
      </c>
      <c r="W14" s="590" t="s">
        <v>2166</v>
      </c>
      <c r="X14" s="956" t="s">
        <v>2167</v>
      </c>
      <c r="Y14" s="61" t="s">
        <v>3101</v>
      </c>
      <c r="Z14" s="963"/>
      <c r="AA14" s="963"/>
    </row>
    <row r="15" spans="1:27" s="545" customFormat="1" ht="14.25">
      <c r="A15" s="198" t="s">
        <v>812</v>
      </c>
      <c r="B15" s="574" t="s">
        <v>3102</v>
      </c>
      <c r="C15" s="598" t="s">
        <v>2168</v>
      </c>
      <c r="D15" s="198" t="s">
        <v>2169</v>
      </c>
      <c r="E15" s="199" t="s">
        <v>2170</v>
      </c>
      <c r="F15" s="579" t="s">
        <v>217</v>
      </c>
      <c r="G15" s="200" t="s">
        <v>3087</v>
      </c>
      <c r="H15" s="951">
        <v>7030</v>
      </c>
      <c r="I15" s="952">
        <v>5630</v>
      </c>
      <c r="J15" s="952">
        <v>1400</v>
      </c>
      <c r="K15" s="953">
        <v>14.8</v>
      </c>
      <c r="L15" s="954">
        <v>12.3</v>
      </c>
      <c r="M15" s="954">
        <v>2.5099999999999998</v>
      </c>
      <c r="N15" s="953">
        <v>1.54</v>
      </c>
      <c r="O15" s="954">
        <v>1.17</v>
      </c>
      <c r="P15" s="954">
        <v>0.36599999999999999</v>
      </c>
      <c r="Q15" s="953">
        <v>13.2</v>
      </c>
      <c r="R15" s="954">
        <v>11.1</v>
      </c>
      <c r="S15" s="954">
        <v>2.14</v>
      </c>
      <c r="T15" s="953">
        <v>3.46</v>
      </c>
      <c r="U15" s="954">
        <v>2.77</v>
      </c>
      <c r="V15" s="954">
        <v>0.69499999999999995</v>
      </c>
      <c r="W15" s="579" t="s">
        <v>77</v>
      </c>
      <c r="X15" s="598" t="s">
        <v>2171</v>
      </c>
      <c r="Y15" s="83" t="s">
        <v>3103</v>
      </c>
      <c r="Z15" s="607"/>
      <c r="AA15" s="607"/>
    </row>
    <row r="16" spans="1:27" s="545" customFormat="1" ht="14.25">
      <c r="A16" s="198" t="s">
        <v>815</v>
      </c>
      <c r="B16" s="574" t="s">
        <v>3104</v>
      </c>
      <c r="C16" s="598" t="s">
        <v>2172</v>
      </c>
      <c r="D16" s="198" t="s">
        <v>2173</v>
      </c>
      <c r="E16" s="199" t="s">
        <v>2174</v>
      </c>
      <c r="F16" s="579" t="s">
        <v>217</v>
      </c>
      <c r="G16" s="200" t="s">
        <v>3087</v>
      </c>
      <c r="H16" s="951">
        <v>18100</v>
      </c>
      <c r="I16" s="952">
        <v>16100</v>
      </c>
      <c r="J16" s="952">
        <v>2020</v>
      </c>
      <c r="K16" s="953">
        <v>32.6</v>
      </c>
      <c r="L16" s="954">
        <v>29.6</v>
      </c>
      <c r="M16" s="954">
        <v>3</v>
      </c>
      <c r="N16" s="953">
        <v>2.77</v>
      </c>
      <c r="O16" s="954">
        <v>2.34</v>
      </c>
      <c r="P16" s="954">
        <v>0.43</v>
      </c>
      <c r="Q16" s="953">
        <v>29.9</v>
      </c>
      <c r="R16" s="954">
        <v>27.3</v>
      </c>
      <c r="S16" s="954">
        <v>2.57</v>
      </c>
      <c r="T16" s="953">
        <v>9.14</v>
      </c>
      <c r="U16" s="954">
        <v>8.06</v>
      </c>
      <c r="V16" s="954">
        <v>1.08</v>
      </c>
      <c r="W16" s="579" t="s">
        <v>77</v>
      </c>
      <c r="X16" s="598" t="s">
        <v>2175</v>
      </c>
      <c r="Y16" s="83" t="s">
        <v>3105</v>
      </c>
      <c r="Z16" s="607"/>
      <c r="AA16" s="607"/>
    </row>
    <row r="17" spans="1:27" s="545" customFormat="1" ht="14.25">
      <c r="A17" s="198" t="s">
        <v>817</v>
      </c>
      <c r="B17" s="574" t="s">
        <v>3106</v>
      </c>
      <c r="C17" s="598" t="s">
        <v>2176</v>
      </c>
      <c r="D17" s="198" t="s">
        <v>2177</v>
      </c>
      <c r="E17" s="199" t="s">
        <v>2178</v>
      </c>
      <c r="F17" s="579" t="s">
        <v>217</v>
      </c>
      <c r="G17" s="200" t="s">
        <v>3087</v>
      </c>
      <c r="H17" s="951">
        <v>12800</v>
      </c>
      <c r="I17" s="952">
        <v>12100</v>
      </c>
      <c r="J17" s="952">
        <v>700</v>
      </c>
      <c r="K17" s="953">
        <v>22.7</v>
      </c>
      <c r="L17" s="954">
        <v>22.7</v>
      </c>
      <c r="M17" s="954">
        <v>2.98E-2</v>
      </c>
      <c r="N17" s="953">
        <v>1.66</v>
      </c>
      <c r="O17" s="954">
        <v>1.66</v>
      </c>
      <c r="P17" s="954">
        <v>2.66E-3</v>
      </c>
      <c r="Q17" s="953">
        <v>21.1</v>
      </c>
      <c r="R17" s="954">
        <v>21</v>
      </c>
      <c r="S17" s="954">
        <v>2.7099999999999999E-2</v>
      </c>
      <c r="T17" s="953">
        <v>6.5</v>
      </c>
      <c r="U17" s="954">
        <v>6.48</v>
      </c>
      <c r="V17" s="954">
        <v>2.1999999999999999E-2</v>
      </c>
      <c r="W17" s="579" t="s">
        <v>77</v>
      </c>
      <c r="X17" s="598" t="s">
        <v>2179</v>
      </c>
      <c r="Y17" s="83" t="s">
        <v>3107</v>
      </c>
      <c r="Z17" s="607"/>
      <c r="AA17" s="607"/>
    </row>
    <row r="18" spans="1:27" s="545" customFormat="1" ht="14.25">
      <c r="A18" s="198" t="s">
        <v>813</v>
      </c>
      <c r="B18" s="574" t="s">
        <v>3108</v>
      </c>
      <c r="C18" s="598" t="s">
        <v>2180</v>
      </c>
      <c r="D18" s="198" t="s">
        <v>2181</v>
      </c>
      <c r="E18" s="199" t="s">
        <v>2182</v>
      </c>
      <c r="F18" s="579" t="s">
        <v>217</v>
      </c>
      <c r="G18" s="200" t="s">
        <v>3087</v>
      </c>
      <c r="H18" s="951">
        <v>7380</v>
      </c>
      <c r="I18" s="952">
        <v>5300</v>
      </c>
      <c r="J18" s="952">
        <v>2090</v>
      </c>
      <c r="K18" s="953">
        <v>23.3</v>
      </c>
      <c r="L18" s="954">
        <v>23.2</v>
      </c>
      <c r="M18" s="954">
        <v>8.8099999999999998E-2</v>
      </c>
      <c r="N18" s="953">
        <v>1.44</v>
      </c>
      <c r="O18" s="954">
        <v>1.44</v>
      </c>
      <c r="P18" s="954">
        <v>2.0999999999999999E-3</v>
      </c>
      <c r="Q18" s="953">
        <v>21.8</v>
      </c>
      <c r="R18" s="954">
        <v>21.8</v>
      </c>
      <c r="S18" s="954">
        <v>8.5999999999999993E-2</v>
      </c>
      <c r="T18" s="953">
        <v>5.05</v>
      </c>
      <c r="U18" s="954">
        <v>3.02</v>
      </c>
      <c r="V18" s="954">
        <v>2.04</v>
      </c>
      <c r="W18" s="579" t="s">
        <v>77</v>
      </c>
      <c r="X18" s="598" t="s">
        <v>2183</v>
      </c>
      <c r="Y18" s="83" t="s">
        <v>3109</v>
      </c>
      <c r="Z18" s="607"/>
      <c r="AA18" s="607"/>
    </row>
    <row r="19" spans="1:27" s="545" customFormat="1" ht="25.5">
      <c r="A19" s="198" t="s">
        <v>2184</v>
      </c>
      <c r="B19" s="574" t="s">
        <v>3110</v>
      </c>
      <c r="C19" s="598" t="s">
        <v>2185</v>
      </c>
      <c r="D19" s="198" t="s">
        <v>2186</v>
      </c>
      <c r="E19" s="199" t="s">
        <v>2187</v>
      </c>
      <c r="F19" s="579" t="s">
        <v>217</v>
      </c>
      <c r="G19" s="200" t="s">
        <v>3087</v>
      </c>
      <c r="H19" s="951">
        <v>24300</v>
      </c>
      <c r="I19" s="952">
        <v>24200</v>
      </c>
      <c r="J19" s="952">
        <v>141</v>
      </c>
      <c r="K19" s="953">
        <v>29.4</v>
      </c>
      <c r="L19" s="954">
        <v>29.3</v>
      </c>
      <c r="M19" s="954">
        <v>2.86E-2</v>
      </c>
      <c r="N19" s="953">
        <v>4.3899999999999997</v>
      </c>
      <c r="O19" s="954">
        <v>4.3899999999999997</v>
      </c>
      <c r="P19" s="954">
        <v>2.2699999999999999E-3</v>
      </c>
      <c r="Q19" s="953">
        <v>25</v>
      </c>
      <c r="R19" s="954">
        <v>24.9</v>
      </c>
      <c r="S19" s="954">
        <v>2.63E-2</v>
      </c>
      <c r="T19" s="953">
        <v>5.78</v>
      </c>
      <c r="U19" s="954">
        <v>5.65</v>
      </c>
      <c r="V19" s="954">
        <v>0.13400000000000001</v>
      </c>
      <c r="W19" s="579" t="s">
        <v>77</v>
      </c>
      <c r="X19" s="598" t="s">
        <v>2188</v>
      </c>
      <c r="Y19" s="83" t="s">
        <v>3111</v>
      </c>
      <c r="Z19" s="607"/>
      <c r="AA19" s="607"/>
    </row>
    <row r="20" spans="1:27" s="545" customFormat="1" ht="14.25">
      <c r="A20" s="198" t="s">
        <v>2189</v>
      </c>
      <c r="B20" s="574" t="s">
        <v>3112</v>
      </c>
      <c r="C20" s="598" t="s">
        <v>2190</v>
      </c>
      <c r="D20" s="198" t="s">
        <v>2191</v>
      </c>
      <c r="E20" s="199" t="s">
        <v>2192</v>
      </c>
      <c r="F20" s="579" t="s">
        <v>217</v>
      </c>
      <c r="G20" s="200" t="s">
        <v>3087</v>
      </c>
      <c r="H20" s="951">
        <v>3870</v>
      </c>
      <c r="I20" s="952">
        <v>3260</v>
      </c>
      <c r="J20" s="952">
        <v>613</v>
      </c>
      <c r="K20" s="953">
        <v>7.53</v>
      </c>
      <c r="L20" s="954">
        <v>7.53</v>
      </c>
      <c r="M20" s="954">
        <v>3.6900000000000001E-3</v>
      </c>
      <c r="N20" s="953">
        <v>0.42099999999999999</v>
      </c>
      <c r="O20" s="954">
        <v>0.42099999999999999</v>
      </c>
      <c r="P20" s="954">
        <v>1.03E-4</v>
      </c>
      <c r="Q20" s="953">
        <v>7.11</v>
      </c>
      <c r="R20" s="954">
        <v>7.11</v>
      </c>
      <c r="S20" s="954">
        <v>3.5799999999999998E-3</v>
      </c>
      <c r="T20" s="953">
        <v>1.83</v>
      </c>
      <c r="U20" s="954">
        <v>1.76</v>
      </c>
      <c r="V20" s="954">
        <v>6.6799999999999998E-2</v>
      </c>
      <c r="W20" s="579" t="s">
        <v>77</v>
      </c>
      <c r="X20" s="598" t="s">
        <v>2193</v>
      </c>
      <c r="Y20" s="83" t="s">
        <v>3113</v>
      </c>
      <c r="Z20" s="607"/>
      <c r="AA20" s="607"/>
    </row>
    <row r="21" spans="1:27" s="545" customFormat="1">
      <c r="A21" s="198" t="s">
        <v>159</v>
      </c>
      <c r="B21" s="574" t="s">
        <v>3114</v>
      </c>
      <c r="C21" s="598" t="s">
        <v>2194</v>
      </c>
      <c r="D21" s="198" t="s">
        <v>2195</v>
      </c>
      <c r="E21" s="199" t="s">
        <v>2196</v>
      </c>
      <c r="F21" s="579" t="s">
        <v>2197</v>
      </c>
      <c r="G21" s="200" t="s">
        <v>160</v>
      </c>
      <c r="H21" s="959">
        <v>46100</v>
      </c>
      <c r="I21" s="960">
        <v>40900</v>
      </c>
      <c r="J21" s="960">
        <v>5220</v>
      </c>
      <c r="K21" s="961">
        <v>104</v>
      </c>
      <c r="L21" s="962">
        <v>103</v>
      </c>
      <c r="M21" s="962">
        <v>1.57</v>
      </c>
      <c r="N21" s="961">
        <v>2.2799999999999998</v>
      </c>
      <c r="O21" s="962">
        <v>2</v>
      </c>
      <c r="P21" s="962">
        <v>0.27800000000000002</v>
      </c>
      <c r="Q21" s="961">
        <v>102</v>
      </c>
      <c r="R21" s="962">
        <v>101</v>
      </c>
      <c r="S21" s="962">
        <v>1.29</v>
      </c>
      <c r="T21" s="961">
        <v>23.2</v>
      </c>
      <c r="U21" s="962">
        <v>20.7</v>
      </c>
      <c r="V21" s="962">
        <v>2.5499999999999998</v>
      </c>
      <c r="W21" s="579" t="s">
        <v>2198</v>
      </c>
      <c r="X21" s="956" t="s">
        <v>2199</v>
      </c>
      <c r="Y21" s="83" t="s">
        <v>3115</v>
      </c>
      <c r="Z21" s="607"/>
      <c r="AA21" s="607"/>
    </row>
    <row r="22" spans="1:27" s="593" customFormat="1" ht="25.5">
      <c r="A22" s="583" t="s">
        <v>2200</v>
      </c>
      <c r="B22" s="574" t="s">
        <v>3116</v>
      </c>
      <c r="C22" s="956" t="s">
        <v>2201</v>
      </c>
      <c r="D22" s="583" t="s">
        <v>2202</v>
      </c>
      <c r="E22" s="957" t="s">
        <v>2203</v>
      </c>
      <c r="F22" s="590" t="s">
        <v>2204</v>
      </c>
      <c r="G22" s="958" t="s">
        <v>2068</v>
      </c>
      <c r="H22" s="959">
        <v>947000</v>
      </c>
      <c r="I22" s="960">
        <v>840000</v>
      </c>
      <c r="J22" s="960">
        <v>107000</v>
      </c>
      <c r="K22" s="961">
        <v>1830</v>
      </c>
      <c r="L22" s="962">
        <v>1780</v>
      </c>
      <c r="M22" s="962">
        <v>48.9</v>
      </c>
      <c r="N22" s="961">
        <v>47.7</v>
      </c>
      <c r="O22" s="962">
        <v>43.6</v>
      </c>
      <c r="P22" s="962">
        <v>4.08</v>
      </c>
      <c r="Q22" s="961">
        <v>1780</v>
      </c>
      <c r="R22" s="962">
        <v>1740</v>
      </c>
      <c r="S22" s="962">
        <v>44.8</v>
      </c>
      <c r="T22" s="961">
        <v>661</v>
      </c>
      <c r="U22" s="962">
        <v>566</v>
      </c>
      <c r="V22" s="962">
        <v>95.7</v>
      </c>
      <c r="W22" s="590" t="s">
        <v>2205</v>
      </c>
      <c r="X22" s="956" t="s">
        <v>2206</v>
      </c>
      <c r="Y22" s="61" t="s">
        <v>3117</v>
      </c>
      <c r="Z22" s="963"/>
      <c r="AA22" s="963"/>
    </row>
    <row r="23" spans="1:27" s="545" customFormat="1">
      <c r="A23" s="198" t="s">
        <v>2207</v>
      </c>
      <c r="B23" s="574" t="s">
        <v>3118</v>
      </c>
      <c r="C23" s="956" t="s">
        <v>2208</v>
      </c>
      <c r="D23" s="198" t="s">
        <v>2209</v>
      </c>
      <c r="E23" s="199" t="s">
        <v>2210</v>
      </c>
      <c r="F23" s="579" t="s">
        <v>2204</v>
      </c>
      <c r="G23" s="200" t="s">
        <v>2068</v>
      </c>
      <c r="H23" s="959">
        <v>4690000</v>
      </c>
      <c r="I23" s="960">
        <v>4200000</v>
      </c>
      <c r="J23" s="960">
        <v>486000</v>
      </c>
      <c r="K23" s="961">
        <v>4950</v>
      </c>
      <c r="L23" s="962">
        <v>4910</v>
      </c>
      <c r="M23" s="962">
        <v>38</v>
      </c>
      <c r="N23" s="961">
        <v>488</v>
      </c>
      <c r="O23" s="962">
        <v>485</v>
      </c>
      <c r="P23" s="962">
        <v>3.04</v>
      </c>
      <c r="Q23" s="961">
        <v>4460</v>
      </c>
      <c r="R23" s="962">
        <v>4430</v>
      </c>
      <c r="S23" s="962">
        <v>34.9</v>
      </c>
      <c r="T23" s="961">
        <v>2400</v>
      </c>
      <c r="U23" s="962">
        <v>1930</v>
      </c>
      <c r="V23" s="962">
        <v>473</v>
      </c>
      <c r="W23" s="579" t="s">
        <v>2205</v>
      </c>
      <c r="X23" s="956" t="s">
        <v>2211</v>
      </c>
      <c r="Y23" s="83" t="s">
        <v>3119</v>
      </c>
      <c r="Z23" s="607"/>
      <c r="AA23" s="607"/>
    </row>
    <row r="24" spans="1:27" s="545" customFormat="1">
      <c r="A24" s="198" t="s">
        <v>2212</v>
      </c>
      <c r="B24" s="574" t="s">
        <v>3120</v>
      </c>
      <c r="C24" s="956" t="s">
        <v>2208</v>
      </c>
      <c r="D24" s="198" t="s">
        <v>2213</v>
      </c>
      <c r="E24" s="199" t="s">
        <v>2210</v>
      </c>
      <c r="F24" s="579" t="s">
        <v>2165</v>
      </c>
      <c r="G24" s="200" t="s">
        <v>202</v>
      </c>
      <c r="H24" s="959">
        <v>29700</v>
      </c>
      <c r="I24" s="960">
        <v>26600</v>
      </c>
      <c r="J24" s="960">
        <v>3080</v>
      </c>
      <c r="K24" s="961">
        <v>31.3</v>
      </c>
      <c r="L24" s="962">
        <v>31.1</v>
      </c>
      <c r="M24" s="962">
        <v>0.24</v>
      </c>
      <c r="N24" s="961">
        <v>3.09</v>
      </c>
      <c r="O24" s="962">
        <v>3.07</v>
      </c>
      <c r="P24" s="962">
        <v>1.9300000000000001E-2</v>
      </c>
      <c r="Q24" s="961">
        <v>28.2</v>
      </c>
      <c r="R24" s="962">
        <v>28</v>
      </c>
      <c r="S24" s="962">
        <v>0.221</v>
      </c>
      <c r="T24" s="961">
        <v>15.2</v>
      </c>
      <c r="U24" s="962">
        <v>12.2</v>
      </c>
      <c r="V24" s="962">
        <v>2.99</v>
      </c>
      <c r="W24" s="579" t="s">
        <v>2166</v>
      </c>
      <c r="X24" s="956" t="s">
        <v>2211</v>
      </c>
      <c r="Y24" s="83" t="s">
        <v>3119</v>
      </c>
      <c r="Z24" s="607"/>
      <c r="AA24" s="607"/>
    </row>
    <row r="25" spans="1:27" s="545" customFormat="1">
      <c r="A25" s="198" t="s">
        <v>2214</v>
      </c>
      <c r="B25" s="574" t="s">
        <v>3121</v>
      </c>
      <c r="C25" s="956" t="s">
        <v>2215</v>
      </c>
      <c r="D25" s="198" t="s">
        <v>2216</v>
      </c>
      <c r="E25" s="199" t="s">
        <v>2217</v>
      </c>
      <c r="F25" s="579" t="s">
        <v>2204</v>
      </c>
      <c r="G25" s="200" t="s">
        <v>2068</v>
      </c>
      <c r="H25" s="959">
        <v>7440000</v>
      </c>
      <c r="I25" s="960">
        <v>6590000</v>
      </c>
      <c r="J25" s="960">
        <v>845000</v>
      </c>
      <c r="K25" s="961">
        <v>8140</v>
      </c>
      <c r="L25" s="962">
        <v>8070</v>
      </c>
      <c r="M25" s="962">
        <v>62.2</v>
      </c>
      <c r="N25" s="961">
        <v>1010</v>
      </c>
      <c r="O25" s="962">
        <v>1000</v>
      </c>
      <c r="P25" s="962">
        <v>4.96</v>
      </c>
      <c r="Q25" s="961">
        <v>7130</v>
      </c>
      <c r="R25" s="962">
        <v>7070</v>
      </c>
      <c r="S25" s="962">
        <v>57.2</v>
      </c>
      <c r="T25" s="961">
        <v>4000</v>
      </c>
      <c r="U25" s="962">
        <v>3180</v>
      </c>
      <c r="V25" s="962">
        <v>824</v>
      </c>
      <c r="W25" s="579" t="s">
        <v>2205</v>
      </c>
      <c r="X25" s="956" t="s">
        <v>2218</v>
      </c>
      <c r="Y25" s="83" t="s">
        <v>3122</v>
      </c>
      <c r="Z25" s="607"/>
      <c r="AA25" s="607"/>
    </row>
    <row r="26" spans="1:27" s="545" customFormat="1">
      <c r="A26" s="198" t="s">
        <v>2219</v>
      </c>
      <c r="B26" s="574" t="s">
        <v>3123</v>
      </c>
      <c r="C26" s="956" t="s">
        <v>2215</v>
      </c>
      <c r="D26" s="198" t="s">
        <v>2220</v>
      </c>
      <c r="E26" s="199" t="s">
        <v>2217</v>
      </c>
      <c r="F26" s="579" t="s">
        <v>2165</v>
      </c>
      <c r="G26" s="200" t="s">
        <v>202</v>
      </c>
      <c r="H26" s="959">
        <v>29100</v>
      </c>
      <c r="I26" s="960">
        <v>25800</v>
      </c>
      <c r="J26" s="960">
        <v>3300</v>
      </c>
      <c r="K26" s="953">
        <v>31.8</v>
      </c>
      <c r="L26" s="954">
        <v>31.5</v>
      </c>
      <c r="M26" s="954">
        <v>0.24299999999999999</v>
      </c>
      <c r="N26" s="953">
        <v>3.94</v>
      </c>
      <c r="O26" s="954">
        <v>3.92</v>
      </c>
      <c r="P26" s="954">
        <v>1.9400000000000001E-2</v>
      </c>
      <c r="Q26" s="953">
        <v>27.8</v>
      </c>
      <c r="R26" s="954">
        <v>27.6</v>
      </c>
      <c r="S26" s="954">
        <v>0.224</v>
      </c>
      <c r="T26" s="953">
        <v>15.6</v>
      </c>
      <c r="U26" s="954">
        <v>12.4</v>
      </c>
      <c r="V26" s="954">
        <v>3.22</v>
      </c>
      <c r="W26" s="579" t="s">
        <v>2166</v>
      </c>
      <c r="X26" s="956" t="s">
        <v>2218</v>
      </c>
      <c r="Y26" s="83" t="s">
        <v>3122</v>
      </c>
      <c r="Z26" s="607"/>
      <c r="AA26" s="607"/>
    </row>
    <row r="27" spans="1:27" s="545" customFormat="1" ht="14.25">
      <c r="A27" s="198" t="s">
        <v>2221</v>
      </c>
      <c r="B27" s="574" t="s">
        <v>3124</v>
      </c>
      <c r="C27" s="598" t="s">
        <v>2222</v>
      </c>
      <c r="D27" s="964" t="s">
        <v>893</v>
      </c>
      <c r="E27" s="965" t="s">
        <v>2223</v>
      </c>
      <c r="F27" s="579" t="s">
        <v>2224</v>
      </c>
      <c r="G27" s="200" t="s">
        <v>3087</v>
      </c>
      <c r="H27" s="951">
        <v>687000</v>
      </c>
      <c r="I27" s="952">
        <v>687000</v>
      </c>
      <c r="J27" s="966" t="s">
        <v>805</v>
      </c>
      <c r="K27" s="953">
        <v>1210</v>
      </c>
      <c r="L27" s="954">
        <v>1210</v>
      </c>
      <c r="M27" s="954" t="s">
        <v>805</v>
      </c>
      <c r="N27" s="953">
        <v>146</v>
      </c>
      <c r="O27" s="954">
        <v>146</v>
      </c>
      <c r="P27" s="954" t="s">
        <v>805</v>
      </c>
      <c r="Q27" s="953">
        <v>1070</v>
      </c>
      <c r="R27" s="954">
        <v>1070</v>
      </c>
      <c r="S27" s="954" t="s">
        <v>805</v>
      </c>
      <c r="T27" s="953">
        <v>289</v>
      </c>
      <c r="U27" s="954">
        <v>289</v>
      </c>
      <c r="V27" s="954" t="s">
        <v>805</v>
      </c>
      <c r="W27" s="579" t="s">
        <v>2225</v>
      </c>
      <c r="X27" s="598" t="s">
        <v>2226</v>
      </c>
      <c r="Y27" s="967" t="s">
        <v>3125</v>
      </c>
      <c r="Z27" s="607"/>
      <c r="AA27" s="607"/>
    </row>
    <row r="28" spans="1:27" s="545" customFormat="1" ht="14.25">
      <c r="A28" s="198" t="s">
        <v>2227</v>
      </c>
      <c r="B28" s="574" t="s">
        <v>3126</v>
      </c>
      <c r="C28" s="598" t="s">
        <v>2228</v>
      </c>
      <c r="D28" s="964" t="s">
        <v>893</v>
      </c>
      <c r="E28" s="965" t="s">
        <v>2223</v>
      </c>
      <c r="F28" s="579" t="s">
        <v>2224</v>
      </c>
      <c r="G28" s="200" t="s">
        <v>3087</v>
      </c>
      <c r="H28" s="951">
        <v>482000</v>
      </c>
      <c r="I28" s="952">
        <v>482000</v>
      </c>
      <c r="J28" s="966" t="s">
        <v>805</v>
      </c>
      <c r="K28" s="953">
        <v>887</v>
      </c>
      <c r="L28" s="954">
        <v>887</v>
      </c>
      <c r="M28" s="954" t="s">
        <v>805</v>
      </c>
      <c r="N28" s="953">
        <v>105</v>
      </c>
      <c r="O28" s="954">
        <v>105</v>
      </c>
      <c r="P28" s="954" t="s">
        <v>805</v>
      </c>
      <c r="Q28" s="953">
        <v>782</v>
      </c>
      <c r="R28" s="954">
        <v>782</v>
      </c>
      <c r="S28" s="954" t="s">
        <v>805</v>
      </c>
      <c r="T28" s="953">
        <v>204</v>
      </c>
      <c r="U28" s="954">
        <v>204</v>
      </c>
      <c r="V28" s="954" t="s">
        <v>805</v>
      </c>
      <c r="W28" s="579" t="s">
        <v>2225</v>
      </c>
      <c r="X28" s="598" t="s">
        <v>2229</v>
      </c>
      <c r="Y28" s="967" t="s">
        <v>3125</v>
      </c>
      <c r="Z28" s="607"/>
      <c r="AA28" s="607"/>
    </row>
    <row r="29" spans="1:27" s="545" customFormat="1" ht="14.25">
      <c r="A29" s="198" t="s">
        <v>161</v>
      </c>
      <c r="B29" s="574" t="s">
        <v>3127</v>
      </c>
      <c r="C29" s="598" t="s">
        <v>433</v>
      </c>
      <c r="D29" s="964" t="s">
        <v>893</v>
      </c>
      <c r="E29" s="965" t="s">
        <v>2223</v>
      </c>
      <c r="F29" s="579" t="s">
        <v>2224</v>
      </c>
      <c r="G29" s="200" t="s">
        <v>3087</v>
      </c>
      <c r="H29" s="951">
        <v>411000</v>
      </c>
      <c r="I29" s="952">
        <v>411000</v>
      </c>
      <c r="J29" s="966" t="s">
        <v>805</v>
      </c>
      <c r="K29" s="953">
        <v>748</v>
      </c>
      <c r="L29" s="954">
        <v>748</v>
      </c>
      <c r="M29" s="954" t="s">
        <v>805</v>
      </c>
      <c r="N29" s="953">
        <v>81.400000000000006</v>
      </c>
      <c r="O29" s="954">
        <v>81.400000000000006</v>
      </c>
      <c r="P29" s="954" t="s">
        <v>805</v>
      </c>
      <c r="Q29" s="953">
        <v>667</v>
      </c>
      <c r="R29" s="954">
        <v>667</v>
      </c>
      <c r="S29" s="954" t="s">
        <v>805</v>
      </c>
      <c r="T29" s="953">
        <v>168</v>
      </c>
      <c r="U29" s="954">
        <v>168</v>
      </c>
      <c r="V29" s="954" t="s">
        <v>805</v>
      </c>
      <c r="W29" s="579" t="s">
        <v>2225</v>
      </c>
      <c r="X29" s="598" t="s">
        <v>2230</v>
      </c>
      <c r="Y29" s="967" t="s">
        <v>3125</v>
      </c>
      <c r="Z29" s="607"/>
      <c r="AA29" s="607"/>
    </row>
    <row r="30" spans="1:27" s="545" customFormat="1" ht="14.25">
      <c r="A30" s="198" t="s">
        <v>2231</v>
      </c>
      <c r="B30" s="574" t="s">
        <v>3128</v>
      </c>
      <c r="C30" s="598" t="s">
        <v>2232</v>
      </c>
      <c r="D30" s="964" t="s">
        <v>893</v>
      </c>
      <c r="E30" s="965" t="s">
        <v>2223</v>
      </c>
      <c r="F30" s="579" t="s">
        <v>2224</v>
      </c>
      <c r="G30" s="200" t="s">
        <v>3087</v>
      </c>
      <c r="H30" s="951">
        <v>492000</v>
      </c>
      <c r="I30" s="952">
        <v>492000</v>
      </c>
      <c r="J30" s="966" t="s">
        <v>805</v>
      </c>
      <c r="K30" s="953">
        <v>987</v>
      </c>
      <c r="L30" s="954">
        <v>987</v>
      </c>
      <c r="M30" s="954" t="s">
        <v>805</v>
      </c>
      <c r="N30" s="953">
        <v>102</v>
      </c>
      <c r="O30" s="954">
        <v>102</v>
      </c>
      <c r="P30" s="954" t="s">
        <v>805</v>
      </c>
      <c r="Q30" s="953">
        <v>884</v>
      </c>
      <c r="R30" s="954">
        <v>884</v>
      </c>
      <c r="S30" s="954" t="s">
        <v>805</v>
      </c>
      <c r="T30" s="953">
        <v>230</v>
      </c>
      <c r="U30" s="954">
        <v>230</v>
      </c>
      <c r="V30" s="954" t="s">
        <v>805</v>
      </c>
      <c r="W30" s="579" t="s">
        <v>2225</v>
      </c>
      <c r="X30" s="598" t="s">
        <v>2233</v>
      </c>
      <c r="Y30" s="967" t="s">
        <v>3125</v>
      </c>
      <c r="Z30" s="607"/>
      <c r="AA30" s="607"/>
    </row>
    <row r="31" spans="1:27" s="593" customFormat="1" ht="14.25">
      <c r="A31" s="583" t="s">
        <v>2234</v>
      </c>
      <c r="B31" s="574" t="s">
        <v>3129</v>
      </c>
      <c r="C31" s="956" t="s">
        <v>2235</v>
      </c>
      <c r="D31" s="964" t="s">
        <v>893</v>
      </c>
      <c r="E31" s="965" t="s">
        <v>2223</v>
      </c>
      <c r="F31" s="590" t="s">
        <v>2224</v>
      </c>
      <c r="G31" s="958" t="s">
        <v>3130</v>
      </c>
      <c r="H31" s="959">
        <v>715000</v>
      </c>
      <c r="I31" s="960">
        <v>715000</v>
      </c>
      <c r="J31" s="968" t="s">
        <v>805</v>
      </c>
      <c r="K31" s="961">
        <v>1450</v>
      </c>
      <c r="L31" s="962">
        <v>1450</v>
      </c>
      <c r="M31" s="962" t="s">
        <v>805</v>
      </c>
      <c r="N31" s="961">
        <v>152</v>
      </c>
      <c r="O31" s="962">
        <v>152</v>
      </c>
      <c r="P31" s="962" t="s">
        <v>805</v>
      </c>
      <c r="Q31" s="961">
        <v>1300</v>
      </c>
      <c r="R31" s="962">
        <v>1300</v>
      </c>
      <c r="S31" s="962" t="s">
        <v>805</v>
      </c>
      <c r="T31" s="961">
        <v>343</v>
      </c>
      <c r="U31" s="962">
        <v>343</v>
      </c>
      <c r="V31" s="962" t="s">
        <v>805</v>
      </c>
      <c r="W31" s="590" t="s">
        <v>2225</v>
      </c>
      <c r="X31" s="956" t="s">
        <v>2236</v>
      </c>
      <c r="Y31" s="967" t="s">
        <v>3125</v>
      </c>
      <c r="Z31" s="963"/>
      <c r="AA31" s="963"/>
    </row>
    <row r="32" spans="1:27" s="593" customFormat="1" ht="14.25">
      <c r="A32" s="583" t="s">
        <v>2237</v>
      </c>
      <c r="B32" s="574" t="s">
        <v>3131</v>
      </c>
      <c r="C32" s="956" t="s">
        <v>2238</v>
      </c>
      <c r="D32" s="964" t="s">
        <v>893</v>
      </c>
      <c r="E32" s="965" t="s">
        <v>2223</v>
      </c>
      <c r="F32" s="590" t="s">
        <v>2224</v>
      </c>
      <c r="G32" s="958" t="s">
        <v>3130</v>
      </c>
      <c r="H32" s="959">
        <v>769000</v>
      </c>
      <c r="I32" s="960">
        <v>769000</v>
      </c>
      <c r="J32" s="968" t="s">
        <v>805</v>
      </c>
      <c r="K32" s="961">
        <v>1540</v>
      </c>
      <c r="L32" s="962">
        <v>1540</v>
      </c>
      <c r="M32" s="962" t="s">
        <v>805</v>
      </c>
      <c r="N32" s="961">
        <v>167</v>
      </c>
      <c r="O32" s="962">
        <v>167</v>
      </c>
      <c r="P32" s="962" t="s">
        <v>805</v>
      </c>
      <c r="Q32" s="961">
        <v>1380</v>
      </c>
      <c r="R32" s="962">
        <v>1380</v>
      </c>
      <c r="S32" s="962" t="s">
        <v>805</v>
      </c>
      <c r="T32" s="961">
        <v>369</v>
      </c>
      <c r="U32" s="962">
        <v>369</v>
      </c>
      <c r="V32" s="962" t="s">
        <v>805</v>
      </c>
      <c r="W32" s="590" t="s">
        <v>2225</v>
      </c>
      <c r="X32" s="956" t="s">
        <v>2239</v>
      </c>
      <c r="Y32" s="967" t="s">
        <v>3125</v>
      </c>
      <c r="Z32" s="963"/>
      <c r="AA32" s="963"/>
    </row>
    <row r="33" spans="1:27" s="545" customFormat="1">
      <c r="A33" s="195" t="s">
        <v>2240</v>
      </c>
      <c r="B33" s="969"/>
      <c r="C33" s="970" t="s">
        <v>2241</v>
      </c>
      <c r="D33" s="196"/>
      <c r="E33" s="970"/>
      <c r="F33" s="587"/>
      <c r="G33" s="587"/>
      <c r="H33" s="971"/>
      <c r="I33" s="971"/>
      <c r="J33" s="971"/>
      <c r="K33" s="971"/>
      <c r="L33" s="971"/>
      <c r="M33" s="971"/>
      <c r="N33" s="971"/>
      <c r="O33" s="971"/>
      <c r="P33" s="971"/>
      <c r="Q33" s="971"/>
      <c r="R33" s="971"/>
      <c r="S33" s="971"/>
      <c r="T33" s="971"/>
      <c r="U33" s="971"/>
      <c r="V33" s="971"/>
      <c r="W33" s="971"/>
      <c r="X33" s="970" t="s">
        <v>241</v>
      </c>
      <c r="Y33" s="970"/>
      <c r="Z33" s="607"/>
      <c r="AA33" s="607"/>
    </row>
    <row r="34" spans="1:27" s="545" customFormat="1" ht="14.25">
      <c r="A34" s="198" t="s">
        <v>823</v>
      </c>
      <c r="B34" s="574" t="s">
        <v>3132</v>
      </c>
      <c r="C34" s="598" t="s">
        <v>3133</v>
      </c>
      <c r="D34" s="198" t="s">
        <v>2242</v>
      </c>
      <c r="E34" s="199" t="s">
        <v>3134</v>
      </c>
      <c r="F34" s="579" t="s">
        <v>217</v>
      </c>
      <c r="G34" s="200" t="s">
        <v>3087</v>
      </c>
      <c r="H34" s="951">
        <v>34200</v>
      </c>
      <c r="I34" s="952">
        <v>33600</v>
      </c>
      <c r="J34" s="952">
        <v>591</v>
      </c>
      <c r="K34" s="953">
        <v>54.9</v>
      </c>
      <c r="L34" s="954">
        <v>54.8</v>
      </c>
      <c r="M34" s="954">
        <v>0.153</v>
      </c>
      <c r="N34" s="953">
        <v>4.43</v>
      </c>
      <c r="O34" s="954">
        <v>4.42</v>
      </c>
      <c r="P34" s="954">
        <v>9.5300000000000003E-3</v>
      </c>
      <c r="Q34" s="953">
        <v>50.5</v>
      </c>
      <c r="R34" s="954">
        <v>50.3</v>
      </c>
      <c r="S34" s="954">
        <v>0.14399999999999999</v>
      </c>
      <c r="T34" s="953">
        <v>15</v>
      </c>
      <c r="U34" s="954">
        <v>14.6</v>
      </c>
      <c r="V34" s="954">
        <v>0.33800000000000002</v>
      </c>
      <c r="W34" s="579" t="s">
        <v>77</v>
      </c>
      <c r="X34" s="598" t="s">
        <v>3135</v>
      </c>
      <c r="Y34" s="83" t="s">
        <v>3136</v>
      </c>
      <c r="Z34" s="607"/>
      <c r="AA34" s="607"/>
    </row>
    <row r="35" spans="1:27" s="545" customFormat="1" ht="14.25">
      <c r="A35" s="198" t="s">
        <v>826</v>
      </c>
      <c r="B35" s="574" t="s">
        <v>3137</v>
      </c>
      <c r="C35" s="598" t="s">
        <v>3138</v>
      </c>
      <c r="D35" s="198" t="s">
        <v>2243</v>
      </c>
      <c r="E35" s="199" t="s">
        <v>3139</v>
      </c>
      <c r="F35" s="579" t="s">
        <v>217</v>
      </c>
      <c r="G35" s="200" t="s">
        <v>3087</v>
      </c>
      <c r="H35" s="951">
        <v>46100</v>
      </c>
      <c r="I35" s="952">
        <v>45200</v>
      </c>
      <c r="J35" s="952">
        <v>828</v>
      </c>
      <c r="K35" s="953">
        <v>74.099999999999994</v>
      </c>
      <c r="L35" s="954">
        <v>73.900000000000006</v>
      </c>
      <c r="M35" s="954">
        <v>0.21099999999999999</v>
      </c>
      <c r="N35" s="953">
        <v>5.95</v>
      </c>
      <c r="O35" s="954">
        <v>5.94</v>
      </c>
      <c r="P35" s="954">
        <v>1.2999999999999999E-2</v>
      </c>
      <c r="Q35" s="953">
        <v>68.2</v>
      </c>
      <c r="R35" s="954">
        <v>68</v>
      </c>
      <c r="S35" s="954">
        <v>0.19800000000000001</v>
      </c>
      <c r="T35" s="953">
        <v>20.2</v>
      </c>
      <c r="U35" s="954">
        <v>19.7</v>
      </c>
      <c r="V35" s="954">
        <v>0.47499999999999998</v>
      </c>
      <c r="W35" s="579" t="s">
        <v>77</v>
      </c>
      <c r="X35" s="598" t="s">
        <v>3140</v>
      </c>
      <c r="Y35" s="83" t="s">
        <v>3141</v>
      </c>
      <c r="Z35" s="607"/>
      <c r="AA35" s="607"/>
    </row>
    <row r="36" spans="1:27" s="545" customFormat="1" ht="14.25">
      <c r="A36" s="198" t="s">
        <v>829</v>
      </c>
      <c r="B36" s="574" t="s">
        <v>3142</v>
      </c>
      <c r="C36" s="598" t="s">
        <v>3143</v>
      </c>
      <c r="D36" s="198" t="s">
        <v>2244</v>
      </c>
      <c r="E36" s="199" t="s">
        <v>3144</v>
      </c>
      <c r="F36" s="579" t="s">
        <v>217</v>
      </c>
      <c r="G36" s="200" t="s">
        <v>3087</v>
      </c>
      <c r="H36" s="951">
        <v>69800</v>
      </c>
      <c r="I36" s="952">
        <v>68500</v>
      </c>
      <c r="J36" s="952">
        <v>1300</v>
      </c>
      <c r="K36" s="953">
        <v>113</v>
      </c>
      <c r="L36" s="954">
        <v>112</v>
      </c>
      <c r="M36" s="954">
        <v>0.32600000000000001</v>
      </c>
      <c r="N36" s="953">
        <v>9</v>
      </c>
      <c r="O36" s="954">
        <v>8.98</v>
      </c>
      <c r="P36" s="954">
        <v>1.9800000000000002E-2</v>
      </c>
      <c r="Q36" s="953">
        <v>104</v>
      </c>
      <c r="R36" s="954">
        <v>103</v>
      </c>
      <c r="S36" s="954">
        <v>0.30599999999999999</v>
      </c>
      <c r="T36" s="953">
        <v>30.6</v>
      </c>
      <c r="U36" s="954">
        <v>29.8</v>
      </c>
      <c r="V36" s="954">
        <v>0.748</v>
      </c>
      <c r="W36" s="579" t="s">
        <v>77</v>
      </c>
      <c r="X36" s="598" t="s">
        <v>3145</v>
      </c>
      <c r="Y36" s="83" t="s">
        <v>3146</v>
      </c>
      <c r="Z36" s="607"/>
      <c r="AA36" s="607"/>
    </row>
    <row r="37" spans="1:27" s="545" customFormat="1" ht="14.25">
      <c r="A37" s="198" t="s">
        <v>2245</v>
      </c>
      <c r="B37" s="574" t="s">
        <v>3147</v>
      </c>
      <c r="C37" s="598" t="s">
        <v>3148</v>
      </c>
      <c r="D37" s="198" t="s">
        <v>2246</v>
      </c>
      <c r="E37" s="199" t="s">
        <v>3149</v>
      </c>
      <c r="F37" s="579" t="s">
        <v>217</v>
      </c>
      <c r="G37" s="200" t="s">
        <v>3087</v>
      </c>
      <c r="H37" s="951">
        <v>93600</v>
      </c>
      <c r="I37" s="952">
        <v>91900</v>
      </c>
      <c r="J37" s="952">
        <v>1770</v>
      </c>
      <c r="K37" s="953">
        <v>151</v>
      </c>
      <c r="L37" s="954">
        <v>151</v>
      </c>
      <c r="M37" s="954">
        <v>0.441</v>
      </c>
      <c r="N37" s="953">
        <v>12</v>
      </c>
      <c r="O37" s="954">
        <v>12</v>
      </c>
      <c r="P37" s="954">
        <v>2.6700000000000002E-2</v>
      </c>
      <c r="Q37" s="953">
        <v>139</v>
      </c>
      <c r="R37" s="954">
        <v>139</v>
      </c>
      <c r="S37" s="954">
        <v>0.41399999999999998</v>
      </c>
      <c r="T37" s="953">
        <v>41</v>
      </c>
      <c r="U37" s="954">
        <v>39.9</v>
      </c>
      <c r="V37" s="954">
        <v>1.02</v>
      </c>
      <c r="W37" s="579" t="s">
        <v>77</v>
      </c>
      <c r="X37" s="598" t="s">
        <v>3150</v>
      </c>
      <c r="Y37" s="83" t="s">
        <v>3151</v>
      </c>
      <c r="Z37" s="607"/>
      <c r="AA37" s="607"/>
    </row>
    <row r="38" spans="1:27" s="545" customFormat="1" ht="14.25">
      <c r="A38" s="198" t="s">
        <v>2247</v>
      </c>
      <c r="B38" s="574" t="s">
        <v>3152</v>
      </c>
      <c r="C38" s="598" t="s">
        <v>3153</v>
      </c>
      <c r="D38" s="198" t="s">
        <v>2248</v>
      </c>
      <c r="E38" s="199" t="s">
        <v>3154</v>
      </c>
      <c r="F38" s="579" t="s">
        <v>217</v>
      </c>
      <c r="G38" s="200" t="s">
        <v>3087</v>
      </c>
      <c r="H38" s="951">
        <v>117000</v>
      </c>
      <c r="I38" s="952">
        <v>115000</v>
      </c>
      <c r="J38" s="952">
        <v>2250</v>
      </c>
      <c r="K38" s="953">
        <v>190</v>
      </c>
      <c r="L38" s="954">
        <v>189</v>
      </c>
      <c r="M38" s="954">
        <v>0.55600000000000005</v>
      </c>
      <c r="N38" s="953">
        <v>15.1</v>
      </c>
      <c r="O38" s="954">
        <v>15.1</v>
      </c>
      <c r="P38" s="954">
        <v>3.3500000000000002E-2</v>
      </c>
      <c r="Q38" s="953">
        <v>174</v>
      </c>
      <c r="R38" s="954">
        <v>174</v>
      </c>
      <c r="S38" s="954">
        <v>0.52200000000000002</v>
      </c>
      <c r="T38" s="953">
        <v>51.4</v>
      </c>
      <c r="U38" s="954">
        <v>50.1</v>
      </c>
      <c r="V38" s="954">
        <v>1.29</v>
      </c>
      <c r="W38" s="579" t="s">
        <v>77</v>
      </c>
      <c r="X38" s="598" t="s">
        <v>3155</v>
      </c>
      <c r="Y38" s="83" t="s">
        <v>3156</v>
      </c>
      <c r="Z38" s="607"/>
      <c r="AA38" s="607"/>
    </row>
    <row r="39" spans="1:27" s="545" customFormat="1" ht="25.5">
      <c r="A39" s="198" t="s">
        <v>2249</v>
      </c>
      <c r="B39" s="574" t="s">
        <v>3157</v>
      </c>
      <c r="C39" s="598" t="s">
        <v>2250</v>
      </c>
      <c r="D39" s="198" t="s">
        <v>2251</v>
      </c>
      <c r="E39" s="199" t="s">
        <v>2252</v>
      </c>
      <c r="F39" s="579" t="s">
        <v>217</v>
      </c>
      <c r="G39" s="200" t="s">
        <v>3087</v>
      </c>
      <c r="H39" s="951">
        <v>41400</v>
      </c>
      <c r="I39" s="952">
        <v>41000</v>
      </c>
      <c r="J39" s="952">
        <v>361</v>
      </c>
      <c r="K39" s="953">
        <v>53.9</v>
      </c>
      <c r="L39" s="954">
        <v>53.8</v>
      </c>
      <c r="M39" s="954">
        <v>7.2800000000000004E-2</v>
      </c>
      <c r="N39" s="953">
        <v>4.18</v>
      </c>
      <c r="O39" s="954">
        <v>4.18</v>
      </c>
      <c r="P39" s="954">
        <v>5.3800000000000002E-3</v>
      </c>
      <c r="Q39" s="953">
        <v>49.7</v>
      </c>
      <c r="R39" s="954">
        <v>49.6</v>
      </c>
      <c r="S39" s="954">
        <v>6.7400000000000002E-2</v>
      </c>
      <c r="T39" s="953">
        <v>14.1</v>
      </c>
      <c r="U39" s="954">
        <v>13.8</v>
      </c>
      <c r="V39" s="954">
        <v>0.29799999999999999</v>
      </c>
      <c r="W39" s="579" t="s">
        <v>77</v>
      </c>
      <c r="X39" s="598" t="s">
        <v>2253</v>
      </c>
      <c r="Y39" s="83" t="s">
        <v>3158</v>
      </c>
      <c r="Z39" s="607"/>
      <c r="AA39" s="607"/>
    </row>
    <row r="40" spans="1:27" s="545" customFormat="1" ht="25.5">
      <c r="A40" s="198" t="s">
        <v>2254</v>
      </c>
      <c r="B40" s="574" t="s">
        <v>3159</v>
      </c>
      <c r="C40" s="598" t="s">
        <v>2255</v>
      </c>
      <c r="D40" s="198" t="s">
        <v>2256</v>
      </c>
      <c r="E40" s="199" t="s">
        <v>2257</v>
      </c>
      <c r="F40" s="579" t="s">
        <v>217</v>
      </c>
      <c r="G40" s="200" t="s">
        <v>3087</v>
      </c>
      <c r="H40" s="951">
        <v>21300</v>
      </c>
      <c r="I40" s="952">
        <v>20600</v>
      </c>
      <c r="J40" s="952">
        <v>781</v>
      </c>
      <c r="K40" s="953">
        <v>33.200000000000003</v>
      </c>
      <c r="L40" s="954">
        <v>33.1</v>
      </c>
      <c r="M40" s="954">
        <v>6.5299999999999997E-2</v>
      </c>
      <c r="N40" s="953">
        <v>2.4700000000000002</v>
      </c>
      <c r="O40" s="954">
        <v>2.4700000000000002</v>
      </c>
      <c r="P40" s="954">
        <v>3.3600000000000001E-3</v>
      </c>
      <c r="Q40" s="953">
        <v>30.7</v>
      </c>
      <c r="R40" s="954">
        <v>30.6</v>
      </c>
      <c r="S40" s="954">
        <v>6.1899999999999997E-2</v>
      </c>
      <c r="T40" s="953">
        <v>8.25</v>
      </c>
      <c r="U40" s="954">
        <v>7.53</v>
      </c>
      <c r="V40" s="954">
        <v>0.72299999999999998</v>
      </c>
      <c r="W40" s="579" t="s">
        <v>77</v>
      </c>
      <c r="X40" s="598" t="s">
        <v>2258</v>
      </c>
      <c r="Y40" s="83" t="s">
        <v>3160</v>
      </c>
      <c r="Z40" s="607"/>
      <c r="AA40" s="607"/>
    </row>
    <row r="41" spans="1:27" s="545" customFormat="1" ht="14.25">
      <c r="A41" s="198" t="s">
        <v>165</v>
      </c>
      <c r="B41" s="574" t="s">
        <v>3161</v>
      </c>
      <c r="C41" s="598" t="s">
        <v>434</v>
      </c>
      <c r="D41" s="198" t="s">
        <v>2259</v>
      </c>
      <c r="E41" s="199" t="s">
        <v>2260</v>
      </c>
      <c r="F41" s="579" t="s">
        <v>217</v>
      </c>
      <c r="G41" s="200" t="s">
        <v>3087</v>
      </c>
      <c r="H41" s="951">
        <v>11500</v>
      </c>
      <c r="I41" s="952">
        <v>11300</v>
      </c>
      <c r="J41" s="952">
        <v>175</v>
      </c>
      <c r="K41" s="953">
        <v>14.9</v>
      </c>
      <c r="L41" s="954">
        <v>14.9</v>
      </c>
      <c r="M41" s="954">
        <v>8.2000000000000007E-3</v>
      </c>
      <c r="N41" s="953">
        <v>1.1499999999999999</v>
      </c>
      <c r="O41" s="954">
        <v>1.1499999999999999</v>
      </c>
      <c r="P41" s="954">
        <v>2.5900000000000001E-4</v>
      </c>
      <c r="Q41" s="953">
        <v>13.8</v>
      </c>
      <c r="R41" s="954">
        <v>13.7</v>
      </c>
      <c r="S41" s="954">
        <v>7.9299999999999995E-3</v>
      </c>
      <c r="T41" s="953">
        <v>3.64</v>
      </c>
      <c r="U41" s="954">
        <v>3.52</v>
      </c>
      <c r="V41" s="954">
        <v>0.125</v>
      </c>
      <c r="W41" s="579" t="s">
        <v>77</v>
      </c>
      <c r="X41" s="598" t="s">
        <v>2261</v>
      </c>
      <c r="Y41" s="83" t="s">
        <v>3162</v>
      </c>
      <c r="Z41" s="607"/>
      <c r="AA41" s="607"/>
    </row>
    <row r="42" spans="1:27" s="545" customFormat="1" ht="14.25">
      <c r="A42" s="198" t="s">
        <v>2262</v>
      </c>
      <c r="B42" s="574" t="s">
        <v>3163</v>
      </c>
      <c r="C42" s="598" t="s">
        <v>2263</v>
      </c>
      <c r="D42" s="198" t="s">
        <v>2264</v>
      </c>
      <c r="E42" s="199" t="s">
        <v>2265</v>
      </c>
      <c r="F42" s="579" t="s">
        <v>217</v>
      </c>
      <c r="G42" s="200" t="s">
        <v>3087</v>
      </c>
      <c r="H42" s="951">
        <v>6870</v>
      </c>
      <c r="I42" s="952">
        <v>4590</v>
      </c>
      <c r="J42" s="952">
        <v>2280</v>
      </c>
      <c r="K42" s="953">
        <v>15.9</v>
      </c>
      <c r="L42" s="954">
        <v>14.8</v>
      </c>
      <c r="M42" s="954">
        <v>1.1299999999999999</v>
      </c>
      <c r="N42" s="953">
        <v>0.59799999999999998</v>
      </c>
      <c r="O42" s="954">
        <v>0.52700000000000002</v>
      </c>
      <c r="P42" s="954">
        <v>7.0900000000000005E-2</v>
      </c>
      <c r="Q42" s="953">
        <v>15.3</v>
      </c>
      <c r="R42" s="954">
        <v>14.2</v>
      </c>
      <c r="S42" s="954">
        <v>1.06</v>
      </c>
      <c r="T42" s="953">
        <v>4.43</v>
      </c>
      <c r="U42" s="954">
        <v>2.81</v>
      </c>
      <c r="V42" s="954">
        <v>1.62</v>
      </c>
      <c r="W42" s="579" t="s">
        <v>77</v>
      </c>
      <c r="X42" s="598" t="s">
        <v>2266</v>
      </c>
      <c r="Y42" s="83" t="s">
        <v>3164</v>
      </c>
      <c r="Z42" s="607"/>
      <c r="AA42" s="607"/>
    </row>
    <row r="43" spans="1:27" s="545" customFormat="1" ht="14.25">
      <c r="A43" s="198" t="s">
        <v>2267</v>
      </c>
      <c r="B43" s="574" t="s">
        <v>3165</v>
      </c>
      <c r="C43" s="598" t="s">
        <v>3166</v>
      </c>
      <c r="D43" s="198" t="s">
        <v>2268</v>
      </c>
      <c r="E43" s="199" t="s">
        <v>3167</v>
      </c>
      <c r="F43" s="579" t="s">
        <v>217</v>
      </c>
      <c r="G43" s="200" t="s">
        <v>3087</v>
      </c>
      <c r="H43" s="951">
        <v>11900</v>
      </c>
      <c r="I43" s="952">
        <v>7950</v>
      </c>
      <c r="J43" s="952">
        <v>3950</v>
      </c>
      <c r="K43" s="953">
        <v>27.5</v>
      </c>
      <c r="L43" s="954">
        <v>25.6</v>
      </c>
      <c r="M43" s="954">
        <v>1.96</v>
      </c>
      <c r="N43" s="953">
        <v>1.04</v>
      </c>
      <c r="O43" s="954">
        <v>0.91400000000000003</v>
      </c>
      <c r="P43" s="954">
        <v>0.123</v>
      </c>
      <c r="Q43" s="953">
        <v>26.5</v>
      </c>
      <c r="R43" s="954">
        <v>24.7</v>
      </c>
      <c r="S43" s="954">
        <v>1.84</v>
      </c>
      <c r="T43" s="953">
        <v>7.67</v>
      </c>
      <c r="U43" s="954">
        <v>4.87</v>
      </c>
      <c r="V43" s="954">
        <v>2.81</v>
      </c>
      <c r="W43" s="579" t="s">
        <v>77</v>
      </c>
      <c r="X43" s="598" t="s">
        <v>3168</v>
      </c>
      <c r="Y43" s="83" t="s">
        <v>3169</v>
      </c>
      <c r="Z43" s="607"/>
      <c r="AA43" s="607"/>
    </row>
    <row r="44" spans="1:27" s="545" customFormat="1" ht="14.25">
      <c r="A44" s="198" t="s">
        <v>2269</v>
      </c>
      <c r="B44" s="574" t="s">
        <v>3170</v>
      </c>
      <c r="C44" s="598" t="s">
        <v>3171</v>
      </c>
      <c r="D44" s="198" t="s">
        <v>2270</v>
      </c>
      <c r="E44" s="199" t="s">
        <v>3172</v>
      </c>
      <c r="F44" s="579" t="s">
        <v>217</v>
      </c>
      <c r="G44" s="200" t="s">
        <v>3087</v>
      </c>
      <c r="H44" s="951">
        <v>29800</v>
      </c>
      <c r="I44" s="952">
        <v>19900</v>
      </c>
      <c r="J44" s="952">
        <v>9880</v>
      </c>
      <c r="K44" s="953">
        <v>68.8</v>
      </c>
      <c r="L44" s="954">
        <v>63.9</v>
      </c>
      <c r="M44" s="954">
        <v>4.9000000000000004</v>
      </c>
      <c r="N44" s="953">
        <v>2.59</v>
      </c>
      <c r="O44" s="954">
        <v>2.29</v>
      </c>
      <c r="P44" s="954">
        <v>0.307</v>
      </c>
      <c r="Q44" s="953">
        <v>66.2</v>
      </c>
      <c r="R44" s="954">
        <v>61.6</v>
      </c>
      <c r="S44" s="954">
        <v>4.59</v>
      </c>
      <c r="T44" s="953">
        <v>19.2</v>
      </c>
      <c r="U44" s="954">
        <v>12.2</v>
      </c>
      <c r="V44" s="954">
        <v>7.02</v>
      </c>
      <c r="W44" s="579" t="s">
        <v>77</v>
      </c>
      <c r="X44" s="598" t="s">
        <v>3173</v>
      </c>
      <c r="Y44" s="83" t="s">
        <v>3174</v>
      </c>
      <c r="Z44" s="607"/>
      <c r="AA44" s="607"/>
    </row>
    <row r="45" spans="1:27" s="545" customFormat="1" ht="27">
      <c r="A45" s="198" t="s">
        <v>2271</v>
      </c>
      <c r="B45" s="574" t="s">
        <v>3175</v>
      </c>
      <c r="C45" s="598" t="s">
        <v>3176</v>
      </c>
      <c r="D45" s="198" t="s">
        <v>2272</v>
      </c>
      <c r="E45" s="199" t="s">
        <v>3177</v>
      </c>
      <c r="F45" s="579" t="s">
        <v>2204</v>
      </c>
      <c r="G45" s="200" t="s">
        <v>2068</v>
      </c>
      <c r="H45" s="951">
        <v>84200</v>
      </c>
      <c r="I45" s="952">
        <v>78000</v>
      </c>
      <c r="J45" s="952">
        <v>6130</v>
      </c>
      <c r="K45" s="953">
        <v>320</v>
      </c>
      <c r="L45" s="954">
        <v>319</v>
      </c>
      <c r="M45" s="954">
        <v>1.41</v>
      </c>
      <c r="N45" s="953">
        <v>106</v>
      </c>
      <c r="O45" s="954">
        <v>106</v>
      </c>
      <c r="P45" s="954">
        <v>7.6200000000000004E-2</v>
      </c>
      <c r="Q45" s="953">
        <v>214</v>
      </c>
      <c r="R45" s="954">
        <v>213</v>
      </c>
      <c r="S45" s="954">
        <v>1.33</v>
      </c>
      <c r="T45" s="953">
        <v>43.7</v>
      </c>
      <c r="U45" s="954">
        <v>38.200000000000003</v>
      </c>
      <c r="V45" s="954">
        <v>5.48</v>
      </c>
      <c r="W45" s="579" t="s">
        <v>2205</v>
      </c>
      <c r="X45" s="598" t="s">
        <v>3178</v>
      </c>
      <c r="Y45" s="83" t="s">
        <v>3179</v>
      </c>
      <c r="Z45" s="607"/>
      <c r="AA45" s="607"/>
    </row>
    <row r="46" spans="1:27" s="545" customFormat="1">
      <c r="A46" s="195" t="s">
        <v>2273</v>
      </c>
      <c r="B46" s="969"/>
      <c r="C46" s="970" t="s">
        <v>2274</v>
      </c>
      <c r="D46" s="196"/>
      <c r="E46" s="970"/>
      <c r="F46" s="587"/>
      <c r="G46" s="587"/>
      <c r="H46" s="972"/>
      <c r="I46" s="972"/>
      <c r="J46" s="972"/>
      <c r="K46" s="972"/>
      <c r="L46" s="972"/>
      <c r="M46" s="972"/>
      <c r="N46" s="972"/>
      <c r="O46" s="972"/>
      <c r="P46" s="972"/>
      <c r="Q46" s="972"/>
      <c r="R46" s="972"/>
      <c r="S46" s="972"/>
      <c r="T46" s="972"/>
      <c r="U46" s="972"/>
      <c r="V46" s="972"/>
      <c r="W46" s="587"/>
      <c r="X46" s="970" t="s">
        <v>2275</v>
      </c>
      <c r="Y46" s="970"/>
      <c r="Z46" s="607"/>
      <c r="AA46" s="607"/>
    </row>
    <row r="47" spans="1:27" s="545" customFormat="1" ht="14.25">
      <c r="A47" s="198" t="s">
        <v>834</v>
      </c>
      <c r="B47" s="574" t="s">
        <v>3180</v>
      </c>
      <c r="C47" s="598" t="s">
        <v>833</v>
      </c>
      <c r="D47" s="199" t="s">
        <v>2276</v>
      </c>
      <c r="E47" s="199" t="s">
        <v>2277</v>
      </c>
      <c r="F47" s="579" t="s">
        <v>217</v>
      </c>
      <c r="G47" s="200" t="s">
        <v>3087</v>
      </c>
      <c r="H47" s="951">
        <v>8490</v>
      </c>
      <c r="I47" s="952">
        <v>7280</v>
      </c>
      <c r="J47" s="952">
        <v>1200</v>
      </c>
      <c r="K47" s="953">
        <v>20.3</v>
      </c>
      <c r="L47" s="954">
        <v>20.100000000000001</v>
      </c>
      <c r="M47" s="954">
        <v>0.121</v>
      </c>
      <c r="N47" s="953">
        <v>1.19</v>
      </c>
      <c r="O47" s="954">
        <v>1.18</v>
      </c>
      <c r="P47" s="954">
        <v>6.4999999999999997E-3</v>
      </c>
      <c r="Q47" s="953">
        <v>19.100000000000001</v>
      </c>
      <c r="R47" s="954">
        <v>18.899999999999999</v>
      </c>
      <c r="S47" s="954">
        <v>0.115</v>
      </c>
      <c r="T47" s="953">
        <v>4.7300000000000004</v>
      </c>
      <c r="U47" s="954">
        <v>3.58</v>
      </c>
      <c r="V47" s="954">
        <v>1.1499999999999999</v>
      </c>
      <c r="W47" s="85" t="s">
        <v>77</v>
      </c>
      <c r="X47" s="173" t="s">
        <v>2278</v>
      </c>
      <c r="Y47" s="83" t="s">
        <v>3181</v>
      </c>
      <c r="Z47" s="607"/>
      <c r="AA47" s="607"/>
    </row>
    <row r="48" spans="1:27" s="545" customFormat="1" ht="14.25">
      <c r="A48" s="198" t="s">
        <v>837</v>
      </c>
      <c r="B48" s="574" t="s">
        <v>3182</v>
      </c>
      <c r="C48" s="598" t="s">
        <v>836</v>
      </c>
      <c r="D48" s="199" t="s">
        <v>2279</v>
      </c>
      <c r="E48" s="199" t="s">
        <v>2280</v>
      </c>
      <c r="F48" s="579" t="s">
        <v>217</v>
      </c>
      <c r="G48" s="200" t="s">
        <v>3087</v>
      </c>
      <c r="H48" s="951">
        <v>21000</v>
      </c>
      <c r="I48" s="952">
        <v>17000</v>
      </c>
      <c r="J48" s="952">
        <v>3950</v>
      </c>
      <c r="K48" s="953">
        <v>48.9</v>
      </c>
      <c r="L48" s="954">
        <v>48.4</v>
      </c>
      <c r="M48" s="954">
        <v>0.44700000000000001</v>
      </c>
      <c r="N48" s="953">
        <v>3.32</v>
      </c>
      <c r="O48" s="954">
        <v>3.3</v>
      </c>
      <c r="P48" s="954">
        <v>2.0199999999999999E-2</v>
      </c>
      <c r="Q48" s="953">
        <v>45.6</v>
      </c>
      <c r="R48" s="954">
        <v>45.1</v>
      </c>
      <c r="S48" s="954">
        <v>0.42699999999999999</v>
      </c>
      <c r="T48" s="953">
        <v>12.3</v>
      </c>
      <c r="U48" s="954">
        <v>8.52</v>
      </c>
      <c r="V48" s="954">
        <v>3.76</v>
      </c>
      <c r="W48" s="85" t="s">
        <v>77</v>
      </c>
      <c r="X48" s="173" t="s">
        <v>2281</v>
      </c>
      <c r="Y48" s="83" t="s">
        <v>3183</v>
      </c>
      <c r="Z48" s="607"/>
      <c r="AA48" s="607"/>
    </row>
    <row r="49" spans="1:27" s="545" customFormat="1" ht="14.25">
      <c r="A49" s="198" t="s">
        <v>831</v>
      </c>
      <c r="B49" s="574" t="s">
        <v>3184</v>
      </c>
      <c r="C49" s="598" t="s">
        <v>440</v>
      </c>
      <c r="D49" s="199" t="s">
        <v>2282</v>
      </c>
      <c r="E49" s="199" t="s">
        <v>2283</v>
      </c>
      <c r="F49" s="579" t="s">
        <v>217</v>
      </c>
      <c r="G49" s="200" t="s">
        <v>3087</v>
      </c>
      <c r="H49" s="951">
        <v>26300</v>
      </c>
      <c r="I49" s="952">
        <v>24700</v>
      </c>
      <c r="J49" s="952">
        <v>1670</v>
      </c>
      <c r="K49" s="953">
        <v>50</v>
      </c>
      <c r="L49" s="954">
        <v>49.7</v>
      </c>
      <c r="M49" s="954">
        <v>0.30599999999999999</v>
      </c>
      <c r="N49" s="953">
        <v>3.9</v>
      </c>
      <c r="O49" s="954">
        <v>3.88</v>
      </c>
      <c r="P49" s="954">
        <v>2.29E-2</v>
      </c>
      <c r="Q49" s="953">
        <v>46.1</v>
      </c>
      <c r="R49" s="954">
        <v>45.8</v>
      </c>
      <c r="S49" s="954">
        <v>0.28299999999999997</v>
      </c>
      <c r="T49" s="953">
        <v>12.5</v>
      </c>
      <c r="U49" s="954">
        <v>11</v>
      </c>
      <c r="V49" s="954">
        <v>1.54</v>
      </c>
      <c r="W49" s="85" t="s">
        <v>77</v>
      </c>
      <c r="X49" s="173" t="s">
        <v>2284</v>
      </c>
      <c r="Y49" s="83" t="s">
        <v>3185</v>
      </c>
      <c r="Z49" s="607"/>
      <c r="AA49" s="607"/>
    </row>
    <row r="50" spans="1:27" s="545" customFormat="1">
      <c r="A50" s="195" t="s">
        <v>2285</v>
      </c>
      <c r="B50" s="969"/>
      <c r="C50" s="970" t="s">
        <v>798</v>
      </c>
      <c r="D50" s="196"/>
      <c r="E50" s="970"/>
      <c r="F50" s="587"/>
      <c r="G50" s="587"/>
      <c r="H50" s="972"/>
      <c r="I50" s="972"/>
      <c r="J50" s="972"/>
      <c r="K50" s="972"/>
      <c r="L50" s="972"/>
      <c r="M50" s="972"/>
      <c r="N50" s="972"/>
      <c r="O50" s="972"/>
      <c r="P50" s="972"/>
      <c r="Q50" s="972"/>
      <c r="R50" s="972"/>
      <c r="S50" s="972"/>
      <c r="T50" s="972"/>
      <c r="U50" s="972"/>
      <c r="V50" s="972"/>
      <c r="W50" s="587"/>
      <c r="X50" s="970" t="s">
        <v>2286</v>
      </c>
      <c r="Y50" s="970"/>
      <c r="Z50" s="607"/>
      <c r="AA50" s="607"/>
    </row>
    <row r="51" spans="1:27" s="545" customFormat="1" ht="14.25">
      <c r="A51" s="198" t="s">
        <v>800</v>
      </c>
      <c r="B51" s="574" t="s">
        <v>3186</v>
      </c>
      <c r="C51" s="598" t="s">
        <v>2287</v>
      </c>
      <c r="D51" s="199" t="s">
        <v>2288</v>
      </c>
      <c r="E51" s="199" t="s">
        <v>2289</v>
      </c>
      <c r="F51" s="579" t="s">
        <v>217</v>
      </c>
      <c r="G51" s="200" t="s">
        <v>3087</v>
      </c>
      <c r="H51" s="951">
        <v>37000</v>
      </c>
      <c r="I51" s="952">
        <v>33400</v>
      </c>
      <c r="J51" s="952">
        <v>3630</v>
      </c>
      <c r="K51" s="953">
        <v>58.6</v>
      </c>
      <c r="L51" s="954">
        <v>57.8</v>
      </c>
      <c r="M51" s="954">
        <v>0.77900000000000003</v>
      </c>
      <c r="N51" s="953">
        <v>4.68</v>
      </c>
      <c r="O51" s="954">
        <v>4.62</v>
      </c>
      <c r="P51" s="954">
        <v>6.0499999999999998E-2</v>
      </c>
      <c r="Q51" s="953">
        <v>53.9</v>
      </c>
      <c r="R51" s="954">
        <v>53.2</v>
      </c>
      <c r="S51" s="954">
        <v>0.71799999999999997</v>
      </c>
      <c r="T51" s="953">
        <v>13</v>
      </c>
      <c r="U51" s="954">
        <v>9.5299999999999994</v>
      </c>
      <c r="V51" s="954">
        <v>3.42</v>
      </c>
      <c r="W51" s="85" t="s">
        <v>77</v>
      </c>
      <c r="X51" s="173" t="s">
        <v>2290</v>
      </c>
      <c r="Y51" s="83" t="s">
        <v>3187</v>
      </c>
      <c r="Z51" s="607"/>
      <c r="AA51" s="607"/>
    </row>
    <row r="52" spans="1:27" s="545" customFormat="1" ht="14.25">
      <c r="A52" s="198" t="s">
        <v>802</v>
      </c>
      <c r="B52" s="574" t="s">
        <v>3188</v>
      </c>
      <c r="C52" s="598" t="s">
        <v>2291</v>
      </c>
      <c r="D52" s="199" t="s">
        <v>2292</v>
      </c>
      <c r="E52" s="199" t="s">
        <v>2293</v>
      </c>
      <c r="F52" s="579" t="s">
        <v>217</v>
      </c>
      <c r="G52" s="200" t="s">
        <v>3087</v>
      </c>
      <c r="H52" s="951">
        <v>83100</v>
      </c>
      <c r="I52" s="952">
        <v>81500</v>
      </c>
      <c r="J52" s="952">
        <v>1660</v>
      </c>
      <c r="K52" s="953">
        <v>182</v>
      </c>
      <c r="L52" s="954">
        <v>182</v>
      </c>
      <c r="M52" s="954">
        <v>0.86299999999999999</v>
      </c>
      <c r="N52" s="953">
        <v>76.900000000000006</v>
      </c>
      <c r="O52" s="954">
        <v>76.8</v>
      </c>
      <c r="P52" s="954">
        <v>5.1900000000000002E-2</v>
      </c>
      <c r="Q52" s="953">
        <v>106</v>
      </c>
      <c r="R52" s="954">
        <v>105</v>
      </c>
      <c r="S52" s="954">
        <v>0.81</v>
      </c>
      <c r="T52" s="953">
        <v>24.1</v>
      </c>
      <c r="U52" s="954">
        <v>22.6</v>
      </c>
      <c r="V52" s="954">
        <v>1.47</v>
      </c>
      <c r="W52" s="85" t="s">
        <v>77</v>
      </c>
      <c r="X52" s="173" t="s">
        <v>2294</v>
      </c>
      <c r="Y52" s="83" t="s">
        <v>3189</v>
      </c>
      <c r="Z52" s="607"/>
      <c r="AA52" s="607"/>
    </row>
    <row r="53" spans="1:27" s="545" customFormat="1" ht="14.25">
      <c r="A53" s="198" t="s">
        <v>150</v>
      </c>
      <c r="B53" s="574" t="s">
        <v>3190</v>
      </c>
      <c r="C53" s="973" t="s">
        <v>3191</v>
      </c>
      <c r="D53" s="974" t="s">
        <v>893</v>
      </c>
      <c r="E53" s="965" t="s">
        <v>2223</v>
      </c>
      <c r="F53" s="579" t="s">
        <v>2295</v>
      </c>
      <c r="G53" s="200" t="s">
        <v>151</v>
      </c>
      <c r="H53" s="959">
        <v>2230000</v>
      </c>
      <c r="I53" s="960">
        <v>2230000</v>
      </c>
      <c r="J53" s="960" t="s">
        <v>805</v>
      </c>
      <c r="K53" s="961">
        <v>4240</v>
      </c>
      <c r="L53" s="962">
        <v>4240</v>
      </c>
      <c r="M53" s="962" t="s">
        <v>805</v>
      </c>
      <c r="N53" s="961">
        <v>416</v>
      </c>
      <c r="O53" s="962">
        <v>416</v>
      </c>
      <c r="P53" s="962" t="s">
        <v>805</v>
      </c>
      <c r="Q53" s="961">
        <v>3820</v>
      </c>
      <c r="R53" s="962">
        <v>3820</v>
      </c>
      <c r="S53" s="962" t="s">
        <v>805</v>
      </c>
      <c r="T53" s="961">
        <v>1070</v>
      </c>
      <c r="U53" s="962">
        <v>1070</v>
      </c>
      <c r="V53" s="962" t="s">
        <v>805</v>
      </c>
      <c r="W53" s="85" t="s">
        <v>2296</v>
      </c>
      <c r="X53" s="173" t="s">
        <v>3192</v>
      </c>
      <c r="Y53" s="967" t="s">
        <v>3125</v>
      </c>
      <c r="Z53" s="607"/>
      <c r="AA53" s="607"/>
    </row>
    <row r="54" spans="1:27" s="545" customFormat="1" ht="14.25">
      <c r="A54" s="198" t="s">
        <v>2297</v>
      </c>
      <c r="B54" s="574" t="s">
        <v>3193</v>
      </c>
      <c r="C54" s="973" t="s">
        <v>3194</v>
      </c>
      <c r="D54" s="974" t="s">
        <v>893</v>
      </c>
      <c r="E54" s="965" t="s">
        <v>2223</v>
      </c>
      <c r="F54" s="579" t="s">
        <v>2295</v>
      </c>
      <c r="G54" s="200" t="s">
        <v>151</v>
      </c>
      <c r="H54" s="959">
        <v>2090000</v>
      </c>
      <c r="I54" s="960">
        <v>2090000</v>
      </c>
      <c r="J54" s="960" t="s">
        <v>805</v>
      </c>
      <c r="K54" s="961">
        <v>3960</v>
      </c>
      <c r="L54" s="962">
        <v>3960</v>
      </c>
      <c r="M54" s="962" t="s">
        <v>805</v>
      </c>
      <c r="N54" s="961">
        <v>392</v>
      </c>
      <c r="O54" s="962">
        <v>392</v>
      </c>
      <c r="P54" s="962" t="s">
        <v>805</v>
      </c>
      <c r="Q54" s="961">
        <v>3570</v>
      </c>
      <c r="R54" s="962">
        <v>3570</v>
      </c>
      <c r="S54" s="962" t="s">
        <v>805</v>
      </c>
      <c r="T54" s="961">
        <v>1000</v>
      </c>
      <c r="U54" s="962">
        <v>1000</v>
      </c>
      <c r="V54" s="962" t="s">
        <v>805</v>
      </c>
      <c r="W54" s="85" t="s">
        <v>2296</v>
      </c>
      <c r="X54" s="173" t="s">
        <v>3195</v>
      </c>
      <c r="Y54" s="967" t="s">
        <v>3125</v>
      </c>
      <c r="Z54" s="607"/>
      <c r="AA54" s="607"/>
    </row>
    <row r="55" spans="1:27" s="545" customFormat="1" ht="14.25">
      <c r="A55" s="198" t="s">
        <v>804</v>
      </c>
      <c r="B55" s="574" t="s">
        <v>3196</v>
      </c>
      <c r="C55" s="973" t="s">
        <v>3197</v>
      </c>
      <c r="D55" s="974" t="s">
        <v>893</v>
      </c>
      <c r="E55" s="965" t="s">
        <v>2223</v>
      </c>
      <c r="F55" s="579" t="s">
        <v>2295</v>
      </c>
      <c r="G55" s="200" t="s">
        <v>151</v>
      </c>
      <c r="H55" s="959">
        <v>2370000</v>
      </c>
      <c r="I55" s="960">
        <v>2370000</v>
      </c>
      <c r="J55" s="960" t="s">
        <v>805</v>
      </c>
      <c r="K55" s="961">
        <v>4500</v>
      </c>
      <c r="L55" s="962">
        <v>4500</v>
      </c>
      <c r="M55" s="962" t="s">
        <v>805</v>
      </c>
      <c r="N55" s="961">
        <v>439</v>
      </c>
      <c r="O55" s="962">
        <v>439</v>
      </c>
      <c r="P55" s="962" t="s">
        <v>805</v>
      </c>
      <c r="Q55" s="961">
        <v>4060</v>
      </c>
      <c r="R55" s="962">
        <v>4060</v>
      </c>
      <c r="S55" s="962" t="s">
        <v>805</v>
      </c>
      <c r="T55" s="961">
        <v>1140</v>
      </c>
      <c r="U55" s="962">
        <v>1140</v>
      </c>
      <c r="V55" s="962" t="s">
        <v>805</v>
      </c>
      <c r="W55" s="85" t="s">
        <v>2296</v>
      </c>
      <c r="X55" s="173" t="s">
        <v>3198</v>
      </c>
      <c r="Y55" s="967" t="s">
        <v>3125</v>
      </c>
      <c r="Z55" s="607"/>
      <c r="AA55" s="607"/>
    </row>
    <row r="56" spans="1:27" s="545" customFormat="1" ht="14.25">
      <c r="A56" s="198" t="s">
        <v>2298</v>
      </c>
      <c r="B56" s="574" t="s">
        <v>3199</v>
      </c>
      <c r="C56" s="973" t="s">
        <v>3200</v>
      </c>
      <c r="D56" s="974" t="s">
        <v>893</v>
      </c>
      <c r="E56" s="965" t="s">
        <v>2223</v>
      </c>
      <c r="F56" s="579" t="s">
        <v>2295</v>
      </c>
      <c r="G56" s="200" t="s">
        <v>151</v>
      </c>
      <c r="H56" s="959">
        <v>2890000</v>
      </c>
      <c r="I56" s="960">
        <v>2890000</v>
      </c>
      <c r="J56" s="960" t="s">
        <v>805</v>
      </c>
      <c r="K56" s="961">
        <v>4920</v>
      </c>
      <c r="L56" s="962">
        <v>4920</v>
      </c>
      <c r="M56" s="962" t="s">
        <v>805</v>
      </c>
      <c r="N56" s="961">
        <v>490</v>
      </c>
      <c r="O56" s="962">
        <v>490</v>
      </c>
      <c r="P56" s="962" t="s">
        <v>805</v>
      </c>
      <c r="Q56" s="961">
        <v>4430</v>
      </c>
      <c r="R56" s="962">
        <v>4430</v>
      </c>
      <c r="S56" s="962" t="s">
        <v>805</v>
      </c>
      <c r="T56" s="961">
        <v>1220</v>
      </c>
      <c r="U56" s="962">
        <v>1220</v>
      </c>
      <c r="V56" s="962" t="s">
        <v>805</v>
      </c>
      <c r="W56" s="85" t="s">
        <v>2296</v>
      </c>
      <c r="X56" s="173" t="s">
        <v>3201</v>
      </c>
      <c r="Y56" s="967" t="s">
        <v>3125</v>
      </c>
      <c r="Z56" s="607"/>
      <c r="AA56" s="607"/>
    </row>
    <row r="57" spans="1:27" s="545" customFormat="1" ht="14.25" hidden="1" outlineLevel="1">
      <c r="A57" s="975" t="s">
        <v>2299</v>
      </c>
      <c r="B57" s="976" t="s">
        <v>3202</v>
      </c>
      <c r="C57" s="977" t="s">
        <v>2300</v>
      </c>
      <c r="D57" s="978" t="s">
        <v>2301</v>
      </c>
      <c r="E57" s="978" t="s">
        <v>2302</v>
      </c>
      <c r="F57" s="979" t="s">
        <v>2303</v>
      </c>
      <c r="G57" s="980" t="s">
        <v>3130</v>
      </c>
      <c r="H57" s="981">
        <v>5860</v>
      </c>
      <c r="I57" s="982">
        <v>5810</v>
      </c>
      <c r="J57" s="982">
        <v>44</v>
      </c>
      <c r="K57" s="983">
        <v>16</v>
      </c>
      <c r="L57" s="984">
        <v>16</v>
      </c>
      <c r="M57" s="984">
        <v>3.0999999999999999E-3</v>
      </c>
      <c r="N57" s="983">
        <v>4.1500000000000004</v>
      </c>
      <c r="O57" s="984">
        <v>4.1500000000000004</v>
      </c>
      <c r="P57" s="984">
        <v>9.6299999999999996E-5</v>
      </c>
      <c r="Q57" s="983">
        <v>11.9</v>
      </c>
      <c r="R57" s="984">
        <v>11.9</v>
      </c>
      <c r="S57" s="984">
        <v>3.0000000000000001E-3</v>
      </c>
      <c r="T57" s="983">
        <v>2.69</v>
      </c>
      <c r="U57" s="984">
        <v>2.65</v>
      </c>
      <c r="V57" s="984">
        <v>4.2200000000000001E-2</v>
      </c>
      <c r="W57" s="105" t="s">
        <v>2304</v>
      </c>
      <c r="X57" s="985" t="s">
        <v>2305</v>
      </c>
      <c r="Y57" s="102" t="s">
        <v>3203</v>
      </c>
      <c r="Z57" s="607"/>
      <c r="AA57" s="607"/>
    </row>
    <row r="58" spans="1:27" s="545" customFormat="1" ht="14.25" hidden="1" outlineLevel="1">
      <c r="A58" s="975" t="s">
        <v>2306</v>
      </c>
      <c r="B58" s="976" t="s">
        <v>3204</v>
      </c>
      <c r="C58" s="977" t="s">
        <v>2307</v>
      </c>
      <c r="D58" s="978" t="s">
        <v>2308</v>
      </c>
      <c r="E58" s="978" t="s">
        <v>2309</v>
      </c>
      <c r="F58" s="979" t="s">
        <v>2303</v>
      </c>
      <c r="G58" s="980" t="s">
        <v>3130</v>
      </c>
      <c r="H58" s="981">
        <v>60300</v>
      </c>
      <c r="I58" s="982">
        <v>60200</v>
      </c>
      <c r="J58" s="982">
        <v>99.7</v>
      </c>
      <c r="K58" s="983">
        <v>142</v>
      </c>
      <c r="L58" s="984">
        <v>142</v>
      </c>
      <c r="M58" s="984">
        <v>7.0200000000000002E-3</v>
      </c>
      <c r="N58" s="983">
        <v>20.9</v>
      </c>
      <c r="O58" s="984">
        <v>20.9</v>
      </c>
      <c r="P58" s="984">
        <v>2.1800000000000001E-4</v>
      </c>
      <c r="Q58" s="983">
        <v>121</v>
      </c>
      <c r="R58" s="984">
        <v>121</v>
      </c>
      <c r="S58" s="984">
        <v>6.7999999999999996E-3</v>
      </c>
      <c r="T58" s="983">
        <v>28.5</v>
      </c>
      <c r="U58" s="984">
        <v>28.4</v>
      </c>
      <c r="V58" s="984">
        <v>9.5600000000000004E-2</v>
      </c>
      <c r="W58" s="105" t="s">
        <v>2304</v>
      </c>
      <c r="X58" s="985" t="s">
        <v>2310</v>
      </c>
      <c r="Y58" s="102" t="s">
        <v>3205</v>
      </c>
      <c r="Z58" s="607"/>
      <c r="AA58" s="607"/>
    </row>
    <row r="59" spans="1:27" s="545" customFormat="1" ht="25.5" hidden="1" outlineLevel="1">
      <c r="A59" s="975" t="s">
        <v>2311</v>
      </c>
      <c r="B59" s="976" t="s">
        <v>3206</v>
      </c>
      <c r="C59" s="977" t="s">
        <v>2312</v>
      </c>
      <c r="D59" s="978" t="s">
        <v>2313</v>
      </c>
      <c r="E59" s="978" t="s">
        <v>2314</v>
      </c>
      <c r="F59" s="979" t="s">
        <v>2303</v>
      </c>
      <c r="G59" s="980" t="s">
        <v>3130</v>
      </c>
      <c r="H59" s="981">
        <v>83600</v>
      </c>
      <c r="I59" s="982">
        <v>83500</v>
      </c>
      <c r="J59" s="982">
        <v>99.7</v>
      </c>
      <c r="K59" s="983">
        <v>199</v>
      </c>
      <c r="L59" s="984">
        <v>199</v>
      </c>
      <c r="M59" s="984">
        <v>7.0200000000000002E-3</v>
      </c>
      <c r="N59" s="983">
        <v>31.6</v>
      </c>
      <c r="O59" s="984">
        <v>31.6</v>
      </c>
      <c r="P59" s="984">
        <v>2.1800000000000001E-4</v>
      </c>
      <c r="Q59" s="983">
        <v>167</v>
      </c>
      <c r="R59" s="984">
        <v>167</v>
      </c>
      <c r="S59" s="984">
        <v>6.7999999999999996E-3</v>
      </c>
      <c r="T59" s="983">
        <v>39.1</v>
      </c>
      <c r="U59" s="984">
        <v>39</v>
      </c>
      <c r="V59" s="984">
        <v>9.5600000000000004E-2</v>
      </c>
      <c r="W59" s="105" t="s">
        <v>2304</v>
      </c>
      <c r="X59" s="985" t="s">
        <v>2315</v>
      </c>
      <c r="Y59" s="102" t="s">
        <v>3207</v>
      </c>
      <c r="Z59" s="607"/>
      <c r="AA59" s="607"/>
    </row>
    <row r="60" spans="1:27" s="545" customFormat="1" ht="14.25" hidden="1" outlineLevel="1">
      <c r="A60" s="975" t="s">
        <v>2316</v>
      </c>
      <c r="B60" s="976" t="s">
        <v>3208</v>
      </c>
      <c r="C60" s="977" t="s">
        <v>2317</v>
      </c>
      <c r="D60" s="978" t="s">
        <v>2318</v>
      </c>
      <c r="E60" s="978" t="s">
        <v>2319</v>
      </c>
      <c r="F60" s="979" t="s">
        <v>2303</v>
      </c>
      <c r="G60" s="980" t="s">
        <v>3130</v>
      </c>
      <c r="H60" s="981">
        <v>85300</v>
      </c>
      <c r="I60" s="982">
        <v>84100</v>
      </c>
      <c r="J60" s="982">
        <v>1270</v>
      </c>
      <c r="K60" s="983">
        <v>218</v>
      </c>
      <c r="L60" s="984">
        <v>217</v>
      </c>
      <c r="M60" s="984">
        <v>9.8400000000000001E-2</v>
      </c>
      <c r="N60" s="983">
        <v>33.1</v>
      </c>
      <c r="O60" s="984">
        <v>33.1</v>
      </c>
      <c r="P60" s="984">
        <v>3.5999999999999999E-3</v>
      </c>
      <c r="Q60" s="983">
        <v>184</v>
      </c>
      <c r="R60" s="984">
        <v>184</v>
      </c>
      <c r="S60" s="984">
        <v>9.4799999999999995E-2</v>
      </c>
      <c r="T60" s="983">
        <v>42.1</v>
      </c>
      <c r="U60" s="984">
        <v>40.9</v>
      </c>
      <c r="V60" s="984">
        <v>1.22</v>
      </c>
      <c r="W60" s="105" t="s">
        <v>2304</v>
      </c>
      <c r="X60" s="985" t="s">
        <v>2320</v>
      </c>
      <c r="Y60" s="102" t="s">
        <v>3209</v>
      </c>
      <c r="Z60" s="607"/>
      <c r="AA60" s="607"/>
    </row>
    <row r="61" spans="1:27" s="545" customFormat="1" ht="14.25" hidden="1" outlineLevel="1">
      <c r="A61" s="975" t="s">
        <v>2321</v>
      </c>
      <c r="B61" s="976" t="s">
        <v>3210</v>
      </c>
      <c r="C61" s="977" t="s">
        <v>2322</v>
      </c>
      <c r="D61" s="978" t="s">
        <v>2323</v>
      </c>
      <c r="E61" s="978" t="s">
        <v>2324</v>
      </c>
      <c r="F61" s="979" t="s">
        <v>2303</v>
      </c>
      <c r="G61" s="980" t="s">
        <v>3130</v>
      </c>
      <c r="H61" s="981">
        <v>32500</v>
      </c>
      <c r="I61" s="982">
        <v>31900</v>
      </c>
      <c r="J61" s="982">
        <v>586</v>
      </c>
      <c r="K61" s="983">
        <v>133</v>
      </c>
      <c r="L61" s="984">
        <v>133</v>
      </c>
      <c r="M61" s="984">
        <v>4.1300000000000003E-2</v>
      </c>
      <c r="N61" s="983">
        <v>79.5</v>
      </c>
      <c r="O61" s="984">
        <v>79.400000000000006</v>
      </c>
      <c r="P61" s="984">
        <v>1.2800000000000001E-3</v>
      </c>
      <c r="Q61" s="983">
        <v>53.5</v>
      </c>
      <c r="R61" s="984">
        <v>53.5</v>
      </c>
      <c r="S61" s="984">
        <v>0.04</v>
      </c>
      <c r="T61" s="983">
        <v>14.5</v>
      </c>
      <c r="U61" s="984">
        <v>13.9</v>
      </c>
      <c r="V61" s="984">
        <v>0.56299999999999994</v>
      </c>
      <c r="W61" s="105" t="s">
        <v>2304</v>
      </c>
      <c r="X61" s="985" t="s">
        <v>2325</v>
      </c>
      <c r="Y61" s="102" t="s">
        <v>3211</v>
      </c>
      <c r="Z61" s="607"/>
      <c r="AA61" s="607"/>
    </row>
    <row r="62" spans="1:27" s="545" customFormat="1" ht="25.5" hidden="1" outlineLevel="1">
      <c r="A62" s="975" t="s">
        <v>2326</v>
      </c>
      <c r="B62" s="976" t="s">
        <v>3212</v>
      </c>
      <c r="C62" s="977" t="s">
        <v>2327</v>
      </c>
      <c r="D62" s="978" t="s">
        <v>2328</v>
      </c>
      <c r="E62" s="978" t="s">
        <v>2329</v>
      </c>
      <c r="F62" s="979" t="s">
        <v>2303</v>
      </c>
      <c r="G62" s="980" t="s">
        <v>3130</v>
      </c>
      <c r="H62" s="981">
        <v>99800</v>
      </c>
      <c r="I62" s="982">
        <v>98600</v>
      </c>
      <c r="J62" s="982">
        <v>1200</v>
      </c>
      <c r="K62" s="983">
        <v>260</v>
      </c>
      <c r="L62" s="984">
        <v>260</v>
      </c>
      <c r="M62" s="984">
        <v>8.4699999999999998E-2</v>
      </c>
      <c r="N62" s="983">
        <v>38.299999999999997</v>
      </c>
      <c r="O62" s="984">
        <v>38.299999999999997</v>
      </c>
      <c r="P62" s="984">
        <v>2.63E-3</v>
      </c>
      <c r="Q62" s="983">
        <v>222</v>
      </c>
      <c r="R62" s="984">
        <v>222</v>
      </c>
      <c r="S62" s="984">
        <v>8.2000000000000003E-2</v>
      </c>
      <c r="T62" s="983">
        <v>50.1</v>
      </c>
      <c r="U62" s="984">
        <v>49</v>
      </c>
      <c r="V62" s="984">
        <v>1.1499999999999999</v>
      </c>
      <c r="W62" s="105" t="s">
        <v>2304</v>
      </c>
      <c r="X62" s="985" t="s">
        <v>2330</v>
      </c>
      <c r="Y62" s="102" t="s">
        <v>3213</v>
      </c>
      <c r="Z62" s="607"/>
      <c r="AA62" s="607"/>
    </row>
    <row r="63" spans="1:27" s="545" customFormat="1" ht="25.5" hidden="1" outlineLevel="1">
      <c r="A63" s="975" t="s">
        <v>2331</v>
      </c>
      <c r="B63" s="976" t="s">
        <v>3214</v>
      </c>
      <c r="C63" s="977" t="s">
        <v>2332</v>
      </c>
      <c r="D63" s="978" t="s">
        <v>2333</v>
      </c>
      <c r="E63" s="978" t="s">
        <v>2334</v>
      </c>
      <c r="F63" s="979" t="s">
        <v>2303</v>
      </c>
      <c r="G63" s="980" t="s">
        <v>3130</v>
      </c>
      <c r="H63" s="981">
        <v>117000</v>
      </c>
      <c r="I63" s="982">
        <v>115000</v>
      </c>
      <c r="J63" s="982">
        <v>1790</v>
      </c>
      <c r="K63" s="983">
        <v>305</v>
      </c>
      <c r="L63" s="984">
        <v>305</v>
      </c>
      <c r="M63" s="984">
        <v>0.126</v>
      </c>
      <c r="N63" s="983">
        <v>44.1</v>
      </c>
      <c r="O63" s="984">
        <v>44.1</v>
      </c>
      <c r="P63" s="984">
        <v>3.9199999999999999E-3</v>
      </c>
      <c r="Q63" s="983">
        <v>261</v>
      </c>
      <c r="R63" s="984">
        <v>261</v>
      </c>
      <c r="S63" s="984">
        <v>0.122</v>
      </c>
      <c r="T63" s="983">
        <v>59.4</v>
      </c>
      <c r="U63" s="984">
        <v>57.7</v>
      </c>
      <c r="V63" s="984">
        <v>1.72</v>
      </c>
      <c r="W63" s="105" t="s">
        <v>2304</v>
      </c>
      <c r="X63" s="985" t="s">
        <v>2335</v>
      </c>
      <c r="Y63" s="102" t="s">
        <v>3215</v>
      </c>
      <c r="Z63" s="607"/>
      <c r="AA63" s="607"/>
    </row>
    <row r="64" spans="1:27" s="545" customFormat="1" ht="14.25" hidden="1" outlineLevel="1">
      <c r="A64" s="975" t="s">
        <v>2336</v>
      </c>
      <c r="B64" s="976" t="s">
        <v>3216</v>
      </c>
      <c r="C64" s="977" t="s">
        <v>2337</v>
      </c>
      <c r="D64" s="978" t="s">
        <v>2338</v>
      </c>
      <c r="E64" s="978" t="s">
        <v>2339</v>
      </c>
      <c r="F64" s="979" t="s">
        <v>2303</v>
      </c>
      <c r="G64" s="980" t="s">
        <v>3130</v>
      </c>
      <c r="H64" s="981">
        <v>110000</v>
      </c>
      <c r="I64" s="982">
        <v>109000</v>
      </c>
      <c r="J64" s="982">
        <v>1550</v>
      </c>
      <c r="K64" s="983">
        <v>287</v>
      </c>
      <c r="L64" s="984">
        <v>287</v>
      </c>
      <c r="M64" s="984">
        <v>0.109</v>
      </c>
      <c r="N64" s="983">
        <v>41.8</v>
      </c>
      <c r="O64" s="984">
        <v>41.8</v>
      </c>
      <c r="P64" s="984">
        <v>3.3999999999999998E-3</v>
      </c>
      <c r="Q64" s="983">
        <v>245</v>
      </c>
      <c r="R64" s="984">
        <v>245</v>
      </c>
      <c r="S64" s="984">
        <v>0.106</v>
      </c>
      <c r="T64" s="983">
        <v>55.7</v>
      </c>
      <c r="U64" s="984">
        <v>54.2</v>
      </c>
      <c r="V64" s="984">
        <v>1.49</v>
      </c>
      <c r="W64" s="105" t="s">
        <v>2304</v>
      </c>
      <c r="X64" s="985" t="s">
        <v>2340</v>
      </c>
      <c r="Y64" s="102" t="s">
        <v>3217</v>
      </c>
      <c r="Z64" s="607"/>
      <c r="AA64" s="607"/>
    </row>
    <row r="65" spans="1:27" s="545" customFormat="1" ht="14.25" hidden="1" outlineLevel="1">
      <c r="A65" s="975" t="s">
        <v>2341</v>
      </c>
      <c r="B65" s="976" t="s">
        <v>3218</v>
      </c>
      <c r="C65" s="977" t="s">
        <v>2342</v>
      </c>
      <c r="D65" s="975" t="s">
        <v>2343</v>
      </c>
      <c r="E65" s="978" t="s">
        <v>2344</v>
      </c>
      <c r="F65" s="979" t="s">
        <v>2303</v>
      </c>
      <c r="G65" s="980" t="s">
        <v>3130</v>
      </c>
      <c r="H65" s="981">
        <v>241000</v>
      </c>
      <c r="I65" s="982">
        <v>234000</v>
      </c>
      <c r="J65" s="982">
        <v>7400</v>
      </c>
      <c r="K65" s="983">
        <v>510</v>
      </c>
      <c r="L65" s="984">
        <v>501</v>
      </c>
      <c r="M65" s="984">
        <v>8.8699999999999992</v>
      </c>
      <c r="N65" s="983">
        <v>43.7</v>
      </c>
      <c r="O65" s="984">
        <v>43.1</v>
      </c>
      <c r="P65" s="984">
        <v>0.54600000000000004</v>
      </c>
      <c r="Q65" s="983">
        <v>466</v>
      </c>
      <c r="R65" s="984">
        <v>458</v>
      </c>
      <c r="S65" s="984">
        <v>8.31</v>
      </c>
      <c r="T65" s="983">
        <v>132</v>
      </c>
      <c r="U65" s="984">
        <v>126</v>
      </c>
      <c r="V65" s="984">
        <v>5.39</v>
      </c>
      <c r="W65" s="105" t="s">
        <v>2304</v>
      </c>
      <c r="X65" s="985" t="s">
        <v>2345</v>
      </c>
      <c r="Y65" s="102" t="s">
        <v>3219</v>
      </c>
      <c r="Z65" s="607"/>
      <c r="AA65" s="607"/>
    </row>
    <row r="66" spans="1:27" s="545" customFormat="1" ht="14.25" hidden="1" outlineLevel="1">
      <c r="A66" s="975" t="s">
        <v>2346</v>
      </c>
      <c r="B66" s="976" t="s">
        <v>3220</v>
      </c>
      <c r="C66" s="977" t="s">
        <v>2347</v>
      </c>
      <c r="D66" s="975" t="s">
        <v>2343</v>
      </c>
      <c r="E66" s="978" t="s">
        <v>2344</v>
      </c>
      <c r="F66" s="979" t="s">
        <v>2303</v>
      </c>
      <c r="G66" s="980" t="s">
        <v>3130</v>
      </c>
      <c r="H66" s="981">
        <v>243000</v>
      </c>
      <c r="I66" s="982">
        <v>235000</v>
      </c>
      <c r="J66" s="982">
        <v>7870</v>
      </c>
      <c r="K66" s="983">
        <v>511</v>
      </c>
      <c r="L66" s="984">
        <v>502</v>
      </c>
      <c r="M66" s="984">
        <v>9.42</v>
      </c>
      <c r="N66" s="983">
        <v>43.8</v>
      </c>
      <c r="O66" s="984">
        <v>43.2</v>
      </c>
      <c r="P66" s="984">
        <v>0.57999999999999996</v>
      </c>
      <c r="Q66" s="983">
        <v>468</v>
      </c>
      <c r="R66" s="984">
        <v>459</v>
      </c>
      <c r="S66" s="984">
        <v>8.83</v>
      </c>
      <c r="T66" s="983">
        <v>133</v>
      </c>
      <c r="U66" s="984">
        <v>127</v>
      </c>
      <c r="V66" s="984">
        <v>5.73</v>
      </c>
      <c r="W66" s="105" t="s">
        <v>2304</v>
      </c>
      <c r="X66" s="985" t="s">
        <v>2348</v>
      </c>
      <c r="Y66" s="102" t="s">
        <v>3219</v>
      </c>
      <c r="Z66" s="607"/>
      <c r="AA66" s="607"/>
    </row>
    <row r="67" spans="1:27" s="545" customFormat="1" ht="14.25" hidden="1" outlineLevel="1">
      <c r="A67" s="975" t="s">
        <v>2349</v>
      </c>
      <c r="B67" s="976" t="s">
        <v>3221</v>
      </c>
      <c r="C67" s="977" t="s">
        <v>2350</v>
      </c>
      <c r="D67" s="975" t="s">
        <v>2343</v>
      </c>
      <c r="E67" s="978" t="s">
        <v>2344</v>
      </c>
      <c r="F67" s="979" t="s">
        <v>2303</v>
      </c>
      <c r="G67" s="980" t="s">
        <v>3130</v>
      </c>
      <c r="H67" s="981">
        <v>243000</v>
      </c>
      <c r="I67" s="982">
        <v>235000</v>
      </c>
      <c r="J67" s="982">
        <v>8050</v>
      </c>
      <c r="K67" s="983">
        <v>516</v>
      </c>
      <c r="L67" s="984">
        <v>506</v>
      </c>
      <c r="M67" s="984">
        <v>9.64</v>
      </c>
      <c r="N67" s="983">
        <v>44.2</v>
      </c>
      <c r="O67" s="984">
        <v>43.6</v>
      </c>
      <c r="P67" s="984">
        <v>0.59399999999999997</v>
      </c>
      <c r="Q67" s="983">
        <v>471</v>
      </c>
      <c r="R67" s="984">
        <v>462</v>
      </c>
      <c r="S67" s="984">
        <v>9.0299999999999994</v>
      </c>
      <c r="T67" s="983">
        <v>134</v>
      </c>
      <c r="U67" s="984">
        <v>128</v>
      </c>
      <c r="V67" s="984">
        <v>5.86</v>
      </c>
      <c r="W67" s="105" t="s">
        <v>2304</v>
      </c>
      <c r="X67" s="985" t="s">
        <v>2351</v>
      </c>
      <c r="Y67" s="102" t="s">
        <v>3219</v>
      </c>
      <c r="Z67" s="607"/>
      <c r="AA67" s="607"/>
    </row>
    <row r="68" spans="1:27" s="545" customFormat="1" ht="14.25" hidden="1" outlineLevel="1">
      <c r="A68" s="975" t="s">
        <v>2352</v>
      </c>
      <c r="B68" s="976" t="s">
        <v>3222</v>
      </c>
      <c r="C68" s="977" t="s">
        <v>2353</v>
      </c>
      <c r="D68" s="986" t="s">
        <v>2354</v>
      </c>
      <c r="E68" s="978" t="s">
        <v>2355</v>
      </c>
      <c r="F68" s="979" t="s">
        <v>2303</v>
      </c>
      <c r="G68" s="980" t="s">
        <v>3130</v>
      </c>
      <c r="H68" s="981">
        <v>182000</v>
      </c>
      <c r="I68" s="982">
        <v>171000</v>
      </c>
      <c r="J68" s="982">
        <v>11100</v>
      </c>
      <c r="K68" s="983">
        <v>457</v>
      </c>
      <c r="L68" s="984">
        <v>428</v>
      </c>
      <c r="M68" s="984">
        <v>28.4</v>
      </c>
      <c r="N68" s="983">
        <v>39</v>
      </c>
      <c r="O68" s="984">
        <v>37.5</v>
      </c>
      <c r="P68" s="984">
        <v>1.48</v>
      </c>
      <c r="Q68" s="983">
        <v>418</v>
      </c>
      <c r="R68" s="984">
        <v>391</v>
      </c>
      <c r="S68" s="984">
        <v>26.9</v>
      </c>
      <c r="T68" s="983">
        <v>102</v>
      </c>
      <c r="U68" s="984">
        <v>96.2</v>
      </c>
      <c r="V68" s="984">
        <v>6.08</v>
      </c>
      <c r="W68" s="105" t="s">
        <v>2304</v>
      </c>
      <c r="X68" s="985" t="s">
        <v>2356</v>
      </c>
      <c r="Y68" s="102" t="s">
        <v>3223</v>
      </c>
      <c r="Z68" s="607"/>
      <c r="AA68" s="607"/>
    </row>
    <row r="69" spans="1:27" s="545" customFormat="1" ht="14.25" hidden="1" outlineLevel="1">
      <c r="A69" s="975" t="s">
        <v>2357</v>
      </c>
      <c r="B69" s="976" t="s">
        <v>3224</v>
      </c>
      <c r="C69" s="977" t="s">
        <v>2358</v>
      </c>
      <c r="D69" s="986" t="s">
        <v>2354</v>
      </c>
      <c r="E69" s="987" t="s">
        <v>2355</v>
      </c>
      <c r="F69" s="979" t="s">
        <v>2303</v>
      </c>
      <c r="G69" s="980" t="s">
        <v>3130</v>
      </c>
      <c r="H69" s="981">
        <v>147000</v>
      </c>
      <c r="I69" s="982">
        <v>137000</v>
      </c>
      <c r="J69" s="982">
        <v>10000</v>
      </c>
      <c r="K69" s="983">
        <v>390</v>
      </c>
      <c r="L69" s="984">
        <v>364</v>
      </c>
      <c r="M69" s="984">
        <v>25.7</v>
      </c>
      <c r="N69" s="983">
        <v>25.6</v>
      </c>
      <c r="O69" s="984">
        <v>24.3</v>
      </c>
      <c r="P69" s="984">
        <v>1.33</v>
      </c>
      <c r="Q69" s="983">
        <v>364</v>
      </c>
      <c r="R69" s="984">
        <v>340</v>
      </c>
      <c r="S69" s="984">
        <v>24.3</v>
      </c>
      <c r="T69" s="983">
        <v>85.9</v>
      </c>
      <c r="U69" s="984">
        <v>80.400000000000006</v>
      </c>
      <c r="V69" s="984">
        <v>5.49</v>
      </c>
      <c r="W69" s="105" t="s">
        <v>2304</v>
      </c>
      <c r="X69" s="985" t="s">
        <v>2359</v>
      </c>
      <c r="Y69" s="988" t="s">
        <v>3223</v>
      </c>
      <c r="Z69" s="607"/>
      <c r="AA69" s="607"/>
    </row>
    <row r="70" spans="1:27" s="593" customFormat="1" ht="14.25" collapsed="1">
      <c r="A70" s="583" t="s">
        <v>2360</v>
      </c>
      <c r="B70" s="574" t="s">
        <v>3225</v>
      </c>
      <c r="C70" s="956" t="s">
        <v>3226</v>
      </c>
      <c r="D70" s="974" t="s">
        <v>893</v>
      </c>
      <c r="E70" s="965" t="s">
        <v>2223</v>
      </c>
      <c r="F70" s="590" t="s">
        <v>2295</v>
      </c>
      <c r="G70" s="958" t="s">
        <v>151</v>
      </c>
      <c r="H70" s="959">
        <v>2940000</v>
      </c>
      <c r="I70" s="960">
        <v>2940000</v>
      </c>
      <c r="J70" s="960" t="s">
        <v>805</v>
      </c>
      <c r="K70" s="961">
        <v>5030</v>
      </c>
      <c r="L70" s="962">
        <v>5030</v>
      </c>
      <c r="M70" s="962" t="s">
        <v>805</v>
      </c>
      <c r="N70" s="961">
        <v>505</v>
      </c>
      <c r="O70" s="962">
        <v>505</v>
      </c>
      <c r="P70" s="962" t="s">
        <v>805</v>
      </c>
      <c r="Q70" s="961">
        <v>4530</v>
      </c>
      <c r="R70" s="962">
        <v>4530</v>
      </c>
      <c r="S70" s="962" t="s">
        <v>805</v>
      </c>
      <c r="T70" s="961">
        <v>1260</v>
      </c>
      <c r="U70" s="962">
        <v>1260</v>
      </c>
      <c r="V70" s="962" t="s">
        <v>805</v>
      </c>
      <c r="W70" s="63" t="s">
        <v>2296</v>
      </c>
      <c r="X70" s="985" t="s">
        <v>3227</v>
      </c>
      <c r="Y70" s="967" t="s">
        <v>3125</v>
      </c>
      <c r="Z70" s="963"/>
      <c r="AA70" s="963"/>
    </row>
    <row r="71" spans="1:27" s="593" customFormat="1" ht="14.25">
      <c r="A71" s="583" t="s">
        <v>2361</v>
      </c>
      <c r="B71" s="574" t="s">
        <v>3228</v>
      </c>
      <c r="C71" s="956" t="s">
        <v>3229</v>
      </c>
      <c r="D71" s="974" t="s">
        <v>893</v>
      </c>
      <c r="E71" s="965" t="s">
        <v>2223</v>
      </c>
      <c r="F71" s="590" t="s">
        <v>2295</v>
      </c>
      <c r="G71" s="958" t="s">
        <v>151</v>
      </c>
      <c r="H71" s="959">
        <v>2980000</v>
      </c>
      <c r="I71" s="960">
        <v>2980000</v>
      </c>
      <c r="J71" s="960" t="s">
        <v>805</v>
      </c>
      <c r="K71" s="961">
        <v>5080</v>
      </c>
      <c r="L71" s="962">
        <v>5080</v>
      </c>
      <c r="M71" s="962" t="s">
        <v>805</v>
      </c>
      <c r="N71" s="961">
        <v>522</v>
      </c>
      <c r="O71" s="962">
        <v>522</v>
      </c>
      <c r="P71" s="962" t="s">
        <v>805</v>
      </c>
      <c r="Q71" s="961">
        <v>4560</v>
      </c>
      <c r="R71" s="962">
        <v>4560</v>
      </c>
      <c r="S71" s="962" t="s">
        <v>805</v>
      </c>
      <c r="T71" s="961">
        <v>1250</v>
      </c>
      <c r="U71" s="962">
        <v>1250</v>
      </c>
      <c r="V71" s="962" t="s">
        <v>805</v>
      </c>
      <c r="W71" s="63" t="s">
        <v>2296</v>
      </c>
      <c r="X71" s="985" t="s">
        <v>3230</v>
      </c>
      <c r="Y71" s="967" t="s">
        <v>3125</v>
      </c>
      <c r="Z71" s="963"/>
      <c r="AA71" s="963"/>
    </row>
    <row r="72" spans="1:27" s="593" customFormat="1" ht="14.25">
      <c r="A72" s="583" t="s">
        <v>2362</v>
      </c>
      <c r="B72" s="574" t="s">
        <v>3231</v>
      </c>
      <c r="C72" s="956" t="s">
        <v>3232</v>
      </c>
      <c r="D72" s="974" t="s">
        <v>893</v>
      </c>
      <c r="E72" s="965" t="s">
        <v>2223</v>
      </c>
      <c r="F72" s="590" t="s">
        <v>2295</v>
      </c>
      <c r="G72" s="958" t="s">
        <v>151</v>
      </c>
      <c r="H72" s="959">
        <v>2050000</v>
      </c>
      <c r="I72" s="960">
        <v>2050000</v>
      </c>
      <c r="J72" s="960" t="s">
        <v>805</v>
      </c>
      <c r="K72" s="961">
        <v>3570</v>
      </c>
      <c r="L72" s="962">
        <v>3570</v>
      </c>
      <c r="M72" s="962" t="s">
        <v>805</v>
      </c>
      <c r="N72" s="961">
        <v>319</v>
      </c>
      <c r="O72" s="962">
        <v>319</v>
      </c>
      <c r="P72" s="962" t="s">
        <v>805</v>
      </c>
      <c r="Q72" s="961">
        <v>3250</v>
      </c>
      <c r="R72" s="962">
        <v>3250</v>
      </c>
      <c r="S72" s="962" t="s">
        <v>805</v>
      </c>
      <c r="T72" s="961">
        <v>792</v>
      </c>
      <c r="U72" s="962">
        <v>792</v>
      </c>
      <c r="V72" s="962" t="s">
        <v>805</v>
      </c>
      <c r="W72" s="63" t="s">
        <v>2296</v>
      </c>
      <c r="X72" s="985" t="s">
        <v>3233</v>
      </c>
      <c r="Y72" s="967" t="s">
        <v>3125</v>
      </c>
      <c r="Z72" s="963"/>
      <c r="AA72" s="963"/>
    </row>
    <row r="73" spans="1:27" s="593" customFormat="1" ht="14.25">
      <c r="A73" s="601" t="s">
        <v>2363</v>
      </c>
      <c r="B73" s="602" t="s">
        <v>3234</v>
      </c>
      <c r="C73" s="989" t="s">
        <v>3235</v>
      </c>
      <c r="D73" s="974" t="s">
        <v>893</v>
      </c>
      <c r="E73" s="965" t="s">
        <v>2223</v>
      </c>
      <c r="F73" s="990" t="s">
        <v>2295</v>
      </c>
      <c r="G73" s="991" t="s">
        <v>151</v>
      </c>
      <c r="H73" s="959">
        <v>2590000</v>
      </c>
      <c r="I73" s="960">
        <v>2590000</v>
      </c>
      <c r="J73" s="960" t="s">
        <v>805</v>
      </c>
      <c r="K73" s="961">
        <v>5110</v>
      </c>
      <c r="L73" s="962">
        <v>5110</v>
      </c>
      <c r="M73" s="962" t="s">
        <v>805</v>
      </c>
      <c r="N73" s="961">
        <v>502</v>
      </c>
      <c r="O73" s="962">
        <v>502</v>
      </c>
      <c r="P73" s="962" t="s">
        <v>805</v>
      </c>
      <c r="Q73" s="961">
        <v>4600</v>
      </c>
      <c r="R73" s="962">
        <v>4600</v>
      </c>
      <c r="S73" s="962" t="s">
        <v>805</v>
      </c>
      <c r="T73" s="961">
        <v>1080</v>
      </c>
      <c r="U73" s="962">
        <v>1080</v>
      </c>
      <c r="V73" s="962" t="s">
        <v>805</v>
      </c>
      <c r="W73" s="992" t="s">
        <v>2296</v>
      </c>
      <c r="X73" s="985" t="s">
        <v>3236</v>
      </c>
      <c r="Y73" s="967" t="s">
        <v>3125</v>
      </c>
      <c r="Z73" s="963"/>
      <c r="AA73" s="963"/>
    </row>
    <row r="74" spans="1:27" s="545" customFormat="1" ht="14.25">
      <c r="A74" s="993" t="s">
        <v>2364</v>
      </c>
      <c r="B74" s="574" t="s">
        <v>3237</v>
      </c>
      <c r="C74" s="994" t="s">
        <v>3238</v>
      </c>
      <c r="D74" s="974" t="s">
        <v>893</v>
      </c>
      <c r="E74" s="965" t="s">
        <v>2223</v>
      </c>
      <c r="F74" s="590" t="s">
        <v>2295</v>
      </c>
      <c r="G74" s="958" t="s">
        <v>151</v>
      </c>
      <c r="H74" s="959">
        <v>533000</v>
      </c>
      <c r="I74" s="960">
        <v>533000</v>
      </c>
      <c r="J74" s="960" t="s">
        <v>805</v>
      </c>
      <c r="K74" s="961">
        <v>684</v>
      </c>
      <c r="L74" s="962">
        <v>684</v>
      </c>
      <c r="M74" s="962" t="s">
        <v>805</v>
      </c>
      <c r="N74" s="961">
        <v>63</v>
      </c>
      <c r="O74" s="962">
        <v>63</v>
      </c>
      <c r="P74" s="962" t="s">
        <v>805</v>
      </c>
      <c r="Q74" s="961">
        <v>621</v>
      </c>
      <c r="R74" s="962">
        <v>621</v>
      </c>
      <c r="S74" s="962" t="s">
        <v>805</v>
      </c>
      <c r="T74" s="961">
        <v>144</v>
      </c>
      <c r="U74" s="962">
        <v>144</v>
      </c>
      <c r="V74" s="962" t="s">
        <v>805</v>
      </c>
      <c r="W74" s="63" t="s">
        <v>2296</v>
      </c>
      <c r="X74" s="985" t="s">
        <v>3239</v>
      </c>
      <c r="Y74" s="967" t="s">
        <v>3125</v>
      </c>
      <c r="Z74" s="607"/>
      <c r="AA74" s="607"/>
    </row>
    <row r="75" spans="1:27" s="545" customFormat="1" ht="14.25">
      <c r="A75" s="993" t="s">
        <v>2365</v>
      </c>
      <c r="B75" s="574" t="s">
        <v>3240</v>
      </c>
      <c r="C75" s="994" t="s">
        <v>3241</v>
      </c>
      <c r="D75" s="974" t="s">
        <v>893</v>
      </c>
      <c r="E75" s="965" t="s">
        <v>2223</v>
      </c>
      <c r="F75" s="590" t="s">
        <v>2295</v>
      </c>
      <c r="G75" s="958" t="s">
        <v>151</v>
      </c>
      <c r="H75" s="959">
        <v>427000</v>
      </c>
      <c r="I75" s="960">
        <v>427000</v>
      </c>
      <c r="J75" s="960" t="s">
        <v>805</v>
      </c>
      <c r="K75" s="961">
        <v>548</v>
      </c>
      <c r="L75" s="962">
        <v>548</v>
      </c>
      <c r="M75" s="962" t="s">
        <v>805</v>
      </c>
      <c r="N75" s="961">
        <v>50.5</v>
      </c>
      <c r="O75" s="962">
        <v>50.5</v>
      </c>
      <c r="P75" s="962" t="s">
        <v>805</v>
      </c>
      <c r="Q75" s="961">
        <v>498</v>
      </c>
      <c r="R75" s="962">
        <v>498</v>
      </c>
      <c r="S75" s="962" t="s">
        <v>805</v>
      </c>
      <c r="T75" s="961">
        <v>115</v>
      </c>
      <c r="U75" s="962">
        <v>115</v>
      </c>
      <c r="V75" s="962" t="s">
        <v>805</v>
      </c>
      <c r="W75" s="63" t="s">
        <v>2296</v>
      </c>
      <c r="X75" s="985" t="s">
        <v>3242</v>
      </c>
      <c r="Y75" s="967" t="s">
        <v>3125</v>
      </c>
      <c r="Z75" s="607"/>
      <c r="AA75" s="607"/>
    </row>
    <row r="76" spans="1:27" s="545" customFormat="1" ht="14.25">
      <c r="A76" s="993" t="s">
        <v>2366</v>
      </c>
      <c r="B76" s="574" t="s">
        <v>3243</v>
      </c>
      <c r="C76" s="994" t="s">
        <v>3244</v>
      </c>
      <c r="D76" s="974" t="s">
        <v>893</v>
      </c>
      <c r="E76" s="965" t="s">
        <v>2223</v>
      </c>
      <c r="F76" s="590" t="s">
        <v>2295</v>
      </c>
      <c r="G76" s="958" t="s">
        <v>151</v>
      </c>
      <c r="H76" s="959">
        <v>342000</v>
      </c>
      <c r="I76" s="960">
        <v>342000</v>
      </c>
      <c r="J76" s="960" t="s">
        <v>805</v>
      </c>
      <c r="K76" s="961">
        <v>439</v>
      </c>
      <c r="L76" s="962">
        <v>439</v>
      </c>
      <c r="M76" s="962" t="s">
        <v>805</v>
      </c>
      <c r="N76" s="961">
        <v>40.4</v>
      </c>
      <c r="O76" s="962">
        <v>40.4</v>
      </c>
      <c r="P76" s="962" t="s">
        <v>805</v>
      </c>
      <c r="Q76" s="961">
        <v>399</v>
      </c>
      <c r="R76" s="962">
        <v>399</v>
      </c>
      <c r="S76" s="962" t="s">
        <v>805</v>
      </c>
      <c r="T76" s="961">
        <v>92.4</v>
      </c>
      <c r="U76" s="962">
        <v>92.4</v>
      </c>
      <c r="V76" s="962" t="s">
        <v>805</v>
      </c>
      <c r="W76" s="63" t="s">
        <v>2296</v>
      </c>
      <c r="X76" s="985" t="s">
        <v>3245</v>
      </c>
      <c r="Y76" s="967" t="s">
        <v>3125</v>
      </c>
      <c r="Z76" s="607"/>
      <c r="AA76" s="607"/>
    </row>
    <row r="77" spans="1:27" s="545" customFormat="1" ht="14.25">
      <c r="A77" s="993" t="s">
        <v>2367</v>
      </c>
      <c r="B77" s="574" t="s">
        <v>3246</v>
      </c>
      <c r="C77" s="994" t="s">
        <v>3247</v>
      </c>
      <c r="D77" s="974" t="s">
        <v>893</v>
      </c>
      <c r="E77" s="965" t="s">
        <v>2223</v>
      </c>
      <c r="F77" s="590" t="s">
        <v>2295</v>
      </c>
      <c r="G77" s="958" t="s">
        <v>151</v>
      </c>
      <c r="H77" s="959">
        <v>274000</v>
      </c>
      <c r="I77" s="960">
        <v>274000</v>
      </c>
      <c r="J77" s="960" t="s">
        <v>805</v>
      </c>
      <c r="K77" s="961">
        <v>352</v>
      </c>
      <c r="L77" s="962">
        <v>352</v>
      </c>
      <c r="M77" s="962" t="s">
        <v>805</v>
      </c>
      <c r="N77" s="961">
        <v>32.4</v>
      </c>
      <c r="O77" s="962">
        <v>32.4</v>
      </c>
      <c r="P77" s="962" t="s">
        <v>805</v>
      </c>
      <c r="Q77" s="961">
        <v>319</v>
      </c>
      <c r="R77" s="962">
        <v>319</v>
      </c>
      <c r="S77" s="962" t="s">
        <v>805</v>
      </c>
      <c r="T77" s="961">
        <v>74</v>
      </c>
      <c r="U77" s="962">
        <v>74</v>
      </c>
      <c r="V77" s="962" t="s">
        <v>805</v>
      </c>
      <c r="W77" s="63" t="s">
        <v>2296</v>
      </c>
      <c r="X77" s="985" t="s">
        <v>3248</v>
      </c>
      <c r="Y77" s="967" t="s">
        <v>3125</v>
      </c>
      <c r="Z77" s="607"/>
      <c r="AA77" s="607"/>
    </row>
    <row r="78" spans="1:27" s="545" customFormat="1" ht="14.25">
      <c r="A78" s="993" t="s">
        <v>2368</v>
      </c>
      <c r="B78" s="574" t="s">
        <v>3249</v>
      </c>
      <c r="C78" s="994" t="s">
        <v>3250</v>
      </c>
      <c r="D78" s="974" t="s">
        <v>893</v>
      </c>
      <c r="E78" s="965" t="s">
        <v>2223</v>
      </c>
      <c r="F78" s="590" t="s">
        <v>2295</v>
      </c>
      <c r="G78" s="958" t="s">
        <v>151</v>
      </c>
      <c r="H78" s="959">
        <v>167000</v>
      </c>
      <c r="I78" s="960">
        <v>167000</v>
      </c>
      <c r="J78" s="960" t="s">
        <v>805</v>
      </c>
      <c r="K78" s="961">
        <v>180</v>
      </c>
      <c r="L78" s="962">
        <v>180</v>
      </c>
      <c r="M78" s="962" t="s">
        <v>805</v>
      </c>
      <c r="N78" s="961">
        <v>10.199999999999999</v>
      </c>
      <c r="O78" s="962">
        <v>10.199999999999999</v>
      </c>
      <c r="P78" s="962" t="s">
        <v>805</v>
      </c>
      <c r="Q78" s="961">
        <v>170</v>
      </c>
      <c r="R78" s="962">
        <v>170</v>
      </c>
      <c r="S78" s="962" t="s">
        <v>805</v>
      </c>
      <c r="T78" s="961">
        <v>42.1</v>
      </c>
      <c r="U78" s="962">
        <v>42.1</v>
      </c>
      <c r="V78" s="962" t="s">
        <v>805</v>
      </c>
      <c r="W78" s="63" t="s">
        <v>2296</v>
      </c>
      <c r="X78" s="985" t="s">
        <v>3251</v>
      </c>
      <c r="Y78" s="967" t="s">
        <v>3125</v>
      </c>
      <c r="Z78" s="607"/>
      <c r="AA78" s="607"/>
    </row>
    <row r="79" spans="1:27" s="545" customFormat="1" ht="53.25" customHeight="1">
      <c r="A79" s="995"/>
      <c r="B79" s="995"/>
      <c r="C79" s="996" t="s">
        <v>3252</v>
      </c>
      <c r="D79" s="995"/>
      <c r="E79" s="997"/>
      <c r="F79" s="998"/>
      <c r="G79" s="998"/>
      <c r="H79" s="999"/>
      <c r="I79" s="999"/>
      <c r="J79" s="999" t="s">
        <v>2370</v>
      </c>
      <c r="K79" s="999" t="s">
        <v>2370</v>
      </c>
      <c r="L79" s="999" t="s">
        <v>2370</v>
      </c>
      <c r="M79" s="999" t="s">
        <v>2370</v>
      </c>
      <c r="N79" s="999" t="s">
        <v>2370</v>
      </c>
      <c r="O79" s="999" t="s">
        <v>2370</v>
      </c>
      <c r="P79" s="999" t="s">
        <v>2370</v>
      </c>
      <c r="Q79" s="1000" t="s">
        <v>2370</v>
      </c>
      <c r="R79" s="999" t="s">
        <v>2370</v>
      </c>
      <c r="S79" s="999" t="s">
        <v>2370</v>
      </c>
      <c r="T79" s="1001" t="s">
        <v>2370</v>
      </c>
      <c r="U79" s="1001" t="s">
        <v>2370</v>
      </c>
      <c r="V79" s="1001" t="s">
        <v>2370</v>
      </c>
      <c r="W79" s="998"/>
      <c r="X79" s="900" t="s">
        <v>3253</v>
      </c>
      <c r="Y79" s="997"/>
      <c r="Z79" s="607"/>
      <c r="AA79" s="607"/>
    </row>
    <row r="81" spans="8:22" s="607" customFormat="1">
      <c r="H81" s="1006"/>
      <c r="I81" s="1006"/>
      <c r="J81" s="1006"/>
      <c r="K81" s="1006"/>
      <c r="L81" s="1006"/>
      <c r="M81" s="1006"/>
      <c r="N81" s="1006"/>
      <c r="O81" s="1006"/>
      <c r="P81" s="1006"/>
      <c r="Q81" s="1006"/>
      <c r="R81" s="1006"/>
      <c r="S81" s="1006"/>
      <c r="T81" s="1007"/>
      <c r="U81" s="1007"/>
      <c r="V81" s="1007"/>
    </row>
    <row r="82" spans="8:22" s="607" customFormat="1">
      <c r="H82" s="1006"/>
      <c r="I82" s="1006"/>
      <c r="J82" s="1006"/>
      <c r="K82" s="1006"/>
      <c r="L82" s="1006"/>
      <c r="M82" s="1006"/>
      <c r="N82" s="1006"/>
      <c r="O82" s="1006"/>
      <c r="P82" s="1006"/>
      <c r="Q82" s="1006"/>
      <c r="R82" s="1006"/>
      <c r="S82" s="1006"/>
      <c r="T82" s="1007"/>
      <c r="U82" s="1007"/>
      <c r="V82" s="1007"/>
    </row>
    <row r="83" spans="8:22" s="607" customFormat="1">
      <c r="H83" s="1006"/>
      <c r="I83" s="1006"/>
      <c r="J83" s="1006"/>
      <c r="K83" s="1006"/>
      <c r="L83" s="1006"/>
      <c r="M83" s="1006"/>
      <c r="N83" s="1006"/>
      <c r="O83" s="1006"/>
      <c r="P83" s="1006"/>
      <c r="Q83" s="1006"/>
      <c r="R83" s="1006"/>
      <c r="S83" s="1006"/>
      <c r="T83" s="1007"/>
      <c r="U83" s="1007"/>
      <c r="V83" s="1007"/>
    </row>
    <row r="84" spans="8:22" s="607" customFormat="1">
      <c r="H84" s="1006"/>
      <c r="I84" s="1006"/>
      <c r="J84" s="1006"/>
      <c r="K84" s="1006"/>
      <c r="L84" s="1006"/>
      <c r="M84" s="1006"/>
      <c r="N84" s="1006"/>
      <c r="O84" s="1006"/>
      <c r="P84" s="1006"/>
      <c r="Q84" s="1006"/>
      <c r="R84" s="1006"/>
      <c r="S84" s="1006"/>
      <c r="T84" s="1007"/>
      <c r="U84" s="1007"/>
      <c r="V84" s="1007"/>
    </row>
    <row r="85" spans="8:22" s="607" customFormat="1">
      <c r="H85" s="1006"/>
      <c r="I85" s="1006"/>
      <c r="J85" s="1006"/>
      <c r="K85" s="1006"/>
      <c r="L85" s="1006"/>
      <c r="M85" s="1006"/>
      <c r="N85" s="1006"/>
      <c r="O85" s="1006"/>
      <c r="P85" s="1006"/>
      <c r="Q85" s="1006"/>
      <c r="R85" s="1006"/>
      <c r="S85" s="1006"/>
      <c r="T85" s="1007"/>
      <c r="U85" s="1007"/>
      <c r="V85" s="1007"/>
    </row>
    <row r="86" spans="8:22" s="607" customFormat="1">
      <c r="H86" s="1006"/>
      <c r="I86" s="1006"/>
      <c r="J86" s="1006"/>
      <c r="K86" s="1006"/>
      <c r="L86" s="1006"/>
      <c r="M86" s="1006"/>
      <c r="N86" s="1006"/>
      <c r="O86" s="1006"/>
      <c r="P86" s="1006"/>
      <c r="Q86" s="1006"/>
      <c r="R86" s="1006"/>
      <c r="S86" s="1006"/>
      <c r="T86" s="1007"/>
      <c r="U86" s="1007"/>
      <c r="V86" s="1007"/>
    </row>
    <row r="87" spans="8:22" s="607" customFormat="1">
      <c r="H87" s="1006"/>
      <c r="I87" s="1006"/>
      <c r="J87" s="1006"/>
      <c r="K87" s="1006"/>
      <c r="L87" s="1006"/>
      <c r="M87" s="1006"/>
      <c r="N87" s="1006"/>
      <c r="O87" s="1006"/>
      <c r="P87" s="1006"/>
      <c r="Q87" s="1006"/>
      <c r="R87" s="1006"/>
      <c r="S87" s="1006"/>
      <c r="T87" s="1007"/>
      <c r="U87" s="1007"/>
      <c r="V87" s="1007"/>
    </row>
    <row r="88" spans="8:22" s="607" customFormat="1">
      <c r="H88" s="1006"/>
      <c r="I88" s="1006"/>
      <c r="J88" s="1006"/>
      <c r="K88" s="1006"/>
      <c r="L88" s="1006"/>
      <c r="M88" s="1006"/>
      <c r="N88" s="1006"/>
      <c r="O88" s="1006"/>
      <c r="P88" s="1006"/>
      <c r="Q88" s="1006"/>
      <c r="R88" s="1006"/>
      <c r="S88" s="1006"/>
      <c r="T88" s="1007"/>
      <c r="U88" s="1007"/>
      <c r="V88" s="1007"/>
    </row>
    <row r="89" spans="8:22" s="607" customFormat="1">
      <c r="H89" s="1006"/>
      <c r="I89" s="1006"/>
      <c r="J89" s="1006"/>
      <c r="K89" s="1006"/>
      <c r="L89" s="1006"/>
      <c r="M89" s="1006"/>
      <c r="N89" s="1006"/>
      <c r="O89" s="1006"/>
      <c r="P89" s="1006"/>
      <c r="Q89" s="1006"/>
      <c r="R89" s="1006"/>
      <c r="S89" s="1006"/>
      <c r="T89" s="1007"/>
      <c r="U89" s="1007"/>
      <c r="V89" s="1007"/>
    </row>
    <row r="90" spans="8:22" s="607" customFormat="1">
      <c r="H90" s="1006"/>
      <c r="I90" s="1006"/>
      <c r="J90" s="1006"/>
      <c r="K90" s="1006"/>
      <c r="L90" s="1006"/>
      <c r="M90" s="1006"/>
      <c r="N90" s="1006"/>
      <c r="O90" s="1006"/>
      <c r="P90" s="1006"/>
      <c r="Q90" s="1006"/>
      <c r="R90" s="1006"/>
      <c r="S90" s="1006"/>
      <c r="T90" s="1007"/>
      <c r="U90" s="1007"/>
      <c r="V90" s="1007"/>
    </row>
    <row r="91" spans="8:22" s="607" customFormat="1"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7"/>
      <c r="U91" s="1007"/>
      <c r="V91" s="1007"/>
    </row>
    <row r="92" spans="8:22" s="607" customFormat="1">
      <c r="H92" s="1006"/>
      <c r="I92" s="1006"/>
      <c r="J92" s="1006"/>
      <c r="K92" s="1006"/>
      <c r="L92" s="1006"/>
      <c r="M92" s="1006"/>
      <c r="N92" s="1006"/>
      <c r="O92" s="1006"/>
      <c r="P92" s="1006"/>
      <c r="Q92" s="1006"/>
      <c r="R92" s="1006"/>
      <c r="S92" s="1006"/>
      <c r="T92" s="1007"/>
      <c r="U92" s="1007"/>
      <c r="V92" s="1007"/>
    </row>
    <row r="93" spans="8:22" s="607" customFormat="1">
      <c r="H93" s="1006"/>
      <c r="I93" s="1006"/>
      <c r="J93" s="1006"/>
      <c r="K93" s="1006"/>
      <c r="L93" s="1006"/>
      <c r="M93" s="1006"/>
      <c r="N93" s="1006"/>
      <c r="O93" s="1006"/>
      <c r="P93" s="1006"/>
      <c r="Q93" s="1006"/>
      <c r="R93" s="1006"/>
      <c r="S93" s="1006"/>
      <c r="T93" s="1007"/>
      <c r="U93" s="1007"/>
      <c r="V93" s="1007"/>
    </row>
    <row r="94" spans="8:22" s="607" customFormat="1"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7"/>
      <c r="U94" s="1007"/>
      <c r="V94" s="1007"/>
    </row>
    <row r="95" spans="8:22" s="607" customFormat="1"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7"/>
      <c r="U95" s="1007"/>
      <c r="V95" s="1007"/>
    </row>
    <row r="96" spans="8:22" s="607" customFormat="1">
      <c r="H96" s="1006"/>
      <c r="I96" s="1006"/>
      <c r="J96" s="1006"/>
      <c r="K96" s="1006"/>
      <c r="L96" s="1006"/>
      <c r="M96" s="1006"/>
      <c r="N96" s="1006"/>
      <c r="O96" s="1006"/>
      <c r="P96" s="1006"/>
      <c r="Q96" s="1006"/>
      <c r="R96" s="1006"/>
      <c r="S96" s="1006"/>
      <c r="T96" s="1007"/>
      <c r="U96" s="1007"/>
      <c r="V96" s="1007"/>
    </row>
    <row r="97" spans="8:22" s="607" customFormat="1">
      <c r="H97" s="1006"/>
      <c r="I97" s="1006"/>
      <c r="J97" s="1006"/>
      <c r="K97" s="1006"/>
      <c r="L97" s="1006"/>
      <c r="M97" s="1006"/>
      <c r="N97" s="1006"/>
      <c r="O97" s="1006"/>
      <c r="P97" s="1006"/>
      <c r="Q97" s="1006"/>
      <c r="R97" s="1006"/>
      <c r="S97" s="1006"/>
      <c r="T97" s="1007"/>
      <c r="U97" s="1007"/>
      <c r="V97" s="1007"/>
    </row>
    <row r="98" spans="8:22" s="607" customFormat="1">
      <c r="H98" s="1006"/>
      <c r="I98" s="1006"/>
      <c r="J98" s="1006"/>
      <c r="K98" s="1006"/>
      <c r="L98" s="1006"/>
      <c r="M98" s="1006"/>
      <c r="N98" s="1006"/>
      <c r="O98" s="1006"/>
      <c r="P98" s="1006"/>
      <c r="Q98" s="1006"/>
      <c r="R98" s="1006"/>
      <c r="S98" s="1006"/>
      <c r="T98" s="1007"/>
      <c r="U98" s="1007"/>
      <c r="V98" s="1007"/>
    </row>
    <row r="99" spans="8:22" s="607" customFormat="1"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7"/>
      <c r="U99" s="1007"/>
      <c r="V99" s="1007"/>
    </row>
    <row r="100" spans="8:22" s="607" customFormat="1">
      <c r="H100" s="1006"/>
      <c r="I100" s="1006"/>
      <c r="J100" s="1006"/>
      <c r="K100" s="1006"/>
      <c r="L100" s="1006"/>
      <c r="M100" s="1006"/>
      <c r="N100" s="1006"/>
      <c r="O100" s="1006"/>
      <c r="P100" s="1006"/>
      <c r="Q100" s="1006"/>
      <c r="R100" s="1006"/>
      <c r="S100" s="1006"/>
      <c r="T100" s="1007"/>
      <c r="U100" s="1007"/>
      <c r="V100" s="1007"/>
    </row>
    <row r="101" spans="8:22" s="607" customFormat="1">
      <c r="H101" s="1006"/>
      <c r="I101" s="1006"/>
      <c r="J101" s="1006"/>
      <c r="K101" s="1006"/>
      <c r="L101" s="1006"/>
      <c r="M101" s="1006"/>
      <c r="N101" s="1006"/>
      <c r="O101" s="1006"/>
      <c r="P101" s="1006"/>
      <c r="Q101" s="1006"/>
      <c r="R101" s="1006"/>
      <c r="S101" s="1006"/>
      <c r="T101" s="1007"/>
      <c r="U101" s="1007"/>
      <c r="V101" s="1007"/>
    </row>
    <row r="102" spans="8:22" s="607" customFormat="1">
      <c r="H102" s="1006"/>
      <c r="I102" s="1006"/>
      <c r="J102" s="1006"/>
      <c r="K102" s="1006"/>
      <c r="L102" s="1006"/>
      <c r="M102" s="1006"/>
      <c r="N102" s="1006"/>
      <c r="O102" s="1006"/>
      <c r="P102" s="1006"/>
      <c r="Q102" s="1006"/>
      <c r="R102" s="1006"/>
      <c r="S102" s="1006"/>
      <c r="T102" s="1007"/>
      <c r="U102" s="1007"/>
      <c r="V102" s="1007"/>
    </row>
    <row r="103" spans="8:22" s="607" customFormat="1"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7"/>
      <c r="U103" s="1007"/>
      <c r="V103" s="1007"/>
    </row>
    <row r="104" spans="8:22" s="607" customFormat="1">
      <c r="H104" s="1006"/>
      <c r="I104" s="1006"/>
      <c r="J104" s="1006"/>
      <c r="K104" s="1006"/>
      <c r="L104" s="1006"/>
      <c r="M104" s="1006"/>
      <c r="N104" s="1006"/>
      <c r="O104" s="1006"/>
      <c r="P104" s="1006"/>
      <c r="Q104" s="1006"/>
      <c r="R104" s="1006"/>
      <c r="S104" s="1006"/>
      <c r="T104" s="1007"/>
      <c r="U104" s="1007"/>
      <c r="V104" s="1007"/>
    </row>
    <row r="105" spans="8:22" s="607" customFormat="1">
      <c r="H105" s="1006"/>
      <c r="I105" s="1006"/>
      <c r="J105" s="1006"/>
      <c r="K105" s="1006"/>
      <c r="L105" s="1006"/>
      <c r="M105" s="1006"/>
      <c r="N105" s="1006"/>
      <c r="O105" s="1006"/>
      <c r="P105" s="1006"/>
      <c r="Q105" s="1006"/>
      <c r="R105" s="1006"/>
      <c r="S105" s="1006"/>
      <c r="T105" s="1007"/>
      <c r="U105" s="1007"/>
      <c r="V105" s="1007"/>
    </row>
    <row r="106" spans="8:22" s="607" customFormat="1">
      <c r="H106" s="1006"/>
      <c r="I106" s="1006"/>
      <c r="J106" s="1006"/>
      <c r="K106" s="1006"/>
      <c r="L106" s="1006"/>
      <c r="M106" s="1006"/>
      <c r="N106" s="1006"/>
      <c r="O106" s="1006"/>
      <c r="P106" s="1006"/>
      <c r="Q106" s="1006"/>
      <c r="R106" s="1006"/>
      <c r="S106" s="1006"/>
      <c r="T106" s="1007"/>
      <c r="U106" s="1007"/>
      <c r="V106" s="1007"/>
    </row>
    <row r="107" spans="8:22" s="607" customFormat="1">
      <c r="H107" s="1006"/>
      <c r="I107" s="1006"/>
      <c r="J107" s="1006"/>
      <c r="K107" s="1006"/>
      <c r="L107" s="1006"/>
      <c r="M107" s="1006"/>
      <c r="N107" s="1006"/>
      <c r="O107" s="1006"/>
      <c r="P107" s="1006"/>
      <c r="Q107" s="1006"/>
      <c r="R107" s="1006"/>
      <c r="S107" s="1006"/>
      <c r="T107" s="1007"/>
      <c r="U107" s="1007"/>
      <c r="V107" s="1007"/>
    </row>
    <row r="108" spans="8:22" s="607" customFormat="1">
      <c r="H108" s="1006"/>
      <c r="I108" s="1006"/>
      <c r="J108" s="1006"/>
      <c r="K108" s="1006"/>
      <c r="L108" s="1006"/>
      <c r="M108" s="1006"/>
      <c r="N108" s="1006"/>
      <c r="O108" s="1006"/>
      <c r="P108" s="1006"/>
      <c r="Q108" s="1006"/>
      <c r="R108" s="1006"/>
      <c r="S108" s="1006"/>
      <c r="T108" s="1007"/>
      <c r="U108" s="1007"/>
      <c r="V108" s="1007"/>
    </row>
    <row r="109" spans="8:22" s="607" customFormat="1">
      <c r="H109" s="1006"/>
      <c r="I109" s="1006"/>
      <c r="J109" s="1006"/>
      <c r="K109" s="1006"/>
      <c r="L109" s="1006"/>
      <c r="M109" s="1006"/>
      <c r="N109" s="1006"/>
      <c r="O109" s="1006"/>
      <c r="P109" s="1006"/>
      <c r="Q109" s="1006"/>
      <c r="R109" s="1006"/>
      <c r="S109" s="1006"/>
      <c r="T109" s="1007"/>
      <c r="U109" s="1007"/>
      <c r="V109" s="1007"/>
    </row>
    <row r="110" spans="8:22" s="607" customFormat="1">
      <c r="H110" s="1006"/>
      <c r="I110" s="1006"/>
      <c r="J110" s="1006"/>
      <c r="K110" s="1006"/>
      <c r="L110" s="1006"/>
      <c r="M110" s="1006"/>
      <c r="N110" s="1006"/>
      <c r="O110" s="1006"/>
      <c r="P110" s="1006"/>
      <c r="Q110" s="1006"/>
      <c r="R110" s="1006"/>
      <c r="S110" s="1006"/>
      <c r="T110" s="1007"/>
      <c r="U110" s="1007"/>
      <c r="V110" s="1007"/>
    </row>
    <row r="111" spans="8:22" s="607" customFormat="1">
      <c r="H111" s="1006"/>
      <c r="I111" s="1006"/>
      <c r="J111" s="1006"/>
      <c r="K111" s="1006"/>
      <c r="L111" s="1006"/>
      <c r="M111" s="1006"/>
      <c r="N111" s="1006"/>
      <c r="O111" s="1006"/>
      <c r="P111" s="1006"/>
      <c r="Q111" s="1006"/>
      <c r="R111" s="1006"/>
      <c r="S111" s="1006"/>
      <c r="T111" s="1007"/>
      <c r="U111" s="1007"/>
      <c r="V111" s="1007"/>
    </row>
    <row r="112" spans="8:22" s="607" customFormat="1">
      <c r="H112" s="1006"/>
      <c r="I112" s="1006"/>
      <c r="J112" s="1006"/>
      <c r="K112" s="1006"/>
      <c r="L112" s="1006"/>
      <c r="M112" s="1006"/>
      <c r="N112" s="1006"/>
      <c r="O112" s="1006"/>
      <c r="P112" s="1006"/>
      <c r="Q112" s="1006"/>
      <c r="R112" s="1006"/>
      <c r="S112" s="1006"/>
      <c r="T112" s="1007"/>
      <c r="U112" s="1007"/>
      <c r="V112" s="1007"/>
    </row>
    <row r="113" spans="8:22" s="607" customFormat="1">
      <c r="H113" s="1006"/>
      <c r="I113" s="1006"/>
      <c r="J113" s="1006"/>
      <c r="K113" s="1006"/>
      <c r="L113" s="1006"/>
      <c r="M113" s="1006"/>
      <c r="N113" s="1006"/>
      <c r="O113" s="1006"/>
      <c r="P113" s="1006"/>
      <c r="Q113" s="1006"/>
      <c r="R113" s="1006"/>
      <c r="S113" s="1006"/>
      <c r="T113" s="1007"/>
      <c r="U113" s="1007"/>
      <c r="V113" s="1007"/>
    </row>
    <row r="114" spans="8:22" s="607" customFormat="1">
      <c r="H114" s="1006"/>
      <c r="I114" s="1006"/>
      <c r="J114" s="1006"/>
      <c r="K114" s="1006"/>
      <c r="L114" s="1006"/>
      <c r="M114" s="1006"/>
      <c r="N114" s="1006"/>
      <c r="O114" s="1006"/>
      <c r="P114" s="1006"/>
      <c r="Q114" s="1006"/>
      <c r="R114" s="1006"/>
      <c r="S114" s="1006"/>
      <c r="T114" s="1007"/>
      <c r="U114" s="1007"/>
      <c r="V114" s="1007"/>
    </row>
    <row r="115" spans="8:22" s="607" customFormat="1">
      <c r="H115" s="1006"/>
      <c r="I115" s="1006"/>
      <c r="J115" s="1006"/>
      <c r="K115" s="1006"/>
      <c r="L115" s="1006"/>
      <c r="M115" s="1006"/>
      <c r="N115" s="1006"/>
      <c r="O115" s="1006"/>
      <c r="P115" s="1006"/>
      <c r="Q115" s="1006"/>
      <c r="R115" s="1006"/>
      <c r="S115" s="1006"/>
      <c r="T115" s="1007"/>
      <c r="U115" s="1007"/>
      <c r="V115" s="1007"/>
    </row>
    <row r="116" spans="8:22" s="607" customFormat="1">
      <c r="H116" s="1006"/>
      <c r="I116" s="1006"/>
      <c r="J116" s="1006"/>
      <c r="K116" s="1006"/>
      <c r="L116" s="1006"/>
      <c r="M116" s="1006"/>
      <c r="N116" s="1006"/>
      <c r="O116" s="1006"/>
      <c r="P116" s="1006"/>
      <c r="Q116" s="1006"/>
      <c r="R116" s="1006"/>
      <c r="S116" s="1006"/>
      <c r="T116" s="1007"/>
      <c r="U116" s="1007"/>
      <c r="V116" s="1007"/>
    </row>
    <row r="117" spans="8:22" s="607" customFormat="1">
      <c r="H117" s="1006"/>
      <c r="I117" s="1006"/>
      <c r="J117" s="1006"/>
      <c r="K117" s="1006"/>
      <c r="L117" s="1006"/>
      <c r="M117" s="1006"/>
      <c r="N117" s="1006"/>
      <c r="O117" s="1006"/>
      <c r="P117" s="1006"/>
      <c r="Q117" s="1006"/>
      <c r="R117" s="1006"/>
      <c r="S117" s="1006"/>
      <c r="T117" s="1007"/>
      <c r="U117" s="1007"/>
      <c r="V117" s="1007"/>
    </row>
    <row r="118" spans="8:22" s="607" customFormat="1">
      <c r="H118" s="1006"/>
      <c r="I118" s="1006"/>
      <c r="J118" s="1006"/>
      <c r="K118" s="1006"/>
      <c r="L118" s="1006"/>
      <c r="M118" s="1006"/>
      <c r="N118" s="1006"/>
      <c r="O118" s="1006"/>
      <c r="P118" s="1006"/>
      <c r="Q118" s="1006"/>
      <c r="R118" s="1006"/>
      <c r="S118" s="1006"/>
      <c r="T118" s="1007"/>
      <c r="U118" s="1007"/>
      <c r="V118" s="1007"/>
    </row>
    <row r="119" spans="8:22" s="607" customFormat="1">
      <c r="H119" s="1006"/>
      <c r="I119" s="1006"/>
      <c r="J119" s="1006"/>
      <c r="K119" s="1006"/>
      <c r="L119" s="1006"/>
      <c r="M119" s="1006"/>
      <c r="N119" s="1006"/>
      <c r="O119" s="1006"/>
      <c r="P119" s="1006"/>
      <c r="Q119" s="1006"/>
      <c r="R119" s="1006"/>
      <c r="S119" s="1006"/>
      <c r="T119" s="1007"/>
      <c r="U119" s="1007"/>
      <c r="V119" s="1007"/>
    </row>
    <row r="120" spans="8:22" s="607" customFormat="1">
      <c r="H120" s="1006"/>
      <c r="I120" s="1006"/>
      <c r="J120" s="1006"/>
      <c r="K120" s="1006"/>
      <c r="L120" s="1006"/>
      <c r="M120" s="1006"/>
      <c r="N120" s="1006"/>
      <c r="O120" s="1006"/>
      <c r="P120" s="1006"/>
      <c r="Q120" s="1006"/>
      <c r="R120" s="1006"/>
      <c r="S120" s="1006"/>
      <c r="T120" s="1007"/>
      <c r="U120" s="1007"/>
      <c r="V120" s="1007"/>
    </row>
    <row r="121" spans="8:22" s="607" customFormat="1">
      <c r="H121" s="1006"/>
      <c r="I121" s="1006"/>
      <c r="J121" s="1006"/>
      <c r="K121" s="1006"/>
      <c r="L121" s="1006"/>
      <c r="M121" s="1006"/>
      <c r="N121" s="1006"/>
      <c r="O121" s="1006"/>
      <c r="P121" s="1006"/>
      <c r="Q121" s="1006"/>
      <c r="R121" s="1006"/>
      <c r="S121" s="1006"/>
      <c r="T121" s="1007"/>
      <c r="U121" s="1007"/>
      <c r="V121" s="1007"/>
    </row>
    <row r="122" spans="8:22" s="607" customFormat="1">
      <c r="H122" s="1006"/>
      <c r="I122" s="1006"/>
      <c r="J122" s="1006"/>
      <c r="K122" s="1006"/>
      <c r="L122" s="1006"/>
      <c r="M122" s="1006"/>
      <c r="N122" s="1006"/>
      <c r="O122" s="1006"/>
      <c r="P122" s="1006"/>
      <c r="Q122" s="1006"/>
      <c r="R122" s="1006"/>
      <c r="S122" s="1006"/>
      <c r="T122" s="1007"/>
      <c r="U122" s="1007"/>
      <c r="V122" s="1007"/>
    </row>
  </sheetData>
  <customSheetViews>
    <customSheetView guid="{B32447E2-AB5B-4CBB-881B-FF11349CA4D6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2"/>
      <headerFooter scaleWithDoc="0" alignWithMargins="0">
        <oddFooter>&amp;C&amp;8&amp;P</oddFooter>
      </headerFooter>
    </customSheetView>
  </customSheetViews>
  <mergeCells count="21">
    <mergeCell ref="A5:A6"/>
    <mergeCell ref="C4:C6"/>
    <mergeCell ref="C2:H2"/>
    <mergeCell ref="E4:E6"/>
    <mergeCell ref="F4:G4"/>
    <mergeCell ref="H4:J4"/>
    <mergeCell ref="D5:D6"/>
    <mergeCell ref="H5:J6"/>
    <mergeCell ref="Q10:S10"/>
    <mergeCell ref="K4:S4"/>
    <mergeCell ref="T4:V4"/>
    <mergeCell ref="X4:X6"/>
    <mergeCell ref="Y4:Y6"/>
    <mergeCell ref="T5:V5"/>
    <mergeCell ref="T6:V6"/>
    <mergeCell ref="K5:M5"/>
    <mergeCell ref="N5:P5"/>
    <mergeCell ref="Q5:S5"/>
    <mergeCell ref="K6:M6"/>
    <mergeCell ref="N6:P6"/>
    <mergeCell ref="Q6:S6"/>
  </mergeCells>
  <conditionalFormatting sqref="H11:V32">
    <cfRule type="cellIs" dxfId="39" priority="16" operator="equal">
      <formula>0</formula>
    </cfRule>
    <cfRule type="cellIs" dxfId="38" priority="17" operator="greaterThan">
      <formula>100</formula>
    </cfRule>
    <cfRule type="cellIs" dxfId="37" priority="18" operator="between">
      <formula>10</formula>
      <formula>100</formula>
    </cfRule>
    <cfRule type="cellIs" dxfId="36" priority="19" operator="between">
      <formula>1</formula>
      <formula>10</formula>
    </cfRule>
    <cfRule type="cellIs" dxfId="35" priority="20" operator="lessThan">
      <formula>1</formula>
    </cfRule>
  </conditionalFormatting>
  <conditionalFormatting sqref="H34:V45">
    <cfRule type="cellIs" dxfId="34" priority="11" operator="equal">
      <formula>0</formula>
    </cfRule>
    <cfRule type="cellIs" dxfId="33" priority="12" operator="greaterThan">
      <formula>100</formula>
    </cfRule>
    <cfRule type="cellIs" dxfId="32" priority="13" operator="between">
      <formula>10</formula>
      <formula>100</formula>
    </cfRule>
    <cfRule type="cellIs" dxfId="31" priority="14" operator="between">
      <formula>1</formula>
      <formula>10</formula>
    </cfRule>
    <cfRule type="cellIs" dxfId="30" priority="15" operator="lessThan">
      <formula>1</formula>
    </cfRule>
  </conditionalFormatting>
  <conditionalFormatting sqref="H47:V49">
    <cfRule type="cellIs" dxfId="29" priority="6" operator="equal">
      <formula>0</formula>
    </cfRule>
    <cfRule type="cellIs" dxfId="28" priority="7" operator="greaterThan">
      <formula>100</formula>
    </cfRule>
    <cfRule type="cellIs" dxfId="27" priority="8" operator="between">
      <formula>10</formula>
      <formula>100</formula>
    </cfRule>
    <cfRule type="cellIs" dxfId="26" priority="9" operator="between">
      <formula>1</formula>
      <formula>10</formula>
    </cfRule>
    <cfRule type="cellIs" dxfId="25" priority="10" operator="lessThan">
      <formula>1</formula>
    </cfRule>
  </conditionalFormatting>
  <conditionalFormatting sqref="H51:V78">
    <cfRule type="cellIs" dxfId="24" priority="1" operator="equal">
      <formula>0</formula>
    </cfRule>
    <cfRule type="cellIs" dxfId="23" priority="2" operator="greaterThan">
      <formula>100</formula>
    </cfRule>
    <cfRule type="cellIs" dxfId="22" priority="3" operator="between">
      <formula>10</formula>
      <formula>100</formula>
    </cfRule>
    <cfRule type="cellIs" dxfId="21" priority="4" operator="between">
      <formula>1</formula>
      <formula>10</formula>
    </cfRule>
    <cfRule type="cellIs" dxfId="20" priority="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5" fitToHeight="0" orientation="landscape" r:id="rId3"/>
  <headerFooter scaleWithDoc="0" alignWithMargins="0">
    <oddFooter>&amp;C&amp;8&amp;P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  <outlinePr summaryRight="0"/>
    <pageSetUpPr autoPageBreaks="0" fitToPage="1"/>
  </sheetPr>
  <dimension ref="A1:AD94"/>
  <sheetViews>
    <sheetView topLeftCell="H1" zoomScaleSheetLayoutView="100" workbookViewId="0">
      <selection sqref="A1:XFD1048576"/>
    </sheetView>
  </sheetViews>
  <sheetFormatPr baseColWidth="10" defaultColWidth="10.875" defaultRowHeight="12.75" outlineLevelRow="1" outlineLevelCol="1"/>
  <cols>
    <col min="1" max="1" width="8.875" style="190" customWidth="1"/>
    <col min="2" max="2" width="29.5" style="203" customWidth="1"/>
    <col min="3" max="3" width="15.125" style="204" customWidth="1"/>
    <col min="4" max="4" width="7.625" style="190" customWidth="1"/>
    <col min="5" max="8" width="10.625" style="190" customWidth="1"/>
    <col min="9" max="12" width="10.625" style="190" customWidth="1" outlineLevel="1"/>
    <col min="13" max="24" width="10.625" style="190" customWidth="1"/>
    <col min="25" max="25" width="14.5" style="205" customWidth="1"/>
    <col min="26" max="26" width="37.5" style="206" customWidth="1"/>
    <col min="27" max="28" width="10.875" style="190" customWidth="1"/>
    <col min="29" max="29" width="28.5" style="190" customWidth="1"/>
    <col min="30" max="30" width="25.375" style="190" customWidth="1"/>
    <col min="31" max="16384" width="10.875" style="190"/>
  </cols>
  <sheetData>
    <row r="1" spans="1:30" s="184" customFormat="1" ht="19.5" customHeight="1">
      <c r="A1" s="209"/>
      <c r="B1" s="210" t="s">
        <v>838</v>
      </c>
      <c r="C1" s="211"/>
      <c r="D1" s="211"/>
      <c r="E1" s="211"/>
      <c r="F1" s="212"/>
      <c r="G1" s="212"/>
      <c r="H1" s="212"/>
      <c r="I1" s="211"/>
      <c r="J1" s="213"/>
      <c r="K1" s="212"/>
      <c r="L1" s="212"/>
      <c r="M1" s="211"/>
      <c r="N1" s="213" t="s">
        <v>2369</v>
      </c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4"/>
      <c r="Z1" s="215" t="s">
        <v>840</v>
      </c>
      <c r="AA1" s="386"/>
    </row>
    <row r="2" spans="1:30" s="188" customFormat="1" ht="14.25" customHeight="1">
      <c r="A2" s="216"/>
      <c r="B2" s="217"/>
      <c r="C2" s="185"/>
      <c r="D2" s="186"/>
      <c r="E2" s="186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9"/>
      <c r="Z2" s="187"/>
      <c r="AA2" s="220"/>
      <c r="AB2" s="220"/>
      <c r="AC2" s="220"/>
      <c r="AD2" s="220"/>
    </row>
    <row r="3" spans="1:30" s="228" customFormat="1" ht="27.75" hidden="1" customHeight="1" outlineLevel="1">
      <c r="A3" s="221"/>
      <c r="B3" s="222" t="s">
        <v>2370</v>
      </c>
      <c r="C3" s="223"/>
      <c r="D3" s="223" t="s">
        <v>2370</v>
      </c>
      <c r="E3" s="223" t="s">
        <v>860</v>
      </c>
      <c r="F3" s="223" t="s">
        <v>860</v>
      </c>
      <c r="G3" s="223" t="s">
        <v>860</v>
      </c>
      <c r="H3" s="223" t="s">
        <v>860</v>
      </c>
      <c r="I3" s="223" t="s">
        <v>2141</v>
      </c>
      <c r="J3" s="223" t="s">
        <v>2141</v>
      </c>
      <c r="K3" s="223" t="s">
        <v>2141</v>
      </c>
      <c r="L3" s="223" t="s">
        <v>2141</v>
      </c>
      <c r="M3" s="223" t="s">
        <v>2142</v>
      </c>
      <c r="N3" s="223" t="s">
        <v>2142</v>
      </c>
      <c r="O3" s="223" t="s">
        <v>2142</v>
      </c>
      <c r="P3" s="223" t="s">
        <v>2142</v>
      </c>
      <c r="Q3" s="223" t="s">
        <v>2143</v>
      </c>
      <c r="R3" s="223" t="s">
        <v>2143</v>
      </c>
      <c r="S3" s="223" t="s">
        <v>2143</v>
      </c>
      <c r="T3" s="223" t="s">
        <v>2143</v>
      </c>
      <c r="U3" s="223" t="s">
        <v>2144</v>
      </c>
      <c r="V3" s="223" t="s">
        <v>2144</v>
      </c>
      <c r="W3" s="223" t="s">
        <v>2144</v>
      </c>
      <c r="X3" s="223" t="s">
        <v>2144</v>
      </c>
      <c r="Y3" s="224"/>
      <c r="Z3" s="225" t="s">
        <v>2370</v>
      </c>
      <c r="AA3" s="226"/>
      <c r="AB3" s="226"/>
      <c r="AC3" s="227"/>
    </row>
    <row r="4" spans="1:30" ht="25.5" customHeight="1" collapsed="1">
      <c r="A4" s="189" t="s">
        <v>847</v>
      </c>
      <c r="B4" s="1299" t="s">
        <v>2371</v>
      </c>
      <c r="C4" s="229" t="s">
        <v>447</v>
      </c>
      <c r="D4" s="230"/>
      <c r="E4" s="1302" t="s">
        <v>853</v>
      </c>
      <c r="F4" s="1303"/>
      <c r="G4" s="1303"/>
      <c r="H4" s="1304"/>
      <c r="I4" s="1305" t="s">
        <v>854</v>
      </c>
      <c r="J4" s="1306"/>
      <c r="K4" s="1306"/>
      <c r="L4" s="1306"/>
      <c r="M4" s="1306"/>
      <c r="N4" s="1306"/>
      <c r="O4" s="1306"/>
      <c r="P4" s="1306"/>
      <c r="Q4" s="1306"/>
      <c r="R4" s="1306"/>
      <c r="S4" s="1306"/>
      <c r="T4" s="1307"/>
      <c r="U4" s="1308" t="s">
        <v>2372</v>
      </c>
      <c r="V4" s="1309"/>
      <c r="W4" s="1309"/>
      <c r="X4" s="1310"/>
      <c r="Y4" s="231" t="s">
        <v>2147</v>
      </c>
      <c r="Z4" s="1311" t="s">
        <v>2373</v>
      </c>
    </row>
    <row r="5" spans="1:30" ht="14.25" customHeight="1">
      <c r="A5" s="1274" t="s">
        <v>858</v>
      </c>
      <c r="B5" s="1300"/>
      <c r="C5" s="232"/>
      <c r="D5" s="233"/>
      <c r="E5" s="1292" t="s">
        <v>860</v>
      </c>
      <c r="F5" s="1293"/>
      <c r="G5" s="1293"/>
      <c r="H5" s="1294"/>
      <c r="I5" s="1295" t="s">
        <v>861</v>
      </c>
      <c r="J5" s="1296"/>
      <c r="K5" s="1296"/>
      <c r="L5" s="1296"/>
      <c r="M5" s="1297" t="s">
        <v>862</v>
      </c>
      <c r="N5" s="1298"/>
      <c r="O5" s="1298"/>
      <c r="P5" s="1298"/>
      <c r="Q5" s="1295" t="s">
        <v>2148</v>
      </c>
      <c r="R5" s="1296"/>
      <c r="S5" s="1296"/>
      <c r="T5" s="1296"/>
      <c r="U5" s="1314" t="s">
        <v>864</v>
      </c>
      <c r="V5" s="1315"/>
      <c r="W5" s="1315"/>
      <c r="X5" s="1316"/>
      <c r="Y5" s="234"/>
      <c r="Z5" s="1312"/>
    </row>
    <row r="6" spans="1:30" ht="12.75" customHeight="1">
      <c r="A6" s="1291"/>
      <c r="B6" s="1301"/>
      <c r="C6" s="235" t="s">
        <v>2149</v>
      </c>
      <c r="D6" s="236"/>
      <c r="E6" s="1292"/>
      <c r="F6" s="1293"/>
      <c r="G6" s="1293"/>
      <c r="H6" s="1294"/>
      <c r="I6" s="1317" t="s">
        <v>866</v>
      </c>
      <c r="J6" s="1318"/>
      <c r="K6" s="1318"/>
      <c r="L6" s="1318"/>
      <c r="M6" s="1319" t="s">
        <v>867</v>
      </c>
      <c r="N6" s="1320"/>
      <c r="O6" s="1320"/>
      <c r="P6" s="1320"/>
      <c r="Q6" s="1317" t="s">
        <v>2150</v>
      </c>
      <c r="R6" s="1318"/>
      <c r="S6" s="1318"/>
      <c r="T6" s="1318"/>
      <c r="U6" s="1321" t="s">
        <v>869</v>
      </c>
      <c r="V6" s="1322"/>
      <c r="W6" s="1322"/>
      <c r="X6" s="1323"/>
      <c r="Y6" s="237" t="s">
        <v>2151</v>
      </c>
      <c r="Z6" s="1313"/>
    </row>
    <row r="7" spans="1:30" ht="14.25" customHeight="1">
      <c r="A7" s="238"/>
      <c r="B7" s="239"/>
      <c r="C7" s="240"/>
      <c r="D7" s="241"/>
      <c r="E7" s="242" t="s">
        <v>843</v>
      </c>
      <c r="F7" s="243" t="s">
        <v>2374</v>
      </c>
      <c r="G7" s="244" t="s">
        <v>2375</v>
      </c>
      <c r="H7" s="243" t="s">
        <v>2376</v>
      </c>
      <c r="I7" s="245" t="s">
        <v>843</v>
      </c>
      <c r="J7" s="246" t="s">
        <v>2374</v>
      </c>
      <c r="K7" s="246" t="s">
        <v>2375</v>
      </c>
      <c r="L7" s="246" t="s">
        <v>2376</v>
      </c>
      <c r="M7" s="247" t="s">
        <v>843</v>
      </c>
      <c r="N7" s="246" t="s">
        <v>2374</v>
      </c>
      <c r="O7" s="246" t="s">
        <v>2375</v>
      </c>
      <c r="P7" s="246" t="s">
        <v>2376</v>
      </c>
      <c r="Q7" s="247" t="s">
        <v>843</v>
      </c>
      <c r="R7" s="246" t="s">
        <v>2374</v>
      </c>
      <c r="S7" s="246" t="s">
        <v>2375</v>
      </c>
      <c r="T7" s="246" t="s">
        <v>2376</v>
      </c>
      <c r="U7" s="247" t="s">
        <v>843</v>
      </c>
      <c r="V7" s="246" t="s">
        <v>2374</v>
      </c>
      <c r="W7" s="246" t="s">
        <v>2375</v>
      </c>
      <c r="X7" s="246" t="s">
        <v>2376</v>
      </c>
      <c r="Y7" s="248"/>
      <c r="Z7" s="249"/>
    </row>
    <row r="8" spans="1:30" s="193" customFormat="1" ht="14.25" customHeight="1">
      <c r="A8" s="37"/>
      <c r="B8" s="239"/>
      <c r="C8" s="240"/>
      <c r="D8" s="250"/>
      <c r="E8" s="251" t="s">
        <v>843</v>
      </c>
      <c r="F8" s="252" t="s">
        <v>21</v>
      </c>
      <c r="G8" s="252" t="s">
        <v>2377</v>
      </c>
      <c r="H8" s="252" t="s">
        <v>2378</v>
      </c>
      <c r="I8" s="253" t="s">
        <v>843</v>
      </c>
      <c r="J8" s="254" t="s">
        <v>21</v>
      </c>
      <c r="K8" s="254" t="s">
        <v>2377</v>
      </c>
      <c r="L8" s="254" t="s">
        <v>2378</v>
      </c>
      <c r="M8" s="255" t="s">
        <v>843</v>
      </c>
      <c r="N8" s="254" t="s">
        <v>21</v>
      </c>
      <c r="O8" s="254" t="s">
        <v>2377</v>
      </c>
      <c r="P8" s="254" t="s">
        <v>2378</v>
      </c>
      <c r="Q8" s="255" t="s">
        <v>843</v>
      </c>
      <c r="R8" s="254" t="s">
        <v>21</v>
      </c>
      <c r="S8" s="254" t="s">
        <v>2377</v>
      </c>
      <c r="T8" s="254" t="s">
        <v>2378</v>
      </c>
      <c r="U8" s="255" t="s">
        <v>843</v>
      </c>
      <c r="V8" s="254" t="s">
        <v>21</v>
      </c>
      <c r="W8" s="254" t="s">
        <v>2377</v>
      </c>
      <c r="X8" s="254" t="s">
        <v>2378</v>
      </c>
      <c r="Y8" s="256"/>
      <c r="Z8" s="249"/>
      <c r="AA8" s="190"/>
      <c r="AB8" s="190"/>
      <c r="AC8" s="190"/>
    </row>
    <row r="9" spans="1:30" s="193" customFormat="1" ht="24">
      <c r="A9" s="43"/>
      <c r="B9" s="257"/>
      <c r="C9" s="258"/>
      <c r="D9" s="259" t="s">
        <v>2152</v>
      </c>
      <c r="E9" s="260" t="s">
        <v>860</v>
      </c>
      <c r="F9" s="260" t="s">
        <v>860</v>
      </c>
      <c r="G9" s="260" t="s">
        <v>860</v>
      </c>
      <c r="H9" s="260" t="s">
        <v>860</v>
      </c>
      <c r="I9" s="261" t="s">
        <v>882</v>
      </c>
      <c r="J9" s="47" t="s">
        <v>882</v>
      </c>
      <c r="K9" s="47" t="s">
        <v>882</v>
      </c>
      <c r="L9" s="47" t="s">
        <v>882</v>
      </c>
      <c r="M9" s="47" t="s">
        <v>882</v>
      </c>
      <c r="N9" s="47" t="s">
        <v>882</v>
      </c>
      <c r="O9" s="47" t="s">
        <v>882</v>
      </c>
      <c r="P9" s="47" t="s">
        <v>882</v>
      </c>
      <c r="Q9" s="47" t="s">
        <v>882</v>
      </c>
      <c r="R9" s="47" t="s">
        <v>882</v>
      </c>
      <c r="S9" s="47" t="s">
        <v>882</v>
      </c>
      <c r="T9" s="47" t="s">
        <v>882</v>
      </c>
      <c r="U9" s="48" t="s">
        <v>883</v>
      </c>
      <c r="V9" s="48" t="s">
        <v>883</v>
      </c>
      <c r="W9" s="48" t="s">
        <v>883</v>
      </c>
      <c r="X9" s="48" t="s">
        <v>883</v>
      </c>
      <c r="Y9" s="262"/>
      <c r="Z9" s="263"/>
      <c r="AA9" s="264"/>
      <c r="AB9" s="190"/>
      <c r="AC9" s="190"/>
    </row>
    <row r="10" spans="1:30" s="192" customFormat="1" ht="15" customHeight="1">
      <c r="A10" s="265" t="s">
        <v>2379</v>
      </c>
      <c r="B10" s="266" t="s">
        <v>2380</v>
      </c>
      <c r="C10" s="267"/>
      <c r="D10" s="268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70"/>
      <c r="R10" s="270"/>
      <c r="S10" s="270"/>
      <c r="T10" s="270"/>
      <c r="U10" s="269"/>
      <c r="V10" s="269"/>
      <c r="W10" s="269"/>
      <c r="X10" s="269"/>
      <c r="Y10" s="271"/>
      <c r="Z10" s="272" t="s">
        <v>2381</v>
      </c>
      <c r="AA10" s="264"/>
      <c r="AB10" s="190"/>
      <c r="AC10" s="190"/>
    </row>
    <row r="11" spans="1:30" s="192" customFormat="1" ht="15" customHeight="1">
      <c r="A11" s="198" t="s">
        <v>2382</v>
      </c>
      <c r="B11" s="273" t="s">
        <v>2383</v>
      </c>
      <c r="C11" s="274" t="s">
        <v>2384</v>
      </c>
      <c r="D11" s="275" t="s">
        <v>275</v>
      </c>
      <c r="E11" s="276">
        <v>478</v>
      </c>
      <c r="F11" s="277">
        <v>478</v>
      </c>
      <c r="G11" s="278"/>
      <c r="H11" s="278"/>
      <c r="I11" s="279">
        <v>1.28</v>
      </c>
      <c r="J11" s="280">
        <v>1.28</v>
      </c>
      <c r="K11" s="281"/>
      <c r="L11" s="281"/>
      <c r="M11" s="279">
        <v>2.3900000000000001E-2</v>
      </c>
      <c r="N11" s="280">
        <v>2.3900000000000001E-2</v>
      </c>
      <c r="O11" s="281"/>
      <c r="P11" s="281"/>
      <c r="Q11" s="279">
        <v>1.25</v>
      </c>
      <c r="R11" s="280">
        <v>1.25</v>
      </c>
      <c r="S11" s="281"/>
      <c r="T11" s="281"/>
      <c r="U11" s="282">
        <v>0.33800000000000002</v>
      </c>
      <c r="V11" s="283">
        <v>0.33800000000000002</v>
      </c>
      <c r="W11" s="281">
        <v>0</v>
      </c>
      <c r="X11" s="281">
        <v>0</v>
      </c>
      <c r="Y11" s="284" t="s">
        <v>2385</v>
      </c>
      <c r="Z11" s="285" t="s">
        <v>2386</v>
      </c>
      <c r="AA11" s="190"/>
      <c r="AB11" s="190"/>
      <c r="AC11" s="190"/>
    </row>
    <row r="12" spans="1:30" s="192" customFormat="1" ht="15" customHeight="1">
      <c r="A12" s="198" t="s">
        <v>2387</v>
      </c>
      <c r="B12" s="286" t="s">
        <v>2388</v>
      </c>
      <c r="C12" s="274" t="s">
        <v>2384</v>
      </c>
      <c r="D12" s="275" t="s">
        <v>275</v>
      </c>
      <c r="E12" s="287">
        <v>814</v>
      </c>
      <c r="F12" s="288">
        <v>814</v>
      </c>
      <c r="G12" s="278"/>
      <c r="H12" s="278"/>
      <c r="I12" s="279">
        <v>1.28</v>
      </c>
      <c r="J12" s="280">
        <v>1.28</v>
      </c>
      <c r="K12" s="281"/>
      <c r="L12" s="281"/>
      <c r="M12" s="279">
        <v>2.4400000000000002E-2</v>
      </c>
      <c r="N12" s="280">
        <v>2.4400000000000002E-2</v>
      </c>
      <c r="O12" s="281"/>
      <c r="P12" s="281"/>
      <c r="Q12" s="279">
        <v>1.26</v>
      </c>
      <c r="R12" s="280">
        <v>1.26</v>
      </c>
      <c r="S12" s="281"/>
      <c r="T12" s="281"/>
      <c r="U12" s="289">
        <v>0.39700000000000002</v>
      </c>
      <c r="V12" s="290">
        <v>0.39700000000000002</v>
      </c>
      <c r="W12" s="281">
        <v>0</v>
      </c>
      <c r="X12" s="281">
        <v>0</v>
      </c>
      <c r="Y12" s="284" t="s">
        <v>2385</v>
      </c>
      <c r="Z12" s="291" t="s">
        <v>2389</v>
      </c>
      <c r="AA12" s="190"/>
      <c r="AB12" s="190"/>
      <c r="AC12" s="190"/>
    </row>
    <row r="13" spans="1:30" s="192" customFormat="1" ht="15" customHeight="1">
      <c r="A13" s="198" t="s">
        <v>2390</v>
      </c>
      <c r="B13" s="273" t="s">
        <v>2391</v>
      </c>
      <c r="C13" s="274" t="s">
        <v>2384</v>
      </c>
      <c r="D13" s="275" t="s">
        <v>275</v>
      </c>
      <c r="E13" s="292">
        <v>188</v>
      </c>
      <c r="F13" s="293">
        <v>188</v>
      </c>
      <c r="G13" s="294"/>
      <c r="H13" s="294"/>
      <c r="I13" s="295">
        <v>0.35699999999999998</v>
      </c>
      <c r="J13" s="296">
        <v>0.35699999999999998</v>
      </c>
      <c r="K13" s="297"/>
      <c r="L13" s="297"/>
      <c r="M13" s="295">
        <v>3.5999999999999997E-2</v>
      </c>
      <c r="N13" s="296">
        <v>3.5999999999999997E-2</v>
      </c>
      <c r="O13" s="297"/>
      <c r="P13" s="297"/>
      <c r="Q13" s="295">
        <v>0.32100000000000001</v>
      </c>
      <c r="R13" s="296">
        <v>0.32100000000000001</v>
      </c>
      <c r="S13" s="297"/>
      <c r="T13" s="297"/>
      <c r="U13" s="298">
        <v>0.114</v>
      </c>
      <c r="V13" s="299">
        <v>0.114</v>
      </c>
      <c r="W13" s="297">
        <v>0</v>
      </c>
      <c r="X13" s="297">
        <v>0</v>
      </c>
      <c r="Y13" s="284" t="s">
        <v>2385</v>
      </c>
      <c r="Z13" s="285" t="s">
        <v>2392</v>
      </c>
      <c r="AA13" s="190"/>
      <c r="AB13" s="190"/>
      <c r="AC13" s="190"/>
    </row>
    <row r="14" spans="1:30" s="192" customFormat="1" ht="15" customHeight="1">
      <c r="A14" s="198" t="s">
        <v>2393</v>
      </c>
      <c r="B14" s="273" t="s">
        <v>2394</v>
      </c>
      <c r="C14" s="274" t="s">
        <v>2384</v>
      </c>
      <c r="D14" s="275" t="s">
        <v>275</v>
      </c>
      <c r="E14" s="287">
        <v>513</v>
      </c>
      <c r="F14" s="288">
        <v>513</v>
      </c>
      <c r="G14" s="278"/>
      <c r="H14" s="278"/>
      <c r="I14" s="279">
        <v>1.24</v>
      </c>
      <c r="J14" s="280">
        <v>1.24</v>
      </c>
      <c r="K14" s="281"/>
      <c r="L14" s="281"/>
      <c r="M14" s="279">
        <v>6.7299999999999999E-3</v>
      </c>
      <c r="N14" s="280">
        <v>6.7299999999999999E-3</v>
      </c>
      <c r="O14" s="281"/>
      <c r="P14" s="281"/>
      <c r="Q14" s="279">
        <v>1.23</v>
      </c>
      <c r="R14" s="280">
        <v>1.23</v>
      </c>
      <c r="S14" s="281"/>
      <c r="T14" s="281"/>
      <c r="U14" s="282">
        <v>0.32500000000000001</v>
      </c>
      <c r="V14" s="283">
        <v>0.32500000000000001</v>
      </c>
      <c r="W14" s="281">
        <v>0</v>
      </c>
      <c r="X14" s="281">
        <v>0</v>
      </c>
      <c r="Y14" s="284" t="s">
        <v>2385</v>
      </c>
      <c r="Z14" s="285" t="s">
        <v>2395</v>
      </c>
      <c r="AA14" s="190"/>
      <c r="AB14" s="190"/>
      <c r="AC14" s="190"/>
    </row>
    <row r="15" spans="1:30" s="192" customFormat="1" ht="15" customHeight="1">
      <c r="A15" s="198" t="s">
        <v>2396</v>
      </c>
      <c r="B15" s="273" t="s">
        <v>2397</v>
      </c>
      <c r="C15" s="274" t="s">
        <v>2384</v>
      </c>
      <c r="D15" s="275" t="s">
        <v>275</v>
      </c>
      <c r="E15" s="287">
        <v>566</v>
      </c>
      <c r="F15" s="288">
        <v>566</v>
      </c>
      <c r="G15" s="278"/>
      <c r="H15" s="278"/>
      <c r="I15" s="279">
        <v>1.24</v>
      </c>
      <c r="J15" s="280">
        <v>1.24</v>
      </c>
      <c r="K15" s="281"/>
      <c r="L15" s="281"/>
      <c r="M15" s="279">
        <v>5.0999999999999997E-2</v>
      </c>
      <c r="N15" s="280">
        <v>5.0999999999999997E-2</v>
      </c>
      <c r="O15" s="281"/>
      <c r="P15" s="281"/>
      <c r="Q15" s="279">
        <v>1.19</v>
      </c>
      <c r="R15" s="280">
        <v>1.19</v>
      </c>
      <c r="S15" s="281"/>
      <c r="T15" s="281"/>
      <c r="U15" s="282">
        <v>0.32100000000000001</v>
      </c>
      <c r="V15" s="283">
        <v>0.32100000000000001</v>
      </c>
      <c r="W15" s="281">
        <v>0</v>
      </c>
      <c r="X15" s="281">
        <v>0</v>
      </c>
      <c r="Y15" s="284" t="s">
        <v>2385</v>
      </c>
      <c r="Z15" s="285" t="s">
        <v>2398</v>
      </c>
      <c r="AA15" s="190"/>
      <c r="AB15" s="190"/>
      <c r="AC15" s="190"/>
    </row>
    <row r="16" spans="1:30" s="192" customFormat="1" ht="15" customHeight="1">
      <c r="A16" s="198" t="s">
        <v>2399</v>
      </c>
      <c r="B16" s="273" t="s">
        <v>2400</v>
      </c>
      <c r="C16" s="274" t="s">
        <v>2384</v>
      </c>
      <c r="D16" s="275" t="s">
        <v>275</v>
      </c>
      <c r="E16" s="287">
        <v>487</v>
      </c>
      <c r="F16" s="277">
        <v>487</v>
      </c>
      <c r="G16" s="278"/>
      <c r="H16" s="278"/>
      <c r="I16" s="279">
        <v>1.2</v>
      </c>
      <c r="J16" s="280">
        <v>1.2</v>
      </c>
      <c r="K16" s="281"/>
      <c r="L16" s="281"/>
      <c r="M16" s="279">
        <v>5.2500000000000003E-3</v>
      </c>
      <c r="N16" s="280">
        <v>5.2500000000000003E-3</v>
      </c>
      <c r="O16" s="281"/>
      <c r="P16" s="281"/>
      <c r="Q16" s="279">
        <v>1.2</v>
      </c>
      <c r="R16" s="280">
        <v>1.2</v>
      </c>
      <c r="S16" s="281"/>
      <c r="T16" s="281"/>
      <c r="U16" s="282">
        <v>0.32900000000000001</v>
      </c>
      <c r="V16" s="283">
        <v>0.32900000000000001</v>
      </c>
      <c r="W16" s="281">
        <v>0</v>
      </c>
      <c r="X16" s="281">
        <v>0</v>
      </c>
      <c r="Y16" s="284" t="s">
        <v>2385</v>
      </c>
      <c r="Z16" s="285" t="s">
        <v>2401</v>
      </c>
      <c r="AA16" s="190"/>
      <c r="AB16" s="190"/>
      <c r="AC16" s="190"/>
    </row>
    <row r="17" spans="1:29" s="192" customFormat="1" ht="15" customHeight="1">
      <c r="A17" s="198" t="s">
        <v>2402</v>
      </c>
      <c r="B17" s="273" t="s">
        <v>2403</v>
      </c>
      <c r="C17" s="274" t="s">
        <v>2384</v>
      </c>
      <c r="D17" s="275" t="s">
        <v>275</v>
      </c>
      <c r="E17" s="292">
        <v>326</v>
      </c>
      <c r="F17" s="293">
        <v>326</v>
      </c>
      <c r="G17" s="294"/>
      <c r="H17" s="294"/>
      <c r="I17" s="300">
        <v>1.1299999999999999</v>
      </c>
      <c r="J17" s="301">
        <v>1.1299999999999999</v>
      </c>
      <c r="K17" s="297"/>
      <c r="L17" s="297"/>
      <c r="M17" s="300">
        <v>1.11E-2</v>
      </c>
      <c r="N17" s="301">
        <v>1.11E-2</v>
      </c>
      <c r="O17" s="297"/>
      <c r="P17" s="297"/>
      <c r="Q17" s="300">
        <v>1.1200000000000001</v>
      </c>
      <c r="R17" s="301">
        <v>1.1200000000000001</v>
      </c>
      <c r="S17" s="297"/>
      <c r="T17" s="297"/>
      <c r="U17" s="298">
        <v>0.23699999999999999</v>
      </c>
      <c r="V17" s="299">
        <v>0.23699999999999999</v>
      </c>
      <c r="W17" s="297">
        <v>0</v>
      </c>
      <c r="X17" s="297">
        <v>0</v>
      </c>
      <c r="Y17" s="284" t="s">
        <v>2385</v>
      </c>
      <c r="Z17" s="285" t="s">
        <v>2404</v>
      </c>
      <c r="AA17" s="190"/>
      <c r="AB17" s="190"/>
      <c r="AC17" s="190"/>
    </row>
    <row r="18" spans="1:29" s="192" customFormat="1" ht="15" customHeight="1">
      <c r="A18" s="198" t="s">
        <v>2405</v>
      </c>
      <c r="B18" s="286" t="s">
        <v>2406</v>
      </c>
      <c r="C18" s="274" t="s">
        <v>2384</v>
      </c>
      <c r="D18" s="275" t="s">
        <v>275</v>
      </c>
      <c r="E18" s="287">
        <v>776</v>
      </c>
      <c r="F18" s="277">
        <v>776</v>
      </c>
      <c r="G18" s="278"/>
      <c r="H18" s="278"/>
      <c r="I18" s="279">
        <v>1.23</v>
      </c>
      <c r="J18" s="280">
        <v>1.23</v>
      </c>
      <c r="K18" s="281"/>
      <c r="L18" s="281"/>
      <c r="M18" s="279">
        <v>5.3200000000000001E-3</v>
      </c>
      <c r="N18" s="280">
        <v>5.3200000000000001E-3</v>
      </c>
      <c r="O18" s="281"/>
      <c r="P18" s="281"/>
      <c r="Q18" s="279">
        <v>1.22</v>
      </c>
      <c r="R18" s="280">
        <v>1.22</v>
      </c>
      <c r="S18" s="281"/>
      <c r="T18" s="281"/>
      <c r="U18" s="282">
        <v>0.66500000000000004</v>
      </c>
      <c r="V18" s="283">
        <v>0.66500000000000004</v>
      </c>
      <c r="W18" s="281">
        <v>0</v>
      </c>
      <c r="X18" s="281">
        <v>0</v>
      </c>
      <c r="Y18" s="284" t="s">
        <v>2385</v>
      </c>
      <c r="Z18" s="291" t="s">
        <v>2407</v>
      </c>
      <c r="AA18" s="190"/>
      <c r="AB18" s="190"/>
      <c r="AC18" s="190"/>
    </row>
    <row r="19" spans="1:29" s="192" customFormat="1" ht="15" customHeight="1">
      <c r="A19" s="198" t="s">
        <v>2408</v>
      </c>
      <c r="B19" s="273" t="s">
        <v>2409</v>
      </c>
      <c r="C19" s="274" t="s">
        <v>2384</v>
      </c>
      <c r="D19" s="275" t="s">
        <v>275</v>
      </c>
      <c r="E19" s="292">
        <v>628</v>
      </c>
      <c r="F19" s="302">
        <v>628</v>
      </c>
      <c r="G19" s="294"/>
      <c r="H19" s="294"/>
      <c r="I19" s="300">
        <v>2.64</v>
      </c>
      <c r="J19" s="301">
        <v>2.64</v>
      </c>
      <c r="K19" s="297"/>
      <c r="L19" s="297"/>
      <c r="M19" s="300">
        <v>0.55600000000000005</v>
      </c>
      <c r="N19" s="301">
        <v>0.55600000000000005</v>
      </c>
      <c r="O19" s="297"/>
      <c r="P19" s="297"/>
      <c r="Q19" s="300">
        <v>2.08</v>
      </c>
      <c r="R19" s="301">
        <v>2.08</v>
      </c>
      <c r="S19" s="297"/>
      <c r="T19" s="297"/>
      <c r="U19" s="298">
        <v>0.158</v>
      </c>
      <c r="V19" s="299">
        <v>0.158</v>
      </c>
      <c r="W19" s="297">
        <v>0</v>
      </c>
      <c r="X19" s="297">
        <v>0</v>
      </c>
      <c r="Y19" s="284" t="s">
        <v>2385</v>
      </c>
      <c r="Z19" s="285" t="s">
        <v>2410</v>
      </c>
      <c r="AA19" s="190"/>
      <c r="AB19" s="190"/>
      <c r="AC19" s="190"/>
    </row>
    <row r="20" spans="1:29" s="192" customFormat="1" ht="15" customHeight="1">
      <c r="A20" s="198" t="s">
        <v>2411</v>
      </c>
      <c r="B20" s="273" t="s">
        <v>2412</v>
      </c>
      <c r="C20" s="274" t="s">
        <v>2384</v>
      </c>
      <c r="D20" s="275" t="s">
        <v>275</v>
      </c>
      <c r="E20" s="292">
        <v>197</v>
      </c>
      <c r="F20" s="292">
        <v>197</v>
      </c>
      <c r="G20" s="294"/>
      <c r="H20" s="294"/>
      <c r="I20" s="300">
        <v>1.19</v>
      </c>
      <c r="J20" s="301">
        <v>1.19</v>
      </c>
      <c r="K20" s="297"/>
      <c r="L20" s="297"/>
      <c r="M20" s="300">
        <v>1.1599999999999999</v>
      </c>
      <c r="N20" s="301">
        <v>1.1599999999999999</v>
      </c>
      <c r="O20" s="297"/>
      <c r="P20" s="297"/>
      <c r="Q20" s="300">
        <v>3.27E-2</v>
      </c>
      <c r="R20" s="301">
        <v>3.27E-2</v>
      </c>
      <c r="S20" s="297"/>
      <c r="T20" s="297"/>
      <c r="U20" s="298">
        <v>4.8000000000000001E-2</v>
      </c>
      <c r="V20" s="299">
        <v>4.8000000000000001E-2</v>
      </c>
      <c r="W20" s="297">
        <v>0</v>
      </c>
      <c r="X20" s="297">
        <v>0</v>
      </c>
      <c r="Y20" s="284" t="s">
        <v>2385</v>
      </c>
      <c r="Z20" s="285" t="s">
        <v>2413</v>
      </c>
      <c r="AA20" s="190"/>
      <c r="AB20" s="190"/>
      <c r="AC20" s="190"/>
    </row>
    <row r="21" spans="1:29" s="192" customFormat="1" ht="15" customHeight="1">
      <c r="A21" s="265" t="s">
        <v>2414</v>
      </c>
      <c r="B21" s="266" t="s">
        <v>2415</v>
      </c>
      <c r="C21" s="303"/>
      <c r="D21" s="304" t="s">
        <v>2370</v>
      </c>
      <c r="E21" s="304" t="s">
        <v>2370</v>
      </c>
      <c r="F21" s="304" t="s">
        <v>2370</v>
      </c>
      <c r="G21" s="304" t="s">
        <v>2370</v>
      </c>
      <c r="H21" s="304" t="s">
        <v>2370</v>
      </c>
      <c r="I21" s="304" t="s">
        <v>2370</v>
      </c>
      <c r="J21" s="304" t="s">
        <v>2370</v>
      </c>
      <c r="K21" s="304" t="s">
        <v>2370</v>
      </c>
      <c r="L21" s="304" t="s">
        <v>2370</v>
      </c>
      <c r="M21" s="304" t="s">
        <v>2370</v>
      </c>
      <c r="N21" s="304" t="s">
        <v>2370</v>
      </c>
      <c r="O21" s="304" t="s">
        <v>2370</v>
      </c>
      <c r="P21" s="304" t="s">
        <v>2370</v>
      </c>
      <c r="Q21" s="304" t="s">
        <v>2370</v>
      </c>
      <c r="R21" s="304" t="s">
        <v>2370</v>
      </c>
      <c r="S21" s="304" t="s">
        <v>2370</v>
      </c>
      <c r="T21" s="304" t="s">
        <v>2370</v>
      </c>
      <c r="U21" s="304" t="s">
        <v>2370</v>
      </c>
      <c r="V21" s="304" t="s">
        <v>2370</v>
      </c>
      <c r="W21" s="304" t="s">
        <v>2370</v>
      </c>
      <c r="X21" s="304" t="s">
        <v>2370</v>
      </c>
      <c r="Y21" s="305"/>
      <c r="Z21" s="272" t="s">
        <v>2416</v>
      </c>
      <c r="AA21" s="190"/>
      <c r="AB21" s="190"/>
      <c r="AC21" s="190"/>
    </row>
    <row r="22" spans="1:29" s="192" customFormat="1" ht="15" customHeight="1">
      <c r="A22" s="202" t="s">
        <v>460</v>
      </c>
      <c r="B22" s="273" t="s">
        <v>2417</v>
      </c>
      <c r="C22" s="274" t="s">
        <v>2418</v>
      </c>
      <c r="D22" s="306" t="s">
        <v>98</v>
      </c>
      <c r="E22" s="307">
        <v>700</v>
      </c>
      <c r="F22" s="288">
        <v>613</v>
      </c>
      <c r="G22" s="288">
        <v>87.1</v>
      </c>
      <c r="H22" s="288">
        <v>0</v>
      </c>
      <c r="I22" s="308">
        <v>1.66</v>
      </c>
      <c r="J22" s="309">
        <v>1.48</v>
      </c>
      <c r="K22" s="310">
        <v>0.186</v>
      </c>
      <c r="L22" s="310">
        <v>0</v>
      </c>
      <c r="M22" s="308">
        <v>1.9099999999999999E-2</v>
      </c>
      <c r="N22" s="309">
        <v>8.0400000000000003E-3</v>
      </c>
      <c r="O22" s="310">
        <v>1.11E-2</v>
      </c>
      <c r="P22" s="310">
        <v>0</v>
      </c>
      <c r="Q22" s="308">
        <v>1.64</v>
      </c>
      <c r="R22" s="309">
        <v>1.47</v>
      </c>
      <c r="S22" s="310">
        <v>0.17499999999999999</v>
      </c>
      <c r="T22" s="310">
        <v>0</v>
      </c>
      <c r="U22" s="311">
        <v>0.438</v>
      </c>
      <c r="V22" s="310">
        <v>0.38800000000000001</v>
      </c>
      <c r="W22" s="312">
        <v>5.0099999999999999E-2</v>
      </c>
      <c r="X22" s="313">
        <v>0</v>
      </c>
      <c r="Y22" s="284" t="s">
        <v>2419</v>
      </c>
      <c r="Z22" s="285" t="s">
        <v>2420</v>
      </c>
      <c r="AA22" s="190"/>
      <c r="AB22" s="314"/>
      <c r="AC22" s="314"/>
    </row>
    <row r="23" spans="1:29" s="319" customFormat="1" ht="15" customHeight="1">
      <c r="A23" s="315" t="s">
        <v>2421</v>
      </c>
      <c r="B23" s="273" t="s">
        <v>2422</v>
      </c>
      <c r="C23" s="275" t="s">
        <v>2418</v>
      </c>
      <c r="D23" s="73" t="s">
        <v>98</v>
      </c>
      <c r="E23" s="307">
        <v>700</v>
      </c>
      <c r="F23" s="288">
        <v>613</v>
      </c>
      <c r="G23" s="288">
        <v>87.1</v>
      </c>
      <c r="H23" s="288">
        <v>0</v>
      </c>
      <c r="I23" s="308">
        <v>1.66</v>
      </c>
      <c r="J23" s="309">
        <v>1.48</v>
      </c>
      <c r="K23" s="310">
        <v>0.186</v>
      </c>
      <c r="L23" s="310">
        <v>0</v>
      </c>
      <c r="M23" s="308">
        <v>1.9099999999999999E-2</v>
      </c>
      <c r="N23" s="309">
        <v>8.0499999999999999E-3</v>
      </c>
      <c r="O23" s="310">
        <v>1.11E-2</v>
      </c>
      <c r="P23" s="310">
        <v>0</v>
      </c>
      <c r="Q23" s="308">
        <v>1.65</v>
      </c>
      <c r="R23" s="309">
        <v>1.47</v>
      </c>
      <c r="S23" s="310">
        <v>0.17499999999999999</v>
      </c>
      <c r="T23" s="310">
        <v>0</v>
      </c>
      <c r="U23" s="311">
        <v>0.438</v>
      </c>
      <c r="V23" s="310">
        <v>0.38800000000000001</v>
      </c>
      <c r="W23" s="312">
        <v>5.0099999999999999E-2</v>
      </c>
      <c r="X23" s="313">
        <v>0</v>
      </c>
      <c r="Y23" s="316" t="s">
        <v>2419</v>
      </c>
      <c r="Z23" s="285" t="s">
        <v>2423</v>
      </c>
      <c r="AA23" s="317"/>
      <c r="AB23" s="318"/>
      <c r="AC23" s="318"/>
    </row>
    <row r="24" spans="1:29" s="319" customFormat="1" ht="15" customHeight="1">
      <c r="A24" s="315" t="s">
        <v>2424</v>
      </c>
      <c r="B24" s="273" t="s">
        <v>2425</v>
      </c>
      <c r="C24" s="275" t="s">
        <v>2418</v>
      </c>
      <c r="D24" s="73" t="s">
        <v>98</v>
      </c>
      <c r="E24" s="307">
        <v>702</v>
      </c>
      <c r="F24" s="288">
        <v>615</v>
      </c>
      <c r="G24" s="288">
        <v>87.1</v>
      </c>
      <c r="H24" s="288">
        <v>0</v>
      </c>
      <c r="I24" s="308">
        <v>1.62</v>
      </c>
      <c r="J24" s="309">
        <v>1.44</v>
      </c>
      <c r="K24" s="310">
        <v>0.186</v>
      </c>
      <c r="L24" s="310">
        <v>0</v>
      </c>
      <c r="M24" s="308">
        <v>1.89E-2</v>
      </c>
      <c r="N24" s="309">
        <v>7.8100000000000001E-3</v>
      </c>
      <c r="O24" s="310">
        <v>1.11E-2</v>
      </c>
      <c r="P24" s="310">
        <v>0</v>
      </c>
      <c r="Q24" s="308">
        <v>1.6</v>
      </c>
      <c r="R24" s="309">
        <v>1.43</v>
      </c>
      <c r="S24" s="310">
        <v>0.17499999999999999</v>
      </c>
      <c r="T24" s="310">
        <v>0</v>
      </c>
      <c r="U24" s="311">
        <v>0.42699999999999999</v>
      </c>
      <c r="V24" s="310">
        <v>0.377</v>
      </c>
      <c r="W24" s="312">
        <v>5.0099999999999999E-2</v>
      </c>
      <c r="X24" s="313">
        <v>0</v>
      </c>
      <c r="Y24" s="316" t="s">
        <v>2419</v>
      </c>
      <c r="Z24" s="285" t="s">
        <v>2426</v>
      </c>
      <c r="AA24" s="317"/>
      <c r="AB24" s="318"/>
      <c r="AC24" s="318"/>
    </row>
    <row r="25" spans="1:29" s="192" customFormat="1" ht="15" customHeight="1">
      <c r="A25" s="198" t="s">
        <v>2427</v>
      </c>
      <c r="B25" s="273" t="s">
        <v>2428</v>
      </c>
      <c r="C25" s="274" t="s">
        <v>2429</v>
      </c>
      <c r="D25" s="306" t="s">
        <v>2430</v>
      </c>
      <c r="E25" s="320">
        <v>70.099999999999994</v>
      </c>
      <c r="F25" s="302">
        <v>56.2</v>
      </c>
      <c r="G25" s="302">
        <v>1.04</v>
      </c>
      <c r="H25" s="302">
        <v>12.8</v>
      </c>
      <c r="I25" s="321">
        <v>0.16600000000000001</v>
      </c>
      <c r="J25" s="322">
        <v>0.126</v>
      </c>
      <c r="K25" s="323">
        <v>2.0200000000000001E-3</v>
      </c>
      <c r="L25" s="322">
        <v>3.8100000000000002E-2</v>
      </c>
      <c r="M25" s="321">
        <v>8.5699999999999995E-3</v>
      </c>
      <c r="N25" s="322">
        <v>5.1399999999999996E-3</v>
      </c>
      <c r="O25" s="323">
        <v>1.13E-4</v>
      </c>
      <c r="P25" s="322">
        <v>3.31E-3</v>
      </c>
      <c r="Q25" s="321">
        <v>0.157</v>
      </c>
      <c r="R25" s="322">
        <v>0.12</v>
      </c>
      <c r="S25" s="323">
        <v>1.91E-3</v>
      </c>
      <c r="T25" s="322">
        <v>3.4799999999999998E-2</v>
      </c>
      <c r="U25" s="324">
        <v>0.04</v>
      </c>
      <c r="V25" s="323">
        <v>3.2399999999999998E-2</v>
      </c>
      <c r="W25" s="325">
        <v>5.1099999999999995E-4</v>
      </c>
      <c r="X25" s="325">
        <v>7.1599999999999997E-3</v>
      </c>
      <c r="Y25" s="284" t="s">
        <v>2431</v>
      </c>
      <c r="Z25" s="285" t="s">
        <v>2432</v>
      </c>
      <c r="AA25" s="190"/>
      <c r="AB25" s="314"/>
      <c r="AC25" s="314"/>
    </row>
    <row r="26" spans="1:29" s="192" customFormat="1" ht="15" customHeight="1">
      <c r="A26" s="198" t="s">
        <v>2433</v>
      </c>
      <c r="B26" s="273" t="s">
        <v>2434</v>
      </c>
      <c r="C26" s="274" t="s">
        <v>2429</v>
      </c>
      <c r="D26" s="306" t="s">
        <v>2430</v>
      </c>
      <c r="E26" s="320">
        <v>1950</v>
      </c>
      <c r="F26" s="302">
        <v>1930</v>
      </c>
      <c r="G26" s="302">
        <v>1.63</v>
      </c>
      <c r="H26" s="302">
        <v>18.3</v>
      </c>
      <c r="I26" s="326">
        <v>2.9</v>
      </c>
      <c r="J26" s="327">
        <v>2.83</v>
      </c>
      <c r="K26" s="323">
        <v>4.5399999999999998E-3</v>
      </c>
      <c r="L26" s="322">
        <v>5.8200000000000002E-2</v>
      </c>
      <c r="M26" s="326">
        <v>1.6400000000000001E-2</v>
      </c>
      <c r="N26" s="327">
        <v>1.23E-2</v>
      </c>
      <c r="O26" s="323">
        <v>3.8200000000000002E-4</v>
      </c>
      <c r="P26" s="322">
        <v>3.7000000000000002E-3</v>
      </c>
      <c r="Q26" s="326">
        <v>2.88</v>
      </c>
      <c r="R26" s="327">
        <v>2.82</v>
      </c>
      <c r="S26" s="323">
        <v>4.1599999999999996E-3</v>
      </c>
      <c r="T26" s="322">
        <v>5.45E-2</v>
      </c>
      <c r="U26" s="328">
        <v>1.67</v>
      </c>
      <c r="V26" s="329">
        <v>1.66</v>
      </c>
      <c r="W26" s="325">
        <v>9.5100000000000002E-4</v>
      </c>
      <c r="X26" s="325">
        <v>1.09E-2</v>
      </c>
      <c r="Y26" s="284" t="s">
        <v>2431</v>
      </c>
      <c r="Z26" s="285" t="s">
        <v>2435</v>
      </c>
      <c r="AA26" s="190"/>
      <c r="AB26" s="314"/>
      <c r="AC26" s="314"/>
    </row>
    <row r="27" spans="1:29" s="192" customFormat="1" ht="15" customHeight="1">
      <c r="A27" s="198" t="s">
        <v>2436</v>
      </c>
      <c r="B27" s="273" t="s">
        <v>2437</v>
      </c>
      <c r="C27" s="274" t="s">
        <v>2429</v>
      </c>
      <c r="D27" s="306" t="s">
        <v>2430</v>
      </c>
      <c r="E27" s="320">
        <v>2600</v>
      </c>
      <c r="F27" s="302">
        <v>2470</v>
      </c>
      <c r="G27" s="302">
        <v>4.42</v>
      </c>
      <c r="H27" s="302">
        <v>129</v>
      </c>
      <c r="I27" s="326">
        <v>4.99</v>
      </c>
      <c r="J27" s="327">
        <v>4.57</v>
      </c>
      <c r="K27" s="323">
        <v>1.24E-2</v>
      </c>
      <c r="L27" s="329">
        <v>0.40899999999999997</v>
      </c>
      <c r="M27" s="326">
        <v>4.6800000000000001E-2</v>
      </c>
      <c r="N27" s="327">
        <v>1.9800000000000002E-2</v>
      </c>
      <c r="O27" s="323">
        <v>9.7900000000000005E-4</v>
      </c>
      <c r="P27" s="329">
        <v>2.5999999999999999E-2</v>
      </c>
      <c r="Q27" s="326">
        <v>4.95</v>
      </c>
      <c r="R27" s="327">
        <v>4.55</v>
      </c>
      <c r="S27" s="323">
        <v>1.14E-2</v>
      </c>
      <c r="T27" s="329">
        <v>0.38300000000000001</v>
      </c>
      <c r="U27" s="328">
        <v>2.12</v>
      </c>
      <c r="V27" s="329">
        <v>2.04</v>
      </c>
      <c r="W27" s="325">
        <v>2.5999999999999999E-3</v>
      </c>
      <c r="X27" s="322">
        <v>7.6899999999999996E-2</v>
      </c>
      <c r="Y27" s="284" t="s">
        <v>2431</v>
      </c>
      <c r="Z27" s="285" t="s">
        <v>2438</v>
      </c>
      <c r="AA27" s="190"/>
      <c r="AB27" s="314"/>
      <c r="AC27" s="314"/>
    </row>
    <row r="28" spans="1:29" s="192" customFormat="1" ht="15" customHeight="1">
      <c r="A28" s="198">
        <v>62.018000000000001</v>
      </c>
      <c r="B28" s="273" t="s">
        <v>2439</v>
      </c>
      <c r="C28" s="274" t="s">
        <v>2429</v>
      </c>
      <c r="D28" s="306" t="s">
        <v>2430</v>
      </c>
      <c r="E28" s="320">
        <v>1880</v>
      </c>
      <c r="F28" s="302">
        <v>1840</v>
      </c>
      <c r="G28" s="302">
        <v>1.1399999999999999</v>
      </c>
      <c r="H28" s="302">
        <v>34.5</v>
      </c>
      <c r="I28" s="326">
        <v>2.91</v>
      </c>
      <c r="J28" s="327">
        <v>2.8</v>
      </c>
      <c r="K28" s="323">
        <v>3.1800000000000001E-3</v>
      </c>
      <c r="L28" s="329">
        <v>0.11</v>
      </c>
      <c r="M28" s="326">
        <v>1.9300000000000001E-2</v>
      </c>
      <c r="N28" s="327">
        <v>1.21E-2</v>
      </c>
      <c r="O28" s="323">
        <v>2.52E-4</v>
      </c>
      <c r="P28" s="329">
        <v>6.9699999999999996E-3</v>
      </c>
      <c r="Q28" s="326">
        <v>2.89</v>
      </c>
      <c r="R28" s="327">
        <v>2.79</v>
      </c>
      <c r="S28" s="323">
        <v>2.9299999999999999E-3</v>
      </c>
      <c r="T28" s="329">
        <v>0.10299999999999999</v>
      </c>
      <c r="U28" s="328">
        <v>1.6</v>
      </c>
      <c r="V28" s="329">
        <v>1.57</v>
      </c>
      <c r="W28" s="325">
        <v>6.6799999999999997E-4</v>
      </c>
      <c r="X28" s="322">
        <v>2.06E-2</v>
      </c>
      <c r="Y28" s="284" t="s">
        <v>2431</v>
      </c>
      <c r="Z28" s="285" t="s">
        <v>2440</v>
      </c>
      <c r="AA28" s="190"/>
      <c r="AB28" s="314"/>
      <c r="AC28" s="314"/>
    </row>
    <row r="29" spans="1:29" s="192" customFormat="1" ht="15" customHeight="1">
      <c r="A29" s="198" t="s">
        <v>2441</v>
      </c>
      <c r="B29" s="273" t="s">
        <v>2442</v>
      </c>
      <c r="C29" s="274" t="s">
        <v>2429</v>
      </c>
      <c r="D29" s="306" t="s">
        <v>2430</v>
      </c>
      <c r="E29" s="320">
        <v>1930</v>
      </c>
      <c r="F29" s="302">
        <v>1910</v>
      </c>
      <c r="G29" s="302">
        <v>1.02</v>
      </c>
      <c r="H29" s="302">
        <v>12.3</v>
      </c>
      <c r="I29" s="326">
        <v>2.81</v>
      </c>
      <c r="J29" s="327">
        <v>2.76</v>
      </c>
      <c r="K29" s="323">
        <v>2.8500000000000001E-3</v>
      </c>
      <c r="L29" s="322">
        <v>3.9100000000000003E-2</v>
      </c>
      <c r="M29" s="326">
        <v>1.47E-2</v>
      </c>
      <c r="N29" s="327">
        <v>1.2E-2</v>
      </c>
      <c r="O29" s="323">
        <v>2.4000000000000001E-4</v>
      </c>
      <c r="P29" s="322">
        <v>2.49E-3</v>
      </c>
      <c r="Q29" s="326">
        <v>2.79</v>
      </c>
      <c r="R29" s="327">
        <v>2.75</v>
      </c>
      <c r="S29" s="323">
        <v>2.6099999999999999E-3</v>
      </c>
      <c r="T29" s="322">
        <v>3.6600000000000001E-2</v>
      </c>
      <c r="U29" s="328">
        <v>1.66</v>
      </c>
      <c r="V29" s="329">
        <v>1.65</v>
      </c>
      <c r="W29" s="325">
        <v>5.9699999999999998E-4</v>
      </c>
      <c r="X29" s="325">
        <v>7.3499999999999998E-3</v>
      </c>
      <c r="Y29" s="284" t="s">
        <v>2431</v>
      </c>
      <c r="Z29" s="285" t="s">
        <v>2443</v>
      </c>
      <c r="AA29" s="190"/>
      <c r="AB29" s="314"/>
      <c r="AC29" s="314"/>
    </row>
    <row r="30" spans="1:29" s="192" customFormat="1" ht="15" customHeight="1">
      <c r="A30" s="198" t="s">
        <v>2444</v>
      </c>
      <c r="B30" s="286" t="s">
        <v>2445</v>
      </c>
      <c r="C30" s="274" t="s">
        <v>2429</v>
      </c>
      <c r="D30" s="306" t="s">
        <v>2430</v>
      </c>
      <c r="E30" s="320">
        <v>32.6</v>
      </c>
      <c r="F30" s="302">
        <v>11.3</v>
      </c>
      <c r="G30" s="302">
        <v>9.11</v>
      </c>
      <c r="H30" s="302">
        <v>12.2</v>
      </c>
      <c r="I30" s="321">
        <v>0.1</v>
      </c>
      <c r="J30" s="322">
        <v>5.6300000000000003E-2</v>
      </c>
      <c r="K30" s="323">
        <v>1.95E-2</v>
      </c>
      <c r="L30" s="322">
        <v>2.4500000000000001E-2</v>
      </c>
      <c r="M30" s="321">
        <v>4.6399999999999997E-2</v>
      </c>
      <c r="N30" s="322">
        <v>4.1599999999999998E-2</v>
      </c>
      <c r="O30" s="323">
        <v>1.34E-3</v>
      </c>
      <c r="P30" s="322">
        <v>3.47E-3</v>
      </c>
      <c r="Q30" s="321">
        <v>5.3900000000000003E-2</v>
      </c>
      <c r="R30" s="322">
        <v>1.47E-2</v>
      </c>
      <c r="S30" s="323">
        <v>1.8200000000000001E-2</v>
      </c>
      <c r="T30" s="322">
        <v>2.1000000000000001E-2</v>
      </c>
      <c r="U30" s="324">
        <v>1.23E-2</v>
      </c>
      <c r="V30" s="325">
        <v>2.2699999999999999E-3</v>
      </c>
      <c r="W30" s="325">
        <v>5.3699999999999998E-3</v>
      </c>
      <c r="X30" s="325">
        <v>4.7000000000000002E-3</v>
      </c>
      <c r="Y30" s="284" t="s">
        <v>2431</v>
      </c>
      <c r="Z30" s="291" t="s">
        <v>2446</v>
      </c>
      <c r="AA30" s="190"/>
      <c r="AB30" s="314"/>
      <c r="AC30" s="314"/>
    </row>
    <row r="31" spans="1:29" s="192" customFormat="1" ht="15" customHeight="1">
      <c r="A31" s="198" t="s">
        <v>2447</v>
      </c>
      <c r="B31" s="273" t="s">
        <v>2448</v>
      </c>
      <c r="C31" s="274" t="s">
        <v>2449</v>
      </c>
      <c r="D31" s="306" t="s">
        <v>2450</v>
      </c>
      <c r="E31" s="320">
        <v>1010000</v>
      </c>
      <c r="F31" s="302">
        <v>1000000</v>
      </c>
      <c r="G31" s="302">
        <v>7510</v>
      </c>
      <c r="H31" s="302">
        <v>0</v>
      </c>
      <c r="I31" s="330">
        <v>2860</v>
      </c>
      <c r="J31" s="331">
        <v>2840</v>
      </c>
      <c r="K31" s="329">
        <v>21</v>
      </c>
      <c r="L31" s="322">
        <v>0</v>
      </c>
      <c r="M31" s="330">
        <v>14</v>
      </c>
      <c r="N31" s="331">
        <v>12.3</v>
      </c>
      <c r="O31" s="329">
        <v>1.66</v>
      </c>
      <c r="P31" s="322">
        <v>0</v>
      </c>
      <c r="Q31" s="330">
        <v>2850</v>
      </c>
      <c r="R31" s="331">
        <v>2830</v>
      </c>
      <c r="S31" s="329">
        <v>19.399999999999999</v>
      </c>
      <c r="T31" s="322">
        <v>0</v>
      </c>
      <c r="U31" s="326">
        <v>759</v>
      </c>
      <c r="V31" s="327">
        <v>754</v>
      </c>
      <c r="W31" s="322">
        <v>4.41</v>
      </c>
      <c r="X31" s="325">
        <v>0</v>
      </c>
      <c r="Y31" s="284" t="s">
        <v>2451</v>
      </c>
      <c r="Z31" s="285" t="s">
        <v>2452</v>
      </c>
      <c r="AA31" s="190"/>
      <c r="AB31" s="314"/>
      <c r="AC31" s="314"/>
    </row>
    <row r="32" spans="1:29" s="192" customFormat="1" ht="15" customHeight="1">
      <c r="A32" s="198" t="s">
        <v>2453</v>
      </c>
      <c r="B32" s="273" t="s">
        <v>2454</v>
      </c>
      <c r="C32" s="274" t="s">
        <v>2429</v>
      </c>
      <c r="D32" s="306" t="s">
        <v>2430</v>
      </c>
      <c r="E32" s="320">
        <v>17.399999999999999</v>
      </c>
      <c r="F32" s="302">
        <v>15.2</v>
      </c>
      <c r="G32" s="302">
        <v>0.34699999999999998</v>
      </c>
      <c r="H32" s="302">
        <v>1.79</v>
      </c>
      <c r="I32" s="321">
        <v>2.9499999999999998E-2</v>
      </c>
      <c r="J32" s="322">
        <v>2.3E-2</v>
      </c>
      <c r="K32" s="325">
        <v>5.3700000000000004E-4</v>
      </c>
      <c r="L32" s="323">
        <v>6.0299999999999998E-3</v>
      </c>
      <c r="M32" s="321">
        <v>6.8000000000000005E-4</v>
      </c>
      <c r="N32" s="322">
        <v>1.13E-4</v>
      </c>
      <c r="O32" s="325">
        <v>4.0000000000000003E-5</v>
      </c>
      <c r="P32" s="323">
        <v>5.2700000000000002E-4</v>
      </c>
      <c r="Q32" s="321">
        <v>2.8899999999999999E-2</v>
      </c>
      <c r="R32" s="322">
        <v>2.2800000000000001E-2</v>
      </c>
      <c r="S32" s="325">
        <v>4.9700000000000005E-4</v>
      </c>
      <c r="T32" s="323">
        <v>5.5100000000000001E-3</v>
      </c>
      <c r="U32" s="324">
        <v>7.3899999999999999E-3</v>
      </c>
      <c r="V32" s="325">
        <v>6.2100000000000002E-3</v>
      </c>
      <c r="W32" s="332">
        <v>1.76E-4</v>
      </c>
      <c r="X32" s="325">
        <v>1E-3</v>
      </c>
      <c r="Y32" s="284" t="s">
        <v>2431</v>
      </c>
      <c r="Z32" s="285" t="s">
        <v>2455</v>
      </c>
      <c r="AA32" s="190"/>
      <c r="AB32" s="314"/>
      <c r="AC32" s="314"/>
    </row>
    <row r="33" spans="1:29" s="192" customFormat="1" ht="15" customHeight="1">
      <c r="A33" s="198" t="s">
        <v>2456</v>
      </c>
      <c r="B33" s="286" t="s">
        <v>2457</v>
      </c>
      <c r="C33" s="274" t="s">
        <v>2429</v>
      </c>
      <c r="D33" s="306" t="s">
        <v>2430</v>
      </c>
      <c r="E33" s="320">
        <v>20.399999999999999</v>
      </c>
      <c r="F33" s="302">
        <v>19.2</v>
      </c>
      <c r="G33" s="302">
        <v>0.188</v>
      </c>
      <c r="H33" s="302">
        <v>1.02</v>
      </c>
      <c r="I33" s="324">
        <v>2.4899999999999999E-2</v>
      </c>
      <c r="J33" s="323">
        <v>2.12E-2</v>
      </c>
      <c r="K33" s="325">
        <v>2.8699999999999998E-4</v>
      </c>
      <c r="L33" s="323">
        <v>3.4299999999999999E-3</v>
      </c>
      <c r="M33" s="324">
        <v>4.2499999999999998E-4</v>
      </c>
      <c r="N33" s="323">
        <v>1.0399999999999999E-4</v>
      </c>
      <c r="O33" s="325">
        <v>2.1299999999999999E-5</v>
      </c>
      <c r="P33" s="323">
        <v>2.99E-4</v>
      </c>
      <c r="Q33" s="324">
        <v>2.4500000000000001E-2</v>
      </c>
      <c r="R33" s="323">
        <v>2.1100000000000001E-2</v>
      </c>
      <c r="S33" s="325">
        <v>2.6600000000000001E-4</v>
      </c>
      <c r="T33" s="323">
        <v>3.13E-3</v>
      </c>
      <c r="U33" s="333">
        <v>6.4000000000000003E-3</v>
      </c>
      <c r="V33" s="325">
        <v>5.7400000000000003E-3</v>
      </c>
      <c r="W33" s="332">
        <v>9.5299999999999999E-5</v>
      </c>
      <c r="X33" s="332">
        <v>5.6999999999999998E-4</v>
      </c>
      <c r="Y33" s="284" t="s">
        <v>2431</v>
      </c>
      <c r="Z33" s="291" t="s">
        <v>2458</v>
      </c>
      <c r="AA33" s="190"/>
      <c r="AB33" s="314"/>
      <c r="AC33" s="314"/>
    </row>
    <row r="34" spans="1:29" s="192" customFormat="1" ht="15" customHeight="1">
      <c r="A34" s="198" t="s">
        <v>2459</v>
      </c>
      <c r="B34" s="273" t="s">
        <v>2460</v>
      </c>
      <c r="C34" s="274" t="s">
        <v>2429</v>
      </c>
      <c r="D34" s="306" t="s">
        <v>2430</v>
      </c>
      <c r="E34" s="320">
        <v>2920</v>
      </c>
      <c r="F34" s="302">
        <v>1960</v>
      </c>
      <c r="G34" s="302">
        <v>676</v>
      </c>
      <c r="H34" s="302">
        <v>282</v>
      </c>
      <c r="I34" s="326">
        <v>7.6</v>
      </c>
      <c r="J34" s="327">
        <v>4.97</v>
      </c>
      <c r="K34" s="329">
        <v>1.57</v>
      </c>
      <c r="L34" s="329">
        <v>1.06</v>
      </c>
      <c r="M34" s="326">
        <v>0.313</v>
      </c>
      <c r="N34" s="327">
        <v>3.2399999999999998E-2</v>
      </c>
      <c r="O34" s="329">
        <v>0.13500000000000001</v>
      </c>
      <c r="P34" s="329">
        <v>0.14499999999999999</v>
      </c>
      <c r="Q34" s="326">
        <v>7.29</v>
      </c>
      <c r="R34" s="327">
        <v>4.9400000000000004</v>
      </c>
      <c r="S34" s="329">
        <v>1.43</v>
      </c>
      <c r="T34" s="329">
        <v>0.91300000000000003</v>
      </c>
      <c r="U34" s="328">
        <v>1.77</v>
      </c>
      <c r="V34" s="329">
        <v>1.33</v>
      </c>
      <c r="W34" s="322">
        <v>0.34399999999999997</v>
      </c>
      <c r="X34" s="323">
        <v>9.2799999999999994E-2</v>
      </c>
      <c r="Y34" s="284" t="s">
        <v>2431</v>
      </c>
      <c r="Z34" s="285" t="s">
        <v>2461</v>
      </c>
      <c r="AA34" s="190"/>
      <c r="AB34" s="314"/>
      <c r="AC34" s="314"/>
    </row>
    <row r="35" spans="1:29" s="319" customFormat="1" ht="15" customHeight="1">
      <c r="A35" s="315" t="s">
        <v>2462</v>
      </c>
      <c r="B35" s="273" t="s">
        <v>2463</v>
      </c>
      <c r="C35" s="275" t="s">
        <v>2429</v>
      </c>
      <c r="D35" s="73" t="s">
        <v>2430</v>
      </c>
      <c r="E35" s="307">
        <v>266</v>
      </c>
      <c r="F35" s="288">
        <v>205</v>
      </c>
      <c r="G35" s="288">
        <v>25.2</v>
      </c>
      <c r="H35" s="288">
        <v>36.299999999999997</v>
      </c>
      <c r="I35" s="308">
        <v>0.63400000000000001</v>
      </c>
      <c r="J35" s="309">
        <v>0.44800000000000001</v>
      </c>
      <c r="K35" s="310">
        <v>6.59E-2</v>
      </c>
      <c r="L35" s="310">
        <v>0.12</v>
      </c>
      <c r="M35" s="308">
        <v>2.8500000000000001E-2</v>
      </c>
      <c r="N35" s="309">
        <v>1.83E-2</v>
      </c>
      <c r="O35" s="310">
        <v>3.6900000000000001E-3</v>
      </c>
      <c r="P35" s="310">
        <v>6.4999999999999997E-3</v>
      </c>
      <c r="Q35" s="308">
        <v>0.60399999999999998</v>
      </c>
      <c r="R35" s="309">
        <v>0.42799999999999999</v>
      </c>
      <c r="S35" s="310">
        <v>6.2199999999999998E-2</v>
      </c>
      <c r="T35" s="310">
        <v>0.113</v>
      </c>
      <c r="U35" s="311">
        <v>0.14399999999999999</v>
      </c>
      <c r="V35" s="310">
        <v>0.115</v>
      </c>
      <c r="W35" s="312">
        <v>1.2999999999999999E-2</v>
      </c>
      <c r="X35" s="312">
        <v>1.5699999999999999E-2</v>
      </c>
      <c r="Y35" s="316" t="s">
        <v>2431</v>
      </c>
      <c r="Z35" s="285" t="s">
        <v>2464</v>
      </c>
      <c r="AA35" s="317"/>
      <c r="AB35" s="318"/>
      <c r="AC35" s="318"/>
    </row>
    <row r="36" spans="1:29" s="319" customFormat="1" ht="15" customHeight="1">
      <c r="A36" s="315" t="s">
        <v>2465</v>
      </c>
      <c r="B36" s="273" t="s">
        <v>2466</v>
      </c>
      <c r="C36" s="275" t="s">
        <v>2429</v>
      </c>
      <c r="D36" s="73" t="s">
        <v>2430</v>
      </c>
      <c r="E36" s="307">
        <v>1070</v>
      </c>
      <c r="F36" s="288">
        <v>838</v>
      </c>
      <c r="G36" s="288">
        <v>125</v>
      </c>
      <c r="H36" s="288">
        <v>111</v>
      </c>
      <c r="I36" s="308">
        <v>2.44</v>
      </c>
      <c r="J36" s="309">
        <v>1.72</v>
      </c>
      <c r="K36" s="310">
        <v>0.33100000000000002</v>
      </c>
      <c r="L36" s="310">
        <v>0.39100000000000001</v>
      </c>
      <c r="M36" s="308">
        <v>0.128</v>
      </c>
      <c r="N36" s="309">
        <v>7.0499999999999993E-2</v>
      </c>
      <c r="O36" s="310">
        <v>1.95E-2</v>
      </c>
      <c r="P36" s="310">
        <v>3.7600000000000001E-2</v>
      </c>
      <c r="Q36" s="308">
        <v>2.31</v>
      </c>
      <c r="R36" s="309">
        <v>1.65</v>
      </c>
      <c r="S36" s="310">
        <v>0.311</v>
      </c>
      <c r="T36" s="310">
        <v>0.35299999999999998</v>
      </c>
      <c r="U36" s="311">
        <v>0.55300000000000005</v>
      </c>
      <c r="V36" s="310">
        <v>0.44500000000000001</v>
      </c>
      <c r="W36" s="312">
        <v>6.5199999999999994E-2</v>
      </c>
      <c r="X36" s="312">
        <v>4.2500000000000003E-2</v>
      </c>
      <c r="Y36" s="316" t="s">
        <v>2431</v>
      </c>
      <c r="Z36" s="285" t="s">
        <v>2467</v>
      </c>
      <c r="AA36" s="317"/>
      <c r="AB36" s="318"/>
      <c r="AC36" s="318"/>
    </row>
    <row r="37" spans="1:29" s="192" customFormat="1" ht="15" customHeight="1">
      <c r="A37" s="198" t="s">
        <v>2468</v>
      </c>
      <c r="B37" s="273" t="s">
        <v>2469</v>
      </c>
      <c r="C37" s="274" t="s">
        <v>2429</v>
      </c>
      <c r="D37" s="306" t="s">
        <v>2430</v>
      </c>
      <c r="E37" s="307">
        <v>424</v>
      </c>
      <c r="F37" s="288">
        <v>336</v>
      </c>
      <c r="G37" s="288">
        <v>37.299999999999997</v>
      </c>
      <c r="H37" s="288">
        <v>51.3</v>
      </c>
      <c r="I37" s="308">
        <v>1.02</v>
      </c>
      <c r="J37" s="309">
        <v>0.745</v>
      </c>
      <c r="K37" s="310">
        <v>9.9099999999999994E-2</v>
      </c>
      <c r="L37" s="310">
        <v>0.17399999999999999</v>
      </c>
      <c r="M37" s="308">
        <v>4.9099999999999998E-2</v>
      </c>
      <c r="N37" s="309">
        <v>3.0499999999999999E-2</v>
      </c>
      <c r="O37" s="310">
        <v>5.8399999999999997E-3</v>
      </c>
      <c r="P37" s="310">
        <v>1.2800000000000001E-2</v>
      </c>
      <c r="Q37" s="308">
        <v>0.96699999999999997</v>
      </c>
      <c r="R37" s="309">
        <v>0.71199999999999997</v>
      </c>
      <c r="S37" s="310">
        <v>9.3200000000000005E-2</v>
      </c>
      <c r="T37" s="310">
        <v>0.16200000000000001</v>
      </c>
      <c r="U37" s="311">
        <v>0.23200000000000001</v>
      </c>
      <c r="V37" s="310">
        <v>0.192</v>
      </c>
      <c r="W37" s="312">
        <v>1.95E-2</v>
      </c>
      <c r="X37" s="312">
        <v>2.1100000000000001E-2</v>
      </c>
      <c r="Y37" s="284" t="s">
        <v>2431</v>
      </c>
      <c r="Z37" s="285" t="s">
        <v>2470</v>
      </c>
      <c r="AA37" s="190"/>
      <c r="AB37" s="314"/>
      <c r="AC37" s="314"/>
    </row>
    <row r="38" spans="1:29" s="192" customFormat="1" ht="15" customHeight="1">
      <c r="A38" s="198" t="s">
        <v>2471</v>
      </c>
      <c r="B38" s="273" t="s">
        <v>2472</v>
      </c>
      <c r="C38" s="274" t="s">
        <v>2429</v>
      </c>
      <c r="D38" s="306" t="s">
        <v>2430</v>
      </c>
      <c r="E38" s="307">
        <v>344</v>
      </c>
      <c r="F38" s="288">
        <v>274</v>
      </c>
      <c r="G38" s="288">
        <v>30.4</v>
      </c>
      <c r="H38" s="288">
        <v>39.799999999999997</v>
      </c>
      <c r="I38" s="308">
        <v>0.79800000000000004</v>
      </c>
      <c r="J38" s="309">
        <v>0.58599999999999997</v>
      </c>
      <c r="K38" s="310">
        <v>7.8100000000000003E-2</v>
      </c>
      <c r="L38" s="310">
        <v>0.13300000000000001</v>
      </c>
      <c r="M38" s="308">
        <v>3.6700000000000003E-2</v>
      </c>
      <c r="N38" s="309">
        <v>2.4E-2</v>
      </c>
      <c r="O38" s="310">
        <v>4.4799999999999996E-3</v>
      </c>
      <c r="P38" s="310">
        <v>8.1600000000000006E-3</v>
      </c>
      <c r="Q38" s="308">
        <v>0.75900000000000001</v>
      </c>
      <c r="R38" s="309">
        <v>0.56100000000000005</v>
      </c>
      <c r="S38" s="310">
        <v>7.3599999999999999E-2</v>
      </c>
      <c r="T38" s="310">
        <v>0.125</v>
      </c>
      <c r="U38" s="311">
        <v>0.183</v>
      </c>
      <c r="V38" s="310">
        <v>0.15</v>
      </c>
      <c r="W38" s="312">
        <v>1.5800000000000002E-2</v>
      </c>
      <c r="X38" s="312">
        <v>1.6899999999999998E-2</v>
      </c>
      <c r="Y38" s="284" t="s">
        <v>2431</v>
      </c>
      <c r="Z38" s="285" t="s">
        <v>2473</v>
      </c>
      <c r="AA38" s="190"/>
      <c r="AB38" s="314"/>
      <c r="AC38" s="314"/>
    </row>
    <row r="39" spans="1:29" s="192" customFormat="1" ht="15" customHeight="1">
      <c r="A39" s="198" t="s">
        <v>2474</v>
      </c>
      <c r="B39" s="273" t="s">
        <v>2475</v>
      </c>
      <c r="C39" s="274" t="s">
        <v>2429</v>
      </c>
      <c r="D39" s="306" t="s">
        <v>2430</v>
      </c>
      <c r="E39" s="307">
        <v>214</v>
      </c>
      <c r="F39" s="288">
        <v>160</v>
      </c>
      <c r="G39" s="288">
        <v>21.4</v>
      </c>
      <c r="H39" s="288">
        <v>33.4</v>
      </c>
      <c r="I39" s="308">
        <v>0.52300000000000002</v>
      </c>
      <c r="J39" s="309">
        <v>0.35599999999999998</v>
      </c>
      <c r="K39" s="310">
        <v>5.6899999999999999E-2</v>
      </c>
      <c r="L39" s="310">
        <v>0.109</v>
      </c>
      <c r="M39" s="308">
        <v>2.29E-2</v>
      </c>
      <c r="N39" s="309">
        <v>1.46E-2</v>
      </c>
      <c r="O39" s="310">
        <v>3.1199999999999999E-3</v>
      </c>
      <c r="P39" s="310">
        <v>5.1999999999999998E-3</v>
      </c>
      <c r="Q39" s="308">
        <v>0.499</v>
      </c>
      <c r="R39" s="309">
        <v>0.34100000000000003</v>
      </c>
      <c r="S39" s="310">
        <v>5.3699999999999998E-2</v>
      </c>
      <c r="T39" s="310">
        <v>0.104</v>
      </c>
      <c r="U39" s="311">
        <v>0.11799999999999999</v>
      </c>
      <c r="V39" s="310">
        <v>9.2299999999999993E-2</v>
      </c>
      <c r="W39" s="312">
        <v>1.0999999999999999E-2</v>
      </c>
      <c r="X39" s="312">
        <v>1.47E-2</v>
      </c>
      <c r="Y39" s="284" t="s">
        <v>2431</v>
      </c>
      <c r="Z39" s="285" t="s">
        <v>2476</v>
      </c>
      <c r="AA39" s="190"/>
      <c r="AB39" s="314"/>
      <c r="AC39" s="314"/>
    </row>
    <row r="40" spans="1:29" s="192" customFormat="1" ht="15" customHeight="1">
      <c r="A40" s="265" t="s">
        <v>2477</v>
      </c>
      <c r="B40" s="266" t="s">
        <v>2478</v>
      </c>
      <c r="C40" s="303"/>
      <c r="D40" s="304" t="s">
        <v>2370</v>
      </c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4"/>
      <c r="T40" s="304"/>
      <c r="U40" s="304"/>
      <c r="V40" s="304"/>
      <c r="W40" s="304"/>
      <c r="X40" s="304"/>
      <c r="Y40" s="305"/>
      <c r="Z40" s="272" t="s">
        <v>2479</v>
      </c>
      <c r="AA40" s="190"/>
      <c r="AB40" s="314"/>
      <c r="AC40" s="314"/>
    </row>
    <row r="41" spans="1:29" s="192" customFormat="1" ht="15" customHeight="1">
      <c r="A41" s="198" t="s">
        <v>2480</v>
      </c>
      <c r="B41" s="273" t="s">
        <v>2481</v>
      </c>
      <c r="C41" s="274" t="s">
        <v>2429</v>
      </c>
      <c r="D41" s="306" t="s">
        <v>2482</v>
      </c>
      <c r="E41" s="320">
        <v>258</v>
      </c>
      <c r="F41" s="334">
        <v>228</v>
      </c>
      <c r="G41" s="335">
        <v>12.9</v>
      </c>
      <c r="H41" s="336">
        <v>17.899999999999999</v>
      </c>
      <c r="I41" s="300">
        <v>0.63900000000000001</v>
      </c>
      <c r="J41" s="329">
        <v>0.53900000000000003</v>
      </c>
      <c r="K41" s="322">
        <v>3.8899999999999997E-2</v>
      </c>
      <c r="L41" s="322">
        <v>6.0699999999999997E-2</v>
      </c>
      <c r="M41" s="300">
        <v>1.21E-2</v>
      </c>
      <c r="N41" s="329">
        <v>2.3600000000000001E-3</v>
      </c>
      <c r="O41" s="322">
        <v>5.45E-3</v>
      </c>
      <c r="P41" s="322">
        <v>4.2700000000000004E-3</v>
      </c>
      <c r="Q41" s="300">
        <v>0.627</v>
      </c>
      <c r="R41" s="329">
        <v>0.53700000000000003</v>
      </c>
      <c r="S41" s="322">
        <v>3.3399999999999999E-2</v>
      </c>
      <c r="T41" s="322">
        <v>5.6399999999999999E-2</v>
      </c>
      <c r="U41" s="295">
        <v>0.156</v>
      </c>
      <c r="V41" s="323">
        <v>0.14299999999999999</v>
      </c>
      <c r="W41" s="325">
        <v>5.7499999999999999E-3</v>
      </c>
      <c r="X41" s="325">
        <v>7.4200000000000004E-3</v>
      </c>
      <c r="Y41" s="284" t="s">
        <v>2431</v>
      </c>
      <c r="Z41" s="285" t="s">
        <v>2481</v>
      </c>
      <c r="AA41" s="190"/>
      <c r="AB41" s="314"/>
      <c r="AC41" s="314"/>
    </row>
    <row r="42" spans="1:29" s="192" customFormat="1" ht="15" customHeight="1">
      <c r="A42" s="198" t="s">
        <v>2483</v>
      </c>
      <c r="B42" s="273" t="s">
        <v>2484</v>
      </c>
      <c r="C42" s="274" t="s">
        <v>2429</v>
      </c>
      <c r="D42" s="306" t="s">
        <v>2482</v>
      </c>
      <c r="E42" s="292">
        <v>30.1</v>
      </c>
      <c r="F42" s="336">
        <v>13.6</v>
      </c>
      <c r="G42" s="335">
        <v>3.32</v>
      </c>
      <c r="H42" s="336">
        <v>13.2</v>
      </c>
      <c r="I42" s="295">
        <v>0.11600000000000001</v>
      </c>
      <c r="J42" s="322">
        <v>7.9899999999999999E-2</v>
      </c>
      <c r="K42" s="323">
        <v>0.01</v>
      </c>
      <c r="L42" s="322">
        <v>2.6499999999999999E-2</v>
      </c>
      <c r="M42" s="295">
        <v>7.2300000000000003E-2</v>
      </c>
      <c r="N42" s="322">
        <v>6.7400000000000002E-2</v>
      </c>
      <c r="O42" s="323">
        <v>1.15E-3</v>
      </c>
      <c r="P42" s="322">
        <v>3.7399999999999998E-3</v>
      </c>
      <c r="Q42" s="295">
        <v>4.41E-2</v>
      </c>
      <c r="R42" s="322">
        <v>1.2500000000000001E-2</v>
      </c>
      <c r="S42" s="323">
        <v>8.8599999999999998E-3</v>
      </c>
      <c r="T42" s="322">
        <v>2.2700000000000001E-2</v>
      </c>
      <c r="U42" s="337">
        <v>7.3899999999999999E-3</v>
      </c>
      <c r="V42" s="332">
        <v>6.8300000000000001E-4</v>
      </c>
      <c r="W42" s="332">
        <v>1.6299999999999999E-3</v>
      </c>
      <c r="X42" s="325">
        <v>5.0699999999999999E-3</v>
      </c>
      <c r="Y42" s="284" t="s">
        <v>2431</v>
      </c>
      <c r="Z42" s="285" t="s">
        <v>2485</v>
      </c>
      <c r="AA42" s="190"/>
      <c r="AB42" s="314"/>
      <c r="AC42" s="314"/>
    </row>
    <row r="43" spans="1:29" s="192" customFormat="1" ht="15" customHeight="1">
      <c r="A43" s="198" t="s">
        <v>2486</v>
      </c>
      <c r="B43" s="273" t="s">
        <v>2487</v>
      </c>
      <c r="C43" s="274" t="s">
        <v>2429</v>
      </c>
      <c r="D43" s="306" t="s">
        <v>2482</v>
      </c>
      <c r="E43" s="292">
        <v>64.8</v>
      </c>
      <c r="F43" s="336">
        <v>44</v>
      </c>
      <c r="G43" s="335">
        <v>1.99</v>
      </c>
      <c r="H43" s="336">
        <v>18.8</v>
      </c>
      <c r="I43" s="300">
        <v>0.16</v>
      </c>
      <c r="J43" s="322">
        <v>0.128</v>
      </c>
      <c r="K43" s="323">
        <v>5.2399999999999999E-3</v>
      </c>
      <c r="L43" s="323">
        <v>2.6499999999999999E-2</v>
      </c>
      <c r="M43" s="300">
        <v>3.4500000000000003E-2</v>
      </c>
      <c r="N43" s="322">
        <v>3.2300000000000002E-2</v>
      </c>
      <c r="O43" s="323">
        <v>3.5199999999999999E-4</v>
      </c>
      <c r="P43" s="323">
        <v>1.81E-3</v>
      </c>
      <c r="Q43" s="300">
        <v>0.125</v>
      </c>
      <c r="R43" s="322">
        <v>9.5500000000000002E-2</v>
      </c>
      <c r="S43" s="323">
        <v>4.8900000000000002E-3</v>
      </c>
      <c r="T43" s="323">
        <v>2.47E-2</v>
      </c>
      <c r="U43" s="298">
        <v>3.4299999999999997E-2</v>
      </c>
      <c r="V43" s="323">
        <v>2.46E-2</v>
      </c>
      <c r="W43" s="325">
        <v>1.09E-3</v>
      </c>
      <c r="X43" s="325">
        <v>8.5699999999999995E-3</v>
      </c>
      <c r="Y43" s="284" t="s">
        <v>2431</v>
      </c>
      <c r="Z43" s="285" t="s">
        <v>2488</v>
      </c>
      <c r="AA43" s="190"/>
      <c r="AB43" s="314"/>
      <c r="AC43" s="314"/>
    </row>
    <row r="44" spans="1:29" s="192" customFormat="1" ht="15" customHeight="1">
      <c r="A44" s="198" t="s">
        <v>2489</v>
      </c>
      <c r="B44" s="273" t="s">
        <v>2434</v>
      </c>
      <c r="C44" s="274" t="s">
        <v>2429</v>
      </c>
      <c r="D44" s="306" t="s">
        <v>2482</v>
      </c>
      <c r="E44" s="320">
        <v>332</v>
      </c>
      <c r="F44" s="334">
        <v>324</v>
      </c>
      <c r="G44" s="338">
        <v>0.66100000000000003</v>
      </c>
      <c r="H44" s="336">
        <v>6.91</v>
      </c>
      <c r="I44" s="300">
        <v>0.53700000000000003</v>
      </c>
      <c r="J44" s="329">
        <v>0.51300000000000001</v>
      </c>
      <c r="K44" s="325">
        <v>1.8400000000000001E-3</v>
      </c>
      <c r="L44" s="323">
        <v>2.1999999999999999E-2</v>
      </c>
      <c r="M44" s="300">
        <v>3.7799999999999999E-3</v>
      </c>
      <c r="N44" s="329">
        <v>2.2200000000000002E-3</v>
      </c>
      <c r="O44" s="325">
        <v>1.55E-4</v>
      </c>
      <c r="P44" s="323">
        <v>1.4E-3</v>
      </c>
      <c r="Q44" s="300">
        <v>0.53300000000000003</v>
      </c>
      <c r="R44" s="329">
        <v>0.51100000000000001</v>
      </c>
      <c r="S44" s="325">
        <v>1.6900000000000001E-3</v>
      </c>
      <c r="T44" s="322">
        <v>2.06E-2</v>
      </c>
      <c r="U44" s="295">
        <v>0.28299999999999997</v>
      </c>
      <c r="V44" s="322">
        <v>0.27800000000000002</v>
      </c>
      <c r="W44" s="332">
        <v>3.86E-4</v>
      </c>
      <c r="X44" s="323">
        <v>4.13E-3</v>
      </c>
      <c r="Y44" s="284" t="s">
        <v>2431</v>
      </c>
      <c r="Z44" s="285" t="s">
        <v>2490</v>
      </c>
      <c r="AA44" s="190"/>
      <c r="AB44" s="314"/>
      <c r="AC44" s="314"/>
    </row>
    <row r="45" spans="1:29" s="192" customFormat="1" ht="15" customHeight="1">
      <c r="A45" s="198" t="s">
        <v>2491</v>
      </c>
      <c r="B45" s="273" t="s">
        <v>2437</v>
      </c>
      <c r="C45" s="274" t="s">
        <v>2429</v>
      </c>
      <c r="D45" s="306" t="s">
        <v>2482</v>
      </c>
      <c r="E45" s="320">
        <v>427</v>
      </c>
      <c r="F45" s="334">
        <v>405</v>
      </c>
      <c r="G45" s="338">
        <v>0.72899999999999998</v>
      </c>
      <c r="H45" s="336">
        <v>21.2</v>
      </c>
      <c r="I45" s="300">
        <v>0.82299999999999995</v>
      </c>
      <c r="J45" s="329">
        <v>0.754</v>
      </c>
      <c r="K45" s="325">
        <v>2.0400000000000001E-3</v>
      </c>
      <c r="L45" s="322">
        <v>6.7500000000000004E-2</v>
      </c>
      <c r="M45" s="300">
        <v>7.7200000000000003E-3</v>
      </c>
      <c r="N45" s="329">
        <v>3.2699999999999999E-3</v>
      </c>
      <c r="O45" s="325">
        <v>1.6100000000000001E-4</v>
      </c>
      <c r="P45" s="322">
        <v>4.2900000000000004E-3</v>
      </c>
      <c r="Q45" s="300">
        <v>0.81599999999999995</v>
      </c>
      <c r="R45" s="329">
        <v>0.751</v>
      </c>
      <c r="S45" s="325">
        <v>1.8799999999999999E-3</v>
      </c>
      <c r="T45" s="322">
        <v>6.3200000000000006E-2</v>
      </c>
      <c r="U45" s="295">
        <v>0.35</v>
      </c>
      <c r="V45" s="322">
        <v>0.33700000000000002</v>
      </c>
      <c r="W45" s="332">
        <v>4.28E-4</v>
      </c>
      <c r="X45" s="323">
        <v>1.2699999999999999E-2</v>
      </c>
      <c r="Y45" s="284" t="s">
        <v>2431</v>
      </c>
      <c r="Z45" s="285" t="s">
        <v>2438</v>
      </c>
      <c r="AA45" s="190"/>
      <c r="AB45" s="314"/>
      <c r="AC45" s="314"/>
    </row>
    <row r="46" spans="1:29" s="192" customFormat="1" ht="15" customHeight="1">
      <c r="A46" s="198" t="s">
        <v>2492</v>
      </c>
      <c r="B46" s="273" t="s">
        <v>2439</v>
      </c>
      <c r="C46" s="274" t="s">
        <v>2429</v>
      </c>
      <c r="D46" s="306" t="s">
        <v>2482</v>
      </c>
      <c r="E46" s="320">
        <v>302</v>
      </c>
      <c r="F46" s="334">
        <v>296</v>
      </c>
      <c r="G46" s="338">
        <v>0.184</v>
      </c>
      <c r="H46" s="336">
        <v>5.59</v>
      </c>
      <c r="I46" s="300">
        <v>0.47099999999999997</v>
      </c>
      <c r="J46" s="329">
        <v>0.45300000000000001</v>
      </c>
      <c r="K46" s="325">
        <v>5.1599999999999997E-4</v>
      </c>
      <c r="L46" s="322">
        <v>1.78E-2</v>
      </c>
      <c r="M46" s="300">
        <v>3.13E-3</v>
      </c>
      <c r="N46" s="329">
        <v>1.9599999999999999E-3</v>
      </c>
      <c r="O46" s="325">
        <v>4.0800000000000002E-5</v>
      </c>
      <c r="P46" s="322">
        <v>1.1299999999999999E-3</v>
      </c>
      <c r="Q46" s="300">
        <v>0.46800000000000003</v>
      </c>
      <c r="R46" s="329">
        <v>0.45100000000000001</v>
      </c>
      <c r="S46" s="325">
        <v>4.75E-4</v>
      </c>
      <c r="T46" s="322">
        <v>1.66E-2</v>
      </c>
      <c r="U46" s="295">
        <v>0.25900000000000001</v>
      </c>
      <c r="V46" s="322">
        <v>0.255</v>
      </c>
      <c r="W46" s="332">
        <v>1.08E-4</v>
      </c>
      <c r="X46" s="323">
        <v>3.3400000000000001E-3</v>
      </c>
      <c r="Y46" s="284" t="s">
        <v>2431</v>
      </c>
      <c r="Z46" s="285" t="s">
        <v>2440</v>
      </c>
      <c r="AA46" s="190"/>
      <c r="AB46" s="314"/>
      <c r="AC46" s="314"/>
    </row>
    <row r="47" spans="1:29" s="192" customFormat="1" ht="15" customHeight="1">
      <c r="A47" s="198" t="s">
        <v>2493</v>
      </c>
      <c r="B47" s="273" t="s">
        <v>2442</v>
      </c>
      <c r="C47" s="274" t="s">
        <v>2429</v>
      </c>
      <c r="D47" s="306" t="s">
        <v>2482</v>
      </c>
      <c r="E47" s="320">
        <v>303</v>
      </c>
      <c r="F47" s="334">
        <v>301</v>
      </c>
      <c r="G47" s="338">
        <v>0.16200000000000001</v>
      </c>
      <c r="H47" s="335">
        <v>1.95</v>
      </c>
      <c r="I47" s="300">
        <v>0.44500000000000001</v>
      </c>
      <c r="J47" s="329">
        <v>0.438</v>
      </c>
      <c r="K47" s="325">
        <v>4.5199999999999998E-4</v>
      </c>
      <c r="L47" s="323">
        <v>6.1999999999999998E-3</v>
      </c>
      <c r="M47" s="300">
        <v>2.33E-3</v>
      </c>
      <c r="N47" s="329">
        <v>1.9E-3</v>
      </c>
      <c r="O47" s="325">
        <v>3.8000000000000002E-5</v>
      </c>
      <c r="P47" s="323">
        <v>3.9399999999999998E-4</v>
      </c>
      <c r="Q47" s="300">
        <v>0.442</v>
      </c>
      <c r="R47" s="329">
        <v>0.436</v>
      </c>
      <c r="S47" s="325">
        <v>4.1399999999999998E-4</v>
      </c>
      <c r="T47" s="323">
        <v>5.7999999999999996E-3</v>
      </c>
      <c r="U47" s="295">
        <v>0.26300000000000001</v>
      </c>
      <c r="V47" s="322">
        <v>0.26100000000000001</v>
      </c>
      <c r="W47" s="332">
        <v>9.4699999999999998E-5</v>
      </c>
      <c r="X47" s="325">
        <v>1.16E-3</v>
      </c>
      <c r="Y47" s="284" t="s">
        <v>2431</v>
      </c>
      <c r="Z47" s="285" t="s">
        <v>2443</v>
      </c>
      <c r="AA47" s="190"/>
      <c r="AB47" s="314"/>
      <c r="AC47" s="314"/>
    </row>
    <row r="48" spans="1:29" s="192" customFormat="1" ht="15" customHeight="1">
      <c r="A48" s="198" t="s">
        <v>2494</v>
      </c>
      <c r="B48" s="273" t="s">
        <v>2495</v>
      </c>
      <c r="C48" s="274" t="s">
        <v>2449</v>
      </c>
      <c r="D48" s="306" t="s">
        <v>2450</v>
      </c>
      <c r="E48" s="320">
        <v>1270000</v>
      </c>
      <c r="F48" s="334">
        <v>1270000</v>
      </c>
      <c r="G48" s="338">
        <v>7510</v>
      </c>
      <c r="H48" s="335">
        <v>0</v>
      </c>
      <c r="I48" s="300">
        <v>3630</v>
      </c>
      <c r="J48" s="329">
        <v>3610</v>
      </c>
      <c r="K48" s="325">
        <v>21</v>
      </c>
      <c r="L48" s="323">
        <v>0</v>
      </c>
      <c r="M48" s="300">
        <v>17.3</v>
      </c>
      <c r="N48" s="329">
        <v>15.6</v>
      </c>
      <c r="O48" s="325">
        <v>1.66</v>
      </c>
      <c r="P48" s="323">
        <v>0</v>
      </c>
      <c r="Q48" s="300">
        <v>3610</v>
      </c>
      <c r="R48" s="329">
        <v>3590</v>
      </c>
      <c r="S48" s="325">
        <v>19.399999999999999</v>
      </c>
      <c r="T48" s="323">
        <v>0</v>
      </c>
      <c r="U48" s="295">
        <v>968</v>
      </c>
      <c r="V48" s="322">
        <v>964</v>
      </c>
      <c r="W48" s="332">
        <v>4.41</v>
      </c>
      <c r="X48" s="325">
        <v>0</v>
      </c>
      <c r="Y48" s="284" t="s">
        <v>2451</v>
      </c>
      <c r="Z48" s="285" t="s">
        <v>2496</v>
      </c>
      <c r="AA48" s="190"/>
      <c r="AB48" s="314"/>
      <c r="AC48" s="314"/>
    </row>
    <row r="49" spans="1:29" s="192" customFormat="1" ht="15" customHeight="1">
      <c r="A49" s="198" t="s">
        <v>2497</v>
      </c>
      <c r="B49" s="273" t="s">
        <v>2498</v>
      </c>
      <c r="C49" s="274" t="s">
        <v>2449</v>
      </c>
      <c r="D49" s="306" t="s">
        <v>2450</v>
      </c>
      <c r="E49" s="320">
        <v>1830000</v>
      </c>
      <c r="F49" s="334">
        <v>1830000</v>
      </c>
      <c r="G49" s="338">
        <v>8750</v>
      </c>
      <c r="H49" s="335">
        <v>0</v>
      </c>
      <c r="I49" s="300">
        <v>5200</v>
      </c>
      <c r="J49" s="329">
        <v>5180</v>
      </c>
      <c r="K49" s="325">
        <v>24.5</v>
      </c>
      <c r="L49" s="323">
        <v>0</v>
      </c>
      <c r="M49" s="300">
        <v>24.4</v>
      </c>
      <c r="N49" s="329">
        <v>22.4</v>
      </c>
      <c r="O49" s="325">
        <v>1.94</v>
      </c>
      <c r="P49" s="323">
        <v>0</v>
      </c>
      <c r="Q49" s="300">
        <v>5180</v>
      </c>
      <c r="R49" s="329">
        <v>5160</v>
      </c>
      <c r="S49" s="325">
        <v>22.5</v>
      </c>
      <c r="T49" s="323">
        <v>0</v>
      </c>
      <c r="U49" s="295">
        <v>1410</v>
      </c>
      <c r="V49" s="322">
        <v>1410</v>
      </c>
      <c r="W49" s="332">
        <v>5.14</v>
      </c>
      <c r="X49" s="325">
        <v>0</v>
      </c>
      <c r="Y49" s="284" t="s">
        <v>2451</v>
      </c>
      <c r="Z49" s="285" t="s">
        <v>2499</v>
      </c>
      <c r="AA49" s="190"/>
      <c r="AB49" s="314"/>
      <c r="AC49" s="314"/>
    </row>
    <row r="50" spans="1:29" s="192" customFormat="1" ht="15" customHeight="1">
      <c r="A50" s="198" t="s">
        <v>2500</v>
      </c>
      <c r="B50" s="273" t="s">
        <v>2501</v>
      </c>
      <c r="C50" s="274" t="s">
        <v>2429</v>
      </c>
      <c r="D50" s="306" t="s">
        <v>2482</v>
      </c>
      <c r="E50" s="320">
        <v>352</v>
      </c>
      <c r="F50" s="334">
        <v>220</v>
      </c>
      <c r="G50" s="336">
        <v>96.6</v>
      </c>
      <c r="H50" s="336">
        <v>35.299999999999997</v>
      </c>
      <c r="I50" s="300">
        <v>0.91600000000000004</v>
      </c>
      <c r="J50" s="329">
        <v>0.57599999999999996</v>
      </c>
      <c r="K50" s="322">
        <v>0.20499999999999999</v>
      </c>
      <c r="L50" s="322">
        <v>0.13500000000000001</v>
      </c>
      <c r="M50" s="300">
        <v>4.6399999999999997E-2</v>
      </c>
      <c r="N50" s="329">
        <v>8.0599999999999995E-3</v>
      </c>
      <c r="O50" s="322">
        <v>1.7999999999999999E-2</v>
      </c>
      <c r="P50" s="322">
        <v>2.0299999999999999E-2</v>
      </c>
      <c r="Q50" s="300">
        <v>0.87</v>
      </c>
      <c r="R50" s="329">
        <v>0.56699999999999995</v>
      </c>
      <c r="S50" s="322">
        <v>0.187</v>
      </c>
      <c r="T50" s="322">
        <v>0.115</v>
      </c>
      <c r="U50" s="295">
        <v>0.21199999999999999</v>
      </c>
      <c r="V50" s="322">
        <v>0.154</v>
      </c>
      <c r="W50" s="323">
        <v>4.7E-2</v>
      </c>
      <c r="X50" s="325">
        <v>1.0999999999999999E-2</v>
      </c>
      <c r="Y50" s="284" t="s">
        <v>2431</v>
      </c>
      <c r="Z50" s="285" t="s">
        <v>2502</v>
      </c>
      <c r="AA50" s="190"/>
      <c r="AB50" s="314"/>
      <c r="AC50" s="314"/>
    </row>
    <row r="51" spans="1:29" s="192" customFormat="1" ht="15" customHeight="1">
      <c r="A51" s="198" t="s">
        <v>2503</v>
      </c>
      <c r="B51" s="286" t="s">
        <v>2504</v>
      </c>
      <c r="C51" s="274" t="s">
        <v>2429</v>
      </c>
      <c r="D51" s="306" t="s">
        <v>2482</v>
      </c>
      <c r="E51" s="320">
        <v>365</v>
      </c>
      <c r="F51" s="334">
        <v>237</v>
      </c>
      <c r="G51" s="336">
        <v>93</v>
      </c>
      <c r="H51" s="336">
        <v>34.799999999999997</v>
      </c>
      <c r="I51" s="300">
        <v>0.96899999999999997</v>
      </c>
      <c r="J51" s="329">
        <v>0.63600000000000001</v>
      </c>
      <c r="K51" s="322">
        <v>0.19900000000000001</v>
      </c>
      <c r="L51" s="322">
        <v>0.13400000000000001</v>
      </c>
      <c r="M51" s="300">
        <v>4.9500000000000002E-2</v>
      </c>
      <c r="N51" s="329">
        <v>1.1900000000000001E-2</v>
      </c>
      <c r="O51" s="322">
        <v>1.7399999999999999E-2</v>
      </c>
      <c r="P51" s="322">
        <v>2.0199999999999999E-2</v>
      </c>
      <c r="Q51" s="300">
        <v>0.91900000000000004</v>
      </c>
      <c r="R51" s="329">
        <v>0.624</v>
      </c>
      <c r="S51" s="322">
        <v>0.182</v>
      </c>
      <c r="T51" s="322">
        <v>0.113</v>
      </c>
      <c r="U51" s="295">
        <v>0.22500000000000001</v>
      </c>
      <c r="V51" s="322">
        <v>0.16800000000000001</v>
      </c>
      <c r="W51" s="323">
        <v>4.5499999999999999E-2</v>
      </c>
      <c r="X51" s="325">
        <v>1.0699999999999999E-2</v>
      </c>
      <c r="Y51" s="284" t="s">
        <v>2431</v>
      </c>
      <c r="Z51" s="291" t="s">
        <v>2505</v>
      </c>
      <c r="AA51" s="190"/>
      <c r="AB51" s="314"/>
      <c r="AC51" s="314"/>
    </row>
    <row r="52" spans="1:29" s="192" customFormat="1" ht="15" customHeight="1">
      <c r="A52" s="198" t="s">
        <v>2506</v>
      </c>
      <c r="B52" s="286" t="s">
        <v>2507</v>
      </c>
      <c r="C52" s="274" t="s">
        <v>2429</v>
      </c>
      <c r="D52" s="306" t="s">
        <v>2482</v>
      </c>
      <c r="E52" s="320">
        <v>193</v>
      </c>
      <c r="F52" s="336">
        <v>112</v>
      </c>
      <c r="G52" s="336">
        <v>46.7</v>
      </c>
      <c r="H52" s="336">
        <v>35</v>
      </c>
      <c r="I52" s="300">
        <v>0.46800000000000003</v>
      </c>
      <c r="J52" s="329">
        <v>0.21099999999999999</v>
      </c>
      <c r="K52" s="322">
        <v>0.12</v>
      </c>
      <c r="L52" s="322">
        <v>0.13600000000000001</v>
      </c>
      <c r="M52" s="300">
        <v>5.0999999999999997E-2</v>
      </c>
      <c r="N52" s="329">
        <v>2.1399999999999999E-2</v>
      </c>
      <c r="O52" s="322">
        <v>8.0000000000000002E-3</v>
      </c>
      <c r="P52" s="322">
        <v>2.1700000000000001E-2</v>
      </c>
      <c r="Q52" s="300">
        <v>0.41699999999999998</v>
      </c>
      <c r="R52" s="322">
        <v>0.19</v>
      </c>
      <c r="S52" s="322">
        <v>0.112</v>
      </c>
      <c r="T52" s="322">
        <v>0.115</v>
      </c>
      <c r="U52" s="295">
        <v>0.10299999999999999</v>
      </c>
      <c r="V52" s="322">
        <v>6.7799999999999999E-2</v>
      </c>
      <c r="W52" s="323">
        <v>2.4299999999999999E-2</v>
      </c>
      <c r="X52" s="325">
        <v>1.04E-2</v>
      </c>
      <c r="Y52" s="284" t="s">
        <v>2431</v>
      </c>
      <c r="Z52" s="291" t="s">
        <v>2508</v>
      </c>
      <c r="AA52" s="190"/>
      <c r="AB52" s="314"/>
      <c r="AC52" s="314"/>
    </row>
    <row r="53" spans="1:29" s="192" customFormat="1" ht="15" customHeight="1">
      <c r="A53" s="198" t="s">
        <v>2509</v>
      </c>
      <c r="B53" s="286" t="s">
        <v>2510</v>
      </c>
      <c r="C53" s="274" t="s">
        <v>2429</v>
      </c>
      <c r="D53" s="306" t="s">
        <v>2482</v>
      </c>
      <c r="E53" s="320">
        <v>333</v>
      </c>
      <c r="F53" s="334">
        <v>195</v>
      </c>
      <c r="G53" s="336">
        <v>102</v>
      </c>
      <c r="H53" s="336">
        <v>36</v>
      </c>
      <c r="I53" s="300">
        <v>0.83399999999999996</v>
      </c>
      <c r="J53" s="329">
        <v>0.48199999999999998</v>
      </c>
      <c r="K53" s="322">
        <v>0.215</v>
      </c>
      <c r="L53" s="322">
        <v>0.13800000000000001</v>
      </c>
      <c r="M53" s="300">
        <v>4.1599999999999998E-2</v>
      </c>
      <c r="N53" s="329">
        <v>2.0999999999999999E-3</v>
      </c>
      <c r="O53" s="322">
        <v>1.9099999999999999E-2</v>
      </c>
      <c r="P53" s="322">
        <v>2.0299999999999999E-2</v>
      </c>
      <c r="Q53" s="300">
        <v>0.79300000000000004</v>
      </c>
      <c r="R53" s="329">
        <v>0.48</v>
      </c>
      <c r="S53" s="322">
        <v>0.19600000000000001</v>
      </c>
      <c r="T53" s="322">
        <v>0.11700000000000001</v>
      </c>
      <c r="U53" s="295">
        <v>0.192</v>
      </c>
      <c r="V53" s="322">
        <v>0.13200000000000001</v>
      </c>
      <c r="W53" s="323">
        <v>4.9200000000000001E-2</v>
      </c>
      <c r="X53" s="325">
        <v>1.1299999999999999E-2</v>
      </c>
      <c r="Y53" s="284" t="s">
        <v>2431</v>
      </c>
      <c r="Z53" s="291" t="s">
        <v>2511</v>
      </c>
      <c r="AA53" s="190"/>
      <c r="AB53" s="314"/>
      <c r="AC53" s="314"/>
    </row>
    <row r="54" spans="1:29" s="192" customFormat="1" ht="15" customHeight="1">
      <c r="A54" s="198" t="s">
        <v>2512</v>
      </c>
      <c r="B54" s="286" t="s">
        <v>2513</v>
      </c>
      <c r="C54" s="274" t="s">
        <v>2429</v>
      </c>
      <c r="D54" s="306" t="s">
        <v>2482</v>
      </c>
      <c r="E54" s="320">
        <v>256</v>
      </c>
      <c r="F54" s="336">
        <v>78.099999999999994</v>
      </c>
      <c r="G54" s="336">
        <v>143</v>
      </c>
      <c r="H54" s="336">
        <v>34.799999999999997</v>
      </c>
      <c r="I54" s="300">
        <v>0.748</v>
      </c>
      <c r="J54" s="329">
        <v>0.32800000000000001</v>
      </c>
      <c r="K54" s="322">
        <v>0.28599999999999998</v>
      </c>
      <c r="L54" s="322">
        <v>0.13400000000000001</v>
      </c>
      <c r="M54" s="300">
        <v>0.108</v>
      </c>
      <c r="N54" s="329">
        <v>6.9099999999999995E-2</v>
      </c>
      <c r="O54" s="322">
        <v>1.8499999999999999E-2</v>
      </c>
      <c r="P54" s="322">
        <v>2.0199999999999999E-2</v>
      </c>
      <c r="Q54" s="300">
        <v>0.64</v>
      </c>
      <c r="R54" s="322">
        <v>0.25900000000000001</v>
      </c>
      <c r="S54" s="322">
        <v>0.26800000000000002</v>
      </c>
      <c r="T54" s="322">
        <v>0.114</v>
      </c>
      <c r="U54" s="295">
        <v>9.2799999999999994E-2</v>
      </c>
      <c r="V54" s="322">
        <v>1.9599999999999999E-2</v>
      </c>
      <c r="W54" s="323">
        <v>6.2399999999999997E-2</v>
      </c>
      <c r="X54" s="325">
        <v>1.0699999999999999E-2</v>
      </c>
      <c r="Y54" s="284" t="s">
        <v>2431</v>
      </c>
      <c r="Z54" s="291" t="s">
        <v>2514</v>
      </c>
      <c r="AA54" s="190"/>
      <c r="AB54" s="314"/>
      <c r="AC54" s="314"/>
    </row>
    <row r="55" spans="1:29" s="192" customFormat="1" ht="15" customHeight="1">
      <c r="A55" s="198">
        <v>63.021000000000001</v>
      </c>
      <c r="B55" s="286" t="s">
        <v>2515</v>
      </c>
      <c r="C55" s="274" t="s">
        <v>2429</v>
      </c>
      <c r="D55" s="306" t="s">
        <v>2482</v>
      </c>
      <c r="E55" s="320">
        <v>202</v>
      </c>
      <c r="F55" s="336">
        <v>24.5</v>
      </c>
      <c r="G55" s="336">
        <v>143</v>
      </c>
      <c r="H55" s="336">
        <v>34.799999999999997</v>
      </c>
      <c r="I55" s="300">
        <v>0.56799999999999995</v>
      </c>
      <c r="J55" s="329">
        <v>0.14799999999999999</v>
      </c>
      <c r="K55" s="322">
        <v>0.28599999999999998</v>
      </c>
      <c r="L55" s="322">
        <v>0.13400000000000001</v>
      </c>
      <c r="M55" s="300">
        <v>0.183</v>
      </c>
      <c r="N55" s="329">
        <v>0.14399999999999999</v>
      </c>
      <c r="O55" s="322">
        <v>1.8499999999999999E-2</v>
      </c>
      <c r="P55" s="322">
        <v>2.0199999999999999E-2</v>
      </c>
      <c r="Q55" s="300">
        <v>0.38500000000000001</v>
      </c>
      <c r="R55" s="322">
        <v>4.0600000000000002E-3</v>
      </c>
      <c r="S55" s="322">
        <v>0.26800000000000002</v>
      </c>
      <c r="T55" s="322">
        <v>0.114</v>
      </c>
      <c r="U55" s="295">
        <v>7.9100000000000004E-2</v>
      </c>
      <c r="V55" s="322">
        <v>5.9699999999999996E-3</v>
      </c>
      <c r="W55" s="323">
        <v>6.2399999999999997E-2</v>
      </c>
      <c r="X55" s="325">
        <v>1.0699999999999999E-2</v>
      </c>
      <c r="Y55" s="284" t="s">
        <v>2431</v>
      </c>
      <c r="Z55" s="291" t="s">
        <v>2516</v>
      </c>
      <c r="AA55" s="190"/>
      <c r="AB55" s="314"/>
      <c r="AC55" s="314"/>
    </row>
    <row r="56" spans="1:29" s="192" customFormat="1" ht="15" customHeight="1">
      <c r="A56" s="198" t="s">
        <v>2517</v>
      </c>
      <c r="B56" s="286" t="s">
        <v>2518</v>
      </c>
      <c r="C56" s="274" t="s">
        <v>2429</v>
      </c>
      <c r="D56" s="306" t="s">
        <v>2482</v>
      </c>
      <c r="E56" s="320">
        <v>266</v>
      </c>
      <c r="F56" s="334">
        <v>184</v>
      </c>
      <c r="G56" s="336">
        <v>46.7</v>
      </c>
      <c r="H56" s="336">
        <v>35</v>
      </c>
      <c r="I56" s="300">
        <v>0.89700000000000002</v>
      </c>
      <c r="J56" s="329">
        <v>0.64</v>
      </c>
      <c r="K56" s="322">
        <v>0.12</v>
      </c>
      <c r="L56" s="322">
        <v>0.13600000000000001</v>
      </c>
      <c r="M56" s="300">
        <v>3.5900000000000001E-2</v>
      </c>
      <c r="N56" s="329">
        <v>6.2500000000000003E-3</v>
      </c>
      <c r="O56" s="322">
        <v>8.0000000000000002E-3</v>
      </c>
      <c r="P56" s="322">
        <v>2.1700000000000001E-2</v>
      </c>
      <c r="Q56" s="300">
        <v>0.86099999999999999</v>
      </c>
      <c r="R56" s="322">
        <v>0.63400000000000001</v>
      </c>
      <c r="S56" s="322">
        <v>0.112</v>
      </c>
      <c r="T56" s="322">
        <v>0.115</v>
      </c>
      <c r="U56" s="295">
        <v>0.16800000000000001</v>
      </c>
      <c r="V56" s="322">
        <v>0.13400000000000001</v>
      </c>
      <c r="W56" s="323">
        <v>2.4299999999999999E-2</v>
      </c>
      <c r="X56" s="325">
        <v>1.04E-2</v>
      </c>
      <c r="Y56" s="284" t="s">
        <v>2431</v>
      </c>
      <c r="Z56" s="291" t="s">
        <v>2519</v>
      </c>
      <c r="AA56" s="190"/>
      <c r="AB56" s="314"/>
      <c r="AC56" s="314"/>
    </row>
    <row r="57" spans="1:29" s="192" customFormat="1" ht="15" customHeight="1">
      <c r="A57" s="198" t="s">
        <v>2520</v>
      </c>
      <c r="B57" s="286" t="s">
        <v>2521</v>
      </c>
      <c r="C57" s="274" t="s">
        <v>2429</v>
      </c>
      <c r="D57" s="306" t="s">
        <v>2482</v>
      </c>
      <c r="E57" s="292">
        <v>39</v>
      </c>
      <c r="F57" s="336">
        <v>19.5</v>
      </c>
      <c r="G57" s="335">
        <v>2.79</v>
      </c>
      <c r="H57" s="336">
        <v>16.7</v>
      </c>
      <c r="I57" s="300">
        <v>0.20399999999999999</v>
      </c>
      <c r="J57" s="329">
        <v>0.16400000000000001</v>
      </c>
      <c r="K57" s="323">
        <v>6.4200000000000004E-3</v>
      </c>
      <c r="L57" s="322">
        <v>3.3599999999999998E-2</v>
      </c>
      <c r="M57" s="300">
        <v>0.14399999999999999</v>
      </c>
      <c r="N57" s="329">
        <v>0.13800000000000001</v>
      </c>
      <c r="O57" s="323">
        <v>1.1999999999999999E-3</v>
      </c>
      <c r="P57" s="322">
        <v>4.7600000000000003E-3</v>
      </c>
      <c r="Q57" s="295">
        <v>5.9799999999999999E-2</v>
      </c>
      <c r="R57" s="322">
        <v>2.5700000000000001E-2</v>
      </c>
      <c r="S57" s="323">
        <v>5.2199999999999998E-3</v>
      </c>
      <c r="T57" s="322">
        <v>2.8799999999999999E-2</v>
      </c>
      <c r="U57" s="298">
        <v>9.1000000000000004E-3</v>
      </c>
      <c r="V57" s="325">
        <v>1.4499999999999999E-3</v>
      </c>
      <c r="W57" s="325">
        <v>1.2099999999999999E-3</v>
      </c>
      <c r="X57" s="325">
        <v>6.4400000000000004E-3</v>
      </c>
      <c r="Y57" s="284" t="s">
        <v>2431</v>
      </c>
      <c r="Z57" s="291" t="s">
        <v>2522</v>
      </c>
      <c r="AA57" s="190"/>
      <c r="AB57" s="314"/>
      <c r="AC57" s="314"/>
    </row>
    <row r="58" spans="1:29" s="192" customFormat="1" ht="15" customHeight="1">
      <c r="A58" s="198" t="s">
        <v>2523</v>
      </c>
      <c r="B58" s="286" t="s">
        <v>2524</v>
      </c>
      <c r="C58" s="274" t="s">
        <v>2429</v>
      </c>
      <c r="D58" s="306" t="s">
        <v>2482</v>
      </c>
      <c r="E58" s="292">
        <v>107</v>
      </c>
      <c r="F58" s="336">
        <v>89.5</v>
      </c>
      <c r="G58" s="335">
        <v>7.18</v>
      </c>
      <c r="H58" s="335">
        <v>10.199999999999999</v>
      </c>
      <c r="I58" s="295">
        <v>0.25700000000000001</v>
      </c>
      <c r="J58" s="322">
        <v>0.20100000000000001</v>
      </c>
      <c r="K58" s="323">
        <v>2.18E-2</v>
      </c>
      <c r="L58" s="322">
        <v>3.4099999999999998E-2</v>
      </c>
      <c r="M58" s="295">
        <v>6.11E-3</v>
      </c>
      <c r="N58" s="322">
        <v>8.7600000000000004E-4</v>
      </c>
      <c r="O58" s="323">
        <v>3.0599999999999998E-3</v>
      </c>
      <c r="P58" s="322">
        <v>2.1700000000000001E-3</v>
      </c>
      <c r="Q58" s="295">
        <v>0.25</v>
      </c>
      <c r="R58" s="322">
        <v>0.2</v>
      </c>
      <c r="S58" s="323">
        <v>1.8800000000000001E-2</v>
      </c>
      <c r="T58" s="322">
        <v>3.1899999999999998E-2</v>
      </c>
      <c r="U58" s="298">
        <v>6.1199999999999997E-2</v>
      </c>
      <c r="V58" s="323">
        <v>5.3699999999999998E-2</v>
      </c>
      <c r="W58" s="325">
        <v>3.2200000000000002E-3</v>
      </c>
      <c r="X58" s="325">
        <v>4.2900000000000004E-3</v>
      </c>
      <c r="Y58" s="284" t="s">
        <v>2431</v>
      </c>
      <c r="Z58" s="291" t="s">
        <v>2525</v>
      </c>
      <c r="AA58" s="190"/>
      <c r="AB58" s="314"/>
      <c r="AC58" s="314"/>
    </row>
    <row r="59" spans="1:29" s="192" customFormat="1" ht="15" customHeight="1">
      <c r="A59" s="198" t="s">
        <v>2526</v>
      </c>
      <c r="B59" s="286" t="s">
        <v>2527</v>
      </c>
      <c r="C59" s="274" t="s">
        <v>2429</v>
      </c>
      <c r="D59" s="306" t="s">
        <v>2482</v>
      </c>
      <c r="E59" s="320">
        <v>257</v>
      </c>
      <c r="F59" s="334">
        <v>234</v>
      </c>
      <c r="G59" s="336">
        <v>20.8</v>
      </c>
      <c r="H59" s="335">
        <v>2.1800000000000002</v>
      </c>
      <c r="I59" s="300">
        <v>0.432</v>
      </c>
      <c r="J59" s="329">
        <v>0.36799999999999999</v>
      </c>
      <c r="K59" s="322">
        <v>5.79E-2</v>
      </c>
      <c r="L59" s="322">
        <v>6.9499999999999996E-3</v>
      </c>
      <c r="M59" s="300">
        <v>1.0800000000000001E-2</v>
      </c>
      <c r="N59" s="329">
        <v>6.9899999999999997E-3</v>
      </c>
      <c r="O59" s="322">
        <v>3.5799999999999998E-3</v>
      </c>
      <c r="P59" s="322">
        <v>1.84E-4</v>
      </c>
      <c r="Q59" s="300">
        <v>0.42199999999999999</v>
      </c>
      <c r="R59" s="322">
        <v>0.36099999999999999</v>
      </c>
      <c r="S59" s="322">
        <v>5.4300000000000001E-2</v>
      </c>
      <c r="T59" s="322">
        <v>6.77E-3</v>
      </c>
      <c r="U59" s="295">
        <v>0.127</v>
      </c>
      <c r="V59" s="322">
        <v>0.114</v>
      </c>
      <c r="W59" s="323">
        <v>1.18E-2</v>
      </c>
      <c r="X59" s="325">
        <v>1.01E-3</v>
      </c>
      <c r="Y59" s="284" t="s">
        <v>2431</v>
      </c>
      <c r="Z59" s="291" t="s">
        <v>2528</v>
      </c>
      <c r="AA59" s="190"/>
      <c r="AB59" s="314"/>
      <c r="AC59" s="314"/>
    </row>
    <row r="60" spans="1:29" s="192" customFormat="1" ht="15" customHeight="1">
      <c r="A60" s="198" t="s">
        <v>2529</v>
      </c>
      <c r="B60" s="286" t="s">
        <v>2530</v>
      </c>
      <c r="C60" s="274" t="s">
        <v>2429</v>
      </c>
      <c r="D60" s="306" t="s">
        <v>2482</v>
      </c>
      <c r="E60" s="292">
        <v>123</v>
      </c>
      <c r="F60" s="336">
        <v>69.8</v>
      </c>
      <c r="G60" s="335">
        <v>6.47</v>
      </c>
      <c r="H60" s="336">
        <v>47.2</v>
      </c>
      <c r="I60" s="300">
        <v>0.48399999999999999</v>
      </c>
      <c r="J60" s="322">
        <v>0.36</v>
      </c>
      <c r="K60" s="323">
        <v>1.9599999999999999E-2</v>
      </c>
      <c r="L60" s="322">
        <v>0.105</v>
      </c>
      <c r="M60" s="300">
        <v>8.9499999999999996E-2</v>
      </c>
      <c r="N60" s="322">
        <v>7.5899999999999995E-2</v>
      </c>
      <c r="O60" s="323">
        <v>2.5400000000000002E-3</v>
      </c>
      <c r="P60" s="322">
        <v>1.11E-2</v>
      </c>
      <c r="Q60" s="300">
        <v>0.39500000000000002</v>
      </c>
      <c r="R60" s="322">
        <v>0.28399999999999997</v>
      </c>
      <c r="S60" s="323">
        <v>1.7100000000000001E-2</v>
      </c>
      <c r="T60" s="322">
        <v>9.3799999999999994E-2</v>
      </c>
      <c r="U60" s="298">
        <v>4.3200000000000002E-2</v>
      </c>
      <c r="V60" s="323">
        <v>1.7100000000000001E-2</v>
      </c>
      <c r="W60" s="325">
        <v>2.8900000000000002E-3</v>
      </c>
      <c r="X60" s="323">
        <v>2.3099999999999999E-2</v>
      </c>
      <c r="Y60" s="284" t="s">
        <v>2431</v>
      </c>
      <c r="Z60" s="291" t="s">
        <v>2530</v>
      </c>
      <c r="AA60" s="190"/>
      <c r="AB60" s="314"/>
      <c r="AC60" s="314"/>
    </row>
    <row r="61" spans="1:29" s="192" customFormat="1" ht="15" customHeight="1">
      <c r="A61" s="198" t="s">
        <v>2531</v>
      </c>
      <c r="B61" s="286" t="s">
        <v>2532</v>
      </c>
      <c r="C61" s="274" t="s">
        <v>2429</v>
      </c>
      <c r="D61" s="306" t="s">
        <v>2482</v>
      </c>
      <c r="E61" s="292">
        <v>112</v>
      </c>
      <c r="F61" s="336">
        <v>85.7</v>
      </c>
      <c r="G61" s="335">
        <v>10.8</v>
      </c>
      <c r="H61" s="336">
        <v>15.5</v>
      </c>
      <c r="I61" s="300">
        <v>0.46200000000000002</v>
      </c>
      <c r="J61" s="329">
        <v>0.38200000000000001</v>
      </c>
      <c r="K61" s="323">
        <v>3.2800000000000003E-2</v>
      </c>
      <c r="L61" s="322">
        <v>4.7E-2</v>
      </c>
      <c r="M61" s="300">
        <v>8.7900000000000006E-2</v>
      </c>
      <c r="N61" s="329">
        <v>8.0600000000000005E-2</v>
      </c>
      <c r="O61" s="323">
        <v>4.5999999999999999E-3</v>
      </c>
      <c r="P61" s="322">
        <v>2.7599999999999999E-3</v>
      </c>
      <c r="Q61" s="300">
        <v>0.374</v>
      </c>
      <c r="R61" s="329">
        <v>0.30099999999999999</v>
      </c>
      <c r="S61" s="323">
        <v>2.8199999999999999E-2</v>
      </c>
      <c r="T61" s="322">
        <v>4.4299999999999999E-2</v>
      </c>
      <c r="U61" s="298">
        <v>3.0200000000000001E-2</v>
      </c>
      <c r="V61" s="323">
        <v>1.9300000000000001E-2</v>
      </c>
      <c r="W61" s="325">
        <v>4.8199999999999996E-3</v>
      </c>
      <c r="X61" s="325">
        <v>6.1199999999999996E-3</v>
      </c>
      <c r="Y61" s="284" t="s">
        <v>2431</v>
      </c>
      <c r="Z61" s="291" t="s">
        <v>2532</v>
      </c>
      <c r="AA61" s="190"/>
      <c r="AB61" s="314"/>
      <c r="AC61" s="314"/>
    </row>
    <row r="62" spans="1:29" s="192" customFormat="1" ht="15" customHeight="1">
      <c r="A62" s="265" t="s">
        <v>2533</v>
      </c>
      <c r="B62" s="266" t="s">
        <v>2478</v>
      </c>
      <c r="C62" s="303"/>
      <c r="D62" s="304" t="s">
        <v>2370</v>
      </c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5"/>
      <c r="Z62" s="272" t="s">
        <v>2479</v>
      </c>
      <c r="AA62" s="190"/>
      <c r="AB62" s="314"/>
      <c r="AC62" s="314"/>
    </row>
    <row r="63" spans="1:29" s="192" customFormat="1" ht="15" customHeight="1">
      <c r="A63" s="198" t="s">
        <v>2534</v>
      </c>
      <c r="B63" s="273" t="s">
        <v>2481</v>
      </c>
      <c r="C63" s="274" t="s">
        <v>2535</v>
      </c>
      <c r="D63" s="306" t="s">
        <v>2536</v>
      </c>
      <c r="E63" s="201">
        <v>2640</v>
      </c>
      <c r="F63" s="339">
        <v>2320</v>
      </c>
      <c r="G63" s="336">
        <v>131</v>
      </c>
      <c r="H63" s="334">
        <v>183</v>
      </c>
      <c r="I63" s="340">
        <v>6.52</v>
      </c>
      <c r="J63" s="327">
        <v>5.5</v>
      </c>
      <c r="K63" s="329">
        <v>0.39700000000000002</v>
      </c>
      <c r="L63" s="329">
        <v>0.61899999999999999</v>
      </c>
      <c r="M63" s="340">
        <v>0.123</v>
      </c>
      <c r="N63" s="327">
        <v>2.4E-2</v>
      </c>
      <c r="O63" s="329">
        <v>5.5599999999999997E-2</v>
      </c>
      <c r="P63" s="329">
        <v>4.36E-2</v>
      </c>
      <c r="Q63" s="340">
        <v>6.39</v>
      </c>
      <c r="R63" s="327">
        <v>5.48</v>
      </c>
      <c r="S63" s="329">
        <v>0.34100000000000003</v>
      </c>
      <c r="T63" s="329">
        <v>0.57599999999999996</v>
      </c>
      <c r="U63" s="341">
        <v>1.6</v>
      </c>
      <c r="V63" s="329">
        <v>1.46</v>
      </c>
      <c r="W63" s="323">
        <v>5.8700000000000002E-2</v>
      </c>
      <c r="X63" s="323">
        <v>7.5700000000000003E-2</v>
      </c>
      <c r="Y63" s="284" t="s">
        <v>2537</v>
      </c>
      <c r="Z63" s="285" t="s">
        <v>2481</v>
      </c>
      <c r="AA63" s="190"/>
      <c r="AB63" s="314"/>
      <c r="AC63" s="314"/>
    </row>
    <row r="64" spans="1:29" s="192" customFormat="1" ht="15" customHeight="1">
      <c r="A64" s="198" t="s">
        <v>2538</v>
      </c>
      <c r="B64" s="273" t="s">
        <v>2484</v>
      </c>
      <c r="C64" s="274" t="s">
        <v>2535</v>
      </c>
      <c r="D64" s="306" t="s">
        <v>2536</v>
      </c>
      <c r="E64" s="201">
        <v>6230</v>
      </c>
      <c r="F64" s="339">
        <v>2810</v>
      </c>
      <c r="G64" s="334">
        <v>689</v>
      </c>
      <c r="H64" s="339">
        <v>2730</v>
      </c>
      <c r="I64" s="342">
        <v>24.1</v>
      </c>
      <c r="J64" s="331">
        <v>16.600000000000001</v>
      </c>
      <c r="K64" s="329">
        <v>2.0699999999999998</v>
      </c>
      <c r="L64" s="327">
        <v>5.49</v>
      </c>
      <c r="M64" s="342">
        <v>15</v>
      </c>
      <c r="N64" s="331">
        <v>14</v>
      </c>
      <c r="O64" s="329">
        <v>0.23799999999999999</v>
      </c>
      <c r="P64" s="327">
        <v>0.77600000000000002</v>
      </c>
      <c r="Q64" s="342">
        <v>9.14</v>
      </c>
      <c r="R64" s="331">
        <v>2.6</v>
      </c>
      <c r="S64" s="329">
        <v>1.84</v>
      </c>
      <c r="T64" s="327">
        <v>4.71</v>
      </c>
      <c r="U64" s="341">
        <v>1.53</v>
      </c>
      <c r="V64" s="322">
        <v>0.14199999999999999</v>
      </c>
      <c r="W64" s="322">
        <v>0.33800000000000002</v>
      </c>
      <c r="X64" s="329">
        <v>1.05</v>
      </c>
      <c r="Y64" s="284" t="s">
        <v>2537</v>
      </c>
      <c r="Z64" s="285" t="s">
        <v>2485</v>
      </c>
      <c r="AA64" s="190"/>
      <c r="AB64" s="314"/>
      <c r="AC64" s="314"/>
    </row>
    <row r="65" spans="1:29" s="192" customFormat="1" ht="15" customHeight="1">
      <c r="A65" s="198" t="s">
        <v>2539</v>
      </c>
      <c r="B65" s="273" t="s">
        <v>2487</v>
      </c>
      <c r="C65" s="274" t="s">
        <v>2535</v>
      </c>
      <c r="D65" s="306" t="s">
        <v>2536</v>
      </c>
      <c r="E65" s="201">
        <v>15300</v>
      </c>
      <c r="F65" s="339">
        <v>10400</v>
      </c>
      <c r="G65" s="334">
        <v>468</v>
      </c>
      <c r="H65" s="339">
        <v>4420</v>
      </c>
      <c r="I65" s="342">
        <v>37.6</v>
      </c>
      <c r="J65" s="331">
        <v>30.1</v>
      </c>
      <c r="K65" s="329">
        <v>1.23</v>
      </c>
      <c r="L65" s="327">
        <v>6.25</v>
      </c>
      <c r="M65" s="342">
        <v>8.1199999999999992</v>
      </c>
      <c r="N65" s="331">
        <v>7.61</v>
      </c>
      <c r="O65" s="329">
        <v>8.2799999999999999E-2</v>
      </c>
      <c r="P65" s="327">
        <v>0.42699999999999999</v>
      </c>
      <c r="Q65" s="342">
        <v>29.5</v>
      </c>
      <c r="R65" s="331">
        <v>22.5</v>
      </c>
      <c r="S65" s="329">
        <v>1.1499999999999999</v>
      </c>
      <c r="T65" s="327">
        <v>5.82</v>
      </c>
      <c r="U65" s="340">
        <v>8.08</v>
      </c>
      <c r="V65" s="327">
        <v>5.8</v>
      </c>
      <c r="W65" s="322">
        <v>0.25700000000000001</v>
      </c>
      <c r="X65" s="322">
        <v>2.02</v>
      </c>
      <c r="Y65" s="284" t="s">
        <v>2537</v>
      </c>
      <c r="Z65" s="285" t="s">
        <v>2488</v>
      </c>
      <c r="AA65" s="190"/>
      <c r="AB65" s="314"/>
      <c r="AC65" s="314"/>
    </row>
    <row r="66" spans="1:29" s="192" customFormat="1" ht="15" customHeight="1">
      <c r="A66" s="202" t="s">
        <v>2540</v>
      </c>
      <c r="B66" s="273" t="s">
        <v>2434</v>
      </c>
      <c r="C66" s="274" t="s">
        <v>2535</v>
      </c>
      <c r="D66" s="306" t="s">
        <v>2536</v>
      </c>
      <c r="E66" s="201">
        <v>68400</v>
      </c>
      <c r="F66" s="339">
        <v>66800</v>
      </c>
      <c r="G66" s="336">
        <v>136</v>
      </c>
      <c r="H66" s="339">
        <v>1420</v>
      </c>
      <c r="I66" s="342">
        <v>111</v>
      </c>
      <c r="J66" s="331">
        <v>106</v>
      </c>
      <c r="K66" s="322">
        <v>0.379</v>
      </c>
      <c r="L66" s="327">
        <v>4.53</v>
      </c>
      <c r="M66" s="342">
        <v>0.77800000000000002</v>
      </c>
      <c r="N66" s="331">
        <v>0.45800000000000002</v>
      </c>
      <c r="O66" s="322">
        <v>3.1899999999999998E-2</v>
      </c>
      <c r="P66" s="327">
        <v>0.28799999999999998</v>
      </c>
      <c r="Q66" s="342">
        <v>110</v>
      </c>
      <c r="R66" s="331">
        <v>105</v>
      </c>
      <c r="S66" s="322">
        <v>0.34699999999999998</v>
      </c>
      <c r="T66" s="327">
        <v>4.24</v>
      </c>
      <c r="U66" s="340">
        <v>58.2</v>
      </c>
      <c r="V66" s="327">
        <v>57.3</v>
      </c>
      <c r="W66" s="323">
        <v>7.9399999999999998E-2</v>
      </c>
      <c r="X66" s="329">
        <v>0.85</v>
      </c>
      <c r="Y66" s="284" t="s">
        <v>2537</v>
      </c>
      <c r="Z66" s="285" t="s">
        <v>2490</v>
      </c>
      <c r="AA66" s="190"/>
      <c r="AB66" s="314"/>
      <c r="AC66" s="314"/>
    </row>
    <row r="67" spans="1:29" s="192" customFormat="1" ht="15" customHeight="1">
      <c r="A67" s="198" t="s">
        <v>2541</v>
      </c>
      <c r="B67" s="273" t="s">
        <v>2437</v>
      </c>
      <c r="C67" s="274" t="s">
        <v>2535</v>
      </c>
      <c r="D67" s="306" t="s">
        <v>2536</v>
      </c>
      <c r="E67" s="201">
        <v>53700</v>
      </c>
      <c r="F67" s="339">
        <v>51000</v>
      </c>
      <c r="G67" s="336">
        <v>91.8</v>
      </c>
      <c r="H67" s="339">
        <v>2670</v>
      </c>
      <c r="I67" s="342">
        <v>104</v>
      </c>
      <c r="J67" s="331">
        <v>95</v>
      </c>
      <c r="K67" s="322">
        <v>0.25700000000000001</v>
      </c>
      <c r="L67" s="327">
        <v>8.5</v>
      </c>
      <c r="M67" s="342">
        <v>0.97299999999999998</v>
      </c>
      <c r="N67" s="331">
        <v>0.41199999999999998</v>
      </c>
      <c r="O67" s="322">
        <v>2.0299999999999999E-2</v>
      </c>
      <c r="P67" s="327">
        <v>0.54100000000000004</v>
      </c>
      <c r="Q67" s="342">
        <v>103</v>
      </c>
      <c r="R67" s="331">
        <v>94.6</v>
      </c>
      <c r="S67" s="322">
        <v>0.23699999999999999</v>
      </c>
      <c r="T67" s="327">
        <v>7.96</v>
      </c>
      <c r="U67" s="340">
        <v>44.1</v>
      </c>
      <c r="V67" s="327">
        <v>42.5</v>
      </c>
      <c r="W67" s="323">
        <v>5.3999999999999999E-2</v>
      </c>
      <c r="X67" s="329">
        <v>1.6</v>
      </c>
      <c r="Y67" s="284" t="s">
        <v>2537</v>
      </c>
      <c r="Z67" s="285" t="s">
        <v>2438</v>
      </c>
      <c r="AA67" s="190"/>
      <c r="AB67" s="314"/>
      <c r="AC67" s="314"/>
    </row>
    <row r="68" spans="1:29" s="192" customFormat="1" ht="15" customHeight="1">
      <c r="A68" s="198" t="s">
        <v>2542</v>
      </c>
      <c r="B68" s="273" t="s">
        <v>2439</v>
      </c>
      <c r="C68" s="274" t="s">
        <v>2535</v>
      </c>
      <c r="D68" s="306" t="s">
        <v>2536</v>
      </c>
      <c r="E68" s="201">
        <v>39900</v>
      </c>
      <c r="F68" s="339">
        <v>39100</v>
      </c>
      <c r="G68" s="336">
        <v>24.3</v>
      </c>
      <c r="H68" s="334">
        <v>737</v>
      </c>
      <c r="I68" s="342">
        <v>62.2</v>
      </c>
      <c r="J68" s="331">
        <v>59.8</v>
      </c>
      <c r="K68" s="329">
        <v>6.8099999999999994E-2</v>
      </c>
      <c r="L68" s="327">
        <v>2.34</v>
      </c>
      <c r="M68" s="342">
        <v>0.41399999999999998</v>
      </c>
      <c r="N68" s="331">
        <v>0.25900000000000001</v>
      </c>
      <c r="O68" s="329">
        <v>5.3899999999999998E-3</v>
      </c>
      <c r="P68" s="327">
        <v>0.14899999999999999</v>
      </c>
      <c r="Q68" s="342">
        <v>61.8</v>
      </c>
      <c r="R68" s="331">
        <v>59.6</v>
      </c>
      <c r="S68" s="329">
        <v>6.2700000000000006E-2</v>
      </c>
      <c r="T68" s="327">
        <v>2.2000000000000002</v>
      </c>
      <c r="U68" s="340">
        <v>34.1</v>
      </c>
      <c r="V68" s="327">
        <v>33.700000000000003</v>
      </c>
      <c r="W68" s="323">
        <v>1.43E-2</v>
      </c>
      <c r="X68" s="322">
        <v>0.44</v>
      </c>
      <c r="Y68" s="284" t="s">
        <v>2537</v>
      </c>
      <c r="Z68" s="285" t="s">
        <v>2440</v>
      </c>
      <c r="AA68" s="190"/>
      <c r="AB68" s="314"/>
      <c r="AC68" s="314"/>
    </row>
    <row r="69" spans="1:29" s="192" customFormat="1" ht="15" customHeight="1">
      <c r="A69" s="198" t="s">
        <v>2543</v>
      </c>
      <c r="B69" s="273" t="s">
        <v>2442</v>
      </c>
      <c r="C69" s="274" t="s">
        <v>2535</v>
      </c>
      <c r="D69" s="306" t="s">
        <v>2536</v>
      </c>
      <c r="E69" s="320">
        <v>76100</v>
      </c>
      <c r="F69" s="334">
        <v>75600</v>
      </c>
      <c r="G69" s="336">
        <v>40.700000000000003</v>
      </c>
      <c r="H69" s="336">
        <v>490</v>
      </c>
      <c r="I69" s="341">
        <v>112</v>
      </c>
      <c r="J69" s="329">
        <v>110</v>
      </c>
      <c r="K69" s="322">
        <v>0.113</v>
      </c>
      <c r="L69" s="322">
        <v>1.56</v>
      </c>
      <c r="M69" s="341">
        <v>0.58499999999999996</v>
      </c>
      <c r="N69" s="329">
        <v>0.47699999999999998</v>
      </c>
      <c r="O69" s="322">
        <v>9.5399999999999999E-3</v>
      </c>
      <c r="P69" s="322">
        <v>9.9000000000000005E-2</v>
      </c>
      <c r="Q69" s="341">
        <v>111</v>
      </c>
      <c r="R69" s="329">
        <v>109</v>
      </c>
      <c r="S69" s="322">
        <v>0.104</v>
      </c>
      <c r="T69" s="322">
        <v>1.46</v>
      </c>
      <c r="U69" s="343">
        <v>65.900000000000006</v>
      </c>
      <c r="V69" s="322">
        <v>65.599999999999994</v>
      </c>
      <c r="W69" s="323">
        <v>2.3800000000000002E-2</v>
      </c>
      <c r="X69" s="323">
        <v>0.29199999999999998</v>
      </c>
      <c r="Y69" s="284" t="s">
        <v>2537</v>
      </c>
      <c r="Z69" s="285" t="s">
        <v>2443</v>
      </c>
      <c r="AA69" s="190"/>
      <c r="AB69" s="314"/>
      <c r="AC69" s="314"/>
    </row>
    <row r="70" spans="1:29" s="192" customFormat="1" ht="15" customHeight="1">
      <c r="A70" s="198" t="s">
        <v>2544</v>
      </c>
      <c r="B70" s="286" t="s">
        <v>2495</v>
      </c>
      <c r="C70" s="274" t="s">
        <v>2449</v>
      </c>
      <c r="D70" s="306" t="s">
        <v>2450</v>
      </c>
      <c r="E70" s="320">
        <v>1270000</v>
      </c>
      <c r="F70" s="334">
        <v>1270000</v>
      </c>
      <c r="G70" s="336">
        <v>7510</v>
      </c>
      <c r="H70" s="336">
        <v>0</v>
      </c>
      <c r="I70" s="341">
        <v>3630</v>
      </c>
      <c r="J70" s="329">
        <v>3610</v>
      </c>
      <c r="K70" s="322">
        <v>21</v>
      </c>
      <c r="L70" s="322">
        <v>0</v>
      </c>
      <c r="M70" s="341">
        <v>17.3</v>
      </c>
      <c r="N70" s="329">
        <v>15.6</v>
      </c>
      <c r="O70" s="322">
        <v>1.66</v>
      </c>
      <c r="P70" s="322">
        <v>0</v>
      </c>
      <c r="Q70" s="341">
        <v>3610</v>
      </c>
      <c r="R70" s="329">
        <v>3590</v>
      </c>
      <c r="S70" s="322">
        <v>19.399999999999999</v>
      </c>
      <c r="T70" s="322">
        <v>0</v>
      </c>
      <c r="U70" s="343">
        <v>968</v>
      </c>
      <c r="V70" s="322">
        <v>964</v>
      </c>
      <c r="W70" s="323">
        <v>4.41</v>
      </c>
      <c r="X70" s="323">
        <v>0</v>
      </c>
      <c r="Y70" s="284" t="s">
        <v>2451</v>
      </c>
      <c r="Z70" s="291" t="s">
        <v>2496</v>
      </c>
      <c r="AA70" s="190"/>
      <c r="AB70" s="314"/>
      <c r="AC70" s="314"/>
    </row>
    <row r="71" spans="1:29" s="192" customFormat="1" ht="15" customHeight="1">
      <c r="A71" s="198" t="s">
        <v>2545</v>
      </c>
      <c r="B71" s="286" t="s">
        <v>2498</v>
      </c>
      <c r="C71" s="274" t="s">
        <v>2449</v>
      </c>
      <c r="D71" s="306" t="s">
        <v>2450</v>
      </c>
      <c r="E71" s="320">
        <v>1830000</v>
      </c>
      <c r="F71" s="334">
        <v>1830000</v>
      </c>
      <c r="G71" s="336">
        <v>8750</v>
      </c>
      <c r="H71" s="336">
        <v>0</v>
      </c>
      <c r="I71" s="300">
        <v>5200</v>
      </c>
      <c r="J71" s="329">
        <v>5180</v>
      </c>
      <c r="K71" s="322">
        <v>24.5</v>
      </c>
      <c r="L71" s="322">
        <v>0</v>
      </c>
      <c r="M71" s="300">
        <v>24.4</v>
      </c>
      <c r="N71" s="329">
        <v>22.4</v>
      </c>
      <c r="O71" s="322">
        <v>1.94</v>
      </c>
      <c r="P71" s="322">
        <v>0</v>
      </c>
      <c r="Q71" s="300">
        <v>5180</v>
      </c>
      <c r="R71" s="322">
        <v>5160</v>
      </c>
      <c r="S71" s="322">
        <v>22.5</v>
      </c>
      <c r="T71" s="322">
        <v>0</v>
      </c>
      <c r="U71" s="344">
        <v>1410</v>
      </c>
      <c r="V71" s="322">
        <v>1410</v>
      </c>
      <c r="W71" s="323">
        <v>5.14</v>
      </c>
      <c r="X71" s="323">
        <v>0</v>
      </c>
      <c r="Y71" s="284" t="s">
        <v>2451</v>
      </c>
      <c r="Z71" s="291" t="s">
        <v>2499</v>
      </c>
      <c r="AA71" s="190"/>
      <c r="AB71" s="314"/>
      <c r="AC71" s="314"/>
    </row>
    <row r="72" spans="1:29" s="192" customFormat="1" ht="15" customHeight="1">
      <c r="A72" s="198" t="s">
        <v>2546</v>
      </c>
      <c r="B72" s="286" t="s">
        <v>2501</v>
      </c>
      <c r="C72" s="274" t="s">
        <v>2535</v>
      </c>
      <c r="D72" s="306" t="s">
        <v>2536</v>
      </c>
      <c r="E72" s="320">
        <v>564</v>
      </c>
      <c r="F72" s="334">
        <v>353</v>
      </c>
      <c r="G72" s="336">
        <v>155</v>
      </c>
      <c r="H72" s="336">
        <v>56.5</v>
      </c>
      <c r="I72" s="341">
        <v>1.47</v>
      </c>
      <c r="J72" s="329">
        <v>0.92100000000000004</v>
      </c>
      <c r="K72" s="322">
        <v>0.32800000000000001</v>
      </c>
      <c r="L72" s="322">
        <v>0.216</v>
      </c>
      <c r="M72" s="341">
        <v>7.4200000000000002E-2</v>
      </c>
      <c r="N72" s="329">
        <v>1.29E-2</v>
      </c>
      <c r="O72" s="322">
        <v>2.8899999999999999E-2</v>
      </c>
      <c r="P72" s="322">
        <v>3.2399999999999998E-2</v>
      </c>
      <c r="Q72" s="341">
        <v>1.39</v>
      </c>
      <c r="R72" s="329">
        <v>0.90800000000000003</v>
      </c>
      <c r="S72" s="322">
        <v>0.29899999999999999</v>
      </c>
      <c r="T72" s="322">
        <v>0.184</v>
      </c>
      <c r="U72" s="343">
        <v>0.33900000000000002</v>
      </c>
      <c r="V72" s="322">
        <v>0.246</v>
      </c>
      <c r="W72" s="323">
        <v>7.51E-2</v>
      </c>
      <c r="X72" s="323">
        <v>1.7500000000000002E-2</v>
      </c>
      <c r="Y72" s="284" t="s">
        <v>2537</v>
      </c>
      <c r="Z72" s="291" t="s">
        <v>2502</v>
      </c>
      <c r="AA72" s="190"/>
      <c r="AB72" s="314"/>
      <c r="AC72" s="314"/>
    </row>
    <row r="73" spans="1:29" s="192" customFormat="1" ht="15" customHeight="1">
      <c r="A73" s="198" t="s">
        <v>2547</v>
      </c>
      <c r="B73" s="286" t="s">
        <v>2504</v>
      </c>
      <c r="C73" s="274" t="s">
        <v>2535</v>
      </c>
      <c r="D73" s="306" t="s">
        <v>2536</v>
      </c>
      <c r="E73" s="320">
        <v>584</v>
      </c>
      <c r="F73" s="334">
        <v>379</v>
      </c>
      <c r="G73" s="336">
        <v>149</v>
      </c>
      <c r="H73" s="336">
        <v>55.7</v>
      </c>
      <c r="I73" s="300">
        <v>1.55</v>
      </c>
      <c r="J73" s="329">
        <v>1.02</v>
      </c>
      <c r="K73" s="322">
        <v>0.318</v>
      </c>
      <c r="L73" s="322">
        <v>0.214</v>
      </c>
      <c r="M73" s="300">
        <v>7.9200000000000007E-2</v>
      </c>
      <c r="N73" s="329">
        <v>1.9099999999999999E-2</v>
      </c>
      <c r="O73" s="322">
        <v>2.7799999999999998E-2</v>
      </c>
      <c r="P73" s="322">
        <v>3.2399999999999998E-2</v>
      </c>
      <c r="Q73" s="300">
        <v>1.47</v>
      </c>
      <c r="R73" s="322">
        <v>0.999</v>
      </c>
      <c r="S73" s="322">
        <v>0.29099999999999998</v>
      </c>
      <c r="T73" s="322">
        <v>0.182</v>
      </c>
      <c r="U73" s="344">
        <v>0.35899999999999999</v>
      </c>
      <c r="V73" s="322">
        <v>0.26900000000000002</v>
      </c>
      <c r="W73" s="323">
        <v>7.2800000000000004E-2</v>
      </c>
      <c r="X73" s="323">
        <v>1.72E-2</v>
      </c>
      <c r="Y73" s="284" t="s">
        <v>2537</v>
      </c>
      <c r="Z73" s="291" t="s">
        <v>2505</v>
      </c>
      <c r="AA73" s="190"/>
      <c r="AB73" s="314"/>
      <c r="AC73" s="314"/>
    </row>
    <row r="74" spans="1:29" s="192" customFormat="1" ht="15" customHeight="1">
      <c r="A74" s="198" t="s">
        <v>2548</v>
      </c>
      <c r="B74" s="286" t="s">
        <v>2507</v>
      </c>
      <c r="C74" s="274" t="s">
        <v>2535</v>
      </c>
      <c r="D74" s="306" t="s">
        <v>2536</v>
      </c>
      <c r="E74" s="320">
        <v>310</v>
      </c>
      <c r="F74" s="334">
        <v>179</v>
      </c>
      <c r="G74" s="336">
        <v>74.7</v>
      </c>
      <c r="H74" s="336">
        <v>56.1</v>
      </c>
      <c r="I74" s="300">
        <v>0.749</v>
      </c>
      <c r="J74" s="329">
        <v>0.33800000000000002</v>
      </c>
      <c r="K74" s="322">
        <v>0.192</v>
      </c>
      <c r="L74" s="322">
        <v>0.218</v>
      </c>
      <c r="M74" s="300">
        <v>8.1699999999999995E-2</v>
      </c>
      <c r="N74" s="329">
        <v>3.4200000000000001E-2</v>
      </c>
      <c r="O74" s="322">
        <v>1.2800000000000001E-2</v>
      </c>
      <c r="P74" s="322">
        <v>3.4700000000000002E-2</v>
      </c>
      <c r="Q74" s="300">
        <v>0.66700000000000004</v>
      </c>
      <c r="R74" s="322">
        <v>0.30399999999999999</v>
      </c>
      <c r="S74" s="322">
        <v>0.17899999999999999</v>
      </c>
      <c r="T74" s="322">
        <v>0.184</v>
      </c>
      <c r="U74" s="344">
        <v>0.16400000000000001</v>
      </c>
      <c r="V74" s="322">
        <v>0.109</v>
      </c>
      <c r="W74" s="323">
        <v>3.8899999999999997E-2</v>
      </c>
      <c r="X74" s="323">
        <v>1.66E-2</v>
      </c>
      <c r="Y74" s="284" t="s">
        <v>2537</v>
      </c>
      <c r="Z74" s="291" t="s">
        <v>2508</v>
      </c>
      <c r="AA74" s="190"/>
      <c r="AB74" s="314"/>
      <c r="AC74" s="314"/>
    </row>
    <row r="75" spans="1:29" s="192" customFormat="1" ht="15" customHeight="1">
      <c r="A75" s="198" t="s">
        <v>2549</v>
      </c>
      <c r="B75" s="286" t="s">
        <v>2510</v>
      </c>
      <c r="C75" s="274" t="s">
        <v>2535</v>
      </c>
      <c r="D75" s="306" t="s">
        <v>2536</v>
      </c>
      <c r="E75" s="201">
        <v>533</v>
      </c>
      <c r="F75" s="339">
        <v>311</v>
      </c>
      <c r="G75" s="334">
        <v>164</v>
      </c>
      <c r="H75" s="334">
        <v>57.6</v>
      </c>
      <c r="I75" s="340">
        <v>1.33</v>
      </c>
      <c r="J75" s="327">
        <v>0.77100000000000002</v>
      </c>
      <c r="K75" s="329">
        <v>0.34399999999999997</v>
      </c>
      <c r="L75" s="329">
        <v>0.22</v>
      </c>
      <c r="M75" s="340">
        <v>6.6500000000000004E-2</v>
      </c>
      <c r="N75" s="327">
        <v>3.3700000000000002E-3</v>
      </c>
      <c r="O75" s="329">
        <v>3.0599999999999999E-2</v>
      </c>
      <c r="P75" s="329">
        <v>3.2500000000000001E-2</v>
      </c>
      <c r="Q75" s="340">
        <v>1.27</v>
      </c>
      <c r="R75" s="327">
        <v>0.76700000000000002</v>
      </c>
      <c r="S75" s="329">
        <v>0.313</v>
      </c>
      <c r="T75" s="329">
        <v>0.188</v>
      </c>
      <c r="U75" s="343">
        <v>0.307</v>
      </c>
      <c r="V75" s="323">
        <v>0.21</v>
      </c>
      <c r="W75" s="323">
        <v>7.8700000000000006E-2</v>
      </c>
      <c r="X75" s="322">
        <v>1.8100000000000002E-2</v>
      </c>
      <c r="Y75" s="284" t="s">
        <v>2537</v>
      </c>
      <c r="Z75" s="291" t="s">
        <v>2511</v>
      </c>
      <c r="AA75" s="190"/>
      <c r="AB75" s="314"/>
      <c r="AC75" s="314"/>
    </row>
    <row r="76" spans="1:29" s="192" customFormat="1" ht="15" customHeight="1">
      <c r="A76" s="198" t="s">
        <v>2550</v>
      </c>
      <c r="B76" s="286" t="s">
        <v>2513</v>
      </c>
      <c r="C76" s="274" t="s">
        <v>2535</v>
      </c>
      <c r="D76" s="306" t="s">
        <v>2536</v>
      </c>
      <c r="E76" s="201">
        <v>409</v>
      </c>
      <c r="F76" s="339">
        <v>125</v>
      </c>
      <c r="G76" s="334">
        <v>228</v>
      </c>
      <c r="H76" s="334">
        <v>55.7</v>
      </c>
      <c r="I76" s="340">
        <v>1.2</v>
      </c>
      <c r="J76" s="327">
        <v>0.52500000000000002</v>
      </c>
      <c r="K76" s="329">
        <v>0.45800000000000002</v>
      </c>
      <c r="L76" s="329">
        <v>0.214</v>
      </c>
      <c r="M76" s="340">
        <v>0.17299999999999999</v>
      </c>
      <c r="N76" s="327">
        <v>0.111</v>
      </c>
      <c r="O76" s="329">
        <v>2.9600000000000001E-2</v>
      </c>
      <c r="P76" s="329">
        <v>3.2300000000000002E-2</v>
      </c>
      <c r="Q76" s="340">
        <v>1.02</v>
      </c>
      <c r="R76" s="327">
        <v>0.41399999999999998</v>
      </c>
      <c r="S76" s="329">
        <v>0.42799999999999999</v>
      </c>
      <c r="T76" s="329">
        <v>0.182</v>
      </c>
      <c r="U76" s="341">
        <v>0.14799999999999999</v>
      </c>
      <c r="V76" s="322">
        <v>3.1399999999999997E-2</v>
      </c>
      <c r="W76" s="323">
        <v>9.98E-2</v>
      </c>
      <c r="X76" s="323">
        <v>1.72E-2</v>
      </c>
      <c r="Y76" s="284" t="s">
        <v>2537</v>
      </c>
      <c r="Z76" s="291" t="s">
        <v>2514</v>
      </c>
      <c r="AA76" s="190"/>
      <c r="AB76" s="314"/>
      <c r="AC76" s="314"/>
    </row>
    <row r="77" spans="1:29" s="192" customFormat="1" ht="15" customHeight="1">
      <c r="A77" s="198">
        <v>64.021000000000001</v>
      </c>
      <c r="B77" s="286" t="s">
        <v>2515</v>
      </c>
      <c r="C77" s="274" t="s">
        <v>2535</v>
      </c>
      <c r="D77" s="306" t="s">
        <v>2536</v>
      </c>
      <c r="E77" s="320">
        <v>323</v>
      </c>
      <c r="F77" s="334">
        <v>39.1</v>
      </c>
      <c r="G77" s="336">
        <v>228</v>
      </c>
      <c r="H77" s="335">
        <v>55.7</v>
      </c>
      <c r="I77" s="300">
        <v>0.90900000000000003</v>
      </c>
      <c r="J77" s="329">
        <v>0.23699999999999999</v>
      </c>
      <c r="K77" s="322">
        <v>0.45800000000000002</v>
      </c>
      <c r="L77" s="322">
        <v>0.214</v>
      </c>
      <c r="M77" s="300">
        <v>0.29199999999999998</v>
      </c>
      <c r="N77" s="329">
        <v>0.23</v>
      </c>
      <c r="O77" s="322">
        <v>2.9600000000000001E-2</v>
      </c>
      <c r="P77" s="322">
        <v>3.2300000000000002E-2</v>
      </c>
      <c r="Q77" s="300">
        <v>0.61699999999999999</v>
      </c>
      <c r="R77" s="322">
        <v>6.4999999999999997E-3</v>
      </c>
      <c r="S77" s="322">
        <v>0.42799999999999999</v>
      </c>
      <c r="T77" s="322">
        <v>0.182</v>
      </c>
      <c r="U77" s="344">
        <v>0.127</v>
      </c>
      <c r="V77" s="322">
        <v>9.5600000000000008E-3</v>
      </c>
      <c r="W77" s="323">
        <v>9.98E-2</v>
      </c>
      <c r="X77" s="323">
        <v>1.72E-2</v>
      </c>
      <c r="Y77" s="284" t="s">
        <v>2537</v>
      </c>
      <c r="Z77" s="291" t="s">
        <v>2516</v>
      </c>
      <c r="AA77" s="190"/>
      <c r="AB77" s="314"/>
      <c r="AC77" s="314"/>
    </row>
    <row r="78" spans="1:29" s="192" customFormat="1" ht="15" customHeight="1">
      <c r="A78" s="198" t="s">
        <v>2551</v>
      </c>
      <c r="B78" s="286" t="s">
        <v>2518</v>
      </c>
      <c r="C78" s="274" t="s">
        <v>2535</v>
      </c>
      <c r="D78" s="306" t="s">
        <v>2536</v>
      </c>
      <c r="E78" s="201">
        <v>425</v>
      </c>
      <c r="F78" s="339">
        <v>295</v>
      </c>
      <c r="G78" s="334">
        <v>74.7</v>
      </c>
      <c r="H78" s="339">
        <v>56.1</v>
      </c>
      <c r="I78" s="340">
        <v>1.43</v>
      </c>
      <c r="J78" s="327">
        <v>1.02</v>
      </c>
      <c r="K78" s="329">
        <v>0.192</v>
      </c>
      <c r="L78" s="327">
        <v>0.218</v>
      </c>
      <c r="M78" s="340">
        <v>5.7500000000000002E-2</v>
      </c>
      <c r="N78" s="327">
        <v>0.01</v>
      </c>
      <c r="O78" s="329">
        <v>1.2800000000000001E-2</v>
      </c>
      <c r="P78" s="327">
        <v>3.4700000000000002E-2</v>
      </c>
      <c r="Q78" s="340">
        <v>1.38</v>
      </c>
      <c r="R78" s="327">
        <v>1.01</v>
      </c>
      <c r="S78" s="329">
        <v>0.17899999999999999</v>
      </c>
      <c r="T78" s="327">
        <v>0.184</v>
      </c>
      <c r="U78" s="341">
        <v>0.26900000000000002</v>
      </c>
      <c r="V78" s="322">
        <v>0.214</v>
      </c>
      <c r="W78" s="322">
        <v>3.8899999999999997E-2</v>
      </c>
      <c r="X78" s="322">
        <v>1.66E-2</v>
      </c>
      <c r="Y78" s="284" t="s">
        <v>2537</v>
      </c>
      <c r="Z78" s="291" t="s">
        <v>2519</v>
      </c>
      <c r="AA78" s="190"/>
      <c r="AB78" s="314"/>
      <c r="AC78" s="314"/>
    </row>
    <row r="79" spans="1:29" s="192" customFormat="1" ht="15" customHeight="1">
      <c r="A79" s="198" t="s">
        <v>2552</v>
      </c>
      <c r="B79" s="286" t="s">
        <v>2521</v>
      </c>
      <c r="C79" s="274" t="s">
        <v>2535</v>
      </c>
      <c r="D79" s="306" t="s">
        <v>2536</v>
      </c>
      <c r="E79" s="201">
        <v>2540</v>
      </c>
      <c r="F79" s="339">
        <v>1270</v>
      </c>
      <c r="G79" s="334">
        <v>182</v>
      </c>
      <c r="H79" s="334">
        <v>1090</v>
      </c>
      <c r="I79" s="340">
        <v>13.3</v>
      </c>
      <c r="J79" s="327">
        <v>10.7</v>
      </c>
      <c r="K79" s="329">
        <v>0.41799999999999998</v>
      </c>
      <c r="L79" s="329">
        <v>2.19</v>
      </c>
      <c r="M79" s="340">
        <v>9.3800000000000008</v>
      </c>
      <c r="N79" s="327">
        <v>8.99</v>
      </c>
      <c r="O79" s="329">
        <v>7.8100000000000003E-2</v>
      </c>
      <c r="P79" s="329">
        <v>0.31</v>
      </c>
      <c r="Q79" s="340">
        <v>3.89</v>
      </c>
      <c r="R79" s="327">
        <v>1.68</v>
      </c>
      <c r="S79" s="329">
        <v>0.34</v>
      </c>
      <c r="T79" s="329">
        <v>1.88</v>
      </c>
      <c r="U79" s="343">
        <v>0.59299999999999997</v>
      </c>
      <c r="V79" s="322">
        <v>9.4700000000000006E-2</v>
      </c>
      <c r="W79" s="323">
        <v>7.85E-2</v>
      </c>
      <c r="X79" s="322">
        <v>0.41899999999999998</v>
      </c>
      <c r="Y79" s="284" t="s">
        <v>2537</v>
      </c>
      <c r="Z79" s="291" t="s">
        <v>2522</v>
      </c>
      <c r="AA79" s="190"/>
      <c r="AB79" s="314"/>
      <c r="AC79" s="314"/>
    </row>
    <row r="80" spans="1:29" s="192" customFormat="1" ht="15" customHeight="1">
      <c r="A80" s="198" t="s">
        <v>2553</v>
      </c>
      <c r="B80" s="286" t="s">
        <v>2524</v>
      </c>
      <c r="C80" s="274" t="s">
        <v>2535</v>
      </c>
      <c r="D80" s="306" t="s">
        <v>2536</v>
      </c>
      <c r="E80" s="201">
        <v>2240</v>
      </c>
      <c r="F80" s="339">
        <v>1880</v>
      </c>
      <c r="G80" s="334">
        <v>151</v>
      </c>
      <c r="H80" s="334">
        <v>214</v>
      </c>
      <c r="I80" s="340">
        <v>5.39</v>
      </c>
      <c r="J80" s="327">
        <v>4.21</v>
      </c>
      <c r="K80" s="329">
        <v>0.45900000000000002</v>
      </c>
      <c r="L80" s="329">
        <v>0.71599999999999997</v>
      </c>
      <c r="M80" s="340">
        <v>0.128</v>
      </c>
      <c r="N80" s="327">
        <v>1.84E-2</v>
      </c>
      <c r="O80" s="329">
        <v>6.4299999999999996E-2</v>
      </c>
      <c r="P80" s="329">
        <v>4.5600000000000002E-2</v>
      </c>
      <c r="Q80" s="340">
        <v>5.26</v>
      </c>
      <c r="R80" s="327">
        <v>4.1900000000000004</v>
      </c>
      <c r="S80" s="329">
        <v>0.39400000000000002</v>
      </c>
      <c r="T80" s="329">
        <v>0.67100000000000004</v>
      </c>
      <c r="U80" s="343">
        <v>1.29</v>
      </c>
      <c r="V80" s="322">
        <v>1.1299999999999999</v>
      </c>
      <c r="W80" s="323">
        <v>6.7599999999999993E-2</v>
      </c>
      <c r="X80" s="322">
        <v>9.01E-2</v>
      </c>
      <c r="Y80" s="284" t="s">
        <v>2537</v>
      </c>
      <c r="Z80" s="291" t="s">
        <v>2525</v>
      </c>
      <c r="AA80" s="190"/>
      <c r="AB80" s="314"/>
      <c r="AC80" s="314"/>
    </row>
    <row r="81" spans="1:29" s="192" customFormat="1" ht="15" customHeight="1">
      <c r="A81" s="198" t="s">
        <v>2554</v>
      </c>
      <c r="B81" s="286" t="s">
        <v>2527</v>
      </c>
      <c r="C81" s="274" t="s">
        <v>2535</v>
      </c>
      <c r="D81" s="306" t="s">
        <v>2536</v>
      </c>
      <c r="E81" s="201">
        <v>282</v>
      </c>
      <c r="F81" s="339">
        <v>257</v>
      </c>
      <c r="G81" s="334">
        <v>22.9</v>
      </c>
      <c r="H81" s="334">
        <v>2.4</v>
      </c>
      <c r="I81" s="340">
        <v>0.47599999999999998</v>
      </c>
      <c r="J81" s="327">
        <v>0.40400000000000003</v>
      </c>
      <c r="K81" s="329">
        <v>6.3700000000000007E-2</v>
      </c>
      <c r="L81" s="329">
        <v>7.6499999999999997E-3</v>
      </c>
      <c r="M81" s="340">
        <v>1.18E-2</v>
      </c>
      <c r="N81" s="327">
        <v>7.6899999999999998E-3</v>
      </c>
      <c r="O81" s="329">
        <v>3.9300000000000003E-3</v>
      </c>
      <c r="P81" s="329">
        <v>2.03E-4</v>
      </c>
      <c r="Q81" s="340">
        <v>0.46400000000000002</v>
      </c>
      <c r="R81" s="327">
        <v>0.39700000000000002</v>
      </c>
      <c r="S81" s="329">
        <v>5.9700000000000003E-2</v>
      </c>
      <c r="T81" s="329">
        <v>7.4400000000000004E-3</v>
      </c>
      <c r="U81" s="343">
        <v>0.13900000000000001</v>
      </c>
      <c r="V81" s="322">
        <v>0.125</v>
      </c>
      <c r="W81" s="323">
        <v>1.29E-2</v>
      </c>
      <c r="X81" s="322">
        <v>1.1100000000000001E-3</v>
      </c>
      <c r="Y81" s="284" t="s">
        <v>2537</v>
      </c>
      <c r="Z81" s="291" t="s">
        <v>2528</v>
      </c>
      <c r="AA81" s="190"/>
      <c r="AB81" s="314"/>
      <c r="AC81" s="314"/>
    </row>
    <row r="82" spans="1:29" s="192" customFormat="1" ht="15" customHeight="1">
      <c r="A82" s="198" t="s">
        <v>2555</v>
      </c>
      <c r="B82" s="286" t="s">
        <v>2530</v>
      </c>
      <c r="C82" s="274" t="s">
        <v>2535</v>
      </c>
      <c r="D82" s="306" t="s">
        <v>2536</v>
      </c>
      <c r="E82" s="201">
        <v>4150</v>
      </c>
      <c r="F82" s="339">
        <v>2350</v>
      </c>
      <c r="G82" s="334">
        <v>218</v>
      </c>
      <c r="H82" s="334">
        <v>1590</v>
      </c>
      <c r="I82" s="340">
        <v>16.3</v>
      </c>
      <c r="J82" s="327">
        <v>12.1</v>
      </c>
      <c r="K82" s="329">
        <v>0.65900000000000003</v>
      </c>
      <c r="L82" s="329">
        <v>3.53</v>
      </c>
      <c r="M82" s="340">
        <v>3.01</v>
      </c>
      <c r="N82" s="327">
        <v>2.5499999999999998</v>
      </c>
      <c r="O82" s="329">
        <v>8.5599999999999996E-2</v>
      </c>
      <c r="P82" s="329">
        <v>0.374</v>
      </c>
      <c r="Q82" s="340">
        <v>13.3</v>
      </c>
      <c r="R82" s="327">
        <v>9.5399999999999991</v>
      </c>
      <c r="S82" s="329">
        <v>0.57399999999999995</v>
      </c>
      <c r="T82" s="329">
        <v>3.16</v>
      </c>
      <c r="U82" s="343">
        <v>1.45</v>
      </c>
      <c r="V82" s="322">
        <v>0.57699999999999996</v>
      </c>
      <c r="W82" s="323">
        <v>9.7199999999999995E-2</v>
      </c>
      <c r="X82" s="322">
        <v>0.77800000000000002</v>
      </c>
      <c r="Y82" s="284" t="s">
        <v>2537</v>
      </c>
      <c r="Z82" s="291" t="s">
        <v>2530</v>
      </c>
      <c r="AA82" s="190"/>
      <c r="AB82" s="314"/>
      <c r="AC82" s="314"/>
    </row>
    <row r="83" spans="1:29" s="192" customFormat="1" ht="15" customHeight="1">
      <c r="A83" s="198" t="s">
        <v>2556</v>
      </c>
      <c r="B83" s="286" t="s">
        <v>2532</v>
      </c>
      <c r="C83" s="274" t="s">
        <v>2535</v>
      </c>
      <c r="D83" s="306" t="s">
        <v>2536</v>
      </c>
      <c r="E83" s="201">
        <v>2130</v>
      </c>
      <c r="F83" s="339">
        <v>1630</v>
      </c>
      <c r="G83" s="334">
        <v>205</v>
      </c>
      <c r="H83" s="334">
        <v>294</v>
      </c>
      <c r="I83" s="340">
        <v>8.77</v>
      </c>
      <c r="J83" s="327">
        <v>7.25</v>
      </c>
      <c r="K83" s="329">
        <v>0.623</v>
      </c>
      <c r="L83" s="329">
        <v>0.89300000000000002</v>
      </c>
      <c r="M83" s="340">
        <v>1.67</v>
      </c>
      <c r="N83" s="327">
        <v>1.53</v>
      </c>
      <c r="O83" s="329">
        <v>8.7300000000000003E-2</v>
      </c>
      <c r="P83" s="329">
        <v>5.2299999999999999E-2</v>
      </c>
      <c r="Q83" s="340">
        <v>7.1</v>
      </c>
      <c r="R83" s="327">
        <v>5.72</v>
      </c>
      <c r="S83" s="329">
        <v>0.53500000000000003</v>
      </c>
      <c r="T83" s="329">
        <v>0.84099999999999997</v>
      </c>
      <c r="U83" s="343">
        <v>0.57399999999999995</v>
      </c>
      <c r="V83" s="322">
        <v>0.36599999999999999</v>
      </c>
      <c r="W83" s="323">
        <v>9.1600000000000001E-2</v>
      </c>
      <c r="X83" s="322">
        <v>0.11600000000000001</v>
      </c>
      <c r="Y83" s="284" t="s">
        <v>2537</v>
      </c>
      <c r="Z83" s="291" t="s">
        <v>2532</v>
      </c>
      <c r="AA83" s="190"/>
      <c r="AB83" s="314"/>
      <c r="AC83" s="314"/>
    </row>
    <row r="85" spans="1:29" s="192" customFormat="1" ht="13.5" customHeight="1">
      <c r="B85" s="345" t="s">
        <v>2370</v>
      </c>
      <c r="C85" s="346"/>
      <c r="D85" s="346" t="s">
        <v>2370</v>
      </c>
      <c r="E85" s="346" t="s">
        <v>2370</v>
      </c>
      <c r="F85" s="346" t="s">
        <v>2370</v>
      </c>
      <c r="G85" s="346" t="s">
        <v>2370</v>
      </c>
      <c r="H85" s="346"/>
      <c r="I85" s="346" t="s">
        <v>2370</v>
      </c>
      <c r="J85" s="346" t="s">
        <v>2370</v>
      </c>
      <c r="K85" s="346" t="s">
        <v>2370</v>
      </c>
      <c r="L85" s="346"/>
      <c r="M85" s="346" t="s">
        <v>2370</v>
      </c>
      <c r="N85" s="346" t="s">
        <v>2370</v>
      </c>
      <c r="O85" s="346" t="s">
        <v>2370</v>
      </c>
      <c r="P85" s="346"/>
      <c r="Q85" s="347" t="s">
        <v>2370</v>
      </c>
      <c r="R85" s="346" t="s">
        <v>2370</v>
      </c>
      <c r="S85" s="346" t="s">
        <v>2370</v>
      </c>
      <c r="T85" s="346"/>
      <c r="U85" s="346" t="s">
        <v>2370</v>
      </c>
      <c r="V85" s="346" t="s">
        <v>2370</v>
      </c>
      <c r="W85" s="346" t="s">
        <v>2370</v>
      </c>
      <c r="X85" s="346"/>
      <c r="Y85" s="348"/>
      <c r="Z85" s="349" t="s">
        <v>2370</v>
      </c>
      <c r="AA85" s="190"/>
      <c r="AB85" s="190"/>
      <c r="AC85" s="190"/>
    </row>
    <row r="86" spans="1:29" s="192" customFormat="1" ht="13.5" customHeight="1">
      <c r="B86" s="345" t="s">
        <v>2370</v>
      </c>
      <c r="C86" s="346"/>
      <c r="D86" s="346" t="s">
        <v>2370</v>
      </c>
      <c r="E86" s="346" t="s">
        <v>2370</v>
      </c>
      <c r="F86" s="346" t="s">
        <v>2370</v>
      </c>
      <c r="G86" s="346" t="s">
        <v>2370</v>
      </c>
      <c r="H86" s="346"/>
      <c r="I86" s="346" t="s">
        <v>2370</v>
      </c>
      <c r="J86" s="346" t="s">
        <v>2370</v>
      </c>
      <c r="K86" s="346" t="s">
        <v>2370</v>
      </c>
      <c r="L86" s="346"/>
      <c r="M86" s="346" t="s">
        <v>2370</v>
      </c>
      <c r="N86" s="346" t="s">
        <v>2370</v>
      </c>
      <c r="O86" s="346" t="s">
        <v>2370</v>
      </c>
      <c r="P86" s="346"/>
      <c r="Q86" s="347" t="s">
        <v>2370</v>
      </c>
      <c r="R86" s="346" t="s">
        <v>2370</v>
      </c>
      <c r="S86" s="346" t="s">
        <v>2370</v>
      </c>
      <c r="T86" s="346"/>
      <c r="U86" s="346" t="s">
        <v>2370</v>
      </c>
      <c r="V86" s="346" t="s">
        <v>2370</v>
      </c>
      <c r="W86" s="346" t="s">
        <v>2370</v>
      </c>
      <c r="X86" s="346"/>
      <c r="Y86" s="348"/>
      <c r="Z86" s="349" t="s">
        <v>2370</v>
      </c>
      <c r="AA86" s="190"/>
      <c r="AB86" s="190"/>
      <c r="AC86" s="190"/>
    </row>
    <row r="87" spans="1:29" s="192" customFormat="1" ht="13.5" customHeight="1">
      <c r="B87" s="345" t="s">
        <v>2370</v>
      </c>
      <c r="C87" s="346"/>
      <c r="D87" s="346" t="s">
        <v>2370</v>
      </c>
      <c r="E87" s="346" t="s">
        <v>2370</v>
      </c>
      <c r="F87" s="346" t="s">
        <v>2370</v>
      </c>
      <c r="G87" s="346" t="s">
        <v>2370</v>
      </c>
      <c r="H87" s="346"/>
      <c r="I87" s="346" t="s">
        <v>2370</v>
      </c>
      <c r="J87" s="346" t="s">
        <v>2370</v>
      </c>
      <c r="K87" s="346" t="s">
        <v>2370</v>
      </c>
      <c r="L87" s="346"/>
      <c r="M87" s="346" t="s">
        <v>2370</v>
      </c>
      <c r="N87" s="346" t="s">
        <v>2370</v>
      </c>
      <c r="O87" s="346" t="s">
        <v>2370</v>
      </c>
      <c r="P87" s="346"/>
      <c r="Q87" s="347" t="s">
        <v>2370</v>
      </c>
      <c r="R87" s="346" t="s">
        <v>2370</v>
      </c>
      <c r="S87" s="346" t="s">
        <v>2370</v>
      </c>
      <c r="T87" s="346"/>
      <c r="U87" s="346" t="s">
        <v>2370</v>
      </c>
      <c r="V87" s="346" t="s">
        <v>2370</v>
      </c>
      <c r="W87" s="346" t="s">
        <v>2370</v>
      </c>
      <c r="X87" s="346"/>
      <c r="Y87" s="348"/>
      <c r="Z87" s="349" t="s">
        <v>2370</v>
      </c>
      <c r="AA87" s="190"/>
      <c r="AB87" s="190"/>
      <c r="AC87" s="190"/>
    </row>
    <row r="88" spans="1:29" s="192" customFormat="1" ht="13.5" customHeight="1">
      <c r="B88" s="345" t="s">
        <v>2370</v>
      </c>
      <c r="C88" s="346"/>
      <c r="D88" s="346" t="s">
        <v>2370</v>
      </c>
      <c r="E88" s="346" t="s">
        <v>2370</v>
      </c>
      <c r="F88" s="346" t="s">
        <v>2370</v>
      </c>
      <c r="G88" s="346" t="s">
        <v>2370</v>
      </c>
      <c r="H88" s="346"/>
      <c r="I88" s="346" t="s">
        <v>2370</v>
      </c>
      <c r="J88" s="346" t="s">
        <v>2370</v>
      </c>
      <c r="K88" s="346" t="s">
        <v>2370</v>
      </c>
      <c r="L88" s="346"/>
      <c r="M88" s="346" t="s">
        <v>2370</v>
      </c>
      <c r="N88" s="346" t="s">
        <v>2370</v>
      </c>
      <c r="O88" s="346" t="s">
        <v>2370</v>
      </c>
      <c r="P88" s="346"/>
      <c r="Q88" s="347" t="s">
        <v>2370</v>
      </c>
      <c r="R88" s="346" t="s">
        <v>2370</v>
      </c>
      <c r="S88" s="346" t="s">
        <v>2370</v>
      </c>
      <c r="T88" s="346"/>
      <c r="U88" s="346" t="s">
        <v>2370</v>
      </c>
      <c r="V88" s="346" t="s">
        <v>2370</v>
      </c>
      <c r="W88" s="346" t="s">
        <v>2370</v>
      </c>
      <c r="X88" s="346"/>
      <c r="Y88" s="348"/>
      <c r="Z88" s="349" t="s">
        <v>2370</v>
      </c>
      <c r="AA88" s="190"/>
      <c r="AB88" s="190"/>
      <c r="AC88" s="190"/>
    </row>
    <row r="89" spans="1:29" s="192" customFormat="1" ht="13.5" customHeight="1">
      <c r="B89" s="345" t="s">
        <v>2370</v>
      </c>
      <c r="C89" s="346"/>
      <c r="D89" s="346" t="s">
        <v>2370</v>
      </c>
      <c r="E89" s="346" t="s">
        <v>2370</v>
      </c>
      <c r="F89" s="346" t="s">
        <v>2370</v>
      </c>
      <c r="G89" s="346" t="s">
        <v>2370</v>
      </c>
      <c r="H89" s="346"/>
      <c r="I89" s="346" t="s">
        <v>2370</v>
      </c>
      <c r="J89" s="346" t="s">
        <v>2370</v>
      </c>
      <c r="K89" s="346" t="s">
        <v>2370</v>
      </c>
      <c r="L89" s="346"/>
      <c r="M89" s="346" t="s">
        <v>2370</v>
      </c>
      <c r="N89" s="346" t="s">
        <v>2370</v>
      </c>
      <c r="O89" s="346" t="s">
        <v>2370</v>
      </c>
      <c r="P89" s="346"/>
      <c r="Q89" s="347" t="s">
        <v>2370</v>
      </c>
      <c r="R89" s="346" t="s">
        <v>2370</v>
      </c>
      <c r="S89" s="346" t="s">
        <v>2370</v>
      </c>
      <c r="T89" s="346"/>
      <c r="U89" s="346" t="s">
        <v>2370</v>
      </c>
      <c r="V89" s="346" t="s">
        <v>2370</v>
      </c>
      <c r="W89" s="346" t="s">
        <v>2370</v>
      </c>
      <c r="X89" s="346"/>
      <c r="Y89" s="348"/>
      <c r="Z89" s="349" t="s">
        <v>2370</v>
      </c>
      <c r="AA89" s="190"/>
      <c r="AB89" s="190"/>
      <c r="AC89" s="190"/>
    </row>
    <row r="90" spans="1:29" s="192" customFormat="1" ht="13.5" customHeight="1">
      <c r="B90" s="345" t="s">
        <v>2370</v>
      </c>
      <c r="C90" s="346"/>
      <c r="D90" s="346" t="s">
        <v>2370</v>
      </c>
      <c r="E90" s="346" t="s">
        <v>2370</v>
      </c>
      <c r="F90" s="346" t="s">
        <v>2370</v>
      </c>
      <c r="G90" s="346" t="s">
        <v>2370</v>
      </c>
      <c r="H90" s="346"/>
      <c r="I90" s="346" t="s">
        <v>2370</v>
      </c>
      <c r="J90" s="346" t="s">
        <v>2370</v>
      </c>
      <c r="K90" s="346" t="s">
        <v>2370</v>
      </c>
      <c r="L90" s="346"/>
      <c r="M90" s="346" t="s">
        <v>2370</v>
      </c>
      <c r="N90" s="346" t="s">
        <v>2370</v>
      </c>
      <c r="O90" s="346" t="s">
        <v>2370</v>
      </c>
      <c r="P90" s="346"/>
      <c r="Q90" s="347" t="s">
        <v>2370</v>
      </c>
      <c r="R90" s="346" t="s">
        <v>2370</v>
      </c>
      <c r="S90" s="346" t="s">
        <v>2370</v>
      </c>
      <c r="T90" s="346"/>
      <c r="U90" s="346" t="s">
        <v>2370</v>
      </c>
      <c r="V90" s="346" t="s">
        <v>2370</v>
      </c>
      <c r="W90" s="346" t="s">
        <v>2370</v>
      </c>
      <c r="X90" s="346"/>
      <c r="Y90" s="348"/>
      <c r="Z90" s="349" t="s">
        <v>2370</v>
      </c>
      <c r="AA90" s="190"/>
      <c r="AB90" s="190"/>
      <c r="AC90" s="190"/>
    </row>
    <row r="91" spans="1:29" s="192" customFormat="1" ht="13.5" customHeight="1">
      <c r="B91" s="345" t="s">
        <v>2370</v>
      </c>
      <c r="C91" s="346"/>
      <c r="D91" s="346" t="s">
        <v>2370</v>
      </c>
      <c r="E91" s="346" t="s">
        <v>2370</v>
      </c>
      <c r="F91" s="346" t="s">
        <v>2370</v>
      </c>
      <c r="G91" s="346" t="s">
        <v>2370</v>
      </c>
      <c r="H91" s="346"/>
      <c r="I91" s="346" t="s">
        <v>2370</v>
      </c>
      <c r="J91" s="346" t="s">
        <v>2370</v>
      </c>
      <c r="K91" s="346" t="s">
        <v>2370</v>
      </c>
      <c r="L91" s="346"/>
      <c r="M91" s="346" t="s">
        <v>2370</v>
      </c>
      <c r="N91" s="346" t="s">
        <v>2370</v>
      </c>
      <c r="O91" s="346" t="s">
        <v>2370</v>
      </c>
      <c r="P91" s="346"/>
      <c r="Q91" s="347" t="s">
        <v>2370</v>
      </c>
      <c r="R91" s="346" t="s">
        <v>2370</v>
      </c>
      <c r="S91" s="346" t="s">
        <v>2370</v>
      </c>
      <c r="T91" s="346"/>
      <c r="U91" s="346" t="s">
        <v>2370</v>
      </c>
      <c r="V91" s="346" t="s">
        <v>2370</v>
      </c>
      <c r="W91" s="346" t="s">
        <v>2370</v>
      </c>
      <c r="X91" s="346"/>
      <c r="Y91" s="348"/>
      <c r="Z91" s="349" t="s">
        <v>2370</v>
      </c>
      <c r="AA91" s="190"/>
      <c r="AB91" s="190"/>
      <c r="AC91" s="190"/>
    </row>
    <row r="92" spans="1:29" s="192" customFormat="1" ht="13.5" customHeight="1">
      <c r="B92" s="345" t="s">
        <v>2370</v>
      </c>
      <c r="C92" s="346"/>
      <c r="D92" s="346" t="s">
        <v>2370</v>
      </c>
      <c r="E92" s="346" t="s">
        <v>2370</v>
      </c>
      <c r="F92" s="346" t="s">
        <v>2370</v>
      </c>
      <c r="G92" s="346" t="s">
        <v>2370</v>
      </c>
      <c r="H92" s="346"/>
      <c r="I92" s="346" t="s">
        <v>2370</v>
      </c>
      <c r="J92" s="346" t="s">
        <v>2370</v>
      </c>
      <c r="K92" s="346" t="s">
        <v>2370</v>
      </c>
      <c r="L92" s="346"/>
      <c r="M92" s="346" t="s">
        <v>2370</v>
      </c>
      <c r="N92" s="346" t="s">
        <v>2370</v>
      </c>
      <c r="O92" s="346" t="s">
        <v>2370</v>
      </c>
      <c r="P92" s="346"/>
      <c r="Q92" s="347" t="s">
        <v>2370</v>
      </c>
      <c r="R92" s="346" t="s">
        <v>2370</v>
      </c>
      <c r="S92" s="346" t="s">
        <v>2370</v>
      </c>
      <c r="T92" s="346"/>
      <c r="U92" s="346" t="s">
        <v>2370</v>
      </c>
      <c r="V92" s="346" t="s">
        <v>2370</v>
      </c>
      <c r="W92" s="346" t="s">
        <v>2370</v>
      </c>
      <c r="X92" s="346"/>
      <c r="Y92" s="348"/>
      <c r="Z92" s="349" t="s">
        <v>2370</v>
      </c>
      <c r="AA92" s="190"/>
      <c r="AB92" s="190"/>
      <c r="AC92" s="190"/>
    </row>
    <row r="93" spans="1:29" s="192" customFormat="1" ht="13.5" customHeight="1">
      <c r="B93" s="345" t="s">
        <v>2370</v>
      </c>
      <c r="C93" s="346"/>
      <c r="D93" s="346" t="s">
        <v>2370</v>
      </c>
      <c r="E93" s="346" t="s">
        <v>2370</v>
      </c>
      <c r="F93" s="346" t="s">
        <v>2370</v>
      </c>
      <c r="G93" s="346" t="s">
        <v>2370</v>
      </c>
      <c r="H93" s="346"/>
      <c r="I93" s="346" t="s">
        <v>2370</v>
      </c>
      <c r="J93" s="346" t="s">
        <v>2370</v>
      </c>
      <c r="K93" s="346" t="s">
        <v>2370</v>
      </c>
      <c r="L93" s="346"/>
      <c r="M93" s="346" t="s">
        <v>2370</v>
      </c>
      <c r="N93" s="346" t="s">
        <v>2370</v>
      </c>
      <c r="O93" s="346" t="s">
        <v>2370</v>
      </c>
      <c r="P93" s="346"/>
      <c r="Q93" s="347" t="s">
        <v>2370</v>
      </c>
      <c r="R93" s="346" t="s">
        <v>2370</v>
      </c>
      <c r="S93" s="346" t="s">
        <v>2370</v>
      </c>
      <c r="T93" s="346"/>
      <c r="U93" s="346" t="s">
        <v>2370</v>
      </c>
      <c r="V93" s="346" t="s">
        <v>2370</v>
      </c>
      <c r="W93" s="346" t="s">
        <v>2370</v>
      </c>
      <c r="X93" s="346"/>
      <c r="Y93" s="348"/>
      <c r="Z93" s="349" t="s">
        <v>2370</v>
      </c>
      <c r="AA93" s="190"/>
      <c r="AB93" s="190"/>
      <c r="AC93" s="190"/>
    </row>
    <row r="94" spans="1:29" s="192" customFormat="1" ht="13.5" customHeight="1">
      <c r="B94" s="345" t="s">
        <v>2370</v>
      </c>
      <c r="C94" s="346"/>
      <c r="D94" s="346" t="s">
        <v>2370</v>
      </c>
      <c r="E94" s="346" t="s">
        <v>2370</v>
      </c>
      <c r="F94" s="346" t="s">
        <v>2370</v>
      </c>
      <c r="G94" s="346" t="s">
        <v>2370</v>
      </c>
      <c r="H94" s="346"/>
      <c r="I94" s="346" t="s">
        <v>2370</v>
      </c>
      <c r="J94" s="346" t="s">
        <v>2370</v>
      </c>
      <c r="K94" s="346" t="s">
        <v>2370</v>
      </c>
      <c r="L94" s="346"/>
      <c r="M94" s="346" t="s">
        <v>2370</v>
      </c>
      <c r="N94" s="346" t="s">
        <v>2370</v>
      </c>
      <c r="O94" s="346" t="s">
        <v>2370</v>
      </c>
      <c r="P94" s="346"/>
      <c r="Q94" s="347" t="s">
        <v>2370</v>
      </c>
      <c r="R94" s="346" t="s">
        <v>2370</v>
      </c>
      <c r="S94" s="346" t="s">
        <v>2370</v>
      </c>
      <c r="T94" s="346"/>
      <c r="U94" s="346" t="s">
        <v>2370</v>
      </c>
      <c r="V94" s="346" t="s">
        <v>2370</v>
      </c>
      <c r="W94" s="346" t="s">
        <v>2370</v>
      </c>
      <c r="X94" s="346"/>
      <c r="Y94" s="348"/>
      <c r="Z94" s="349" t="s">
        <v>2370</v>
      </c>
      <c r="AA94" s="190"/>
      <c r="AB94" s="190"/>
      <c r="AC94" s="190"/>
    </row>
  </sheetData>
  <customSheetViews>
    <customSheetView guid="{B32447E2-AB5B-4CBB-881B-FF11349CA4D6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1"/>
      <headerFooter scaleWithDoc="0" alignWithMargins="0">
        <oddFooter>&amp;C&amp;8&amp;P</oddFooter>
      </headerFooter>
    </customSheetView>
    <customSheetView guid="{9FA74287-E657-475B-BF4B-3C8C757714AE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2"/>
      <headerFooter scaleWithDoc="0" alignWithMargins="0">
        <oddFooter>&amp;C&amp;8&amp;P</oddFooter>
      </headerFooter>
    </customSheetView>
  </customSheetViews>
  <mergeCells count="15">
    <mergeCell ref="U4:X4"/>
    <mergeCell ref="Z4:Z6"/>
    <mergeCell ref="U5:X5"/>
    <mergeCell ref="I6:L6"/>
    <mergeCell ref="M6:P6"/>
    <mergeCell ref="Q6:T6"/>
    <mergeCell ref="U6:X6"/>
    <mergeCell ref="A5:A6"/>
    <mergeCell ref="E5:H6"/>
    <mergeCell ref="I5:L5"/>
    <mergeCell ref="M5:P5"/>
    <mergeCell ref="Q5:T5"/>
    <mergeCell ref="B4:B6"/>
    <mergeCell ref="E4:H4"/>
    <mergeCell ref="I4:T4"/>
  </mergeCells>
  <conditionalFormatting sqref="E11">
    <cfRule type="cellIs" dxfId="19" priority="6" operator="equal">
      <formula>0</formula>
    </cfRule>
    <cfRule type="cellIs" dxfId="18" priority="8" operator="between">
      <formula>10</formula>
      <formula>100</formula>
    </cfRule>
    <cfRule type="cellIs" dxfId="17" priority="9" operator="between">
      <formula>1</formula>
      <formula>10</formula>
    </cfRule>
    <cfRule type="cellIs" dxfId="16" priority="10" operator="lessThan">
      <formula>1</formula>
    </cfRule>
  </conditionalFormatting>
  <conditionalFormatting sqref="E11:X20">
    <cfRule type="cellIs" dxfId="15" priority="7" operator="greaterThan">
      <formula>100</formula>
    </cfRule>
  </conditionalFormatting>
  <conditionalFormatting sqref="E22:X39 E41:X61">
    <cfRule type="cellIs" dxfId="14" priority="12" operator="greaterThan">
      <formula>100</formula>
    </cfRule>
  </conditionalFormatting>
  <conditionalFormatting sqref="E63:X83">
    <cfRule type="cellIs" dxfId="13" priority="1" operator="equal">
      <formula>0</formula>
    </cfRule>
    <cfRule type="cellIs" dxfId="12" priority="2" operator="greaterThan">
      <formula>100</formula>
    </cfRule>
    <cfRule type="cellIs" dxfId="11" priority="3" operator="between">
      <formula>10</formula>
      <formula>100</formula>
    </cfRule>
    <cfRule type="cellIs" dxfId="10" priority="4" operator="between">
      <formula>1</formula>
      <formula>10</formula>
    </cfRule>
    <cfRule type="cellIs" dxfId="9" priority="5" operator="lessThan">
      <formula>1</formula>
    </cfRule>
  </conditionalFormatting>
  <conditionalFormatting sqref="F11:X11 E12:X20 E22:X39 E41:X61">
    <cfRule type="cellIs" dxfId="8" priority="11" operator="equal">
      <formula>0</formula>
    </cfRule>
    <cfRule type="cellIs" dxfId="7" priority="13" operator="between">
      <formula>10</formula>
      <formula>100</formula>
    </cfRule>
    <cfRule type="cellIs" dxfId="6" priority="14" operator="between">
      <formula>1</formula>
      <formula>10</formula>
    </cfRule>
    <cfRule type="cellIs" dxfId="5" priority="1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4" fitToHeight="0" orientation="landscape" copies="8" r:id="rId3"/>
  <headerFooter scaleWithDoc="0" alignWithMargins="0">
    <oddFooter>&amp;C&amp;8&amp;P</oddFooter>
  </headerFooter>
  <rowBreaks count="1" manualBreakCount="1">
    <brk id="39" max="21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21F-E28B-4C62-BB8A-91796A479E32}">
  <dimension ref="A1:U128"/>
  <sheetViews>
    <sheetView topLeftCell="A73" zoomScale="70" zoomScaleNormal="70" workbookViewId="0">
      <selection sqref="A1:XFD1048576"/>
    </sheetView>
  </sheetViews>
  <sheetFormatPr baseColWidth="10" defaultColWidth="10.25" defaultRowHeight="12.75" outlineLevelRow="1" outlineLevelCol="1"/>
  <cols>
    <col min="1" max="1" width="9.625" style="607" customWidth="1" collapsed="1"/>
    <col min="2" max="2" width="37.75" style="607" hidden="1" customWidth="1" outlineLevel="1"/>
    <col min="3" max="3" width="50.875" style="608" customWidth="1" collapsed="1"/>
    <col min="4" max="4" width="14.75" style="609" customWidth="1"/>
    <col min="5" max="5" width="6.375" style="607" customWidth="1"/>
    <col min="6" max="6" width="17" style="607" customWidth="1"/>
    <col min="7" max="7" width="17" style="607" hidden="1" customWidth="1" outlineLevel="1"/>
    <col min="8" max="8" width="17" style="607" customWidth="1" collapsed="1"/>
    <col min="9" max="9" width="17" style="607" customWidth="1"/>
    <col min="10" max="10" width="17" style="607" hidden="1" customWidth="1" outlineLevel="1"/>
    <col min="11" max="11" width="17" style="607" customWidth="1" collapsed="1"/>
    <col min="12" max="12" width="17" style="609" customWidth="1" collapsed="1"/>
    <col min="13" max="13" width="59.25" style="610" customWidth="1"/>
    <col min="14" max="14" width="10.25" style="607"/>
    <col min="15" max="15" width="56.75" style="607" customWidth="1"/>
    <col min="16" max="16384" width="10.25" style="607"/>
  </cols>
  <sheetData>
    <row r="1" spans="1:21" s="538" customFormat="1" ht="19.5" customHeight="1" thickBot="1">
      <c r="A1" s="531"/>
      <c r="B1" s="532"/>
      <c r="C1" s="533" t="s">
        <v>838</v>
      </c>
      <c r="D1" s="534"/>
      <c r="E1" s="534"/>
      <c r="F1" s="534"/>
      <c r="G1" s="535"/>
      <c r="H1" s="535" t="s">
        <v>2557</v>
      </c>
      <c r="I1" s="532"/>
      <c r="J1" s="532"/>
      <c r="K1" s="532"/>
      <c r="L1" s="536"/>
      <c r="M1" s="537" t="s">
        <v>2140</v>
      </c>
    </row>
    <row r="2" spans="1:21" s="543" customFormat="1" ht="14.25" customHeight="1">
      <c r="A2" s="539"/>
      <c r="B2" s="540"/>
      <c r="C2" s="1325"/>
      <c r="D2" s="1326"/>
      <c r="E2" s="1326"/>
      <c r="F2" s="1326"/>
      <c r="G2" s="540"/>
      <c r="H2" s="540"/>
      <c r="I2" s="540"/>
      <c r="J2" s="540"/>
      <c r="K2" s="540"/>
      <c r="L2" s="541"/>
      <c r="M2" s="542"/>
    </row>
    <row r="3" spans="1:21" s="545" customFormat="1" ht="12.75" hidden="1" customHeight="1" outlineLevel="1">
      <c r="A3" s="544"/>
      <c r="C3" s="546" t="s">
        <v>2370</v>
      </c>
      <c r="D3" s="547"/>
      <c r="E3" s="547" t="s">
        <v>2370</v>
      </c>
      <c r="F3" s="547" t="s">
        <v>860</v>
      </c>
      <c r="G3" s="547" t="s">
        <v>2141</v>
      </c>
      <c r="H3" s="547" t="s">
        <v>2142</v>
      </c>
      <c r="I3" s="547" t="s">
        <v>2143</v>
      </c>
      <c r="J3" s="547" t="s">
        <v>2558</v>
      </c>
      <c r="K3" s="547" t="s">
        <v>2144</v>
      </c>
      <c r="L3" s="547"/>
      <c r="M3" s="548" t="s">
        <v>2370</v>
      </c>
    </row>
    <row r="4" spans="1:21" s="545" customFormat="1" ht="25.5" customHeight="1" collapsed="1">
      <c r="A4" s="29" t="s">
        <v>847</v>
      </c>
      <c r="B4" s="29" t="s">
        <v>2559</v>
      </c>
      <c r="C4" s="1276" t="s">
        <v>2560</v>
      </c>
      <c r="D4" s="1328" t="s">
        <v>2561</v>
      </c>
      <c r="E4" s="1329"/>
      <c r="F4" s="549" t="s">
        <v>2562</v>
      </c>
      <c r="G4" s="1330" t="s">
        <v>2563</v>
      </c>
      <c r="H4" s="1331"/>
      <c r="I4" s="1331"/>
      <c r="J4" s="1332"/>
      <c r="K4" s="550" t="s">
        <v>2372</v>
      </c>
      <c r="L4" s="551" t="s">
        <v>2147</v>
      </c>
      <c r="M4" s="1261" t="s">
        <v>2560</v>
      </c>
    </row>
    <row r="5" spans="1:21" s="545" customFormat="1" ht="14.25" customHeight="1">
      <c r="A5" s="1243" t="s">
        <v>858</v>
      </c>
      <c r="B5" s="491"/>
      <c r="C5" s="1327"/>
      <c r="D5" s="550"/>
      <c r="E5" s="552"/>
      <c r="F5" s="553"/>
      <c r="G5" s="554" t="s">
        <v>861</v>
      </c>
      <c r="H5" s="554" t="s">
        <v>862</v>
      </c>
      <c r="I5" s="555" t="s">
        <v>2148</v>
      </c>
      <c r="J5" s="555" t="s">
        <v>2564</v>
      </c>
      <c r="K5" s="554" t="s">
        <v>864</v>
      </c>
      <c r="L5" s="550"/>
      <c r="M5" s="1277"/>
    </row>
    <row r="6" spans="1:21" s="545" customFormat="1" ht="12.75" customHeight="1">
      <c r="A6" s="1333"/>
      <c r="B6" s="556"/>
      <c r="C6" s="1327"/>
      <c r="D6" s="554" t="s">
        <v>2149</v>
      </c>
      <c r="E6" s="557"/>
      <c r="F6" s="553"/>
      <c r="G6" s="554" t="s">
        <v>866</v>
      </c>
      <c r="H6" s="554" t="s">
        <v>867</v>
      </c>
      <c r="I6" s="555" t="s">
        <v>2150</v>
      </c>
      <c r="J6" s="555" t="s">
        <v>2565</v>
      </c>
      <c r="K6" s="554" t="s">
        <v>869</v>
      </c>
      <c r="L6" s="554" t="s">
        <v>2151</v>
      </c>
      <c r="M6" s="1277"/>
    </row>
    <row r="7" spans="1:21" s="567" customFormat="1" ht="24">
      <c r="A7" s="558"/>
      <c r="B7" s="558"/>
      <c r="C7" s="559"/>
      <c r="D7" s="560"/>
      <c r="E7" s="561" t="s">
        <v>2566</v>
      </c>
      <c r="F7" s="562" t="s">
        <v>860</v>
      </c>
      <c r="G7" s="563" t="s">
        <v>882</v>
      </c>
      <c r="H7" s="563" t="s">
        <v>882</v>
      </c>
      <c r="I7" s="563" t="s">
        <v>882</v>
      </c>
      <c r="J7" s="563" t="s">
        <v>882</v>
      </c>
      <c r="K7" s="564" t="s">
        <v>883</v>
      </c>
      <c r="L7" s="565"/>
      <c r="M7" s="566"/>
      <c r="U7" s="545"/>
    </row>
    <row r="8" spans="1:21" s="545" customFormat="1" ht="15.75" customHeight="1">
      <c r="A8" s="265" t="s">
        <v>2567</v>
      </c>
      <c r="B8" s="265"/>
      <c r="C8" s="568" t="s">
        <v>2568</v>
      </c>
      <c r="D8" s="569"/>
      <c r="E8" s="570"/>
      <c r="F8" s="570"/>
      <c r="G8" s="570"/>
      <c r="H8" s="570"/>
      <c r="I8" s="571"/>
      <c r="J8" s="571"/>
      <c r="K8" s="570"/>
      <c r="L8" s="569"/>
      <c r="M8" s="572" t="s">
        <v>2569</v>
      </c>
      <c r="N8" s="573"/>
      <c r="O8" s="573"/>
      <c r="P8" s="573"/>
      <c r="Q8" s="573"/>
      <c r="R8" s="573"/>
      <c r="S8" s="573"/>
      <c r="T8" s="573"/>
      <c r="U8" s="573"/>
    </row>
    <row r="9" spans="1:21" s="545" customFormat="1" ht="15.75" customHeight="1">
      <c r="A9" s="198" t="s">
        <v>2570</v>
      </c>
      <c r="B9" s="574" t="s">
        <v>2571</v>
      </c>
      <c r="C9" s="575" t="s">
        <v>2572</v>
      </c>
      <c r="D9" s="576" t="s">
        <v>2384</v>
      </c>
      <c r="E9" s="576" t="s">
        <v>275</v>
      </c>
      <c r="F9" s="577">
        <v>409</v>
      </c>
      <c r="G9" s="578">
        <v>1.27</v>
      </c>
      <c r="H9" s="578">
        <v>1.3599999999999999E-2</v>
      </c>
      <c r="I9" s="578">
        <v>1.25</v>
      </c>
      <c r="J9" s="578">
        <v>0</v>
      </c>
      <c r="K9" s="578">
        <v>0.32400000000000001</v>
      </c>
      <c r="L9" s="579" t="s">
        <v>2573</v>
      </c>
      <c r="M9" s="580" t="s">
        <v>2574</v>
      </c>
    </row>
    <row r="10" spans="1:21" s="545" customFormat="1" ht="15.75" customHeight="1">
      <c r="A10" s="198" t="s">
        <v>2575</v>
      </c>
      <c r="B10" s="574" t="s">
        <v>2576</v>
      </c>
      <c r="C10" s="575" t="s">
        <v>2577</v>
      </c>
      <c r="D10" s="576" t="s">
        <v>2384</v>
      </c>
      <c r="E10" s="576" t="s">
        <v>275</v>
      </c>
      <c r="F10" s="581">
        <v>274</v>
      </c>
      <c r="G10" s="582">
        <v>1.05</v>
      </c>
      <c r="H10" s="582">
        <v>2.9199999999999999E-3</v>
      </c>
      <c r="I10" s="582">
        <v>1.05</v>
      </c>
      <c r="J10" s="582">
        <v>0</v>
      </c>
      <c r="K10" s="582">
        <v>0.23</v>
      </c>
      <c r="L10" s="579" t="s">
        <v>2573</v>
      </c>
      <c r="M10" s="580" t="s">
        <v>2578</v>
      </c>
    </row>
    <row r="11" spans="1:21" s="545" customFormat="1" ht="15.75" customHeight="1">
      <c r="A11" s="198" t="s">
        <v>2579</v>
      </c>
      <c r="B11" s="574" t="s">
        <v>2580</v>
      </c>
      <c r="C11" s="575" t="s">
        <v>2581</v>
      </c>
      <c r="D11" s="576" t="s">
        <v>2384</v>
      </c>
      <c r="E11" s="576" t="s">
        <v>275</v>
      </c>
      <c r="F11" s="577">
        <v>368</v>
      </c>
      <c r="G11" s="578">
        <v>1.22</v>
      </c>
      <c r="H11" s="578">
        <v>5.7000000000000002E-3</v>
      </c>
      <c r="I11" s="578">
        <v>1.21</v>
      </c>
      <c r="J11" s="578">
        <v>0</v>
      </c>
      <c r="K11" s="578">
        <v>0.29299999999999998</v>
      </c>
      <c r="L11" s="579" t="s">
        <v>2573</v>
      </c>
      <c r="M11" s="580" t="s">
        <v>2582</v>
      </c>
      <c r="N11" s="567"/>
    </row>
    <row r="12" spans="1:21" s="545" customFormat="1" ht="15.75" customHeight="1">
      <c r="A12" s="198" t="s">
        <v>2583</v>
      </c>
      <c r="B12" s="574" t="s">
        <v>2584</v>
      </c>
      <c r="C12" s="575" t="s">
        <v>2585</v>
      </c>
      <c r="D12" s="576" t="s">
        <v>2384</v>
      </c>
      <c r="E12" s="576" t="s">
        <v>275</v>
      </c>
      <c r="F12" s="577">
        <v>597</v>
      </c>
      <c r="G12" s="578">
        <v>1.45</v>
      </c>
      <c r="H12" s="578">
        <v>1.43E-2</v>
      </c>
      <c r="I12" s="578">
        <v>1.43</v>
      </c>
      <c r="J12" s="578">
        <v>0</v>
      </c>
      <c r="K12" s="578">
        <v>0.435</v>
      </c>
      <c r="L12" s="579" t="s">
        <v>2573</v>
      </c>
      <c r="M12" s="580" t="s">
        <v>2586</v>
      </c>
      <c r="N12" s="567"/>
    </row>
    <row r="13" spans="1:21" s="545" customFormat="1" ht="15.75" customHeight="1">
      <c r="A13" s="198" t="s">
        <v>2587</v>
      </c>
      <c r="B13" s="574" t="s">
        <v>2588</v>
      </c>
      <c r="C13" s="575" t="s">
        <v>2589</v>
      </c>
      <c r="D13" s="576" t="s">
        <v>2384</v>
      </c>
      <c r="E13" s="576" t="s">
        <v>275</v>
      </c>
      <c r="F13" s="577">
        <v>726</v>
      </c>
      <c r="G13" s="578">
        <v>1.18</v>
      </c>
      <c r="H13" s="578">
        <v>9.3200000000000002E-3</v>
      </c>
      <c r="I13" s="578">
        <v>1.18</v>
      </c>
      <c r="J13" s="578">
        <v>0</v>
      </c>
      <c r="K13" s="578">
        <v>0.39800000000000002</v>
      </c>
      <c r="L13" s="579" t="s">
        <v>2573</v>
      </c>
      <c r="M13" s="580" t="s">
        <v>2590</v>
      </c>
      <c r="N13" s="567"/>
    </row>
    <row r="14" spans="1:21" s="545" customFormat="1" ht="15.75" customHeight="1">
      <c r="A14" s="198" t="s">
        <v>2591</v>
      </c>
      <c r="B14" s="574" t="s">
        <v>2592</v>
      </c>
      <c r="C14" s="575" t="s">
        <v>2593</v>
      </c>
      <c r="D14" s="576" t="s">
        <v>2384</v>
      </c>
      <c r="E14" s="576" t="s">
        <v>275</v>
      </c>
      <c r="F14" s="581">
        <v>175</v>
      </c>
      <c r="G14" s="582">
        <v>1.05</v>
      </c>
      <c r="H14" s="582">
        <v>1.01</v>
      </c>
      <c r="I14" s="582">
        <v>4.3900000000000002E-2</v>
      </c>
      <c r="J14" s="582">
        <v>0</v>
      </c>
      <c r="K14" s="582">
        <v>2.3099999999999999E-2</v>
      </c>
      <c r="L14" s="579" t="s">
        <v>2573</v>
      </c>
      <c r="M14" s="580" t="s">
        <v>2594</v>
      </c>
      <c r="N14" s="567"/>
    </row>
    <row r="15" spans="1:21" s="545" customFormat="1" ht="15.75" customHeight="1" outlineLevel="1">
      <c r="A15" s="198" t="s">
        <v>2595</v>
      </c>
      <c r="B15" s="574" t="s">
        <v>2596</v>
      </c>
      <c r="C15" s="575" t="s">
        <v>2597</v>
      </c>
      <c r="D15" s="576" t="s">
        <v>2384</v>
      </c>
      <c r="E15" s="576" t="s">
        <v>275</v>
      </c>
      <c r="F15" s="581">
        <v>175</v>
      </c>
      <c r="G15" s="582">
        <v>1.05</v>
      </c>
      <c r="H15" s="582">
        <v>1.01</v>
      </c>
      <c r="I15" s="582">
        <v>4.3900000000000002E-2</v>
      </c>
      <c r="J15" s="582">
        <v>0</v>
      </c>
      <c r="K15" s="582">
        <v>2.3099999999999999E-2</v>
      </c>
      <c r="L15" s="579" t="s">
        <v>2573</v>
      </c>
      <c r="M15" s="580" t="s">
        <v>2598</v>
      </c>
      <c r="N15" s="567"/>
    </row>
    <row r="16" spans="1:21" s="545" customFormat="1" ht="15.75" customHeight="1">
      <c r="A16" s="198" t="s">
        <v>2599</v>
      </c>
      <c r="B16" s="574" t="s">
        <v>2600</v>
      </c>
      <c r="C16" s="575" t="s">
        <v>2601</v>
      </c>
      <c r="D16" s="576" t="s">
        <v>2384</v>
      </c>
      <c r="E16" s="576" t="s">
        <v>275</v>
      </c>
      <c r="F16" s="581">
        <v>115</v>
      </c>
      <c r="G16" s="582">
        <v>1.06</v>
      </c>
      <c r="H16" s="582">
        <v>1.03</v>
      </c>
      <c r="I16" s="582">
        <v>3.0800000000000001E-2</v>
      </c>
      <c r="J16" s="582">
        <v>0</v>
      </c>
      <c r="K16" s="582">
        <v>1.0699999999999999E-2</v>
      </c>
      <c r="L16" s="579" t="s">
        <v>2573</v>
      </c>
      <c r="M16" s="580" t="s">
        <v>2602</v>
      </c>
      <c r="N16" s="567"/>
    </row>
    <row r="17" spans="1:14" s="545" customFormat="1" ht="15.75" customHeight="1" outlineLevel="1">
      <c r="A17" s="198" t="s">
        <v>2603</v>
      </c>
      <c r="B17" s="574" t="s">
        <v>2604</v>
      </c>
      <c r="C17" s="575" t="s">
        <v>2605</v>
      </c>
      <c r="D17" s="576" t="s">
        <v>2384</v>
      </c>
      <c r="E17" s="576" t="s">
        <v>275</v>
      </c>
      <c r="F17" s="581">
        <v>115</v>
      </c>
      <c r="G17" s="582">
        <v>1.06</v>
      </c>
      <c r="H17" s="582">
        <v>1.03</v>
      </c>
      <c r="I17" s="582">
        <v>3.0800000000000001E-2</v>
      </c>
      <c r="J17" s="582">
        <v>0</v>
      </c>
      <c r="K17" s="582">
        <v>1.0699999999999999E-2</v>
      </c>
      <c r="L17" s="579" t="s">
        <v>2573</v>
      </c>
      <c r="M17" s="580" t="s">
        <v>2606</v>
      </c>
      <c r="N17" s="567"/>
    </row>
    <row r="18" spans="1:14" s="545" customFormat="1" ht="15.75" customHeight="1">
      <c r="A18" s="198" t="s">
        <v>2607</v>
      </c>
      <c r="B18" s="574" t="s">
        <v>2608</v>
      </c>
      <c r="C18" s="575" t="s">
        <v>2609</v>
      </c>
      <c r="D18" s="576" t="s">
        <v>2384</v>
      </c>
      <c r="E18" s="576" t="s">
        <v>275</v>
      </c>
      <c r="F18" s="581">
        <v>111</v>
      </c>
      <c r="G18" s="582">
        <v>1.18</v>
      </c>
      <c r="H18" s="582">
        <v>1.05</v>
      </c>
      <c r="I18" s="582">
        <v>0.128</v>
      </c>
      <c r="J18" s="582">
        <v>0</v>
      </c>
      <c r="K18" s="582">
        <v>2.7799999999999998E-2</v>
      </c>
      <c r="L18" s="579" t="s">
        <v>2573</v>
      </c>
      <c r="M18" s="580" t="s">
        <v>2610</v>
      </c>
      <c r="N18" s="567"/>
    </row>
    <row r="19" spans="1:14" s="545" customFormat="1" ht="15.75" customHeight="1" outlineLevel="1">
      <c r="A19" s="198" t="s">
        <v>2611</v>
      </c>
      <c r="B19" s="574" t="s">
        <v>2612</v>
      </c>
      <c r="C19" s="575" t="s">
        <v>2613</v>
      </c>
      <c r="D19" s="576" t="s">
        <v>2384</v>
      </c>
      <c r="E19" s="576" t="s">
        <v>275</v>
      </c>
      <c r="F19" s="581">
        <v>111</v>
      </c>
      <c r="G19" s="582">
        <v>1.18</v>
      </c>
      <c r="H19" s="582">
        <v>1.05</v>
      </c>
      <c r="I19" s="582">
        <v>0.128</v>
      </c>
      <c r="J19" s="582">
        <v>0</v>
      </c>
      <c r="K19" s="582">
        <v>2.7799999999999998E-2</v>
      </c>
      <c r="L19" s="579" t="s">
        <v>2573</v>
      </c>
      <c r="M19" s="580" t="s">
        <v>2614</v>
      </c>
      <c r="N19" s="567"/>
    </row>
    <row r="20" spans="1:14" s="545" customFormat="1" ht="15.75" customHeight="1">
      <c r="A20" s="198" t="s">
        <v>2615</v>
      </c>
      <c r="B20" s="574" t="s">
        <v>2616</v>
      </c>
      <c r="C20" s="575" t="s">
        <v>2617</v>
      </c>
      <c r="D20" s="576" t="s">
        <v>2384</v>
      </c>
      <c r="E20" s="576" t="s">
        <v>275</v>
      </c>
      <c r="F20" s="581">
        <v>155</v>
      </c>
      <c r="G20" s="582">
        <v>0.32100000000000001</v>
      </c>
      <c r="H20" s="582">
        <v>2.8299999999999999E-2</v>
      </c>
      <c r="I20" s="582">
        <v>0.29299999999999998</v>
      </c>
      <c r="J20" s="582">
        <v>0</v>
      </c>
      <c r="K20" s="582">
        <v>0.124</v>
      </c>
      <c r="L20" s="579" t="s">
        <v>2573</v>
      </c>
      <c r="M20" s="580" t="s">
        <v>2618</v>
      </c>
      <c r="N20" s="567"/>
    </row>
    <row r="21" spans="1:14" s="545" customFormat="1" ht="15.6" customHeight="1">
      <c r="A21" s="198"/>
      <c r="B21" s="583"/>
      <c r="C21" s="575" t="s">
        <v>2619</v>
      </c>
      <c r="D21" s="576"/>
      <c r="E21" s="576"/>
      <c r="F21" s="577"/>
      <c r="G21" s="578"/>
      <c r="H21" s="578"/>
      <c r="I21" s="578"/>
      <c r="J21" s="578"/>
      <c r="K21" s="578"/>
      <c r="L21" s="579"/>
      <c r="M21" s="580" t="s">
        <v>2620</v>
      </c>
      <c r="N21" s="567"/>
    </row>
    <row r="22" spans="1:14" s="545" customFormat="1" ht="15.75" customHeight="1">
      <c r="A22" s="265" t="s">
        <v>2621</v>
      </c>
      <c r="B22" s="584"/>
      <c r="C22" s="568" t="s">
        <v>2622</v>
      </c>
      <c r="D22" s="569"/>
      <c r="E22" s="585" t="s">
        <v>2370</v>
      </c>
      <c r="F22" s="586"/>
      <c r="G22" s="586"/>
      <c r="H22" s="586"/>
      <c r="I22" s="586"/>
      <c r="J22" s="586"/>
      <c r="K22" s="586"/>
      <c r="L22" s="587"/>
      <c r="M22" s="572" t="s">
        <v>2623</v>
      </c>
      <c r="N22" s="567"/>
    </row>
    <row r="23" spans="1:14" s="593" customFormat="1" ht="15.75" customHeight="1">
      <c r="A23" s="583" t="s">
        <v>2624</v>
      </c>
      <c r="B23" s="574" t="s">
        <v>2625</v>
      </c>
      <c r="C23" s="588" t="s">
        <v>2626</v>
      </c>
      <c r="D23" s="589" t="s">
        <v>2384</v>
      </c>
      <c r="E23" s="589" t="s">
        <v>275</v>
      </c>
      <c r="F23" s="581">
        <v>13.7</v>
      </c>
      <c r="G23" s="582">
        <v>6.9599999999999995E-2</v>
      </c>
      <c r="H23" s="582">
        <v>1.0699999999999999E-2</v>
      </c>
      <c r="I23" s="582">
        <v>5.8799999999999998E-2</v>
      </c>
      <c r="J23" s="582">
        <v>0</v>
      </c>
      <c r="K23" s="582">
        <v>3.3999999999999998E-3</v>
      </c>
      <c r="L23" s="590" t="s">
        <v>2573</v>
      </c>
      <c r="M23" s="591"/>
      <c r="N23" s="592"/>
    </row>
    <row r="24" spans="1:14" s="545" customFormat="1" ht="15.75" customHeight="1">
      <c r="A24" s="198" t="s">
        <v>2627</v>
      </c>
      <c r="B24" s="574" t="s">
        <v>2628</v>
      </c>
      <c r="C24" s="575" t="s">
        <v>2629</v>
      </c>
      <c r="D24" s="576" t="s">
        <v>2384</v>
      </c>
      <c r="E24" s="576" t="s">
        <v>275</v>
      </c>
      <c r="F24" s="581">
        <v>509</v>
      </c>
      <c r="G24" s="582">
        <v>1.58</v>
      </c>
      <c r="H24" s="582">
        <v>2.12E-2</v>
      </c>
      <c r="I24" s="582">
        <v>1.56</v>
      </c>
      <c r="J24" s="582">
        <v>0</v>
      </c>
      <c r="K24" s="582">
        <v>0.40200000000000002</v>
      </c>
      <c r="L24" s="579" t="s">
        <v>2573</v>
      </c>
      <c r="M24" s="580" t="s">
        <v>2630</v>
      </c>
      <c r="N24" s="567"/>
    </row>
    <row r="25" spans="1:14" s="545" customFormat="1" ht="15.75" customHeight="1">
      <c r="A25" s="198" t="s">
        <v>2631</v>
      </c>
      <c r="B25" s="574" t="s">
        <v>2632</v>
      </c>
      <c r="C25" s="575" t="s">
        <v>2633</v>
      </c>
      <c r="D25" s="576" t="s">
        <v>2384</v>
      </c>
      <c r="E25" s="576" t="s">
        <v>275</v>
      </c>
      <c r="F25" s="581">
        <v>365</v>
      </c>
      <c r="G25" s="582">
        <v>1.41</v>
      </c>
      <c r="H25" s="582">
        <v>1.4500000000000001E-2</v>
      </c>
      <c r="I25" s="582">
        <v>1.4</v>
      </c>
      <c r="J25" s="582">
        <v>0</v>
      </c>
      <c r="K25" s="582">
        <v>0.30199999999999999</v>
      </c>
      <c r="L25" s="579" t="s">
        <v>2573</v>
      </c>
      <c r="M25" s="580" t="s">
        <v>2634</v>
      </c>
      <c r="N25" s="567"/>
    </row>
    <row r="26" spans="1:14" s="545" customFormat="1" ht="15.75" customHeight="1">
      <c r="A26" s="198" t="s">
        <v>2635</v>
      </c>
      <c r="B26" s="574" t="s">
        <v>2636</v>
      </c>
      <c r="C26" s="575" t="s">
        <v>2637</v>
      </c>
      <c r="D26" s="576" t="s">
        <v>2384</v>
      </c>
      <c r="E26" s="576" t="s">
        <v>275</v>
      </c>
      <c r="F26" s="581">
        <v>165</v>
      </c>
      <c r="G26" s="582">
        <v>1.61</v>
      </c>
      <c r="H26" s="582">
        <v>1.46</v>
      </c>
      <c r="I26" s="582">
        <v>0.14499999999999999</v>
      </c>
      <c r="J26" s="582">
        <v>0</v>
      </c>
      <c r="K26" s="582">
        <v>2.46E-2</v>
      </c>
      <c r="L26" s="579" t="s">
        <v>2573</v>
      </c>
      <c r="M26" s="580" t="s">
        <v>2638</v>
      </c>
      <c r="N26" s="567"/>
    </row>
    <row r="27" spans="1:14" s="545" customFormat="1" ht="15.75" customHeight="1">
      <c r="A27" s="198" t="s">
        <v>2639</v>
      </c>
      <c r="B27" s="574" t="s">
        <v>2640</v>
      </c>
      <c r="C27" s="575" t="s">
        <v>2641</v>
      </c>
      <c r="D27" s="576" t="s">
        <v>2384</v>
      </c>
      <c r="E27" s="576" t="s">
        <v>275</v>
      </c>
      <c r="F27" s="581">
        <v>82.8</v>
      </c>
      <c r="G27" s="582">
        <v>1.31</v>
      </c>
      <c r="H27" s="582">
        <v>1.19</v>
      </c>
      <c r="I27" s="582">
        <v>0.111</v>
      </c>
      <c r="J27" s="582">
        <v>0</v>
      </c>
      <c r="K27" s="582">
        <v>2.1999999999999999E-2</v>
      </c>
      <c r="L27" s="579" t="s">
        <v>2573</v>
      </c>
      <c r="M27" s="580" t="s">
        <v>2642</v>
      </c>
      <c r="N27" s="567"/>
    </row>
    <row r="28" spans="1:14" s="545" customFormat="1" ht="15.75" customHeight="1">
      <c r="A28" s="198" t="s">
        <v>2643</v>
      </c>
      <c r="B28" s="574" t="s">
        <v>2644</v>
      </c>
      <c r="C28" s="588" t="s">
        <v>2645</v>
      </c>
      <c r="D28" s="576" t="s">
        <v>2384</v>
      </c>
      <c r="E28" s="576" t="s">
        <v>275</v>
      </c>
      <c r="F28" s="581">
        <v>176</v>
      </c>
      <c r="G28" s="582">
        <v>0.874</v>
      </c>
      <c r="H28" s="582">
        <v>0.183</v>
      </c>
      <c r="I28" s="582">
        <v>0.69099999999999995</v>
      </c>
      <c r="J28" s="582">
        <v>0</v>
      </c>
      <c r="K28" s="582">
        <v>4.6100000000000002E-2</v>
      </c>
      <c r="L28" s="579" t="s">
        <v>2573</v>
      </c>
      <c r="M28" s="580" t="s">
        <v>2646</v>
      </c>
      <c r="N28" s="567"/>
    </row>
    <row r="29" spans="1:14" s="545" customFormat="1" ht="15.75" customHeight="1">
      <c r="A29" s="198" t="s">
        <v>2647</v>
      </c>
      <c r="B29" s="574" t="s">
        <v>2648</v>
      </c>
      <c r="C29" s="588" t="s">
        <v>2649</v>
      </c>
      <c r="D29" s="576" t="s">
        <v>2384</v>
      </c>
      <c r="E29" s="576" t="s">
        <v>275</v>
      </c>
      <c r="F29" s="581">
        <v>208</v>
      </c>
      <c r="G29" s="582">
        <v>1.1200000000000001</v>
      </c>
      <c r="H29" s="582">
        <v>0.32600000000000001</v>
      </c>
      <c r="I29" s="582">
        <v>0.79500000000000004</v>
      </c>
      <c r="J29" s="582">
        <v>0</v>
      </c>
      <c r="K29" s="582">
        <v>5.6099999999999997E-2</v>
      </c>
      <c r="L29" s="579" t="s">
        <v>2573</v>
      </c>
      <c r="M29" s="580" t="s">
        <v>2650</v>
      </c>
      <c r="N29" s="567"/>
    </row>
    <row r="30" spans="1:14" s="545" customFormat="1" ht="15.75" customHeight="1">
      <c r="A30" s="198" t="s">
        <v>2651</v>
      </c>
      <c r="B30" s="574" t="s">
        <v>2652</v>
      </c>
      <c r="C30" s="588" t="s">
        <v>2653</v>
      </c>
      <c r="D30" s="576" t="s">
        <v>2384</v>
      </c>
      <c r="E30" s="576" t="s">
        <v>275</v>
      </c>
      <c r="F30" s="581">
        <v>225</v>
      </c>
      <c r="G30" s="582">
        <v>1.1599999999999999</v>
      </c>
      <c r="H30" s="582">
        <v>0.32700000000000001</v>
      </c>
      <c r="I30" s="582">
        <v>0.82899999999999996</v>
      </c>
      <c r="J30" s="582">
        <v>0</v>
      </c>
      <c r="K30" s="582">
        <v>6.4199999999999993E-2</v>
      </c>
      <c r="L30" s="579" t="s">
        <v>2573</v>
      </c>
      <c r="M30" s="580" t="s">
        <v>2654</v>
      </c>
      <c r="N30" s="567"/>
    </row>
    <row r="31" spans="1:14" s="545" customFormat="1" ht="15.75" customHeight="1">
      <c r="A31" s="198" t="s">
        <v>2655</v>
      </c>
      <c r="B31" s="574" t="s">
        <v>2656</v>
      </c>
      <c r="C31" s="575" t="s">
        <v>2657</v>
      </c>
      <c r="D31" s="576" t="s">
        <v>2384</v>
      </c>
      <c r="E31" s="576" t="s">
        <v>275</v>
      </c>
      <c r="F31" s="577">
        <v>88.5</v>
      </c>
      <c r="G31" s="578">
        <v>1.41</v>
      </c>
      <c r="H31" s="578">
        <v>1.26</v>
      </c>
      <c r="I31" s="578">
        <v>0.14599999999999999</v>
      </c>
      <c r="J31" s="578">
        <v>0</v>
      </c>
      <c r="K31" s="578">
        <v>0.02</v>
      </c>
      <c r="L31" s="579" t="s">
        <v>2573</v>
      </c>
      <c r="M31" s="580" t="s">
        <v>2658</v>
      </c>
      <c r="N31" s="567"/>
    </row>
    <row r="32" spans="1:14" s="545" customFormat="1" ht="15.75" customHeight="1">
      <c r="A32" s="198" t="s">
        <v>2659</v>
      </c>
      <c r="B32" s="574" t="s">
        <v>2660</v>
      </c>
      <c r="C32" s="575" t="s">
        <v>2661</v>
      </c>
      <c r="D32" s="576" t="s">
        <v>2384</v>
      </c>
      <c r="E32" s="576" t="s">
        <v>275</v>
      </c>
      <c r="F32" s="577">
        <v>63.2</v>
      </c>
      <c r="G32" s="578">
        <v>0.54400000000000004</v>
      </c>
      <c r="H32" s="578">
        <v>0.432</v>
      </c>
      <c r="I32" s="578">
        <v>0.112</v>
      </c>
      <c r="J32" s="578">
        <v>0</v>
      </c>
      <c r="K32" s="578">
        <v>1.4500000000000001E-2</v>
      </c>
      <c r="L32" s="579" t="s">
        <v>2573</v>
      </c>
      <c r="M32" s="580" t="s">
        <v>2662</v>
      </c>
      <c r="N32" s="567"/>
    </row>
    <row r="33" spans="1:14" s="545" customFormat="1" ht="15.75" customHeight="1">
      <c r="A33" s="198" t="s">
        <v>2663</v>
      </c>
      <c r="B33" s="574" t="s">
        <v>2664</v>
      </c>
      <c r="C33" s="575" t="s">
        <v>2665</v>
      </c>
      <c r="D33" s="576" t="s">
        <v>2384</v>
      </c>
      <c r="E33" s="576" t="s">
        <v>275</v>
      </c>
      <c r="F33" s="581">
        <v>11.4</v>
      </c>
      <c r="G33" s="582">
        <v>5.3100000000000001E-2</v>
      </c>
      <c r="H33" s="582">
        <v>1.0699999999999999E-2</v>
      </c>
      <c r="I33" s="582">
        <v>4.24E-2</v>
      </c>
      <c r="J33" s="582">
        <v>0</v>
      </c>
      <c r="K33" s="582">
        <v>3.3400000000000001E-3</v>
      </c>
      <c r="L33" s="579" t="s">
        <v>2573</v>
      </c>
      <c r="M33" s="580" t="s">
        <v>2666</v>
      </c>
      <c r="N33" s="567"/>
    </row>
    <row r="34" spans="1:14" s="545" customFormat="1" ht="15.75" customHeight="1">
      <c r="A34" s="198" t="s">
        <v>2667</v>
      </c>
      <c r="B34" s="574" t="s">
        <v>2668</v>
      </c>
      <c r="C34" s="575" t="s">
        <v>2669</v>
      </c>
      <c r="D34" s="576" t="s">
        <v>2384</v>
      </c>
      <c r="E34" s="576" t="s">
        <v>275</v>
      </c>
      <c r="F34" s="581">
        <v>184</v>
      </c>
      <c r="G34" s="582">
        <v>0.54800000000000004</v>
      </c>
      <c r="H34" s="582">
        <v>1.34E-2</v>
      </c>
      <c r="I34" s="582">
        <v>0.53400000000000003</v>
      </c>
      <c r="J34" s="582">
        <v>0</v>
      </c>
      <c r="K34" s="582">
        <v>0.13100000000000001</v>
      </c>
      <c r="L34" s="579" t="s">
        <v>2573</v>
      </c>
      <c r="M34" s="580" t="s">
        <v>2670</v>
      </c>
      <c r="N34" s="567"/>
    </row>
    <row r="35" spans="1:14" s="545" customFormat="1" ht="15.75" customHeight="1">
      <c r="A35" s="198" t="s">
        <v>2671</v>
      </c>
      <c r="B35" s="574" t="s">
        <v>2672</v>
      </c>
      <c r="C35" s="575" t="s">
        <v>2673</v>
      </c>
      <c r="D35" s="576" t="s">
        <v>2384</v>
      </c>
      <c r="E35" s="576" t="s">
        <v>275</v>
      </c>
      <c r="F35" s="581">
        <v>134</v>
      </c>
      <c r="G35" s="582">
        <v>0.50700000000000001</v>
      </c>
      <c r="H35" s="582">
        <v>1.2E-2</v>
      </c>
      <c r="I35" s="582">
        <v>0.495</v>
      </c>
      <c r="J35" s="582">
        <v>0</v>
      </c>
      <c r="K35" s="582">
        <v>0.106</v>
      </c>
      <c r="L35" s="579" t="s">
        <v>2573</v>
      </c>
      <c r="M35" s="580" t="s">
        <v>2674</v>
      </c>
      <c r="N35" s="567"/>
    </row>
    <row r="36" spans="1:14" s="545" customFormat="1" ht="15.75" customHeight="1">
      <c r="A36" s="198" t="s">
        <v>2675</v>
      </c>
      <c r="B36" s="574" t="s">
        <v>2676</v>
      </c>
      <c r="C36" s="575" t="s">
        <v>2677</v>
      </c>
      <c r="D36" s="576" t="s">
        <v>2384</v>
      </c>
      <c r="E36" s="576" t="s">
        <v>275</v>
      </c>
      <c r="F36" s="581">
        <v>83.4</v>
      </c>
      <c r="G36" s="582">
        <v>0.19400000000000001</v>
      </c>
      <c r="H36" s="582">
        <v>2.2800000000000001E-2</v>
      </c>
      <c r="I36" s="582">
        <v>0.17100000000000001</v>
      </c>
      <c r="J36" s="582">
        <v>0</v>
      </c>
      <c r="K36" s="582">
        <v>6.0499999999999998E-2</v>
      </c>
      <c r="L36" s="579" t="s">
        <v>2573</v>
      </c>
      <c r="M36" s="580" t="s">
        <v>2678</v>
      </c>
      <c r="N36" s="567"/>
    </row>
    <row r="37" spans="1:14" s="545" customFormat="1" ht="15.75" customHeight="1">
      <c r="A37" s="198" t="s">
        <v>2679</v>
      </c>
      <c r="B37" s="574" t="s">
        <v>2680</v>
      </c>
      <c r="C37" s="575" t="s">
        <v>2681</v>
      </c>
      <c r="D37" s="576" t="s">
        <v>2384</v>
      </c>
      <c r="E37" s="576" t="s">
        <v>275</v>
      </c>
      <c r="F37" s="581">
        <v>126</v>
      </c>
      <c r="G37" s="582">
        <v>0.82899999999999996</v>
      </c>
      <c r="H37" s="582">
        <v>0.49</v>
      </c>
      <c r="I37" s="582">
        <v>0.33900000000000002</v>
      </c>
      <c r="J37" s="582">
        <v>0</v>
      </c>
      <c r="K37" s="582">
        <v>6.6799999999999998E-2</v>
      </c>
      <c r="L37" s="579" t="s">
        <v>2573</v>
      </c>
      <c r="M37" s="580" t="s">
        <v>2682</v>
      </c>
      <c r="N37" s="567"/>
    </row>
    <row r="38" spans="1:14" s="545" customFormat="1" ht="15.75" customHeight="1" outlineLevel="1">
      <c r="A38" s="198" t="s">
        <v>2683</v>
      </c>
      <c r="B38" s="574" t="s">
        <v>2684</v>
      </c>
      <c r="C38" s="594" t="s">
        <v>2685</v>
      </c>
      <c r="D38" s="576" t="s">
        <v>2384</v>
      </c>
      <c r="E38" s="576" t="s">
        <v>275</v>
      </c>
      <c r="F38" s="581">
        <v>126</v>
      </c>
      <c r="G38" s="582">
        <v>0.82899999999999996</v>
      </c>
      <c r="H38" s="582">
        <v>0.49</v>
      </c>
      <c r="I38" s="582">
        <v>0.33900000000000002</v>
      </c>
      <c r="J38" s="582">
        <v>0</v>
      </c>
      <c r="K38" s="582">
        <v>6.6799999999999998E-2</v>
      </c>
      <c r="L38" s="579" t="s">
        <v>2573</v>
      </c>
      <c r="M38" s="580" t="s">
        <v>2686</v>
      </c>
      <c r="N38" s="567"/>
    </row>
    <row r="39" spans="1:14" s="545" customFormat="1" ht="15.75" customHeight="1">
      <c r="A39" s="265" t="s">
        <v>2687</v>
      </c>
      <c r="B39" s="584"/>
      <c r="C39" s="568" t="s">
        <v>2688</v>
      </c>
      <c r="D39" s="595"/>
      <c r="E39" s="585" t="s">
        <v>2370</v>
      </c>
      <c r="F39" s="586"/>
      <c r="G39" s="586"/>
      <c r="H39" s="586"/>
      <c r="I39" s="586"/>
      <c r="J39" s="586"/>
      <c r="K39" s="586"/>
      <c r="L39" s="596"/>
      <c r="M39" s="568" t="s">
        <v>2689</v>
      </c>
      <c r="N39" s="567"/>
    </row>
    <row r="40" spans="1:14" s="593" customFormat="1" ht="17.100000000000001" customHeight="1">
      <c r="A40" s="583" t="s">
        <v>2690</v>
      </c>
      <c r="B40" s="574" t="s">
        <v>2691</v>
      </c>
      <c r="C40" s="588" t="s">
        <v>2692</v>
      </c>
      <c r="D40" s="589" t="s">
        <v>2693</v>
      </c>
      <c r="E40" s="589" t="s">
        <v>275</v>
      </c>
      <c r="F40" s="581">
        <v>519</v>
      </c>
      <c r="G40" s="582">
        <v>2.65</v>
      </c>
      <c r="H40" s="582">
        <v>0.55700000000000005</v>
      </c>
      <c r="I40" s="582">
        <v>2.09</v>
      </c>
      <c r="J40" s="582">
        <v>0</v>
      </c>
      <c r="K40" s="582">
        <v>0.127</v>
      </c>
      <c r="L40" s="590"/>
      <c r="M40" s="591"/>
      <c r="N40" s="592"/>
    </row>
    <row r="41" spans="1:14" s="593" customFormat="1" ht="17.100000000000001" customHeight="1">
      <c r="A41" s="583" t="s">
        <v>2694</v>
      </c>
      <c r="B41" s="574" t="s">
        <v>2695</v>
      </c>
      <c r="C41" s="588" t="s">
        <v>2696</v>
      </c>
      <c r="D41" s="589" t="s">
        <v>2693</v>
      </c>
      <c r="E41" s="589" t="s">
        <v>275</v>
      </c>
      <c r="F41" s="581">
        <v>87</v>
      </c>
      <c r="G41" s="582">
        <v>1.2</v>
      </c>
      <c r="H41" s="582">
        <v>1.1599999999999999</v>
      </c>
      <c r="I41" s="582">
        <v>4.07E-2</v>
      </c>
      <c r="J41" s="582">
        <v>0</v>
      </c>
      <c r="K41" s="582">
        <v>1.7399999999999999E-2</v>
      </c>
      <c r="L41" s="590"/>
      <c r="M41" s="591"/>
      <c r="N41" s="592"/>
    </row>
    <row r="42" spans="1:14" s="545" customFormat="1" ht="17.100000000000001" customHeight="1">
      <c r="A42" s="198" t="s">
        <v>2697</v>
      </c>
      <c r="B42" s="574" t="s">
        <v>2698</v>
      </c>
      <c r="C42" s="575" t="s">
        <v>2699</v>
      </c>
      <c r="D42" s="576" t="s">
        <v>2700</v>
      </c>
      <c r="E42" s="576" t="s">
        <v>275</v>
      </c>
      <c r="F42" s="577">
        <v>438</v>
      </c>
      <c r="G42" s="578">
        <v>1.32</v>
      </c>
      <c r="H42" s="578">
        <v>1.0999999999999999E-2</v>
      </c>
      <c r="I42" s="578">
        <v>1.31</v>
      </c>
      <c r="J42" s="578">
        <v>0</v>
      </c>
      <c r="K42" s="578">
        <v>0.34300000000000003</v>
      </c>
      <c r="L42" s="579" t="s">
        <v>2701</v>
      </c>
      <c r="M42" s="580" t="s">
        <v>2702</v>
      </c>
      <c r="N42" s="567"/>
    </row>
    <row r="43" spans="1:14" s="545" customFormat="1" ht="17.100000000000001" customHeight="1">
      <c r="A43" s="198" t="s">
        <v>2703</v>
      </c>
      <c r="B43" s="574" t="s">
        <v>2704</v>
      </c>
      <c r="C43" s="575" t="s">
        <v>2705</v>
      </c>
      <c r="D43" s="576" t="s">
        <v>2700</v>
      </c>
      <c r="E43" s="576" t="s">
        <v>275</v>
      </c>
      <c r="F43" s="581">
        <v>279</v>
      </c>
      <c r="G43" s="582">
        <v>1.07</v>
      </c>
      <c r="H43" s="582">
        <v>3.14E-3</v>
      </c>
      <c r="I43" s="582">
        <v>1.06</v>
      </c>
      <c r="J43" s="582">
        <v>0</v>
      </c>
      <c r="K43" s="582">
        <v>0.23400000000000001</v>
      </c>
      <c r="L43" s="579" t="s">
        <v>2701</v>
      </c>
      <c r="M43" s="580" t="s">
        <v>2706</v>
      </c>
      <c r="N43" s="567"/>
    </row>
    <row r="44" spans="1:14" s="545" customFormat="1" ht="17.100000000000001" customHeight="1">
      <c r="A44" s="198" t="s">
        <v>2707</v>
      </c>
      <c r="B44" s="574" t="s">
        <v>2708</v>
      </c>
      <c r="C44" s="575" t="s">
        <v>2709</v>
      </c>
      <c r="D44" s="576" t="s">
        <v>2700</v>
      </c>
      <c r="E44" s="576" t="s">
        <v>275</v>
      </c>
      <c r="F44" s="581">
        <v>364</v>
      </c>
      <c r="G44" s="582">
        <v>1.2</v>
      </c>
      <c r="H44" s="582">
        <v>5.8100000000000001E-3</v>
      </c>
      <c r="I44" s="582">
        <v>1.2</v>
      </c>
      <c r="J44" s="582">
        <v>0</v>
      </c>
      <c r="K44" s="582">
        <v>0.28899999999999998</v>
      </c>
      <c r="L44" s="579" t="s">
        <v>2701</v>
      </c>
      <c r="M44" s="580" t="s">
        <v>2710</v>
      </c>
      <c r="N44" s="567"/>
    </row>
    <row r="45" spans="1:14" s="545" customFormat="1" ht="17.100000000000001" customHeight="1">
      <c r="A45" s="198" t="s">
        <v>2711</v>
      </c>
      <c r="B45" s="574" t="s">
        <v>2712</v>
      </c>
      <c r="C45" s="575" t="s">
        <v>2713</v>
      </c>
      <c r="D45" s="576" t="s">
        <v>2700</v>
      </c>
      <c r="E45" s="576" t="s">
        <v>275</v>
      </c>
      <c r="F45" s="577">
        <v>886</v>
      </c>
      <c r="G45" s="578">
        <v>2.0099999999999998</v>
      </c>
      <c r="H45" s="578">
        <v>2.1499999999999998E-2</v>
      </c>
      <c r="I45" s="578">
        <v>1.99</v>
      </c>
      <c r="J45" s="578">
        <v>0</v>
      </c>
      <c r="K45" s="578">
        <v>0.64300000000000002</v>
      </c>
      <c r="L45" s="579" t="s">
        <v>2701</v>
      </c>
      <c r="M45" s="580" t="s">
        <v>2714</v>
      </c>
      <c r="N45" s="567"/>
    </row>
    <row r="46" spans="1:14" s="545" customFormat="1" ht="17.100000000000001" customHeight="1">
      <c r="A46" s="198" t="s">
        <v>2715</v>
      </c>
      <c r="B46" s="574" t="s">
        <v>2716</v>
      </c>
      <c r="C46" s="575" t="s">
        <v>2717</v>
      </c>
      <c r="D46" s="576" t="s">
        <v>2700</v>
      </c>
      <c r="E46" s="576" t="s">
        <v>275</v>
      </c>
      <c r="F46" s="577">
        <v>1080</v>
      </c>
      <c r="G46" s="578">
        <v>1.51</v>
      </c>
      <c r="H46" s="578">
        <v>1.41E-2</v>
      </c>
      <c r="I46" s="578">
        <v>1.49</v>
      </c>
      <c r="J46" s="578">
        <v>0</v>
      </c>
      <c r="K46" s="578">
        <v>0.58799999999999997</v>
      </c>
      <c r="L46" s="579" t="s">
        <v>2701</v>
      </c>
      <c r="M46" s="580" t="s">
        <v>2718</v>
      </c>
      <c r="N46" s="567"/>
    </row>
    <row r="47" spans="1:14" s="545" customFormat="1" ht="17.100000000000001" customHeight="1">
      <c r="A47" s="198" t="s">
        <v>2719</v>
      </c>
      <c r="B47" s="574" t="s">
        <v>2720</v>
      </c>
      <c r="C47" s="575" t="s">
        <v>2721</v>
      </c>
      <c r="D47" s="576" t="s">
        <v>2700</v>
      </c>
      <c r="E47" s="576" t="s">
        <v>275</v>
      </c>
      <c r="F47" s="581">
        <v>239</v>
      </c>
      <c r="G47" s="582">
        <v>1.41</v>
      </c>
      <c r="H47" s="582">
        <v>1.35</v>
      </c>
      <c r="I47" s="582">
        <v>6.8500000000000005E-2</v>
      </c>
      <c r="J47" s="582">
        <v>0</v>
      </c>
      <c r="K47" s="582">
        <v>3.3399999999999999E-2</v>
      </c>
      <c r="L47" s="579" t="s">
        <v>2701</v>
      </c>
      <c r="M47" s="580" t="s">
        <v>2722</v>
      </c>
      <c r="N47" s="567"/>
    </row>
    <row r="48" spans="1:14" s="545" customFormat="1" ht="17.100000000000001" customHeight="1" outlineLevel="1">
      <c r="A48" s="198" t="s">
        <v>2723</v>
      </c>
      <c r="B48" s="574" t="s">
        <v>2724</v>
      </c>
      <c r="C48" s="575" t="s">
        <v>2725</v>
      </c>
      <c r="D48" s="576" t="s">
        <v>2700</v>
      </c>
      <c r="E48" s="576" t="s">
        <v>275</v>
      </c>
      <c r="F48" s="581">
        <v>239</v>
      </c>
      <c r="G48" s="582">
        <v>1.41</v>
      </c>
      <c r="H48" s="582">
        <v>1.35</v>
      </c>
      <c r="I48" s="582">
        <v>6.8500000000000005E-2</v>
      </c>
      <c r="J48" s="582">
        <v>0</v>
      </c>
      <c r="K48" s="582">
        <v>3.3399999999999999E-2</v>
      </c>
      <c r="L48" s="579" t="s">
        <v>2701</v>
      </c>
      <c r="M48" s="580" t="s">
        <v>2726</v>
      </c>
      <c r="N48" s="567"/>
    </row>
    <row r="49" spans="1:14" s="545" customFormat="1" ht="17.100000000000001" customHeight="1">
      <c r="A49" s="198" t="s">
        <v>2727</v>
      </c>
      <c r="B49" s="574" t="s">
        <v>2728</v>
      </c>
      <c r="C49" s="575" t="s">
        <v>2729</v>
      </c>
      <c r="D49" s="576" t="s">
        <v>2700</v>
      </c>
      <c r="E49" s="576" t="s">
        <v>275</v>
      </c>
      <c r="F49" s="581">
        <v>164</v>
      </c>
      <c r="G49" s="582">
        <v>1.38</v>
      </c>
      <c r="H49" s="582">
        <v>1.33</v>
      </c>
      <c r="I49" s="582">
        <v>5.5899999999999998E-2</v>
      </c>
      <c r="J49" s="582">
        <v>0</v>
      </c>
      <c r="K49" s="582">
        <v>2.12E-2</v>
      </c>
      <c r="L49" s="579" t="s">
        <v>2701</v>
      </c>
      <c r="M49" s="580" t="s">
        <v>2730</v>
      </c>
      <c r="N49" s="567"/>
    </row>
    <row r="50" spans="1:14" s="545" customFormat="1" ht="17.100000000000001" customHeight="1" outlineLevel="1">
      <c r="A50" s="198" t="s">
        <v>2731</v>
      </c>
      <c r="B50" s="574" t="s">
        <v>2732</v>
      </c>
      <c r="C50" s="575" t="s">
        <v>2733</v>
      </c>
      <c r="D50" s="576" t="s">
        <v>2700</v>
      </c>
      <c r="E50" s="576" t="s">
        <v>275</v>
      </c>
      <c r="F50" s="581">
        <v>164</v>
      </c>
      <c r="G50" s="582">
        <v>1.38</v>
      </c>
      <c r="H50" s="582">
        <v>1.33</v>
      </c>
      <c r="I50" s="582">
        <v>5.5899999999999998E-2</v>
      </c>
      <c r="J50" s="582">
        <v>0</v>
      </c>
      <c r="K50" s="582">
        <v>2.12E-2</v>
      </c>
      <c r="L50" s="579" t="s">
        <v>2701</v>
      </c>
      <c r="M50" s="580" t="s">
        <v>2734</v>
      </c>
      <c r="N50" s="567"/>
    </row>
    <row r="51" spans="1:14" s="545" customFormat="1" ht="17.100000000000001" customHeight="1">
      <c r="A51" s="198" t="s">
        <v>2735</v>
      </c>
      <c r="B51" s="574" t="s">
        <v>2736</v>
      </c>
      <c r="C51" s="575" t="s">
        <v>2737</v>
      </c>
      <c r="D51" s="576" t="s">
        <v>2700</v>
      </c>
      <c r="E51" s="576" t="s">
        <v>275</v>
      </c>
      <c r="F51" s="581">
        <v>143</v>
      </c>
      <c r="G51" s="582">
        <v>1.44</v>
      </c>
      <c r="H51" s="582">
        <v>1.28</v>
      </c>
      <c r="I51" s="582">
        <v>0.16600000000000001</v>
      </c>
      <c r="J51" s="582">
        <v>0</v>
      </c>
      <c r="K51" s="582">
        <v>3.78E-2</v>
      </c>
      <c r="L51" s="579" t="s">
        <v>2701</v>
      </c>
      <c r="M51" s="580" t="s">
        <v>2738</v>
      </c>
      <c r="N51" s="567"/>
    </row>
    <row r="52" spans="1:14" s="545" customFormat="1" ht="17.100000000000001" customHeight="1" outlineLevel="1">
      <c r="A52" s="198" t="s">
        <v>2739</v>
      </c>
      <c r="B52" s="574" t="s">
        <v>2740</v>
      </c>
      <c r="C52" s="575" t="s">
        <v>2741</v>
      </c>
      <c r="D52" s="576" t="s">
        <v>2700</v>
      </c>
      <c r="E52" s="576" t="s">
        <v>275</v>
      </c>
      <c r="F52" s="581">
        <v>143</v>
      </c>
      <c r="G52" s="582">
        <v>1.44</v>
      </c>
      <c r="H52" s="582">
        <v>1.28</v>
      </c>
      <c r="I52" s="582">
        <v>0.16600000000000001</v>
      </c>
      <c r="J52" s="582">
        <v>0</v>
      </c>
      <c r="K52" s="582">
        <v>3.78E-2</v>
      </c>
      <c r="L52" s="579" t="s">
        <v>2701</v>
      </c>
      <c r="M52" s="580" t="s">
        <v>2742</v>
      </c>
      <c r="N52" s="567"/>
    </row>
    <row r="53" spans="1:14" s="545" customFormat="1" ht="17.100000000000001" customHeight="1">
      <c r="A53" s="198" t="s">
        <v>2743</v>
      </c>
      <c r="B53" s="574" t="s">
        <v>2744</v>
      </c>
      <c r="C53" s="575" t="s">
        <v>2745</v>
      </c>
      <c r="D53" s="576" t="s">
        <v>2700</v>
      </c>
      <c r="E53" s="576" t="s">
        <v>275</v>
      </c>
      <c r="F53" s="581">
        <v>159</v>
      </c>
      <c r="G53" s="582">
        <v>0.32800000000000001</v>
      </c>
      <c r="H53" s="582">
        <v>2.8799999999999999E-2</v>
      </c>
      <c r="I53" s="582">
        <v>0.3</v>
      </c>
      <c r="J53" s="582">
        <v>0</v>
      </c>
      <c r="K53" s="582">
        <v>0.127</v>
      </c>
      <c r="L53" s="579" t="s">
        <v>2701</v>
      </c>
      <c r="M53" s="580" t="s">
        <v>2746</v>
      </c>
      <c r="N53" s="567"/>
    </row>
    <row r="54" spans="1:14" s="545" customFormat="1" ht="17.100000000000001" customHeight="1">
      <c r="A54" s="265" t="s">
        <v>2747</v>
      </c>
      <c r="B54" s="584"/>
      <c r="C54" s="568" t="s">
        <v>2748</v>
      </c>
      <c r="D54" s="595"/>
      <c r="E54" s="585" t="s">
        <v>2370</v>
      </c>
      <c r="F54" s="586"/>
      <c r="G54" s="586"/>
      <c r="H54" s="586"/>
      <c r="I54" s="586"/>
      <c r="J54" s="586"/>
      <c r="K54" s="586"/>
      <c r="L54" s="596"/>
      <c r="M54" s="568" t="s">
        <v>2749</v>
      </c>
      <c r="N54" s="567"/>
    </row>
    <row r="55" spans="1:14" s="545" customFormat="1" ht="25.5">
      <c r="A55" s="198" t="s">
        <v>2750</v>
      </c>
      <c r="B55" s="574" t="s">
        <v>2751</v>
      </c>
      <c r="C55" s="597" t="s">
        <v>2752</v>
      </c>
      <c r="D55" s="576" t="s">
        <v>2753</v>
      </c>
      <c r="E55" s="576" t="s">
        <v>275</v>
      </c>
      <c r="F55" s="581">
        <v>214</v>
      </c>
      <c r="G55" s="582">
        <v>1.62</v>
      </c>
      <c r="H55" s="582">
        <v>0.83699999999999997</v>
      </c>
      <c r="I55" s="582">
        <v>0.78300000000000003</v>
      </c>
      <c r="J55" s="582">
        <v>0.63</v>
      </c>
      <c r="K55" s="582">
        <v>5.79E-2</v>
      </c>
      <c r="L55" s="579" t="s">
        <v>2701</v>
      </c>
      <c r="M55" s="591" t="s">
        <v>2754</v>
      </c>
    </row>
    <row r="56" spans="1:14" s="593" customFormat="1" ht="29.1" customHeight="1">
      <c r="A56" s="583" t="s">
        <v>2755</v>
      </c>
      <c r="B56" s="574" t="s">
        <v>2756</v>
      </c>
      <c r="C56" s="597" t="s">
        <v>2757</v>
      </c>
      <c r="D56" s="589" t="s">
        <v>2693</v>
      </c>
      <c r="E56" s="589" t="s">
        <v>275</v>
      </c>
      <c r="F56" s="581">
        <v>54.5</v>
      </c>
      <c r="G56" s="582">
        <v>1.08</v>
      </c>
      <c r="H56" s="582">
        <v>1.06</v>
      </c>
      <c r="I56" s="582">
        <v>2.47E-2</v>
      </c>
      <c r="J56" s="582">
        <v>0.63</v>
      </c>
      <c r="K56" s="582">
        <v>1.7299999999999999E-2</v>
      </c>
      <c r="L56" s="590" t="s">
        <v>2758</v>
      </c>
      <c r="M56" s="591"/>
    </row>
    <row r="57" spans="1:14" s="593" customFormat="1" ht="25.5">
      <c r="A57" s="583" t="s">
        <v>2759</v>
      </c>
      <c r="B57" s="574" t="s">
        <v>2760</v>
      </c>
      <c r="C57" s="597" t="s">
        <v>2761</v>
      </c>
      <c r="D57" s="589" t="s">
        <v>2693</v>
      </c>
      <c r="E57" s="589" t="s">
        <v>275</v>
      </c>
      <c r="F57" s="581">
        <v>142</v>
      </c>
      <c r="G57" s="582">
        <v>1.39</v>
      </c>
      <c r="H57" s="582">
        <v>0.90100000000000002</v>
      </c>
      <c r="I57" s="582">
        <v>0.48499999999999999</v>
      </c>
      <c r="J57" s="582">
        <v>0.77300000000000002</v>
      </c>
      <c r="K57" s="582">
        <v>0.04</v>
      </c>
      <c r="L57" s="590" t="s">
        <v>2758</v>
      </c>
      <c r="M57" s="591"/>
    </row>
    <row r="58" spans="1:14" s="593" customFormat="1" ht="29.45" customHeight="1">
      <c r="A58" s="583" t="s">
        <v>2762</v>
      </c>
      <c r="B58" s="574" t="s">
        <v>2763</v>
      </c>
      <c r="C58" s="597" t="s">
        <v>2764</v>
      </c>
      <c r="D58" s="589" t="s">
        <v>2693</v>
      </c>
      <c r="E58" s="589" t="s">
        <v>275</v>
      </c>
      <c r="F58" s="581">
        <v>44.2</v>
      </c>
      <c r="G58" s="582">
        <v>1.06</v>
      </c>
      <c r="H58" s="582">
        <v>1.04</v>
      </c>
      <c r="I58" s="582">
        <v>0.02</v>
      </c>
      <c r="J58" s="582">
        <v>0.77300000000000002</v>
      </c>
      <c r="K58" s="582">
        <v>1.4999999999999999E-2</v>
      </c>
      <c r="L58" s="590" t="s">
        <v>2758</v>
      </c>
      <c r="M58" s="591"/>
    </row>
    <row r="59" spans="1:14" s="545" customFormat="1" ht="25.5">
      <c r="A59" s="198" t="s">
        <v>2765</v>
      </c>
      <c r="B59" s="574" t="s">
        <v>2766</v>
      </c>
      <c r="C59" s="597" t="s">
        <v>2767</v>
      </c>
      <c r="D59" s="576" t="s">
        <v>2700</v>
      </c>
      <c r="E59" s="576" t="s">
        <v>275</v>
      </c>
      <c r="F59" s="581">
        <v>195</v>
      </c>
      <c r="G59" s="582">
        <v>1.55</v>
      </c>
      <c r="H59" s="582">
        <v>0.86299999999999999</v>
      </c>
      <c r="I59" s="582">
        <v>0.69</v>
      </c>
      <c r="J59" s="582">
        <v>0.68799999999999994</v>
      </c>
      <c r="K59" s="582">
        <v>5.4100000000000002E-2</v>
      </c>
      <c r="L59" s="579" t="s">
        <v>2701</v>
      </c>
      <c r="M59" s="591" t="s">
        <v>2768</v>
      </c>
    </row>
    <row r="60" spans="1:14" s="593" customFormat="1" ht="29.1" customHeight="1">
      <c r="A60" s="583" t="s">
        <v>2769</v>
      </c>
      <c r="B60" s="574" t="s">
        <v>2770</v>
      </c>
      <c r="C60" s="597" t="s">
        <v>2771</v>
      </c>
      <c r="D60" s="589" t="s">
        <v>2693</v>
      </c>
      <c r="E60" s="589" t="s">
        <v>275</v>
      </c>
      <c r="F60" s="581">
        <v>59.8</v>
      </c>
      <c r="G60" s="582">
        <v>1.1000000000000001</v>
      </c>
      <c r="H60" s="582">
        <v>1.05</v>
      </c>
      <c r="I60" s="582">
        <v>5.0500000000000003E-2</v>
      </c>
      <c r="J60" s="582">
        <v>0.68799999999999994</v>
      </c>
      <c r="K60" s="582">
        <v>1.9800000000000002E-2</v>
      </c>
      <c r="L60" s="590" t="s">
        <v>2758</v>
      </c>
      <c r="M60" s="591"/>
    </row>
    <row r="61" spans="1:14" s="593" customFormat="1" ht="25.5">
      <c r="A61" s="583" t="s">
        <v>2772</v>
      </c>
      <c r="B61" s="574" t="s">
        <v>2773</v>
      </c>
      <c r="C61" s="597" t="s">
        <v>2774</v>
      </c>
      <c r="D61" s="589" t="s">
        <v>2693</v>
      </c>
      <c r="E61" s="589" t="s">
        <v>275</v>
      </c>
      <c r="F61" s="581">
        <v>132</v>
      </c>
      <c r="G61" s="582">
        <v>1.35</v>
      </c>
      <c r="H61" s="582">
        <v>0.91800000000000004</v>
      </c>
      <c r="I61" s="582">
        <v>0.433</v>
      </c>
      <c r="J61" s="582">
        <v>0.81100000000000005</v>
      </c>
      <c r="K61" s="582">
        <v>3.8600000000000002E-2</v>
      </c>
      <c r="L61" s="590" t="s">
        <v>2758</v>
      </c>
      <c r="M61" s="591"/>
    </row>
    <row r="62" spans="1:14" s="593" customFormat="1" ht="24" customHeight="1">
      <c r="A62" s="583" t="s">
        <v>2775</v>
      </c>
      <c r="B62" s="574" t="s">
        <v>2776</v>
      </c>
      <c r="C62" s="597" t="s">
        <v>2777</v>
      </c>
      <c r="D62" s="589" t="s">
        <v>2693</v>
      </c>
      <c r="E62" s="589" t="s">
        <v>275</v>
      </c>
      <c r="F62" s="581">
        <v>51</v>
      </c>
      <c r="G62" s="582">
        <v>1.08</v>
      </c>
      <c r="H62" s="582">
        <v>1.03</v>
      </c>
      <c r="I62" s="582">
        <v>4.6399999999999997E-2</v>
      </c>
      <c r="J62" s="582">
        <v>0.81100000000000005</v>
      </c>
      <c r="K62" s="582">
        <v>1.7899999999999999E-2</v>
      </c>
      <c r="L62" s="590" t="s">
        <v>2758</v>
      </c>
      <c r="M62" s="591"/>
    </row>
    <row r="63" spans="1:14" s="545" customFormat="1" ht="25.5">
      <c r="A63" s="198" t="s">
        <v>2778</v>
      </c>
      <c r="B63" s="574" t="s">
        <v>2779</v>
      </c>
      <c r="C63" s="597" t="s">
        <v>2780</v>
      </c>
      <c r="D63" s="576" t="s">
        <v>2700</v>
      </c>
      <c r="E63" s="576" t="s">
        <v>275</v>
      </c>
      <c r="F63" s="581">
        <v>181</v>
      </c>
      <c r="G63" s="582">
        <v>1.58</v>
      </c>
      <c r="H63" s="582">
        <v>0.91800000000000004</v>
      </c>
      <c r="I63" s="582">
        <v>0.66200000000000003</v>
      </c>
      <c r="J63" s="582">
        <v>0.74399999999999999</v>
      </c>
      <c r="K63" s="582">
        <v>4.7399999999999998E-2</v>
      </c>
      <c r="L63" s="579" t="s">
        <v>2701</v>
      </c>
      <c r="M63" s="591" t="s">
        <v>2781</v>
      </c>
    </row>
    <row r="64" spans="1:14" s="593" customFormat="1" ht="29.1" customHeight="1">
      <c r="A64" s="583" t="s">
        <v>2782</v>
      </c>
      <c r="B64" s="574" t="s">
        <v>2783</v>
      </c>
      <c r="C64" s="597" t="s">
        <v>2784</v>
      </c>
      <c r="D64" s="589" t="s">
        <v>2693</v>
      </c>
      <c r="E64" s="589" t="s">
        <v>275</v>
      </c>
      <c r="F64" s="581">
        <v>46.4</v>
      </c>
      <c r="G64" s="582">
        <v>1.1299999999999999</v>
      </c>
      <c r="H64" s="582">
        <v>1.1100000000000001</v>
      </c>
      <c r="I64" s="582">
        <v>2.1600000000000001E-2</v>
      </c>
      <c r="J64" s="582">
        <v>0.74399999999999999</v>
      </c>
      <c r="K64" s="582">
        <v>1.3100000000000001E-2</v>
      </c>
      <c r="L64" s="590" t="s">
        <v>2758</v>
      </c>
      <c r="M64" s="591"/>
    </row>
    <row r="65" spans="1:14" s="593" customFormat="1" ht="25.5">
      <c r="A65" s="583" t="s">
        <v>2785</v>
      </c>
      <c r="B65" s="574" t="s">
        <v>2786</v>
      </c>
      <c r="C65" s="597" t="s">
        <v>2787</v>
      </c>
      <c r="D65" s="589" t="s">
        <v>2693</v>
      </c>
      <c r="E65" s="589" t="s">
        <v>275</v>
      </c>
      <c r="F65" s="581">
        <v>118</v>
      </c>
      <c r="G65" s="582">
        <v>1.32</v>
      </c>
      <c r="H65" s="582">
        <v>0.91700000000000004</v>
      </c>
      <c r="I65" s="582">
        <v>0.40400000000000003</v>
      </c>
      <c r="J65" s="582">
        <v>0.81100000000000005</v>
      </c>
      <c r="K65" s="582">
        <v>3.1899999999999998E-2</v>
      </c>
      <c r="L65" s="590" t="s">
        <v>2758</v>
      </c>
      <c r="M65" s="591"/>
    </row>
    <row r="66" spans="1:14" s="593" customFormat="1" ht="29.45" customHeight="1">
      <c r="A66" s="583" t="s">
        <v>2788</v>
      </c>
      <c r="B66" s="574" t="s">
        <v>2789</v>
      </c>
      <c r="C66" s="597" t="s">
        <v>2790</v>
      </c>
      <c r="D66" s="589" t="s">
        <v>2693</v>
      </c>
      <c r="E66" s="589" t="s">
        <v>275</v>
      </c>
      <c r="F66" s="581">
        <v>37</v>
      </c>
      <c r="G66" s="582">
        <v>1.05</v>
      </c>
      <c r="H66" s="582">
        <v>1.03</v>
      </c>
      <c r="I66" s="582">
        <v>1.7600000000000001E-2</v>
      </c>
      <c r="J66" s="582">
        <v>0.81100000000000005</v>
      </c>
      <c r="K66" s="582">
        <v>1.12E-2</v>
      </c>
      <c r="L66" s="590" t="s">
        <v>2758</v>
      </c>
      <c r="M66" s="591"/>
    </row>
    <row r="67" spans="1:14" s="545" customFormat="1" ht="17.100000000000001" customHeight="1">
      <c r="A67" s="198" t="s">
        <v>2791</v>
      </c>
      <c r="B67" s="574" t="s">
        <v>2792</v>
      </c>
      <c r="C67" s="575" t="s">
        <v>2222</v>
      </c>
      <c r="D67" s="576" t="s">
        <v>2700</v>
      </c>
      <c r="E67" s="576" t="s">
        <v>275</v>
      </c>
      <c r="F67" s="577">
        <v>121</v>
      </c>
      <c r="G67" s="578">
        <v>1.57</v>
      </c>
      <c r="H67" s="578">
        <v>1.33</v>
      </c>
      <c r="I67" s="578">
        <v>0.24399999999999999</v>
      </c>
      <c r="J67" s="578">
        <v>1.28</v>
      </c>
      <c r="K67" s="578">
        <v>4.2000000000000003E-2</v>
      </c>
      <c r="L67" s="579" t="s">
        <v>2701</v>
      </c>
      <c r="M67" s="598" t="s">
        <v>2226</v>
      </c>
    </row>
    <row r="68" spans="1:14" s="545" customFormat="1" ht="17.100000000000001" customHeight="1">
      <c r="A68" s="198" t="s">
        <v>2793</v>
      </c>
      <c r="B68" s="574" t="s">
        <v>2794</v>
      </c>
      <c r="C68" s="575" t="s">
        <v>2228</v>
      </c>
      <c r="D68" s="576" t="s">
        <v>2700</v>
      </c>
      <c r="E68" s="576" t="s">
        <v>275</v>
      </c>
      <c r="F68" s="577">
        <v>110</v>
      </c>
      <c r="G68" s="578">
        <v>1.81</v>
      </c>
      <c r="H68" s="578">
        <v>1.61</v>
      </c>
      <c r="I68" s="578">
        <v>0.2</v>
      </c>
      <c r="J68" s="578">
        <v>1.57</v>
      </c>
      <c r="K68" s="578">
        <v>3.78E-2</v>
      </c>
      <c r="L68" s="579" t="s">
        <v>2701</v>
      </c>
      <c r="M68" s="598" t="s">
        <v>2795</v>
      </c>
    </row>
    <row r="69" spans="1:14" s="545" customFormat="1" ht="17.100000000000001" customHeight="1">
      <c r="A69" s="198" t="s">
        <v>2796</v>
      </c>
      <c r="B69" s="574" t="s">
        <v>2797</v>
      </c>
      <c r="C69" s="575" t="s">
        <v>433</v>
      </c>
      <c r="D69" s="576" t="s">
        <v>2700</v>
      </c>
      <c r="E69" s="576" t="s">
        <v>275</v>
      </c>
      <c r="F69" s="577">
        <v>50</v>
      </c>
      <c r="G69" s="578">
        <v>1.22</v>
      </c>
      <c r="H69" s="578">
        <v>1.1499999999999999</v>
      </c>
      <c r="I69" s="578">
        <v>7.9000000000000001E-2</v>
      </c>
      <c r="J69" s="578">
        <v>1.1299999999999999</v>
      </c>
      <c r="K69" s="578">
        <v>1.5299999999999999E-2</v>
      </c>
      <c r="L69" s="579" t="s">
        <v>2701</v>
      </c>
      <c r="M69" s="598" t="s">
        <v>2230</v>
      </c>
    </row>
    <row r="70" spans="1:14" s="545" customFormat="1" ht="17.100000000000001" customHeight="1">
      <c r="A70" s="198" t="s">
        <v>2798</v>
      </c>
      <c r="B70" s="574" t="s">
        <v>2799</v>
      </c>
      <c r="C70" s="575" t="s">
        <v>2232</v>
      </c>
      <c r="D70" s="576" t="s">
        <v>2700</v>
      </c>
      <c r="E70" s="576" t="s">
        <v>275</v>
      </c>
      <c r="F70" s="577">
        <v>93.7</v>
      </c>
      <c r="G70" s="578">
        <v>1.71</v>
      </c>
      <c r="H70" s="578">
        <v>1.54</v>
      </c>
      <c r="I70" s="578">
        <v>0.17699999999999999</v>
      </c>
      <c r="J70" s="578">
        <v>1.51</v>
      </c>
      <c r="K70" s="578">
        <v>3.4599999999999999E-2</v>
      </c>
      <c r="L70" s="579" t="s">
        <v>2701</v>
      </c>
      <c r="M70" s="598" t="s">
        <v>2800</v>
      </c>
    </row>
    <row r="71" spans="1:14" s="545" customFormat="1" ht="17.100000000000001" customHeight="1">
      <c r="A71" s="198" t="s">
        <v>2801</v>
      </c>
      <c r="B71" s="574" t="s">
        <v>2802</v>
      </c>
      <c r="C71" s="575" t="s">
        <v>2803</v>
      </c>
      <c r="D71" s="576" t="s">
        <v>2700</v>
      </c>
      <c r="E71" s="576" t="s">
        <v>275</v>
      </c>
      <c r="F71" s="581">
        <v>131</v>
      </c>
      <c r="G71" s="582">
        <v>0.47199999999999998</v>
      </c>
      <c r="H71" s="582">
        <v>1.82E-3</v>
      </c>
      <c r="I71" s="582">
        <v>0.47</v>
      </c>
      <c r="J71" s="582">
        <v>0</v>
      </c>
      <c r="K71" s="582">
        <v>0.107</v>
      </c>
      <c r="L71" s="579" t="s">
        <v>2701</v>
      </c>
      <c r="M71" s="580" t="s">
        <v>2804</v>
      </c>
    </row>
    <row r="72" spans="1:14" s="593" customFormat="1" ht="17.100000000000001" customHeight="1">
      <c r="A72" s="583" t="s">
        <v>2805</v>
      </c>
      <c r="B72" s="574" t="s">
        <v>2806</v>
      </c>
      <c r="C72" s="588" t="s">
        <v>2807</v>
      </c>
      <c r="D72" s="589" t="s">
        <v>2693</v>
      </c>
      <c r="E72" s="589" t="s">
        <v>275</v>
      </c>
      <c r="F72" s="581">
        <v>39.1</v>
      </c>
      <c r="G72" s="582">
        <v>1.2</v>
      </c>
      <c r="H72" s="582">
        <v>1.1399999999999999</v>
      </c>
      <c r="I72" s="582">
        <v>5.8200000000000002E-2</v>
      </c>
      <c r="J72" s="582">
        <v>1.1299999999999999</v>
      </c>
      <c r="K72" s="582">
        <v>1.35E-2</v>
      </c>
      <c r="L72" s="590" t="s">
        <v>2758</v>
      </c>
      <c r="M72" s="591"/>
    </row>
    <row r="73" spans="1:14" s="593" customFormat="1" ht="17.100000000000001" customHeight="1">
      <c r="A73" s="583" t="s">
        <v>2808</v>
      </c>
      <c r="B73" s="574" t="s">
        <v>2809</v>
      </c>
      <c r="C73" s="588" t="s">
        <v>2810</v>
      </c>
      <c r="D73" s="589" t="s">
        <v>2693</v>
      </c>
      <c r="E73" s="589" t="s">
        <v>275</v>
      </c>
      <c r="F73" s="581">
        <v>45.2</v>
      </c>
      <c r="G73" s="582">
        <v>1.21</v>
      </c>
      <c r="H73" s="582">
        <v>1.1399999999999999</v>
      </c>
      <c r="I73" s="582">
        <v>6.7100000000000007E-2</v>
      </c>
      <c r="J73" s="582">
        <v>1.1299999999999999</v>
      </c>
      <c r="K73" s="582">
        <v>1.66E-2</v>
      </c>
      <c r="L73" s="590" t="s">
        <v>2758</v>
      </c>
      <c r="M73" s="591"/>
    </row>
    <row r="74" spans="1:14" s="545" customFormat="1" ht="24" customHeight="1">
      <c r="A74" s="198"/>
      <c r="B74" s="583"/>
      <c r="C74" s="599" t="s">
        <v>2811</v>
      </c>
      <c r="D74" s="576"/>
      <c r="E74" s="576"/>
      <c r="F74" s="577"/>
      <c r="G74" s="578"/>
      <c r="H74" s="578"/>
      <c r="I74" s="578"/>
      <c r="J74" s="578"/>
      <c r="K74" s="578"/>
      <c r="L74" s="576"/>
      <c r="M74" s="599" t="s">
        <v>2812</v>
      </c>
    </row>
    <row r="75" spans="1:14" s="545" customFormat="1" ht="15.75" customHeight="1">
      <c r="A75" s="265" t="s">
        <v>2813</v>
      </c>
      <c r="B75" s="584"/>
      <c r="C75" s="568" t="s">
        <v>2814</v>
      </c>
      <c r="D75" s="569"/>
      <c r="E75" s="585" t="s">
        <v>2370</v>
      </c>
      <c r="F75" s="586"/>
      <c r="G75" s="586"/>
      <c r="H75" s="586"/>
      <c r="I75" s="586"/>
      <c r="J75" s="586"/>
      <c r="K75" s="586"/>
      <c r="L75" s="569"/>
      <c r="M75" s="572" t="s">
        <v>2815</v>
      </c>
      <c r="N75" s="545">
        <v>2050</v>
      </c>
    </row>
    <row r="76" spans="1:14" s="545" customFormat="1" ht="15.75" customHeight="1">
      <c r="A76" s="198" t="s">
        <v>2816</v>
      </c>
      <c r="B76" s="574" t="s">
        <v>2817</v>
      </c>
      <c r="C76" s="575" t="s">
        <v>2626</v>
      </c>
      <c r="D76" s="576" t="s">
        <v>2384</v>
      </c>
      <c r="E76" s="576" t="s">
        <v>275</v>
      </c>
      <c r="F76" s="577">
        <v>675</v>
      </c>
      <c r="G76" s="578">
        <v>4.21</v>
      </c>
      <c r="H76" s="578">
        <v>5.4200000000000003E-3</v>
      </c>
      <c r="I76" s="578">
        <v>4.21</v>
      </c>
      <c r="J76" s="578">
        <v>0</v>
      </c>
      <c r="K76" s="578">
        <v>2.3900000000000001E-2</v>
      </c>
      <c r="L76" s="576" t="s">
        <v>2573</v>
      </c>
      <c r="M76" s="580" t="s">
        <v>2818</v>
      </c>
    </row>
    <row r="77" spans="1:14" s="545" customFormat="1" ht="15.75" customHeight="1">
      <c r="A77" s="198" t="s">
        <v>2819</v>
      </c>
      <c r="B77" s="574" t="s">
        <v>2820</v>
      </c>
      <c r="C77" s="575" t="s">
        <v>2821</v>
      </c>
      <c r="D77" s="576" t="s">
        <v>2384</v>
      </c>
      <c r="E77" s="576" t="s">
        <v>275</v>
      </c>
      <c r="F77" s="577">
        <v>622</v>
      </c>
      <c r="G77" s="578">
        <v>2.23</v>
      </c>
      <c r="H77" s="578">
        <v>7.4999999999999997E-3</v>
      </c>
      <c r="I77" s="578">
        <v>2.23</v>
      </c>
      <c r="J77" s="578">
        <v>0</v>
      </c>
      <c r="K77" s="578">
        <v>0.48</v>
      </c>
      <c r="L77" s="576" t="s">
        <v>2573</v>
      </c>
      <c r="M77" s="580" t="s">
        <v>2822</v>
      </c>
    </row>
    <row r="78" spans="1:14" s="593" customFormat="1" ht="15.75" customHeight="1">
      <c r="A78" s="583" t="s">
        <v>2823</v>
      </c>
      <c r="B78" s="574" t="s">
        <v>2824</v>
      </c>
      <c r="C78" s="588" t="s">
        <v>2825</v>
      </c>
      <c r="D78" s="589" t="s">
        <v>2384</v>
      </c>
      <c r="E78" s="589" t="s">
        <v>275</v>
      </c>
      <c r="F78" s="581">
        <v>945</v>
      </c>
      <c r="G78" s="582">
        <v>3.38</v>
      </c>
      <c r="H78" s="582">
        <v>1.35E-2</v>
      </c>
      <c r="I78" s="582">
        <v>3.37</v>
      </c>
      <c r="J78" s="582">
        <v>0</v>
      </c>
      <c r="K78" s="582">
        <v>0.74299999999999999</v>
      </c>
      <c r="L78" s="589" t="s">
        <v>2573</v>
      </c>
      <c r="M78" s="591"/>
    </row>
    <row r="79" spans="1:14" s="545" customFormat="1" ht="15.75" customHeight="1">
      <c r="A79" s="600" t="s">
        <v>2826</v>
      </c>
      <c r="B79" s="574" t="s">
        <v>2827</v>
      </c>
      <c r="C79" s="575" t="s">
        <v>2828</v>
      </c>
      <c r="D79" s="576" t="s">
        <v>2384</v>
      </c>
      <c r="E79" s="576" t="s">
        <v>275</v>
      </c>
      <c r="F79" s="577">
        <v>1610</v>
      </c>
      <c r="G79" s="578">
        <v>3.94</v>
      </c>
      <c r="H79" s="578">
        <v>1.1299999999999999E-2</v>
      </c>
      <c r="I79" s="578">
        <v>3.93</v>
      </c>
      <c r="J79" s="578">
        <v>0</v>
      </c>
      <c r="K79" s="578">
        <v>1.36</v>
      </c>
      <c r="L79" s="576" t="s">
        <v>2573</v>
      </c>
      <c r="M79" s="580" t="s">
        <v>2829</v>
      </c>
    </row>
    <row r="80" spans="1:14" s="545" customFormat="1" ht="15.75" customHeight="1">
      <c r="A80" s="198" t="s">
        <v>2830</v>
      </c>
      <c r="B80" s="574" t="s">
        <v>2831</v>
      </c>
      <c r="C80" s="575" t="s">
        <v>2832</v>
      </c>
      <c r="D80" s="576" t="s">
        <v>2384</v>
      </c>
      <c r="E80" s="576" t="s">
        <v>275</v>
      </c>
      <c r="F80" s="577">
        <v>1530</v>
      </c>
      <c r="G80" s="578">
        <v>3.91</v>
      </c>
      <c r="H80" s="578">
        <v>3.5799999999999998E-2</v>
      </c>
      <c r="I80" s="578">
        <v>3.88</v>
      </c>
      <c r="J80" s="578">
        <v>0</v>
      </c>
      <c r="K80" s="578">
        <v>1.23</v>
      </c>
      <c r="L80" s="576" t="s">
        <v>2573</v>
      </c>
      <c r="M80" s="580" t="s">
        <v>2833</v>
      </c>
    </row>
    <row r="81" spans="1:13" s="545" customFormat="1" ht="15.75" customHeight="1">
      <c r="A81" s="198" t="s">
        <v>2834</v>
      </c>
      <c r="B81" s="574" t="s">
        <v>2835</v>
      </c>
      <c r="C81" s="575" t="s">
        <v>2836</v>
      </c>
      <c r="D81" s="576" t="s">
        <v>2384</v>
      </c>
      <c r="E81" s="576" t="s">
        <v>275</v>
      </c>
      <c r="F81" s="577">
        <v>1570</v>
      </c>
      <c r="G81" s="578">
        <v>3.75</v>
      </c>
      <c r="H81" s="578">
        <v>2.0899999999999998E-2</v>
      </c>
      <c r="I81" s="578">
        <v>3.73</v>
      </c>
      <c r="J81" s="578">
        <v>0</v>
      </c>
      <c r="K81" s="578">
        <v>1.07</v>
      </c>
      <c r="L81" s="576" t="s">
        <v>2573</v>
      </c>
      <c r="M81" s="580" t="s">
        <v>2837</v>
      </c>
    </row>
    <row r="82" spans="1:13" s="545" customFormat="1" ht="15.75" customHeight="1">
      <c r="A82" s="198" t="s">
        <v>2838</v>
      </c>
      <c r="B82" s="574" t="s">
        <v>2839</v>
      </c>
      <c r="C82" s="575" t="s">
        <v>2665</v>
      </c>
      <c r="D82" s="576" t="s">
        <v>2384</v>
      </c>
      <c r="E82" s="576" t="s">
        <v>275</v>
      </c>
      <c r="F82" s="577">
        <v>55.6</v>
      </c>
      <c r="G82" s="578">
        <v>1.6299999999999999E-2</v>
      </c>
      <c r="H82" s="578">
        <v>2.2499999999999998E-3</v>
      </c>
      <c r="I82" s="578">
        <v>1.4E-2</v>
      </c>
      <c r="J82" s="578">
        <v>0</v>
      </c>
      <c r="K82" s="578">
        <v>7.0699999999999999E-3</v>
      </c>
      <c r="L82" s="576" t="s">
        <v>2573</v>
      </c>
      <c r="M82" s="580" t="s">
        <v>2666</v>
      </c>
    </row>
    <row r="83" spans="1:13" s="545" customFormat="1" ht="15.75" customHeight="1">
      <c r="A83" s="198" t="s">
        <v>2840</v>
      </c>
      <c r="B83" s="574" t="s">
        <v>2841</v>
      </c>
      <c r="C83" s="575" t="s">
        <v>2641</v>
      </c>
      <c r="D83" s="576" t="s">
        <v>2384</v>
      </c>
      <c r="E83" s="576" t="s">
        <v>275</v>
      </c>
      <c r="F83" s="581">
        <v>172</v>
      </c>
      <c r="G83" s="582">
        <v>2.06</v>
      </c>
      <c r="H83" s="582">
        <v>1.93</v>
      </c>
      <c r="I83" s="582">
        <v>0.125</v>
      </c>
      <c r="J83" s="582">
        <v>0</v>
      </c>
      <c r="K83" s="582">
        <v>3.7499999999999999E-2</v>
      </c>
      <c r="L83" s="576" t="s">
        <v>2573</v>
      </c>
      <c r="M83" s="580" t="s">
        <v>2642</v>
      </c>
    </row>
    <row r="84" spans="1:13" s="545" customFormat="1" ht="15.75" customHeight="1">
      <c r="A84" s="198" t="s">
        <v>2842</v>
      </c>
      <c r="B84" s="574" t="s">
        <v>2843</v>
      </c>
      <c r="C84" s="575" t="s">
        <v>2669</v>
      </c>
      <c r="D84" s="576" t="s">
        <v>2384</v>
      </c>
      <c r="E84" s="576" t="s">
        <v>275</v>
      </c>
      <c r="F84" s="581">
        <v>1180</v>
      </c>
      <c r="G84" s="582">
        <v>3.24</v>
      </c>
      <c r="H84" s="582">
        <v>1.9900000000000001E-2</v>
      </c>
      <c r="I84" s="582">
        <v>3.22</v>
      </c>
      <c r="J84" s="582">
        <v>0</v>
      </c>
      <c r="K84" s="582">
        <v>0.84099999999999997</v>
      </c>
      <c r="L84" s="576" t="s">
        <v>2573</v>
      </c>
      <c r="M84" s="580" t="s">
        <v>2670</v>
      </c>
    </row>
    <row r="85" spans="1:13" s="545" customFormat="1" ht="15.75" customHeight="1">
      <c r="A85" s="198" t="s">
        <v>2844</v>
      </c>
      <c r="B85" s="574" t="s">
        <v>2845</v>
      </c>
      <c r="C85" s="575" t="s">
        <v>2673</v>
      </c>
      <c r="D85" s="576" t="s">
        <v>2384</v>
      </c>
      <c r="E85" s="576" t="s">
        <v>275</v>
      </c>
      <c r="F85" s="581">
        <v>826</v>
      </c>
      <c r="G85" s="582">
        <v>2.84</v>
      </c>
      <c r="H85" s="582">
        <v>1.0699999999999999E-2</v>
      </c>
      <c r="I85" s="582">
        <v>2.83</v>
      </c>
      <c r="J85" s="582">
        <v>0</v>
      </c>
      <c r="K85" s="582">
        <v>0.64800000000000002</v>
      </c>
      <c r="L85" s="576" t="s">
        <v>2573</v>
      </c>
      <c r="M85" s="580" t="s">
        <v>2674</v>
      </c>
    </row>
    <row r="86" spans="1:13" s="545" customFormat="1" ht="15.75" customHeight="1">
      <c r="A86" s="198" t="s">
        <v>2846</v>
      </c>
      <c r="B86" s="574" t="s">
        <v>2847</v>
      </c>
      <c r="C86" s="575" t="s">
        <v>2677</v>
      </c>
      <c r="D86" s="576" t="s">
        <v>2384</v>
      </c>
      <c r="E86" s="576" t="s">
        <v>275</v>
      </c>
      <c r="F86" s="577">
        <v>511</v>
      </c>
      <c r="G86" s="578">
        <v>0.89700000000000002</v>
      </c>
      <c r="H86" s="578">
        <v>7.7600000000000002E-2</v>
      </c>
      <c r="I86" s="578">
        <v>0.82</v>
      </c>
      <c r="J86" s="578">
        <v>0</v>
      </c>
      <c r="K86" s="578">
        <v>0.36399999999999999</v>
      </c>
      <c r="L86" s="576" t="s">
        <v>2573</v>
      </c>
      <c r="M86" s="580" t="s">
        <v>2678</v>
      </c>
    </row>
    <row r="87" spans="1:13" s="545" customFormat="1" ht="15.75" customHeight="1">
      <c r="A87" s="198" t="s">
        <v>2848</v>
      </c>
      <c r="B87" s="574" t="s">
        <v>2849</v>
      </c>
      <c r="C87" s="575" t="s">
        <v>2850</v>
      </c>
      <c r="D87" s="576" t="s">
        <v>2384</v>
      </c>
      <c r="E87" s="576" t="s">
        <v>275</v>
      </c>
      <c r="F87" s="581">
        <v>151</v>
      </c>
      <c r="G87" s="582">
        <v>1.36</v>
      </c>
      <c r="H87" s="582">
        <v>1.2</v>
      </c>
      <c r="I87" s="582">
        <v>0.159</v>
      </c>
      <c r="J87" s="582">
        <v>0</v>
      </c>
      <c r="K87" s="582">
        <v>4.7600000000000003E-2</v>
      </c>
      <c r="L87" s="576" t="s">
        <v>2573</v>
      </c>
      <c r="M87" s="580" t="s">
        <v>2851</v>
      </c>
    </row>
    <row r="88" spans="1:13" s="545" customFormat="1" ht="15.75" customHeight="1">
      <c r="A88" s="198" t="s">
        <v>2852</v>
      </c>
      <c r="B88" s="574" t="s">
        <v>2853</v>
      </c>
      <c r="C88" s="575" t="s">
        <v>2854</v>
      </c>
      <c r="D88" s="576" t="s">
        <v>2384</v>
      </c>
      <c r="E88" s="576" t="s">
        <v>275</v>
      </c>
      <c r="F88" s="581">
        <v>176</v>
      </c>
      <c r="G88" s="582">
        <v>1.4</v>
      </c>
      <c r="H88" s="582">
        <v>1.21</v>
      </c>
      <c r="I88" s="582">
        <v>0.192</v>
      </c>
      <c r="J88" s="582">
        <v>0</v>
      </c>
      <c r="K88" s="582">
        <v>5.5E-2</v>
      </c>
      <c r="L88" s="576" t="s">
        <v>2573</v>
      </c>
      <c r="M88" s="580" t="s">
        <v>2855</v>
      </c>
    </row>
    <row r="89" spans="1:13" s="545" customFormat="1" ht="15.75" customHeight="1">
      <c r="A89" s="198" t="s">
        <v>2856</v>
      </c>
      <c r="B89" s="574" t="s">
        <v>2857</v>
      </c>
      <c r="C89" s="575" t="s">
        <v>2858</v>
      </c>
      <c r="D89" s="576" t="s">
        <v>2384</v>
      </c>
      <c r="E89" s="576" t="s">
        <v>275</v>
      </c>
      <c r="F89" s="581">
        <v>161</v>
      </c>
      <c r="G89" s="582">
        <v>1.38</v>
      </c>
      <c r="H89" s="582">
        <v>1.2</v>
      </c>
      <c r="I89" s="582">
        <v>0.17699999999999999</v>
      </c>
      <c r="J89" s="582">
        <v>0</v>
      </c>
      <c r="K89" s="582">
        <v>5.2900000000000003E-2</v>
      </c>
      <c r="L89" s="576" t="s">
        <v>2573</v>
      </c>
      <c r="M89" s="580" t="s">
        <v>2859</v>
      </c>
    </row>
    <row r="90" spans="1:13" s="545" customFormat="1" ht="15.75" customHeight="1">
      <c r="A90" s="198" t="s">
        <v>2860</v>
      </c>
      <c r="B90" s="574" t="s">
        <v>2861</v>
      </c>
      <c r="C90" s="575" t="s">
        <v>2862</v>
      </c>
      <c r="D90" s="576" t="s">
        <v>2384</v>
      </c>
      <c r="E90" s="576" t="s">
        <v>275</v>
      </c>
      <c r="F90" s="581">
        <v>221</v>
      </c>
      <c r="G90" s="582">
        <v>1.46</v>
      </c>
      <c r="H90" s="582">
        <v>1.21</v>
      </c>
      <c r="I90" s="582">
        <v>0.251</v>
      </c>
      <c r="J90" s="582">
        <v>0</v>
      </c>
      <c r="K90" s="582">
        <v>7.1999999999999995E-2</v>
      </c>
      <c r="L90" s="576" t="s">
        <v>2573</v>
      </c>
      <c r="M90" s="580" t="s">
        <v>2863</v>
      </c>
    </row>
    <row r="91" spans="1:13" s="593" customFormat="1" ht="15.75" customHeight="1">
      <c r="A91" s="583" t="s">
        <v>2864</v>
      </c>
      <c r="B91" s="574" t="s">
        <v>2865</v>
      </c>
      <c r="C91" s="588" t="s">
        <v>2866</v>
      </c>
      <c r="D91" s="589" t="s">
        <v>2384</v>
      </c>
      <c r="E91" s="589" t="s">
        <v>275</v>
      </c>
      <c r="F91" s="581">
        <v>177</v>
      </c>
      <c r="G91" s="582">
        <v>1.39</v>
      </c>
      <c r="H91" s="582">
        <v>1.2</v>
      </c>
      <c r="I91" s="582">
        <v>0.185</v>
      </c>
      <c r="J91" s="582">
        <v>0</v>
      </c>
      <c r="K91" s="582">
        <v>5.4600000000000003E-2</v>
      </c>
      <c r="L91" s="589" t="s">
        <v>2573</v>
      </c>
      <c r="M91" s="591"/>
    </row>
    <row r="92" spans="1:13" s="593" customFormat="1" ht="15.75" customHeight="1">
      <c r="A92" s="583" t="s">
        <v>2867</v>
      </c>
      <c r="B92" s="574" t="s">
        <v>2868</v>
      </c>
      <c r="C92" s="588" t="s">
        <v>2869</v>
      </c>
      <c r="D92" s="589" t="s">
        <v>2384</v>
      </c>
      <c r="E92" s="589" t="s">
        <v>275</v>
      </c>
      <c r="F92" s="581">
        <v>179</v>
      </c>
      <c r="G92" s="582">
        <v>1.39</v>
      </c>
      <c r="H92" s="582">
        <v>1.21</v>
      </c>
      <c r="I92" s="582">
        <v>0.187</v>
      </c>
      <c r="J92" s="582">
        <v>0</v>
      </c>
      <c r="K92" s="582">
        <v>5.45E-2</v>
      </c>
      <c r="L92" s="589" t="s">
        <v>2573</v>
      </c>
      <c r="M92" s="591"/>
    </row>
    <row r="93" spans="1:13" s="593" customFormat="1" ht="15.75" customHeight="1">
      <c r="A93" s="583" t="s">
        <v>2870</v>
      </c>
      <c r="B93" s="574" t="s">
        <v>2871</v>
      </c>
      <c r="C93" s="588" t="s">
        <v>2872</v>
      </c>
      <c r="D93" s="589" t="s">
        <v>2384</v>
      </c>
      <c r="E93" s="589" t="s">
        <v>275</v>
      </c>
      <c r="F93" s="581">
        <v>144</v>
      </c>
      <c r="G93" s="582">
        <v>1.33</v>
      </c>
      <c r="H93" s="582">
        <v>1.2</v>
      </c>
      <c r="I93" s="582">
        <v>0.13700000000000001</v>
      </c>
      <c r="J93" s="582">
        <v>0</v>
      </c>
      <c r="K93" s="582">
        <v>3.7100000000000001E-2</v>
      </c>
      <c r="L93" s="589" t="s">
        <v>2573</v>
      </c>
      <c r="M93" s="591"/>
    </row>
    <row r="94" spans="1:13" s="593" customFormat="1" ht="15.75" customHeight="1">
      <c r="A94" s="583" t="s">
        <v>2873</v>
      </c>
      <c r="B94" s="574" t="s">
        <v>2874</v>
      </c>
      <c r="C94" s="588" t="s">
        <v>2875</v>
      </c>
      <c r="D94" s="589" t="s">
        <v>2384</v>
      </c>
      <c r="E94" s="589" t="s">
        <v>275</v>
      </c>
      <c r="F94" s="581">
        <v>164</v>
      </c>
      <c r="G94" s="582">
        <v>1.39</v>
      </c>
      <c r="H94" s="582">
        <v>1.2</v>
      </c>
      <c r="I94" s="582">
        <v>0.188</v>
      </c>
      <c r="J94" s="582">
        <v>0</v>
      </c>
      <c r="K94" s="582">
        <v>4.7899999999999998E-2</v>
      </c>
      <c r="L94" s="589" t="s">
        <v>2573</v>
      </c>
      <c r="M94" s="591"/>
    </row>
    <row r="95" spans="1:13" s="545" customFormat="1" ht="15.75" customHeight="1">
      <c r="A95" s="198" t="s">
        <v>2876</v>
      </c>
      <c r="B95" s="574" t="s">
        <v>2877</v>
      </c>
      <c r="C95" s="575" t="s">
        <v>2878</v>
      </c>
      <c r="D95" s="576" t="s">
        <v>2384</v>
      </c>
      <c r="E95" s="576" t="s">
        <v>275</v>
      </c>
      <c r="F95" s="577">
        <v>110</v>
      </c>
      <c r="G95" s="578">
        <v>1.29</v>
      </c>
      <c r="H95" s="578">
        <v>1.2</v>
      </c>
      <c r="I95" s="578">
        <v>8.7400000000000005E-2</v>
      </c>
      <c r="J95" s="578">
        <v>0</v>
      </c>
      <c r="K95" s="578">
        <v>2.8400000000000002E-2</v>
      </c>
      <c r="L95" s="576" t="s">
        <v>2573</v>
      </c>
      <c r="M95" s="580" t="s">
        <v>2879</v>
      </c>
    </row>
    <row r="96" spans="1:13" s="545" customFormat="1" ht="15.75" customHeight="1">
      <c r="A96" s="198" t="s">
        <v>2880</v>
      </c>
      <c r="B96" s="574" t="s">
        <v>2881</v>
      </c>
      <c r="C96" s="575" t="s">
        <v>2882</v>
      </c>
      <c r="D96" s="576" t="s">
        <v>2384</v>
      </c>
      <c r="E96" s="576" t="s">
        <v>275</v>
      </c>
      <c r="F96" s="577">
        <v>77</v>
      </c>
      <c r="G96" s="578">
        <v>1.19</v>
      </c>
      <c r="H96" s="578">
        <v>1.17</v>
      </c>
      <c r="I96" s="578">
        <v>2.4799999999999999E-2</v>
      </c>
      <c r="J96" s="578">
        <v>0</v>
      </c>
      <c r="K96" s="578">
        <v>1.24E-2</v>
      </c>
      <c r="L96" s="576" t="s">
        <v>2573</v>
      </c>
      <c r="M96" s="580" t="s">
        <v>2883</v>
      </c>
    </row>
    <row r="97" spans="1:14" s="545" customFormat="1" ht="15.75" customHeight="1">
      <c r="A97" s="198" t="s">
        <v>2884</v>
      </c>
      <c r="B97" s="574" t="s">
        <v>2885</v>
      </c>
      <c r="C97" s="575" t="s">
        <v>2886</v>
      </c>
      <c r="D97" s="576" t="s">
        <v>2384</v>
      </c>
      <c r="E97" s="576" t="s">
        <v>275</v>
      </c>
      <c r="F97" s="577">
        <v>666</v>
      </c>
      <c r="G97" s="578">
        <v>3.43</v>
      </c>
      <c r="H97" s="578">
        <v>0.72199999999999998</v>
      </c>
      <c r="I97" s="578">
        <v>2.71</v>
      </c>
      <c r="J97" s="578">
        <v>0</v>
      </c>
      <c r="K97" s="578">
        <v>0.16900000000000001</v>
      </c>
      <c r="L97" s="576" t="s">
        <v>2573</v>
      </c>
      <c r="M97" s="580" t="s">
        <v>2887</v>
      </c>
    </row>
    <row r="98" spans="1:14" s="545" customFormat="1" ht="15.75" customHeight="1">
      <c r="A98" s="198" t="s">
        <v>2888</v>
      </c>
      <c r="B98" s="574" t="s">
        <v>2889</v>
      </c>
      <c r="C98" s="575" t="s">
        <v>2661</v>
      </c>
      <c r="D98" s="576" t="s">
        <v>2384</v>
      </c>
      <c r="E98" s="576" t="s">
        <v>275</v>
      </c>
      <c r="F98" s="577">
        <v>143</v>
      </c>
      <c r="G98" s="578">
        <v>3.36</v>
      </c>
      <c r="H98" s="578">
        <v>3.17</v>
      </c>
      <c r="I98" s="578">
        <v>0.191</v>
      </c>
      <c r="J98" s="578">
        <v>0</v>
      </c>
      <c r="K98" s="578">
        <v>3.09E-2</v>
      </c>
      <c r="L98" s="576" t="s">
        <v>2573</v>
      </c>
      <c r="M98" s="580" t="s">
        <v>2662</v>
      </c>
    </row>
    <row r="99" spans="1:14" s="545" customFormat="1" ht="15.75" customHeight="1">
      <c r="A99" s="198" t="s">
        <v>2890</v>
      </c>
      <c r="B99" s="574" t="s">
        <v>2891</v>
      </c>
      <c r="C99" s="575" t="s">
        <v>2892</v>
      </c>
      <c r="D99" s="576" t="s">
        <v>2384</v>
      </c>
      <c r="E99" s="576" t="s">
        <v>275</v>
      </c>
      <c r="F99" s="581">
        <v>513</v>
      </c>
      <c r="G99" s="582">
        <v>2.64</v>
      </c>
      <c r="H99" s="582">
        <v>0.55600000000000005</v>
      </c>
      <c r="I99" s="582">
        <v>2.08</v>
      </c>
      <c r="J99" s="582">
        <v>0</v>
      </c>
      <c r="K99" s="582">
        <v>0.125</v>
      </c>
      <c r="L99" s="576" t="s">
        <v>2573</v>
      </c>
      <c r="M99" s="580" t="s">
        <v>2893</v>
      </c>
      <c r="N99" s="545">
        <v>4.5999999999999999E-2</v>
      </c>
    </row>
    <row r="100" spans="1:14" s="545" customFormat="1" ht="15.75" customHeight="1">
      <c r="A100" s="198" t="s">
        <v>2894</v>
      </c>
      <c r="B100" s="574" t="s">
        <v>2895</v>
      </c>
      <c r="C100" s="575" t="s">
        <v>2896</v>
      </c>
      <c r="D100" s="576" t="s">
        <v>2384</v>
      </c>
      <c r="E100" s="576" t="s">
        <v>275</v>
      </c>
      <c r="F100" s="581">
        <v>329</v>
      </c>
      <c r="G100" s="582">
        <v>2.36</v>
      </c>
      <c r="H100" s="582">
        <v>0.67800000000000005</v>
      </c>
      <c r="I100" s="582">
        <v>1.68</v>
      </c>
      <c r="J100" s="582">
        <v>0</v>
      </c>
      <c r="K100" s="582">
        <v>3.2300000000000002E-2</v>
      </c>
      <c r="L100" s="576" t="s">
        <v>2573</v>
      </c>
      <c r="M100" s="580" t="s">
        <v>2897</v>
      </c>
    </row>
    <row r="101" spans="1:14" s="545" customFormat="1" ht="15.75" customHeight="1">
      <c r="A101" s="198" t="s">
        <v>2898</v>
      </c>
      <c r="B101" s="574" t="s">
        <v>2899</v>
      </c>
      <c r="C101" s="575" t="s">
        <v>2900</v>
      </c>
      <c r="D101" s="576" t="s">
        <v>2384</v>
      </c>
      <c r="E101" s="576" t="s">
        <v>275</v>
      </c>
      <c r="F101" s="581">
        <v>81.8</v>
      </c>
      <c r="G101" s="582">
        <v>1.19</v>
      </c>
      <c r="H101" s="582">
        <v>1.1599999999999999</v>
      </c>
      <c r="I101" s="582">
        <v>3.27E-2</v>
      </c>
      <c r="J101" s="582">
        <v>0</v>
      </c>
      <c r="K101" s="582">
        <v>1.54E-2</v>
      </c>
      <c r="L101" s="576" t="s">
        <v>2573</v>
      </c>
      <c r="M101" s="580" t="s">
        <v>2901</v>
      </c>
    </row>
    <row r="102" spans="1:14" s="593" customFormat="1" ht="15.75" customHeight="1">
      <c r="A102" s="583" t="s">
        <v>2902</v>
      </c>
      <c r="B102" s="574" t="s">
        <v>2903</v>
      </c>
      <c r="C102" s="588" t="s">
        <v>2904</v>
      </c>
      <c r="D102" s="589" t="s">
        <v>2384</v>
      </c>
      <c r="E102" s="589" t="s">
        <v>275</v>
      </c>
      <c r="F102" s="581">
        <v>265</v>
      </c>
      <c r="G102" s="582">
        <v>1.98</v>
      </c>
      <c r="H102" s="582">
        <v>0.90200000000000002</v>
      </c>
      <c r="I102" s="582">
        <v>1.08</v>
      </c>
      <c r="J102" s="582">
        <v>0</v>
      </c>
      <c r="K102" s="582">
        <v>5.4399999999999997E-2</v>
      </c>
      <c r="L102" s="589" t="s">
        <v>2573</v>
      </c>
      <c r="M102" s="591"/>
    </row>
    <row r="103" spans="1:14" s="545" customFormat="1" ht="15.75" customHeight="1">
      <c r="A103" s="198" t="s">
        <v>2905</v>
      </c>
      <c r="B103" s="574" t="s">
        <v>2906</v>
      </c>
      <c r="C103" s="575" t="s">
        <v>2907</v>
      </c>
      <c r="D103" s="576" t="s">
        <v>2384</v>
      </c>
      <c r="E103" s="576" t="s">
        <v>275</v>
      </c>
      <c r="F103" s="581">
        <v>935</v>
      </c>
      <c r="G103" s="582">
        <v>3.14</v>
      </c>
      <c r="H103" s="582">
        <v>0.27500000000000002</v>
      </c>
      <c r="I103" s="582">
        <v>2.87</v>
      </c>
      <c r="J103" s="582">
        <v>0</v>
      </c>
      <c r="K103" s="582">
        <v>0.52300000000000002</v>
      </c>
      <c r="L103" s="576" t="s">
        <v>2573</v>
      </c>
      <c r="M103" s="580" t="s">
        <v>2908</v>
      </c>
    </row>
    <row r="104" spans="1:14" s="545" customFormat="1" ht="15.75" customHeight="1">
      <c r="A104" s="265" t="s">
        <v>2909</v>
      </c>
      <c r="B104" s="584"/>
      <c r="C104" s="568" t="s">
        <v>2910</v>
      </c>
      <c r="D104" s="569"/>
      <c r="E104" s="585" t="s">
        <v>2370</v>
      </c>
      <c r="F104" s="586"/>
      <c r="G104" s="586"/>
      <c r="H104" s="586"/>
      <c r="I104" s="586"/>
      <c r="J104" s="586"/>
      <c r="K104" s="586"/>
      <c r="L104" s="569"/>
      <c r="M104" s="572" t="s">
        <v>2911</v>
      </c>
    </row>
    <row r="105" spans="1:14" s="545" customFormat="1" ht="15.75" customHeight="1">
      <c r="A105" s="198" t="s">
        <v>2912</v>
      </c>
      <c r="B105" s="574" t="s">
        <v>2913</v>
      </c>
      <c r="C105" s="575" t="s">
        <v>2850</v>
      </c>
      <c r="D105" s="576" t="s">
        <v>2384</v>
      </c>
      <c r="E105" s="576" t="s">
        <v>275</v>
      </c>
      <c r="F105" s="581">
        <v>86.7</v>
      </c>
      <c r="G105" s="582">
        <v>1.22</v>
      </c>
      <c r="H105" s="582">
        <v>1.0900000000000001</v>
      </c>
      <c r="I105" s="582">
        <v>0.13100000000000001</v>
      </c>
      <c r="J105" s="582">
        <v>1.07</v>
      </c>
      <c r="K105" s="582">
        <v>3.6799999999999999E-2</v>
      </c>
      <c r="L105" s="576" t="s">
        <v>2573</v>
      </c>
      <c r="M105" s="580" t="s">
        <v>2851</v>
      </c>
    </row>
    <row r="106" spans="1:14" s="545" customFormat="1" ht="15.75" customHeight="1">
      <c r="A106" s="198" t="s">
        <v>2914</v>
      </c>
      <c r="B106" s="574" t="s">
        <v>2915</v>
      </c>
      <c r="C106" s="575" t="s">
        <v>2854</v>
      </c>
      <c r="D106" s="576" t="s">
        <v>2384</v>
      </c>
      <c r="E106" s="576" t="s">
        <v>275</v>
      </c>
      <c r="F106" s="581">
        <v>110</v>
      </c>
      <c r="G106" s="582">
        <v>1.25</v>
      </c>
      <c r="H106" s="582">
        <v>1.0900000000000001</v>
      </c>
      <c r="I106" s="582">
        <v>0.161</v>
      </c>
      <c r="J106" s="582">
        <v>1.07</v>
      </c>
      <c r="K106" s="582">
        <v>4.3499999999999997E-2</v>
      </c>
      <c r="L106" s="576" t="s">
        <v>2573</v>
      </c>
      <c r="M106" s="580" t="s">
        <v>2855</v>
      </c>
    </row>
    <row r="107" spans="1:14" s="545" customFormat="1" ht="15.75" customHeight="1">
      <c r="A107" s="198" t="s">
        <v>2916</v>
      </c>
      <c r="B107" s="574" t="s">
        <v>2917</v>
      </c>
      <c r="C107" s="575" t="s">
        <v>2858</v>
      </c>
      <c r="D107" s="576" t="s">
        <v>2384</v>
      </c>
      <c r="E107" s="576" t="s">
        <v>275</v>
      </c>
      <c r="F107" s="581">
        <v>96</v>
      </c>
      <c r="G107" s="582">
        <v>1.24</v>
      </c>
      <c r="H107" s="582">
        <v>1.0900000000000001</v>
      </c>
      <c r="I107" s="582">
        <v>0.14799999999999999</v>
      </c>
      <c r="J107" s="582">
        <v>1.07</v>
      </c>
      <c r="K107" s="582">
        <v>4.1599999999999998E-2</v>
      </c>
      <c r="L107" s="576" t="s">
        <v>2573</v>
      </c>
      <c r="M107" s="580" t="s">
        <v>2859</v>
      </c>
    </row>
    <row r="108" spans="1:14" s="545" customFormat="1" ht="15.75" customHeight="1">
      <c r="A108" s="198" t="s">
        <v>2918</v>
      </c>
      <c r="B108" s="574" t="s">
        <v>2919</v>
      </c>
      <c r="C108" s="575" t="s">
        <v>2862</v>
      </c>
      <c r="D108" s="576" t="s">
        <v>2384</v>
      </c>
      <c r="E108" s="576" t="s">
        <v>275</v>
      </c>
      <c r="F108" s="581">
        <v>149</v>
      </c>
      <c r="G108" s="582">
        <v>1.31</v>
      </c>
      <c r="H108" s="582">
        <v>1.0900000000000001</v>
      </c>
      <c r="I108" s="582">
        <v>0.214</v>
      </c>
      <c r="J108" s="582">
        <v>1.07</v>
      </c>
      <c r="K108" s="582">
        <v>5.8700000000000002E-2</v>
      </c>
      <c r="L108" s="576" t="s">
        <v>2573</v>
      </c>
      <c r="M108" s="580" t="s">
        <v>2863</v>
      </c>
    </row>
    <row r="109" spans="1:14" s="593" customFormat="1" ht="15.75" customHeight="1">
      <c r="A109" s="583" t="s">
        <v>2920</v>
      </c>
      <c r="B109" s="574" t="s">
        <v>2921</v>
      </c>
      <c r="C109" s="588" t="s">
        <v>2866</v>
      </c>
      <c r="D109" s="589" t="s">
        <v>2384</v>
      </c>
      <c r="E109" s="589" t="s">
        <v>275</v>
      </c>
      <c r="F109" s="581">
        <v>111</v>
      </c>
      <c r="G109" s="582">
        <v>1.25</v>
      </c>
      <c r="H109" s="582">
        <v>1.0900000000000001</v>
      </c>
      <c r="I109" s="582">
        <v>0.155</v>
      </c>
      <c r="J109" s="582">
        <v>1.07</v>
      </c>
      <c r="K109" s="582">
        <v>4.3200000000000002E-2</v>
      </c>
      <c r="L109" s="589" t="s">
        <v>2573</v>
      </c>
      <c r="M109" s="591"/>
    </row>
    <row r="110" spans="1:14" s="593" customFormat="1" ht="15.75" customHeight="1">
      <c r="A110" s="583" t="s">
        <v>2922</v>
      </c>
      <c r="B110" s="574" t="s">
        <v>2923</v>
      </c>
      <c r="C110" s="588" t="s">
        <v>2869</v>
      </c>
      <c r="D110" s="589" t="s">
        <v>2384</v>
      </c>
      <c r="E110" s="589" t="s">
        <v>275</v>
      </c>
      <c r="F110" s="581">
        <v>112</v>
      </c>
      <c r="G110" s="582">
        <v>1.25</v>
      </c>
      <c r="H110" s="582">
        <v>1.0900000000000001</v>
      </c>
      <c r="I110" s="582">
        <v>0.157</v>
      </c>
      <c r="J110" s="582">
        <v>1.07</v>
      </c>
      <c r="K110" s="582">
        <v>4.2999999999999997E-2</v>
      </c>
      <c r="L110" s="589" t="s">
        <v>2573</v>
      </c>
      <c r="M110" s="591"/>
    </row>
    <row r="111" spans="1:14" s="593" customFormat="1" ht="15.75" customHeight="1">
      <c r="A111" s="583" t="s">
        <v>2924</v>
      </c>
      <c r="B111" s="574" t="s">
        <v>2925</v>
      </c>
      <c r="C111" s="588" t="s">
        <v>2872</v>
      </c>
      <c r="D111" s="589" t="s">
        <v>2384</v>
      </c>
      <c r="E111" s="589" t="s">
        <v>275</v>
      </c>
      <c r="F111" s="581">
        <v>80</v>
      </c>
      <c r="G111" s="582">
        <v>1.2</v>
      </c>
      <c r="H111" s="582">
        <v>1.08</v>
      </c>
      <c r="I111" s="582">
        <v>0.112</v>
      </c>
      <c r="J111" s="582">
        <v>1.07</v>
      </c>
      <c r="K111" s="582">
        <v>2.7300000000000001E-2</v>
      </c>
      <c r="L111" s="589" t="s">
        <v>2573</v>
      </c>
      <c r="M111" s="591"/>
    </row>
    <row r="112" spans="1:14" s="593" customFormat="1" ht="15.75" customHeight="1">
      <c r="A112" s="583" t="s">
        <v>2926</v>
      </c>
      <c r="B112" s="574" t="s">
        <v>2927</v>
      </c>
      <c r="C112" s="588" t="s">
        <v>2875</v>
      </c>
      <c r="D112" s="589" t="s">
        <v>2384</v>
      </c>
      <c r="E112" s="589" t="s">
        <v>275</v>
      </c>
      <c r="F112" s="581">
        <v>98.8</v>
      </c>
      <c r="G112" s="582">
        <v>1.25</v>
      </c>
      <c r="H112" s="582">
        <v>1.0900000000000001</v>
      </c>
      <c r="I112" s="582">
        <v>0.158</v>
      </c>
      <c r="J112" s="582">
        <v>1.07</v>
      </c>
      <c r="K112" s="582">
        <v>3.7100000000000001E-2</v>
      </c>
      <c r="L112" s="589" t="s">
        <v>2573</v>
      </c>
      <c r="M112" s="591"/>
    </row>
    <row r="113" spans="1:13" s="593" customFormat="1" ht="15.75" customHeight="1">
      <c r="A113" s="583" t="s">
        <v>2928</v>
      </c>
      <c r="B113" s="574" t="s">
        <v>2929</v>
      </c>
      <c r="C113" s="588" t="s">
        <v>2930</v>
      </c>
      <c r="D113" s="589" t="s">
        <v>2384</v>
      </c>
      <c r="E113" s="589" t="s">
        <v>275</v>
      </c>
      <c r="F113" s="581">
        <v>111</v>
      </c>
      <c r="G113" s="582">
        <v>1.26</v>
      </c>
      <c r="H113" s="582">
        <v>1.0900000000000001</v>
      </c>
      <c r="I113" s="582">
        <v>0.17299999999999999</v>
      </c>
      <c r="J113" s="582">
        <v>1.07</v>
      </c>
      <c r="K113" s="582">
        <v>4.9200000000000001E-2</v>
      </c>
      <c r="L113" s="589" t="s">
        <v>2573</v>
      </c>
      <c r="M113" s="591"/>
    </row>
    <row r="114" spans="1:13" s="545" customFormat="1" ht="15.75" customHeight="1">
      <c r="A114" s="198" t="s">
        <v>2931</v>
      </c>
      <c r="B114" s="574" t="s">
        <v>2932</v>
      </c>
      <c r="C114" s="575" t="s">
        <v>2878</v>
      </c>
      <c r="D114" s="576" t="s">
        <v>2384</v>
      </c>
      <c r="E114" s="576" t="s">
        <v>275</v>
      </c>
      <c r="F114" s="577">
        <v>49.8</v>
      </c>
      <c r="G114" s="578">
        <v>1.1499999999999999</v>
      </c>
      <c r="H114" s="578">
        <v>1.0900000000000001</v>
      </c>
      <c r="I114" s="578">
        <v>6.6600000000000006E-2</v>
      </c>
      <c r="J114" s="578">
        <v>1.08</v>
      </c>
      <c r="K114" s="578">
        <v>1.9300000000000001E-2</v>
      </c>
      <c r="L114" s="576" t="s">
        <v>2573</v>
      </c>
      <c r="M114" s="580" t="s">
        <v>2879</v>
      </c>
    </row>
    <row r="115" spans="1:13" s="545" customFormat="1" ht="15.75" customHeight="1">
      <c r="A115" s="198" t="s">
        <v>2933</v>
      </c>
      <c r="B115" s="574" t="s">
        <v>2934</v>
      </c>
      <c r="C115" s="575" t="s">
        <v>2617</v>
      </c>
      <c r="D115" s="576" t="s">
        <v>2384</v>
      </c>
      <c r="E115" s="576" t="s">
        <v>275</v>
      </c>
      <c r="F115" s="581">
        <v>411</v>
      </c>
      <c r="G115" s="582">
        <v>0.79700000000000004</v>
      </c>
      <c r="H115" s="582">
        <v>6.8099999999999994E-2</v>
      </c>
      <c r="I115" s="582">
        <v>0.72799999999999998</v>
      </c>
      <c r="J115" s="582">
        <v>0</v>
      </c>
      <c r="K115" s="582">
        <v>0.32200000000000001</v>
      </c>
      <c r="L115" s="576" t="s">
        <v>2573</v>
      </c>
      <c r="M115" s="580" t="s">
        <v>2618</v>
      </c>
    </row>
    <row r="116" spans="1:13" s="545" customFormat="1" ht="15.75" customHeight="1">
      <c r="A116" s="198" t="s">
        <v>2935</v>
      </c>
      <c r="B116" s="574" t="s">
        <v>2936</v>
      </c>
      <c r="C116" s="575" t="s">
        <v>2937</v>
      </c>
      <c r="D116" s="576" t="s">
        <v>2384</v>
      </c>
      <c r="E116" s="576" t="s">
        <v>275</v>
      </c>
      <c r="F116" s="577">
        <v>232</v>
      </c>
      <c r="G116" s="578">
        <v>0.14199999999999999</v>
      </c>
      <c r="H116" s="578">
        <v>3.44E-2</v>
      </c>
      <c r="I116" s="578">
        <v>0.108</v>
      </c>
      <c r="J116" s="578">
        <v>0</v>
      </c>
      <c r="K116" s="578">
        <v>0.155</v>
      </c>
      <c r="L116" s="576" t="s">
        <v>2573</v>
      </c>
      <c r="M116" s="580" t="s">
        <v>2938</v>
      </c>
    </row>
    <row r="117" spans="1:13" s="545" customFormat="1" ht="15.75" customHeight="1">
      <c r="A117" s="198" t="s">
        <v>2939</v>
      </c>
      <c r="B117" s="574" t="s">
        <v>2940</v>
      </c>
      <c r="C117" s="575" t="s">
        <v>2803</v>
      </c>
      <c r="D117" s="576" t="s">
        <v>2384</v>
      </c>
      <c r="E117" s="576" t="s">
        <v>275</v>
      </c>
      <c r="F117" s="581">
        <v>943</v>
      </c>
      <c r="G117" s="582">
        <v>3.39</v>
      </c>
      <c r="H117" s="582">
        <v>1.3100000000000001E-2</v>
      </c>
      <c r="I117" s="582">
        <v>3.37</v>
      </c>
      <c r="J117" s="582">
        <v>0</v>
      </c>
      <c r="K117" s="582">
        <v>0.76800000000000002</v>
      </c>
      <c r="L117" s="576" t="s">
        <v>2573</v>
      </c>
      <c r="M117" s="580" t="s">
        <v>2804</v>
      </c>
    </row>
    <row r="118" spans="1:13" s="593" customFormat="1" ht="15.75" customHeight="1">
      <c r="A118" s="601" t="s">
        <v>2941</v>
      </c>
      <c r="B118" s="602" t="s">
        <v>2942</v>
      </c>
      <c r="C118" s="603" t="s">
        <v>2943</v>
      </c>
      <c r="D118" s="604" t="s">
        <v>2384</v>
      </c>
      <c r="E118" s="604" t="s">
        <v>275</v>
      </c>
      <c r="F118" s="581">
        <v>569</v>
      </c>
      <c r="G118" s="582">
        <v>1.0900000000000001</v>
      </c>
      <c r="H118" s="582">
        <v>9.1899999999999996E-2</v>
      </c>
      <c r="I118" s="582">
        <v>1</v>
      </c>
      <c r="J118" s="582">
        <v>0</v>
      </c>
      <c r="K118" s="582">
        <v>0.432</v>
      </c>
      <c r="L118" s="604" t="s">
        <v>2573</v>
      </c>
      <c r="M118" s="605" t="s">
        <v>2804</v>
      </c>
    </row>
    <row r="119" spans="1:13" s="545" customFormat="1" ht="39" customHeight="1">
      <c r="A119" s="1324" t="s">
        <v>2944</v>
      </c>
      <c r="B119" s="1324"/>
      <c r="C119" s="1324"/>
      <c r="D119" s="1324"/>
      <c r="E119" s="1324"/>
      <c r="F119" s="1324"/>
      <c r="G119" s="1324"/>
      <c r="H119" s="1324"/>
      <c r="I119" s="1324"/>
      <c r="J119" s="1324"/>
      <c r="K119" s="1324"/>
      <c r="L119" s="1324"/>
      <c r="M119" s="1324"/>
    </row>
    <row r="120" spans="1:13" s="545" customFormat="1" ht="13.5" customHeight="1">
      <c r="C120" s="546" t="s">
        <v>2370</v>
      </c>
      <c r="D120" s="547"/>
      <c r="E120" s="547" t="s">
        <v>2370</v>
      </c>
      <c r="F120" s="547" t="s">
        <v>2370</v>
      </c>
      <c r="G120" s="547" t="s">
        <v>2370</v>
      </c>
      <c r="H120" s="547" t="s">
        <v>2370</v>
      </c>
      <c r="I120" s="606" t="s">
        <v>2370</v>
      </c>
      <c r="J120" s="606"/>
      <c r="K120" s="547" t="s">
        <v>2370</v>
      </c>
      <c r="L120" s="547"/>
      <c r="M120" s="548" t="s">
        <v>2370</v>
      </c>
    </row>
    <row r="121" spans="1:13" s="545" customFormat="1" ht="13.5" customHeight="1">
      <c r="C121" s="546" t="s">
        <v>2370</v>
      </c>
      <c r="D121" s="547"/>
      <c r="E121" s="547" t="s">
        <v>2370</v>
      </c>
      <c r="F121" s="547" t="s">
        <v>2370</v>
      </c>
      <c r="G121" s="547" t="s">
        <v>2370</v>
      </c>
      <c r="H121" s="547" t="s">
        <v>2370</v>
      </c>
      <c r="I121" s="606" t="s">
        <v>2370</v>
      </c>
      <c r="J121" s="606"/>
      <c r="K121" s="547" t="s">
        <v>2370</v>
      </c>
      <c r="L121" s="547"/>
      <c r="M121" s="548" t="s">
        <v>2370</v>
      </c>
    </row>
    <row r="122" spans="1:13" s="545" customFormat="1" ht="13.5" customHeight="1">
      <c r="C122" s="546" t="s">
        <v>2370</v>
      </c>
      <c r="D122" s="547"/>
      <c r="E122" s="547" t="s">
        <v>2370</v>
      </c>
      <c r="F122" s="547" t="s">
        <v>2370</v>
      </c>
      <c r="G122" s="547" t="s">
        <v>2370</v>
      </c>
      <c r="H122" s="547" t="s">
        <v>2370</v>
      </c>
      <c r="I122" s="606" t="s">
        <v>2370</v>
      </c>
      <c r="J122" s="606"/>
      <c r="K122" s="547" t="s">
        <v>2370</v>
      </c>
      <c r="L122" s="547"/>
      <c r="M122" s="548" t="s">
        <v>2370</v>
      </c>
    </row>
    <row r="123" spans="1:13" s="545" customFormat="1" ht="13.5" customHeight="1">
      <c r="C123" s="546" t="s">
        <v>2370</v>
      </c>
      <c r="D123" s="547"/>
      <c r="E123" s="547" t="s">
        <v>2370</v>
      </c>
      <c r="F123" s="547" t="s">
        <v>2370</v>
      </c>
      <c r="G123" s="547" t="s">
        <v>2370</v>
      </c>
      <c r="H123" s="547" t="s">
        <v>2370</v>
      </c>
      <c r="I123" s="606" t="s">
        <v>2370</v>
      </c>
      <c r="J123" s="606"/>
      <c r="K123" s="547" t="s">
        <v>2370</v>
      </c>
      <c r="L123" s="547"/>
      <c r="M123" s="548" t="s">
        <v>2370</v>
      </c>
    </row>
    <row r="124" spans="1:13" s="545" customFormat="1" ht="13.5" customHeight="1">
      <c r="C124" s="546" t="s">
        <v>2370</v>
      </c>
      <c r="D124" s="547"/>
      <c r="E124" s="547" t="s">
        <v>2370</v>
      </c>
      <c r="F124" s="547" t="s">
        <v>2370</v>
      </c>
      <c r="G124" s="547" t="s">
        <v>2370</v>
      </c>
      <c r="H124" s="547" t="s">
        <v>2370</v>
      </c>
      <c r="I124" s="606" t="s">
        <v>2370</v>
      </c>
      <c r="J124" s="606"/>
      <c r="K124" s="547" t="s">
        <v>2370</v>
      </c>
      <c r="L124" s="547"/>
      <c r="M124" s="548" t="s">
        <v>2370</v>
      </c>
    </row>
    <row r="125" spans="1:13" s="545" customFormat="1" ht="13.5" customHeight="1">
      <c r="C125" s="546" t="s">
        <v>2370</v>
      </c>
      <c r="D125" s="547"/>
      <c r="E125" s="547" t="s">
        <v>2370</v>
      </c>
      <c r="F125" s="547" t="s">
        <v>2370</v>
      </c>
      <c r="G125" s="547" t="s">
        <v>2370</v>
      </c>
      <c r="H125" s="547" t="s">
        <v>2370</v>
      </c>
      <c r="I125" s="606" t="s">
        <v>2370</v>
      </c>
      <c r="J125" s="606"/>
      <c r="K125" s="547" t="s">
        <v>2370</v>
      </c>
      <c r="L125" s="547"/>
      <c r="M125" s="548" t="s">
        <v>2370</v>
      </c>
    </row>
    <row r="126" spans="1:13" s="545" customFormat="1" ht="13.5" customHeight="1">
      <c r="C126" s="546" t="s">
        <v>2370</v>
      </c>
      <c r="D126" s="547"/>
      <c r="E126" s="547" t="s">
        <v>2370</v>
      </c>
      <c r="F126" s="547" t="s">
        <v>2370</v>
      </c>
      <c r="G126" s="547" t="s">
        <v>2370</v>
      </c>
      <c r="H126" s="547" t="s">
        <v>2370</v>
      </c>
      <c r="I126" s="606" t="s">
        <v>2370</v>
      </c>
      <c r="J126" s="606"/>
      <c r="K126" s="547" t="s">
        <v>2370</v>
      </c>
      <c r="L126" s="547"/>
      <c r="M126" s="548" t="s">
        <v>2370</v>
      </c>
    </row>
    <row r="127" spans="1:13" s="545" customFormat="1" ht="13.5" customHeight="1">
      <c r="C127" s="546" t="s">
        <v>2370</v>
      </c>
      <c r="D127" s="547"/>
      <c r="E127" s="547" t="s">
        <v>2370</v>
      </c>
      <c r="F127" s="547" t="s">
        <v>2370</v>
      </c>
      <c r="G127" s="547" t="s">
        <v>2370</v>
      </c>
      <c r="H127" s="547" t="s">
        <v>2370</v>
      </c>
      <c r="I127" s="606" t="s">
        <v>2370</v>
      </c>
      <c r="J127" s="606"/>
      <c r="K127" s="547" t="s">
        <v>2370</v>
      </c>
      <c r="L127" s="547"/>
      <c r="M127" s="548" t="s">
        <v>2370</v>
      </c>
    </row>
    <row r="128" spans="1:13" s="545" customFormat="1" ht="13.5" customHeight="1">
      <c r="C128" s="546" t="s">
        <v>2370</v>
      </c>
      <c r="D128" s="547"/>
      <c r="E128" s="547" t="s">
        <v>2370</v>
      </c>
      <c r="F128" s="547" t="s">
        <v>2370</v>
      </c>
      <c r="G128" s="547" t="s">
        <v>2370</v>
      </c>
      <c r="H128" s="547" t="s">
        <v>2370</v>
      </c>
      <c r="I128" s="606" t="s">
        <v>2370</v>
      </c>
      <c r="J128" s="606"/>
      <c r="K128" s="547" t="s">
        <v>2370</v>
      </c>
      <c r="L128" s="547"/>
      <c r="M128" s="548" t="s">
        <v>2370</v>
      </c>
    </row>
  </sheetData>
  <mergeCells count="7">
    <mergeCell ref="A119:M119"/>
    <mergeCell ref="C2:F2"/>
    <mergeCell ref="C4:C6"/>
    <mergeCell ref="D4:E4"/>
    <mergeCell ref="G4:J4"/>
    <mergeCell ref="M4:M6"/>
    <mergeCell ref="A5:A6"/>
  </mergeCells>
  <conditionalFormatting sqref="F9:K118">
    <cfRule type="cellIs" dxfId="4" priority="1" operator="equal">
      <formula>0</formula>
    </cfRule>
    <cfRule type="cellIs" dxfId="3" priority="2" operator="greaterThan">
      <formula>100</formula>
    </cfRule>
    <cfRule type="cellIs" dxfId="2" priority="3" operator="between">
      <formula>10</formula>
      <formula>100</formula>
    </cfRule>
    <cfRule type="cellIs" dxfId="1" priority="4" operator="between">
      <formula>1</formula>
      <formula>10</formula>
    </cfRule>
    <cfRule type="cellIs" dxfId="0" priority="5" operator="less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30</vt:i4>
      </vt:variant>
      <vt:variant>
        <vt:lpstr>Plages nommées</vt:lpstr>
      </vt:variant>
      <vt:variant>
        <vt:i4>5</vt:i4>
      </vt:variant>
    </vt:vector>
  </HeadingPairs>
  <TitlesOfParts>
    <vt:vector size="35" baseType="lpstr">
      <vt:lpstr>Info</vt:lpstr>
      <vt:lpstr>Imprimer</vt:lpstr>
      <vt:lpstr>Inputs</vt:lpstr>
      <vt:lpstr>Métrés</vt:lpstr>
      <vt:lpstr>Standard</vt:lpstr>
      <vt:lpstr>Graphes_Background</vt:lpstr>
      <vt:lpstr>List of materials_st</vt:lpstr>
      <vt:lpstr>BillQuantities</vt:lpstr>
      <vt:lpstr>Exploitation</vt:lpstr>
      <vt:lpstr>Calcul ACV</vt:lpstr>
      <vt:lpstr>Tabelle1</vt:lpstr>
      <vt:lpstr>Tabelle11</vt:lpstr>
      <vt:lpstr>Tabelle12</vt:lpstr>
      <vt:lpstr>Travaux préparatoires</vt:lpstr>
      <vt:lpstr>Réaliste</vt:lpstr>
      <vt:lpstr>List of materials_Re</vt:lpstr>
      <vt:lpstr>Engagé</vt:lpstr>
      <vt:lpstr>List of materials_En</vt:lpstr>
      <vt:lpstr>Graphes</vt:lpstr>
      <vt:lpstr>Graphes_BIO</vt:lpstr>
      <vt:lpstr>Component_Level</vt:lpstr>
      <vt:lpstr>Graphs_Materials</vt:lpstr>
      <vt:lpstr>Enveloppe du bâtiment sout.</vt:lpstr>
      <vt:lpstr>Enveloppe du bâtiment hors terr</vt:lpstr>
      <vt:lpstr>Eléments de constr. inté. et ex</vt:lpstr>
      <vt:lpstr>Installations</vt:lpstr>
      <vt:lpstr>Baumaterialien Matériaux</vt:lpstr>
      <vt:lpstr>Gebäudetechnik Technique du bât</vt:lpstr>
      <vt:lpstr>Transporte Transports</vt:lpstr>
      <vt:lpstr>Energie Energie</vt:lpstr>
      <vt:lpstr>Engagé!Zone_d_impression</vt:lpstr>
      <vt:lpstr>Imprimer!Zone_d_impression</vt:lpstr>
      <vt:lpstr>Inputs!Zone_d_impression</vt:lpstr>
      <vt:lpstr>Réaliste!Zone_d_impression</vt:lpstr>
      <vt:lpstr>Standard!Zone_d_impression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Office-Anwender</dc:creator>
  <cp:keywords/>
  <dc:description/>
  <cp:lastModifiedBy>Schulthess Lucile</cp:lastModifiedBy>
  <cp:revision/>
  <dcterms:created xsi:type="dcterms:W3CDTF">2017-04-28T10:25:38Z</dcterms:created>
  <dcterms:modified xsi:type="dcterms:W3CDTF">2024-11-05T14:55:12Z</dcterms:modified>
  <cp:category/>
  <cp:contentStatus/>
</cp:coreProperties>
</file>