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bogdanbunea/Desktop/"/>
    </mc:Choice>
  </mc:AlternateContent>
  <xr:revisionPtr revIDLastSave="0" documentId="13_ncr:1_{D3D296AD-BAA9-AA4C-BC5B-94C5CF64D033}" xr6:coauthVersionLast="47" xr6:coauthVersionMax="47" xr10:uidLastSave="{00000000-0000-0000-0000-000000000000}"/>
  <bookViews>
    <workbookView xWindow="920" yWindow="6600" windowWidth="34200" windowHeight="20200" activeTab="2" xr2:uid="{00000000-000D-0000-FFFF-FFFF00000000}"/>
  </bookViews>
  <sheets>
    <sheet name="Title Page" sheetId="1" r:id="rId1"/>
    <sheet name="Orbit Performance" sheetId="2" r:id="rId2"/>
    <sheet name="Downlink - FeatherRP" sheetId="3" r:id="rId3"/>
    <sheet name="Uplink - N_A" sheetId="4" r:id="rId4"/>
    <sheet name="Orbit Shape Data" sheetId="7" r:id="rId5"/>
  </sheets>
  <definedNames>
    <definedName name="distance">#REF!</definedName>
    <definedName name="solver_adj" localSheetId="2" hidden="1">'Downlink - FeatherRP'!$B$10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'Downlink - FeatherRP'!$B$38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2</definedName>
    <definedName name="waveleng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" l="1"/>
  <c r="B31" i="3"/>
  <c r="B12" i="3" l="1"/>
  <c r="D31" i="2"/>
  <c r="A1" i="3"/>
  <c r="B7" i="3"/>
  <c r="B8" i="3" s="1"/>
  <c r="B12" i="4"/>
  <c r="B30" i="4"/>
  <c r="B31" i="4" l="1"/>
  <c r="B15" i="4"/>
  <c r="B29" i="4"/>
  <c r="B12" i="2"/>
  <c r="B18" i="2" s="1"/>
  <c r="B34" i="3"/>
  <c r="B7" i="4"/>
  <c r="B8" i="4" s="1"/>
  <c r="B34" i="4"/>
  <c r="E16" i="7" l="1"/>
  <c r="F4" i="7"/>
  <c r="B4" i="7"/>
  <c r="B13" i="2" l="1"/>
  <c r="F43" i="7"/>
  <c r="F44" i="7" s="1"/>
  <c r="E43" i="7"/>
  <c r="C43" i="7"/>
  <c r="E42" i="7"/>
  <c r="B42" i="7"/>
  <c r="E41" i="7"/>
  <c r="E40" i="7"/>
  <c r="F5" i="7"/>
  <c r="C4" i="7"/>
  <c r="C5" i="7" s="1"/>
  <c r="B5" i="7" s="1"/>
  <c r="B3" i="7"/>
  <c r="J38" i="4"/>
  <c r="J37" i="4"/>
  <c r="J36" i="4"/>
  <c r="J28" i="4"/>
  <c r="J27" i="4"/>
  <c r="J26" i="4"/>
  <c r="J25" i="4"/>
  <c r="J24" i="4"/>
  <c r="J23" i="4"/>
  <c r="F2" i="4"/>
  <c r="D2" i="4"/>
  <c r="D1" i="4"/>
  <c r="A1" i="4"/>
  <c r="J38" i="3"/>
  <c r="J37" i="3"/>
  <c r="J36" i="3"/>
  <c r="J31" i="3"/>
  <c r="J29" i="3"/>
  <c r="J28" i="3"/>
  <c r="J27" i="3"/>
  <c r="J26" i="3"/>
  <c r="J25" i="3"/>
  <c r="J24" i="3"/>
  <c r="J23" i="3"/>
  <c r="F2" i="3"/>
  <c r="D2" i="3"/>
  <c r="F1" i="3"/>
  <c r="D1" i="3"/>
  <c r="D33" i="2"/>
  <c r="B22" i="2"/>
  <c r="B23" i="2" s="1"/>
  <c r="B27" i="2" s="1"/>
  <c r="A2" i="2"/>
  <c r="K1" i="2"/>
  <c r="I1" i="2"/>
  <c r="E1" i="2"/>
  <c r="G31" i="2" l="1"/>
  <c r="B16" i="4" s="1"/>
  <c r="B20" i="4" s="1"/>
  <c r="B32" i="4" s="1"/>
  <c r="B35" i="4" s="1"/>
  <c r="B38" i="4" s="1"/>
  <c r="B24" i="2"/>
  <c r="B20" i="2"/>
  <c r="B19" i="2"/>
  <c r="J31" i="4"/>
  <c r="J29" i="4"/>
  <c r="J30" i="3"/>
  <c r="J34" i="3" s="1"/>
  <c r="G33" i="2"/>
  <c r="B16" i="3" s="1"/>
  <c r="F6" i="7"/>
  <c r="E4" i="7"/>
  <c r="B43" i="7"/>
  <c r="C44" i="7"/>
  <c r="E44" i="7"/>
  <c r="F45" i="7"/>
  <c r="C6" i="7"/>
  <c r="E3" i="7"/>
  <c r="B20" i="3" l="1"/>
  <c r="B32" i="3" s="1"/>
  <c r="B35" i="3" s="1"/>
  <c r="B38" i="3" s="1"/>
  <c r="J30" i="4"/>
  <c r="J34" i="4" s="1"/>
  <c r="B44" i="7"/>
  <c r="C45" i="7"/>
  <c r="F7" i="7"/>
  <c r="E5" i="7"/>
  <c r="C7" i="7"/>
  <c r="B6" i="7"/>
  <c r="F46" i="7"/>
  <c r="E45" i="7"/>
  <c r="J32" i="4" l="1"/>
  <c r="J35" i="4" s="1"/>
  <c r="J39" i="4" s="1"/>
  <c r="J32" i="3"/>
  <c r="J35" i="3" s="1"/>
  <c r="J39" i="3" s="1"/>
  <c r="F47" i="7"/>
  <c r="E46" i="7"/>
  <c r="B7" i="7"/>
  <c r="C8" i="7"/>
  <c r="E6" i="7"/>
  <c r="F8" i="7"/>
  <c r="B45" i="7"/>
  <c r="C46" i="7"/>
  <c r="B46" i="7" l="1"/>
  <c r="C47" i="7"/>
  <c r="F9" i="7"/>
  <c r="E7" i="7"/>
  <c r="C9" i="7"/>
  <c r="B8" i="7"/>
  <c r="F48" i="7"/>
  <c r="E47" i="7"/>
  <c r="E48" i="7" l="1"/>
  <c r="F49" i="7"/>
  <c r="B9" i="7"/>
  <c r="C10" i="7"/>
  <c r="E8" i="7"/>
  <c r="F10" i="7"/>
  <c r="B47" i="7"/>
  <c r="C48" i="7"/>
  <c r="B48" i="7" l="1"/>
  <c r="C49" i="7"/>
  <c r="F11" i="7"/>
  <c r="E9" i="7"/>
  <c r="C11" i="7"/>
  <c r="B10" i="7"/>
  <c r="F50" i="7"/>
  <c r="E49" i="7"/>
  <c r="E50" i="7" l="1"/>
  <c r="F51" i="7"/>
  <c r="B11" i="7"/>
  <c r="C12" i="7"/>
  <c r="F12" i="7"/>
  <c r="E10" i="7"/>
  <c r="B49" i="7"/>
  <c r="C50" i="7"/>
  <c r="B50" i="7" l="1"/>
  <c r="C51" i="7"/>
  <c r="F13" i="7"/>
  <c r="E11" i="7"/>
  <c r="C13" i="7"/>
  <c r="B12" i="7"/>
  <c r="F52" i="7"/>
  <c r="E51" i="7"/>
  <c r="E52" i="7" l="1"/>
  <c r="F53" i="7"/>
  <c r="B13" i="7"/>
  <c r="C14" i="7"/>
  <c r="E12" i="7"/>
  <c r="F14" i="7"/>
  <c r="B51" i="7"/>
  <c r="C52" i="7"/>
  <c r="B52" i="7" l="1"/>
  <c r="C53" i="7"/>
  <c r="F15" i="7"/>
  <c r="E13" i="7"/>
  <c r="C15" i="7"/>
  <c r="B14" i="7"/>
  <c r="F54" i="7"/>
  <c r="E53" i="7"/>
  <c r="F55" i="7" l="1"/>
  <c r="E54" i="7"/>
  <c r="B15" i="7"/>
  <c r="C16" i="7"/>
  <c r="E14" i="7"/>
  <c r="F16" i="7"/>
  <c r="B53" i="7"/>
  <c r="C54" i="7"/>
  <c r="B54" i="7" l="1"/>
  <c r="C55" i="7"/>
  <c r="F17" i="7"/>
  <c r="E15" i="7"/>
  <c r="C17" i="7"/>
  <c r="B16" i="7"/>
  <c r="F56" i="7"/>
  <c r="E55" i="7"/>
  <c r="E56" i="7" l="1"/>
  <c r="F57" i="7"/>
  <c r="B17" i="7"/>
  <c r="C18" i="7"/>
  <c r="F18" i="7"/>
  <c r="B55" i="7"/>
  <c r="C56" i="7"/>
  <c r="B56" i="7" l="1"/>
  <c r="C57" i="7"/>
  <c r="F19" i="7"/>
  <c r="E17" i="7"/>
  <c r="C19" i="7"/>
  <c r="B18" i="7"/>
  <c r="F58" i="7"/>
  <c r="E57" i="7"/>
  <c r="E58" i="7" l="1"/>
  <c r="F59" i="7"/>
  <c r="B19" i="7"/>
  <c r="C20" i="7"/>
  <c r="F20" i="7"/>
  <c r="E18" i="7"/>
  <c r="B57" i="7"/>
  <c r="C58" i="7"/>
  <c r="B58" i="7" l="1"/>
  <c r="C59" i="7"/>
  <c r="F21" i="7"/>
  <c r="E19" i="7"/>
  <c r="C21" i="7"/>
  <c r="B20" i="7"/>
  <c r="F60" i="7"/>
  <c r="E59" i="7"/>
  <c r="E60" i="7" l="1"/>
  <c r="F61" i="7"/>
  <c r="B21" i="7"/>
  <c r="C22" i="7"/>
  <c r="E20" i="7"/>
  <c r="F22" i="7"/>
  <c r="B59" i="7"/>
  <c r="C60" i="7"/>
  <c r="B60" i="7" l="1"/>
  <c r="C61" i="7"/>
  <c r="F23" i="7"/>
  <c r="E21" i="7"/>
  <c r="C23" i="7"/>
  <c r="B22" i="7"/>
  <c r="F62" i="7"/>
  <c r="E61" i="7"/>
  <c r="E62" i="7" l="1"/>
  <c r="F63" i="7"/>
  <c r="B23" i="7"/>
  <c r="C24" i="7"/>
  <c r="E22" i="7"/>
  <c r="F24" i="7"/>
  <c r="B61" i="7"/>
  <c r="C62" i="7"/>
  <c r="B62" i="7" l="1"/>
  <c r="C63" i="7"/>
  <c r="F25" i="7"/>
  <c r="E23" i="7"/>
  <c r="C25" i="7"/>
  <c r="B24" i="7"/>
  <c r="F64" i="7"/>
  <c r="E63" i="7"/>
  <c r="E64" i="7" l="1"/>
  <c r="F65" i="7"/>
  <c r="B25" i="7"/>
  <c r="C26" i="7"/>
  <c r="E24" i="7"/>
  <c r="F26" i="7"/>
  <c r="B63" i="7"/>
  <c r="C64" i="7"/>
  <c r="B64" i="7" l="1"/>
  <c r="C65" i="7"/>
  <c r="F27" i="7"/>
  <c r="E25" i="7"/>
  <c r="C27" i="7"/>
  <c r="B26" i="7"/>
  <c r="F66" i="7"/>
  <c r="E65" i="7"/>
  <c r="E66" i="7" l="1"/>
  <c r="F67" i="7"/>
  <c r="B27" i="7"/>
  <c r="C28" i="7"/>
  <c r="E26" i="7"/>
  <c r="F28" i="7"/>
  <c r="B65" i="7"/>
  <c r="C66" i="7"/>
  <c r="B66" i="7" l="1"/>
  <c r="C67" i="7"/>
  <c r="F29" i="7"/>
  <c r="E27" i="7"/>
  <c r="C29" i="7"/>
  <c r="B28" i="7"/>
  <c r="F68" i="7"/>
  <c r="E67" i="7"/>
  <c r="E68" i="7" l="1"/>
  <c r="F69" i="7"/>
  <c r="B29" i="7"/>
  <c r="C30" i="7"/>
  <c r="E28" i="7"/>
  <c r="F30" i="7"/>
  <c r="B67" i="7"/>
  <c r="C68" i="7"/>
  <c r="B68" i="7" l="1"/>
  <c r="C69" i="7"/>
  <c r="F31" i="7"/>
  <c r="E29" i="7"/>
  <c r="C31" i="7"/>
  <c r="B30" i="7"/>
  <c r="F70" i="7"/>
  <c r="E69" i="7"/>
  <c r="E70" i="7" l="1"/>
  <c r="F71" i="7"/>
  <c r="B31" i="7"/>
  <c r="C32" i="7"/>
  <c r="F32" i="7"/>
  <c r="E30" i="7"/>
  <c r="B69" i="7"/>
  <c r="C70" i="7"/>
  <c r="B70" i="7" l="1"/>
  <c r="C71" i="7"/>
  <c r="F33" i="7"/>
  <c r="E31" i="7"/>
  <c r="C33" i="7"/>
  <c r="B32" i="7"/>
  <c r="F72" i="7"/>
  <c r="E71" i="7"/>
  <c r="E72" i="7" l="1"/>
  <c r="F73" i="7"/>
  <c r="B33" i="7"/>
  <c r="C34" i="7"/>
  <c r="E32" i="7"/>
  <c r="F34" i="7"/>
  <c r="B71" i="7"/>
  <c r="C72" i="7"/>
  <c r="B72" i="7" l="1"/>
  <c r="C73" i="7"/>
  <c r="F35" i="7"/>
  <c r="E33" i="7"/>
  <c r="C35" i="7"/>
  <c r="B34" i="7"/>
  <c r="F74" i="7"/>
  <c r="E73" i="7"/>
  <c r="F75" i="7" l="1"/>
  <c r="E74" i="7"/>
  <c r="B35" i="7"/>
  <c r="C36" i="7"/>
  <c r="E34" i="7"/>
  <c r="F36" i="7"/>
  <c r="B73" i="7"/>
  <c r="C74" i="7"/>
  <c r="B74" i="7" l="1"/>
  <c r="C75" i="7"/>
  <c r="F37" i="7"/>
  <c r="E35" i="7"/>
  <c r="C37" i="7"/>
  <c r="B36" i="7"/>
  <c r="F76" i="7"/>
  <c r="E75" i="7"/>
  <c r="E76" i="7" l="1"/>
  <c r="F77" i="7"/>
  <c r="B37" i="7"/>
  <c r="C38" i="7"/>
  <c r="E36" i="7"/>
  <c r="F38" i="7"/>
  <c r="B75" i="7"/>
  <c r="C76" i="7"/>
  <c r="B76" i="7" l="1"/>
  <c r="C77" i="7"/>
  <c r="F39" i="7"/>
  <c r="E37" i="7"/>
  <c r="C39" i="7"/>
  <c r="B38" i="7"/>
  <c r="F78" i="7"/>
  <c r="E77" i="7"/>
  <c r="F79" i="7" l="1"/>
  <c r="E79" i="7" s="1"/>
  <c r="E78" i="7"/>
  <c r="B39" i="7"/>
  <c r="C40" i="7"/>
  <c r="B40" i="7" s="1"/>
  <c r="E38" i="7"/>
  <c r="F40" i="7"/>
  <c r="E39" i="7" s="1"/>
  <c r="B77" i="7"/>
  <c r="C78" i="7"/>
  <c r="C79" i="7" l="1"/>
  <c r="B79" i="7" s="1"/>
  <c r="B78" i="7"/>
</calcChain>
</file>

<file path=xl/sharedStrings.xml><?xml version="1.0" encoding="utf-8"?>
<sst xmlns="http://schemas.openxmlformats.org/spreadsheetml/2006/main" count="368" uniqueCount="192">
  <si>
    <t>AMSAT / IARU Standard Link Budget System</t>
  </si>
  <si>
    <t xml:space="preserve">  Version: 1.0</t>
  </si>
  <si>
    <t>University:</t>
  </si>
  <si>
    <t>George Washington University</t>
  </si>
  <si>
    <t>Project:</t>
  </si>
  <si>
    <t xml:space="preserve">Developed by:  Jan A. King </t>
  </si>
  <si>
    <t xml:space="preserve">                Approved:</t>
  </si>
  <si>
    <t xml:space="preserve"> </t>
  </si>
  <si>
    <t>Com. System Engineer:</t>
  </si>
  <si>
    <t>X</t>
  </si>
  <si>
    <t>Project Manager:</t>
  </si>
  <si>
    <t>Orbit Type:</t>
  </si>
  <si>
    <t xml:space="preserve">Model Under </t>
  </si>
  <si>
    <t>Investigation:</t>
  </si>
  <si>
    <t>Model/Case No./Rev No.:</t>
  </si>
  <si>
    <t>TBD/TBD/0.2</t>
  </si>
  <si>
    <t>Date Data Last Modified:</t>
  </si>
  <si>
    <t xml:space="preserve">Date W/S Formulas </t>
  </si>
  <si>
    <t>Last Modified:</t>
  </si>
  <si>
    <t>Orbit Performance:</t>
  </si>
  <si>
    <t>Blue</t>
  </si>
  <si>
    <t>= User Data Entry Values</t>
  </si>
  <si>
    <t>Red</t>
  </si>
  <si>
    <t>= Key Results</t>
  </si>
  <si>
    <r>
      <rPr>
        <b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  Cells Not Yet Protected</t>
    </r>
  </si>
  <si>
    <t>Element Reference Epoch:</t>
  </si>
  <si>
    <t>2020, 87.50000</t>
  </si>
  <si>
    <t>Black</t>
  </si>
  <si>
    <r>
      <rPr>
        <sz val="10"/>
        <color theme="1"/>
        <rFont val="Arial"/>
        <family val="2"/>
      </rPr>
      <t>= Computed Values (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Data Entry</t>
    </r>
    <r>
      <rPr>
        <sz val="10"/>
        <color theme="1"/>
        <rFont val="Arial"/>
        <family val="2"/>
      </rPr>
      <t>)</t>
    </r>
  </si>
  <si>
    <t xml:space="preserve"> Blue</t>
  </si>
  <si>
    <t>=Critical User Data Entry Values</t>
  </si>
  <si>
    <t xml:space="preserve">                       Orbit Properties</t>
  </si>
  <si>
    <t xml:space="preserve">      Slant Range to Spacecraft vs. Elevation Angle</t>
  </si>
  <si>
    <t>Parameter:</t>
  </si>
  <si>
    <t>Value:</t>
  </si>
  <si>
    <t>Unit:</t>
  </si>
  <si>
    <t>Earth Radius:</t>
  </si>
  <si>
    <t>km</t>
  </si>
  <si>
    <t>Height of Apogee (ha):</t>
  </si>
  <si>
    <t>Height of Perigee (hp):</t>
  </si>
  <si>
    <t>Semi-Major Axis (a):</t>
  </si>
  <si>
    <t xml:space="preserve">Eccentricity (e): </t>
  </si>
  <si>
    <t>Inclination (I):</t>
  </si>
  <si>
    <t>degrees</t>
  </si>
  <si>
    <r>
      <rPr>
        <sz val="10"/>
        <color theme="1"/>
        <rFont val="Arial"/>
        <family val="2"/>
      </rPr>
      <t>Argument of Perigee (</t>
    </r>
    <r>
      <rPr>
        <sz val="10"/>
        <color theme="1"/>
        <rFont val="Symbol"/>
        <charset val="2"/>
      </rPr>
      <t>w):</t>
    </r>
  </si>
  <si>
    <r>
      <rPr>
        <sz val="10"/>
        <color theme="1"/>
        <rFont val="Arial"/>
        <family val="2"/>
      </rPr>
      <t>R.A.A.N. (</t>
    </r>
    <r>
      <rPr>
        <sz val="10"/>
        <color theme="1"/>
        <rFont val="Symbol"/>
        <charset val="2"/>
      </rPr>
      <t>W):</t>
    </r>
  </si>
  <si>
    <t>Mean Anomaly (M):</t>
  </si>
  <si>
    <t>Period:</t>
  </si>
  <si>
    <t>minutes</t>
  </si>
  <si>
    <r>
      <rPr>
        <sz val="10"/>
        <color theme="1"/>
        <rFont val="Arial"/>
        <family val="2"/>
      </rPr>
      <t>d</t>
    </r>
    <r>
      <rPr>
        <sz val="10"/>
        <color theme="1"/>
        <rFont val="Symbol"/>
        <charset val="2"/>
      </rPr>
      <t>w/</t>
    </r>
    <r>
      <rPr>
        <sz val="10"/>
        <color theme="1"/>
        <rFont val="Arial"/>
        <family val="2"/>
      </rPr>
      <t>dt:</t>
    </r>
  </si>
  <si>
    <t>deg./day</t>
  </si>
  <si>
    <r>
      <rPr>
        <sz val="10"/>
        <color theme="1"/>
        <rFont val="Arial"/>
        <family val="2"/>
      </rPr>
      <t>d</t>
    </r>
    <r>
      <rPr>
        <sz val="10"/>
        <color theme="1"/>
        <rFont val="Symbol"/>
        <charset val="2"/>
      </rPr>
      <t>W</t>
    </r>
    <r>
      <rPr>
        <sz val="10"/>
        <color theme="1"/>
        <rFont val="Arial"/>
        <family val="2"/>
      </rPr>
      <t>/dt:</t>
    </r>
  </si>
  <si>
    <t>dM/dt:</t>
  </si>
  <si>
    <t>Not Implemented</t>
  </si>
  <si>
    <t>Mean Orbit Altitude:</t>
  </si>
  <si>
    <t>Mean Orbit Radius:</t>
  </si>
  <si>
    <t>Sun Synchronous Inclination:</t>
  </si>
  <si>
    <r>
      <rPr>
        <sz val="10"/>
        <color theme="1"/>
        <rFont val="Arial"/>
        <family val="2"/>
      </rPr>
      <t>Elevation Angle (</t>
    </r>
    <r>
      <rPr>
        <b/>
        <sz val="10"/>
        <color theme="1"/>
        <rFont val="Symbol"/>
        <charset val="2"/>
      </rPr>
      <t>d</t>
    </r>
    <r>
      <rPr>
        <sz val="10"/>
        <color theme="1"/>
        <rFont val="Symbol"/>
        <charset val="2"/>
      </rPr>
      <t>):</t>
    </r>
  </si>
  <si>
    <t>Slant Range:</t>
  </si>
  <si>
    <t>km.</t>
  </si>
  <si>
    <t>Frequency:</t>
  </si>
  <si>
    <t>Wavelength:</t>
  </si>
  <si>
    <t>Path Loss:</t>
  </si>
  <si>
    <t>Uplink:</t>
  </si>
  <si>
    <t>MHz</t>
  </si>
  <si>
    <t>meters</t>
  </si>
  <si>
    <t>dB</t>
  </si>
  <si>
    <t>Downlink:</t>
  </si>
  <si>
    <t>Downlink Telemetry Budget:</t>
  </si>
  <si>
    <t>Units:</t>
  </si>
  <si>
    <t>Comments:</t>
  </si>
  <si>
    <t>Spacecraft:</t>
  </si>
  <si>
    <t>Source</t>
  </si>
  <si>
    <t>Status</t>
  </si>
  <si>
    <t>Spacecraft Transmitter Power Output:</t>
  </si>
  <si>
    <t>watts</t>
  </si>
  <si>
    <t>In dBW:</t>
  </si>
  <si>
    <t>dBW</t>
  </si>
  <si>
    <t>In dBm:</t>
  </si>
  <si>
    <t>dBm</t>
  </si>
  <si>
    <t>Spacecraft Transmission Line Losses:</t>
  </si>
  <si>
    <t>S/C Connector, Filter or In-Line Switch Losses:</t>
  </si>
  <si>
    <t>Spacecraft Antenna Gain:</t>
  </si>
  <si>
    <t>dBiC</t>
  </si>
  <si>
    <t>Spacecraft EIRP:</t>
  </si>
  <si>
    <t>Spacecraft Effective Isotropic Radiated Power (EIRP) [EIRP=Pt x Ltl x Ga]</t>
  </si>
  <si>
    <t>Downlink Path:</t>
  </si>
  <si>
    <t>Spacecraft Antenna Pointing Loss:</t>
  </si>
  <si>
    <t>Estimate</t>
  </si>
  <si>
    <t>Antenna Polarization Loss:</t>
  </si>
  <si>
    <t>Atmospheric Loss:</t>
  </si>
  <si>
    <t>Negligible at UHF</t>
  </si>
  <si>
    <t>Ionospheric Loss:</t>
  </si>
  <si>
    <t>Rain Loss:</t>
  </si>
  <si>
    <t>Isotropic Signal Level at Ground Station:</t>
  </si>
  <si>
    <t>Ground Station:</t>
  </si>
  <si>
    <t>Ground Station Alternative Signal Analysis Method (SNR Computation):</t>
  </si>
  <si>
    <t xml:space="preserve">                                          ------- Eb/No Method -------</t>
  </si>
  <si>
    <r>
      <rPr>
        <i/>
        <sz val="10"/>
        <color rgb="FFFF0000"/>
        <rFont val="Arial"/>
        <family val="2"/>
      </rPr>
      <t xml:space="preserve">                               </t>
    </r>
    <r>
      <rPr>
        <b/>
        <i/>
        <sz val="10"/>
        <color rgb="FFFF0000"/>
        <rFont val="Arial"/>
        <family val="2"/>
      </rPr>
      <t xml:space="preserve"> ---------- SNR Method ------------</t>
    </r>
  </si>
  <si>
    <t>Ground Station Antenna Pointing Loss:</t>
  </si>
  <si>
    <t>Ground Station Antenna Gain:</t>
  </si>
  <si>
    <t>USNA</t>
  </si>
  <si>
    <t>Ground Station Transmission Line Losses:</t>
  </si>
  <si>
    <t>Ground Station LNA Noise Temperature:</t>
  </si>
  <si>
    <t>K</t>
  </si>
  <si>
    <t>Ground Station Transmission Line Temp.:</t>
  </si>
  <si>
    <t>Ground Station Sky Temperature:</t>
  </si>
  <si>
    <t>G.S. Transmission Line Coefficient:</t>
  </si>
  <si>
    <t>Ground Station Effective Noise Temperature:</t>
  </si>
  <si>
    <t>Ground Station Figure of Merrit (G/T):</t>
  </si>
  <si>
    <t>dB/K</t>
  </si>
  <si>
    <t>G.S. Signal-to-Noise Power Density (S/No):</t>
  </si>
  <si>
    <t>dBHz</t>
  </si>
  <si>
    <t>Boltzman's Constant:</t>
  </si>
  <si>
    <t>dBW/K/Hz</t>
  </si>
  <si>
    <t>Signal Power at Ground Station LNA Input:</t>
  </si>
  <si>
    <t>System Desired Data Rate:</t>
  </si>
  <si>
    <t>bps</t>
  </si>
  <si>
    <t>User defined</t>
  </si>
  <si>
    <t>Ground Station Receiver Bandwidth:</t>
  </si>
  <si>
    <t>Hz</t>
  </si>
  <si>
    <t>Signal Spectrum Must Pass Through Data Filter</t>
  </si>
  <si>
    <t>In dBHz:</t>
  </si>
  <si>
    <t>G.S. Receiver Noise Power (Pn = kTB)</t>
  </si>
  <si>
    <t>Telemetry System Eb/No:</t>
  </si>
  <si>
    <t>Assumes Spectral Efficiency of 1.0 b.p.s./Hz of Bandwidth</t>
  </si>
  <si>
    <t>Signal-to-Noise Power Ratio at G.S. Rcvr:</t>
  </si>
  <si>
    <t>Telemetry System Required Bit Error Rate:</t>
  </si>
  <si>
    <t>Assume G3RUH FSK; No Coding; 1 dB Implementation Loss</t>
  </si>
  <si>
    <t>Telemetry System Required Eb/No:</t>
  </si>
  <si>
    <t>System Link Margin:</t>
  </si>
  <si>
    <t>Telemetry System Required SNR:</t>
  </si>
  <si>
    <t>Uplink Command Budget:</t>
  </si>
  <si>
    <t>Transmitter Power Output:</t>
  </si>
  <si>
    <t>Transmission Line Losses:</t>
  </si>
  <si>
    <t>Connector, Filter or In-Line Switch Losses:</t>
  </si>
  <si>
    <t>Antenna Gain:</t>
  </si>
  <si>
    <t>Ground Station EIRP:</t>
  </si>
  <si>
    <t>Ground Station Effective Isotropic Radiated Power (EIRP) [EIRP=Pt x Ltl x Ga]</t>
  </si>
  <si>
    <t>Uplink Path:</t>
  </si>
  <si>
    <t>Antenna Polarization Losses:</t>
  </si>
  <si>
    <t>Atmospheric Losses:</t>
  </si>
  <si>
    <t>Negligible atUHF</t>
  </si>
  <si>
    <t>Ionospheric Losses:</t>
  </si>
  <si>
    <t>Rain Losses:</t>
  </si>
  <si>
    <t>Spacecraft Alternative Signal Analysis Method (SNR Computation):</t>
  </si>
  <si>
    <t>NOTE:  More Realistic for Command Link</t>
  </si>
  <si>
    <r>
      <rPr>
        <i/>
        <sz val="10"/>
        <color rgb="FFFF0000"/>
        <rFont val="Arial"/>
        <family val="2"/>
      </rPr>
      <t xml:space="preserve">                               </t>
    </r>
    <r>
      <rPr>
        <b/>
        <i/>
        <sz val="10"/>
        <color rgb="FFFF0000"/>
        <rFont val="Arial"/>
        <family val="2"/>
      </rPr>
      <t xml:space="preserve"> ---------- SNR Method ------------</t>
    </r>
  </si>
  <si>
    <t>Spacecraft LNA Noise Temperature:</t>
  </si>
  <si>
    <t>Spacecraft Transmission Line Temp.:</t>
  </si>
  <si>
    <t>Spacecraft Sky Temperature:</t>
  </si>
  <si>
    <t>S/C Transmission Line Coefficient:</t>
  </si>
  <si>
    <t>Spacecraft Effective Noise Temperature:</t>
  </si>
  <si>
    <t>Spacecraft Figure of Merrit (G/T):</t>
  </si>
  <si>
    <t>S/C Signal-to-Noise Power Density (S/No):</t>
  </si>
  <si>
    <t>Signal Power at Spacecraft LNA Input:</t>
  </si>
  <si>
    <t>Spacecraft Receiver Bandwidth:</t>
  </si>
  <si>
    <t>Signal Spectrum Must Pass Through Data Filter.</t>
  </si>
  <si>
    <t>Excess Filter Bandwidth Accounts for Doppler Uncertainty</t>
  </si>
  <si>
    <t>Signal-to-Noise Power Ratio at S/C Rcvr:</t>
  </si>
  <si>
    <t>Assume Non-Coherent FSK; No Coding; 1 dB Implementation Loss</t>
  </si>
  <si>
    <r>
      <rPr>
        <sz val="10"/>
        <color theme="1"/>
        <rFont val="Calibri"/>
        <family val="2"/>
      </rPr>
      <t xml:space="preserve">Earth and Orbit Shape for Figure in Orbit Performance W/S  </t>
    </r>
    <r>
      <rPr>
        <b/>
        <sz val="10"/>
        <color rgb="FFFF0000"/>
        <rFont val="Arial"/>
        <family val="2"/>
      </rPr>
      <t>[NOTE:  DO NOT MODIFY]</t>
    </r>
  </si>
  <si>
    <t>Y</t>
  </si>
  <si>
    <t>R</t>
  </si>
  <si>
    <t>Y1</t>
  </si>
  <si>
    <t>X1</t>
  </si>
  <si>
    <t>R1</t>
  </si>
  <si>
    <r>
      <t>Path Loss = 22.0 + 20 log (S/</t>
    </r>
    <r>
      <rPr>
        <b/>
        <sz val="10"/>
        <color theme="1"/>
        <rFont val="Symbol"/>
        <charset val="2"/>
      </rPr>
      <t>l)</t>
    </r>
  </si>
  <si>
    <t>3 Degrees</t>
  </si>
  <si>
    <t>Most common K  value observed on Earth</t>
  </si>
  <si>
    <t>dBi</t>
  </si>
  <si>
    <t>Gotten From Power-Calc Document</t>
  </si>
  <si>
    <t>Bogdan Bunea</t>
  </si>
  <si>
    <t>Calculated, on Ipad</t>
  </si>
  <si>
    <t>500k is the conservative total estimate given by the USNA</t>
  </si>
  <si>
    <t xml:space="preserve">There is No LNA </t>
  </si>
  <si>
    <t>Using +/- 60 degrees at RHCP we get an approx number</t>
  </si>
  <si>
    <t>This Eb/No Required to meet B.E.R, given from the AMSAT-IARU Example</t>
  </si>
  <si>
    <t>Same polarization</t>
  </si>
  <si>
    <t>negligible</t>
  </si>
  <si>
    <t>Average Arduino Power Output</t>
  </si>
  <si>
    <t>Rocket Antenna Pointing Loss:</t>
  </si>
  <si>
    <t>Rocket</t>
  </si>
  <si>
    <t>GW-Rocket</t>
  </si>
  <si>
    <t>Arduino RP2040</t>
  </si>
  <si>
    <t>Good</t>
  </si>
  <si>
    <t>Check</t>
  </si>
  <si>
    <t>To-Do</t>
  </si>
  <si>
    <t>Wire-Whip Gain ranges from 1-2dBic</t>
  </si>
  <si>
    <t>Figure this out since both are wire whip polarization should be the same</t>
  </si>
  <si>
    <t>Parabolic - Sub Orbital; 10km Alt</t>
  </si>
  <si>
    <t>Rough Estimate - Pretty Drastic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</si>
</sst>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,\ mmmm\ d"/>
    <numFmt numFmtId="165" formatCode="0.000000"/>
    <numFmt numFmtId="166" formatCode="0.0"/>
    <numFmt numFmtId="167" formatCode="0.00000"/>
    <numFmt numFmtId="168" formatCode="0.000"/>
    <numFmt numFmtId="169" formatCode="0.0000"/>
  </numFmts>
  <fonts count="27">
    <font>
      <sz val="10"/>
      <color rgb="FF000000"/>
      <name val="Calibri"/>
      <scheme val="minor"/>
    </font>
    <font>
      <b/>
      <sz val="20"/>
      <color rgb="FFFF0000"/>
      <name val="Arial"/>
      <family val="2"/>
    </font>
    <font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FF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Docs-Calibri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u/>
      <sz val="10"/>
      <color rgb="FF1155CC"/>
      <name val="Calibri"/>
      <family val="2"/>
    </font>
    <font>
      <sz val="10"/>
      <color theme="1"/>
      <name val="Symbol"/>
      <charset val="2"/>
    </font>
    <font>
      <b/>
      <sz val="10"/>
      <color theme="1"/>
      <name val="Symbol"/>
      <charset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FF00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FFF00"/>
      </patternFill>
    </fill>
    <fill>
      <patternFill patternType="solid">
        <fgColor rgb="FF0070C0"/>
        <bgColor rgb="FF00FF00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4" fillId="2" borderId="1" xfId="0" applyFont="1" applyFill="1" applyBorder="1" applyAlignment="1">
      <alignment horizontal="left"/>
    </xf>
    <xf numFmtId="0" fontId="5" fillId="2" borderId="3" xfId="0" applyFont="1" applyFill="1" applyBorder="1"/>
    <xf numFmtId="0" fontId="5" fillId="2" borderId="2" xfId="0" applyFont="1" applyFill="1" applyBorder="1"/>
    <xf numFmtId="0" fontId="1" fillId="2" borderId="4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5" fillId="2" borderId="4" xfId="0" applyFont="1" applyFill="1" applyBorder="1"/>
    <xf numFmtId="0" fontId="5" fillId="3" borderId="4" xfId="0" applyFont="1" applyFill="1" applyBorder="1"/>
    <xf numFmtId="0" fontId="5" fillId="4" borderId="4" xfId="0" applyFont="1" applyFill="1" applyBorder="1"/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/>
    <xf numFmtId="0" fontId="7" fillId="5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10" fillId="0" borderId="0" xfId="0" applyFont="1"/>
    <xf numFmtId="0" fontId="11" fillId="5" borderId="1" xfId="0" applyFont="1" applyFill="1" applyBorder="1"/>
    <xf numFmtId="0" fontId="5" fillId="5" borderId="2" xfId="0" applyFont="1" applyFill="1" applyBorder="1"/>
    <xf numFmtId="0" fontId="6" fillId="5" borderId="2" xfId="0" applyFont="1" applyFill="1" applyBorder="1"/>
    <xf numFmtId="164" fontId="6" fillId="5" borderId="2" xfId="0" applyNumberFormat="1" applyFont="1" applyFill="1" applyBorder="1"/>
    <xf numFmtId="0" fontId="5" fillId="5" borderId="3" xfId="0" applyFont="1" applyFill="1" applyBorder="1"/>
    <xf numFmtId="0" fontId="12" fillId="3" borderId="4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2" fontId="5" fillId="4" borderId="4" xfId="0" applyNumberFormat="1" applyFont="1" applyFill="1" applyBorder="1"/>
    <xf numFmtId="0" fontId="9" fillId="4" borderId="4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2" fillId="4" borderId="4" xfId="0" applyFont="1" applyFill="1" applyBorder="1"/>
    <xf numFmtId="0" fontId="14" fillId="4" borderId="4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5" fillId="4" borderId="4" xfId="0" applyFont="1" applyFill="1" applyBorder="1" applyAlignment="1">
      <alignment horizontal="left"/>
    </xf>
    <xf numFmtId="39" fontId="5" fillId="4" borderId="4" xfId="0" applyNumberFormat="1" applyFont="1" applyFill="1" applyBorder="1" applyAlignment="1">
      <alignment horizontal="center"/>
    </xf>
    <xf numFmtId="3" fontId="9" fillId="2" borderId="8" xfId="0" applyNumberFormat="1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2" fontId="9" fillId="0" borderId="13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7" fontId="9" fillId="0" borderId="14" xfId="0" applyNumberFormat="1" applyFont="1" applyBorder="1" applyAlignment="1">
      <alignment horizontal="center"/>
    </xf>
    <xf numFmtId="2" fontId="9" fillId="0" borderId="15" xfId="0" applyNumberFormat="1" applyFont="1" applyBorder="1" applyAlignment="1">
      <alignment horizontal="center"/>
    </xf>
    <xf numFmtId="168" fontId="5" fillId="4" borderId="4" xfId="0" applyNumberFormat="1" applyFont="1" applyFill="1" applyBorder="1" applyAlignment="1">
      <alignment horizontal="center"/>
    </xf>
    <xf numFmtId="169" fontId="5" fillId="4" borderId="4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right"/>
    </xf>
    <xf numFmtId="2" fontId="5" fillId="4" borderId="4" xfId="0" applyNumberFormat="1" applyFont="1" applyFill="1" applyBorder="1" applyAlignment="1">
      <alignment horizontal="center"/>
    </xf>
    <xf numFmtId="166" fontId="8" fillId="2" borderId="8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right"/>
    </xf>
    <xf numFmtId="39" fontId="13" fillId="6" borderId="5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4" borderId="4" xfId="0" applyFont="1" applyFill="1" applyBorder="1"/>
    <xf numFmtId="166" fontId="5" fillId="4" borderId="4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6" fillId="2" borderId="4" xfId="0" applyFont="1" applyFill="1" applyBorder="1"/>
    <xf numFmtId="164" fontId="6" fillId="2" borderId="4" xfId="0" applyNumberFormat="1" applyFont="1" applyFill="1" applyBorder="1" applyAlignment="1">
      <alignment horizontal="left"/>
    </xf>
    <xf numFmtId="0" fontId="5" fillId="5" borderId="4" xfId="0" applyFont="1" applyFill="1" applyBorder="1"/>
    <xf numFmtId="0" fontId="17" fillId="7" borderId="4" xfId="0" applyFont="1" applyFill="1" applyBorder="1" applyAlignment="1">
      <alignment horizontal="center"/>
    </xf>
    <xf numFmtId="0" fontId="5" fillId="7" borderId="4" xfId="0" applyFont="1" applyFill="1" applyBorder="1"/>
    <xf numFmtId="0" fontId="6" fillId="7" borderId="4" xfId="0" applyFont="1" applyFill="1" applyBorder="1"/>
    <xf numFmtId="166" fontId="9" fillId="2" borderId="8" xfId="0" applyNumberFormat="1" applyFont="1" applyFill="1" applyBorder="1"/>
    <xf numFmtId="0" fontId="10" fillId="8" borderId="0" xfId="0" applyFont="1" applyFill="1"/>
    <xf numFmtId="0" fontId="5" fillId="0" borderId="0" xfId="0" applyFont="1" applyAlignment="1">
      <alignment horizontal="right"/>
    </xf>
    <xf numFmtId="166" fontId="5" fillId="0" borderId="0" xfId="0" applyNumberFormat="1" applyFont="1"/>
    <xf numFmtId="166" fontId="9" fillId="0" borderId="0" xfId="0" applyNumberFormat="1" applyFont="1"/>
    <xf numFmtId="166" fontId="5" fillId="5" borderId="8" xfId="0" applyNumberFormat="1" applyFont="1" applyFill="1" applyBorder="1"/>
    <xf numFmtId="166" fontId="5" fillId="7" borderId="4" xfId="0" applyNumberFormat="1" applyFont="1" applyFill="1" applyBorder="1"/>
    <xf numFmtId="0" fontId="9" fillId="0" borderId="0" xfId="0" applyFont="1"/>
    <xf numFmtId="0" fontId="18" fillId="9" borderId="0" xfId="0" applyFont="1" applyFill="1" applyAlignment="1">
      <alignment horizontal="left"/>
    </xf>
    <xf numFmtId="0" fontId="17" fillId="7" borderId="4" xfId="0" applyFont="1" applyFill="1" applyBorder="1"/>
    <xf numFmtId="0" fontId="19" fillId="7" borderId="4" xfId="0" applyFont="1" applyFill="1" applyBorder="1"/>
    <xf numFmtId="0" fontId="20" fillId="7" borderId="4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2" borderId="8" xfId="0" applyFont="1" applyFill="1" applyBorder="1"/>
    <xf numFmtId="0" fontId="21" fillId="0" borderId="0" xfId="0" applyFont="1"/>
    <xf numFmtId="169" fontId="5" fillId="0" borderId="0" xfId="0" applyNumberFormat="1" applyFont="1"/>
    <xf numFmtId="1" fontId="5" fillId="0" borderId="0" xfId="0" applyNumberFormat="1" applyFont="1"/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166" fontId="5" fillId="10" borderId="8" xfId="0" applyNumberFormat="1" applyFont="1" applyFill="1" applyBorder="1"/>
    <xf numFmtId="3" fontId="9" fillId="2" borderId="8" xfId="0" applyNumberFormat="1" applyFont="1" applyFill="1" applyBorder="1"/>
    <xf numFmtId="11" fontId="9" fillId="0" borderId="0" xfId="0" applyNumberFormat="1" applyFont="1"/>
    <xf numFmtId="0" fontId="6" fillId="0" borderId="0" xfId="0" applyFont="1"/>
    <xf numFmtId="166" fontId="13" fillId="6" borderId="5" xfId="0" applyNumberFormat="1" applyFont="1" applyFill="1" applyBorder="1" applyAlignment="1">
      <alignment horizontal="center"/>
    </xf>
    <xf numFmtId="0" fontId="5" fillId="0" borderId="19" xfId="0" applyFont="1" applyBorder="1"/>
    <xf numFmtId="164" fontId="6" fillId="2" borderId="4" xfId="0" applyNumberFormat="1" applyFont="1" applyFill="1" applyBorder="1"/>
    <xf numFmtId="0" fontId="13" fillId="7" borderId="4" xfId="0" applyFont="1" applyFill="1" applyBorder="1"/>
    <xf numFmtId="166" fontId="10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7" borderId="4" xfId="0" applyNumberFormat="1" applyFont="1" applyFill="1" applyBorder="1" applyAlignment="1">
      <alignment horizontal="right"/>
    </xf>
    <xf numFmtId="0" fontId="5" fillId="7" borderId="4" xfId="0" applyFont="1" applyFill="1" applyBorder="1" applyAlignment="1">
      <alignment horizontal="right"/>
    </xf>
    <xf numFmtId="0" fontId="25" fillId="3" borderId="4" xfId="0" applyFont="1" applyFill="1" applyBorder="1"/>
    <xf numFmtId="0" fontId="25" fillId="4" borderId="4" xfId="0" applyFont="1" applyFill="1" applyBorder="1"/>
    <xf numFmtId="0" fontId="10" fillId="11" borderId="0" xfId="0" applyFont="1" applyFill="1"/>
    <xf numFmtId="0" fontId="26" fillId="0" borderId="0" xfId="0" applyFont="1"/>
    <xf numFmtId="0" fontId="10" fillId="12" borderId="0" xfId="0" applyFont="1" applyFill="1"/>
    <xf numFmtId="0" fontId="0" fillId="13" borderId="0" xfId="0" applyFill="1"/>
    <xf numFmtId="0" fontId="10" fillId="0" borderId="4" xfId="0" applyFont="1" applyBorder="1"/>
    <xf numFmtId="0" fontId="26" fillId="0" borderId="0" xfId="0" applyFont="1" applyAlignment="1">
      <alignment horizontal="center" wrapText="1"/>
    </xf>
    <xf numFmtId="0" fontId="10" fillId="14" borderId="0" xfId="0" applyFont="1" applyFill="1"/>
    <xf numFmtId="0" fontId="10" fillId="15" borderId="0" xfId="0" applyFont="1" applyFill="1"/>
    <xf numFmtId="0" fontId="0" fillId="13" borderId="20" xfId="0" applyFill="1" applyBorder="1"/>
    <xf numFmtId="0" fontId="10" fillId="0" borderId="21" xfId="0" applyFont="1" applyFill="1" applyBorder="1"/>
    <xf numFmtId="0" fontId="0" fillId="17" borderId="22" xfId="0" applyFill="1" applyBorder="1"/>
    <xf numFmtId="0" fontId="26" fillId="0" borderId="23" xfId="0" applyFont="1" applyBorder="1"/>
    <xf numFmtId="0" fontId="0" fillId="16" borderId="24" xfId="0" applyFill="1" applyBorder="1"/>
    <xf numFmtId="0" fontId="26" fillId="0" borderId="25" xfId="0" applyFont="1" applyBorder="1"/>
    <xf numFmtId="0" fontId="10" fillId="18" borderId="0" xfId="0" applyFont="1" applyFill="1"/>
    <xf numFmtId="0" fontId="10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'Orbit Shape Data'!$F$3:$F$79</c:f>
              <c:numCache>
                <c:formatCode>General</c:formatCode>
                <c:ptCount val="77"/>
                <c:pt idx="0">
                  <c:v>-1.9</c:v>
                </c:pt>
                <c:pt idx="1">
                  <c:v>-1.8499999999999999</c:v>
                </c:pt>
                <c:pt idx="2">
                  <c:v>-1.7999999999999998</c:v>
                </c:pt>
                <c:pt idx="3">
                  <c:v>-1.7499999999999998</c:v>
                </c:pt>
                <c:pt idx="4">
                  <c:v>-1.6999999999999997</c:v>
                </c:pt>
                <c:pt idx="5">
                  <c:v>-1.6499999999999997</c:v>
                </c:pt>
                <c:pt idx="6">
                  <c:v>-1.5999999999999996</c:v>
                </c:pt>
                <c:pt idx="7">
                  <c:v>-1.5499999999999996</c:v>
                </c:pt>
                <c:pt idx="8">
                  <c:v>-1.4999999999999996</c:v>
                </c:pt>
                <c:pt idx="9">
                  <c:v>-1.4499999999999995</c:v>
                </c:pt>
                <c:pt idx="10">
                  <c:v>-1.3999999999999995</c:v>
                </c:pt>
                <c:pt idx="11">
                  <c:v>-1.3499999999999994</c:v>
                </c:pt>
                <c:pt idx="12">
                  <c:v>-1.2999999999999994</c:v>
                </c:pt>
                <c:pt idx="13">
                  <c:v>-1.2499999999999993</c:v>
                </c:pt>
                <c:pt idx="14">
                  <c:v>-1.1999999999999993</c:v>
                </c:pt>
                <c:pt idx="15">
                  <c:v>-1.1499999999999992</c:v>
                </c:pt>
                <c:pt idx="16">
                  <c:v>-1.0999999999999992</c:v>
                </c:pt>
                <c:pt idx="17">
                  <c:v>-1.0499999999999992</c:v>
                </c:pt>
                <c:pt idx="18">
                  <c:v>-0.99999999999999911</c:v>
                </c:pt>
                <c:pt idx="19">
                  <c:v>-0.94999999999999907</c:v>
                </c:pt>
                <c:pt idx="20">
                  <c:v>-0.89999999999999902</c:v>
                </c:pt>
                <c:pt idx="21">
                  <c:v>-0.84999999999999898</c:v>
                </c:pt>
                <c:pt idx="22">
                  <c:v>-0.79999999999999893</c:v>
                </c:pt>
                <c:pt idx="23">
                  <c:v>-0.74999999999999889</c:v>
                </c:pt>
                <c:pt idx="24">
                  <c:v>-0.69999999999999885</c:v>
                </c:pt>
                <c:pt idx="25">
                  <c:v>-0.6499999999999988</c:v>
                </c:pt>
                <c:pt idx="26">
                  <c:v>-0.59999999999999876</c:v>
                </c:pt>
                <c:pt idx="27">
                  <c:v>-0.54999999999999871</c:v>
                </c:pt>
                <c:pt idx="28">
                  <c:v>-0.49999999999999872</c:v>
                </c:pt>
                <c:pt idx="29">
                  <c:v>-0.44999999999999873</c:v>
                </c:pt>
                <c:pt idx="30">
                  <c:v>-0.39999999999999875</c:v>
                </c:pt>
                <c:pt idx="31">
                  <c:v>-0.34999999999999876</c:v>
                </c:pt>
                <c:pt idx="32">
                  <c:v>-0.29999999999999877</c:v>
                </c:pt>
                <c:pt idx="33">
                  <c:v>-0.24999999999999878</c:v>
                </c:pt>
                <c:pt idx="34">
                  <c:v>-0.19999999999999879</c:v>
                </c:pt>
                <c:pt idx="35">
                  <c:v>-0.1499999999999988</c:v>
                </c:pt>
                <c:pt idx="36">
                  <c:v>-9.9999999999998798E-2</c:v>
                </c:pt>
                <c:pt idx="37">
                  <c:v>-4.9999999999998795E-2</c:v>
                </c:pt>
                <c:pt idx="38">
                  <c:v>0</c:v>
                </c:pt>
                <c:pt idx="39">
                  <c:v>0.05</c:v>
                </c:pt>
                <c:pt idx="40">
                  <c:v>0.1</c:v>
                </c:pt>
                <c:pt idx="41">
                  <c:v>0.15000000000000002</c:v>
                </c:pt>
                <c:pt idx="42">
                  <c:v>0.2</c:v>
                </c:pt>
                <c:pt idx="43">
                  <c:v>0.25</c:v>
                </c:pt>
                <c:pt idx="44">
                  <c:v>0.3</c:v>
                </c:pt>
                <c:pt idx="45">
                  <c:v>0.35</c:v>
                </c:pt>
                <c:pt idx="46">
                  <c:v>0.39999999999999997</c:v>
                </c:pt>
                <c:pt idx="47">
                  <c:v>0.44999999999999996</c:v>
                </c:pt>
                <c:pt idx="48">
                  <c:v>0.49999999999999994</c:v>
                </c:pt>
                <c:pt idx="49">
                  <c:v>0.54999999999999993</c:v>
                </c:pt>
                <c:pt idx="50">
                  <c:v>0.6</c:v>
                </c:pt>
                <c:pt idx="51">
                  <c:v>0.65</c:v>
                </c:pt>
                <c:pt idx="52">
                  <c:v>0.70000000000000007</c:v>
                </c:pt>
                <c:pt idx="53">
                  <c:v>0.75000000000000011</c:v>
                </c:pt>
                <c:pt idx="54">
                  <c:v>0.80000000000000016</c:v>
                </c:pt>
                <c:pt idx="55">
                  <c:v>0.8500000000000002</c:v>
                </c:pt>
                <c:pt idx="56">
                  <c:v>0.90000000000000024</c:v>
                </c:pt>
                <c:pt idx="57">
                  <c:v>0.95000000000000029</c:v>
                </c:pt>
                <c:pt idx="58">
                  <c:v>1.0000000000000002</c:v>
                </c:pt>
                <c:pt idx="59">
                  <c:v>1.0500000000000003</c:v>
                </c:pt>
                <c:pt idx="60">
                  <c:v>1.1000000000000003</c:v>
                </c:pt>
                <c:pt idx="61">
                  <c:v>1.1500000000000004</c:v>
                </c:pt>
                <c:pt idx="62">
                  <c:v>1.2000000000000004</c:v>
                </c:pt>
                <c:pt idx="63">
                  <c:v>1.2500000000000004</c:v>
                </c:pt>
                <c:pt idx="64">
                  <c:v>1.3000000000000005</c:v>
                </c:pt>
                <c:pt idx="65">
                  <c:v>1.3500000000000005</c:v>
                </c:pt>
                <c:pt idx="66">
                  <c:v>1.4000000000000006</c:v>
                </c:pt>
                <c:pt idx="67">
                  <c:v>1.4500000000000006</c:v>
                </c:pt>
                <c:pt idx="68">
                  <c:v>1.5000000000000007</c:v>
                </c:pt>
                <c:pt idx="69">
                  <c:v>1.5500000000000007</c:v>
                </c:pt>
                <c:pt idx="70">
                  <c:v>1.6000000000000008</c:v>
                </c:pt>
                <c:pt idx="71">
                  <c:v>1.6500000000000008</c:v>
                </c:pt>
                <c:pt idx="72">
                  <c:v>1.7000000000000008</c:v>
                </c:pt>
                <c:pt idx="73">
                  <c:v>1.7500000000000009</c:v>
                </c:pt>
                <c:pt idx="74">
                  <c:v>1.8000000000000009</c:v>
                </c:pt>
                <c:pt idx="75">
                  <c:v>1.850000000000001</c:v>
                </c:pt>
                <c:pt idx="76">
                  <c:v>1.900000000000001</c:v>
                </c:pt>
              </c:numCache>
            </c:numRef>
          </c:xVal>
          <c:yVal>
            <c:numRef>
              <c:f>'Orbit Shape Data'!$B$3:$B$79</c:f>
              <c:numCache>
                <c:formatCode>General</c:formatCode>
                <c:ptCount val="77"/>
                <c:pt idx="0">
                  <c:v>3.5199431813596083</c:v>
                </c:pt>
                <c:pt idx="1">
                  <c:v>3.5464771252610667</c:v>
                </c:pt>
                <c:pt idx="2">
                  <c:v>3.5721142198983507</c:v>
                </c:pt>
                <c:pt idx="3">
                  <c:v>3.5968736424845398</c:v>
                </c:pt>
                <c:pt idx="4">
                  <c:v>3.6207733980463348</c:v>
                </c:pt>
                <c:pt idx="5">
                  <c:v>3.6438304022004098</c:v>
                </c:pt>
                <c:pt idx="6">
                  <c:v>3.6660605559646724</c:v>
                </c:pt>
                <c:pt idx="7">
                  <c:v>3.6874788134984584</c:v>
                </c:pt>
                <c:pt idx="8">
                  <c:v>3.7080992435478319</c:v>
                </c:pt>
                <c:pt idx="9">
                  <c:v>3.7279350852717381</c:v>
                </c:pt>
                <c:pt idx="10">
                  <c:v>3.746998799039039</c:v>
                </c:pt>
                <c:pt idx="11">
                  <c:v>3.7653021127128699</c:v>
                </c:pt>
                <c:pt idx="12">
                  <c:v>3.7828560638755477</c:v>
                </c:pt>
                <c:pt idx="13">
                  <c:v>3.799671038392666</c:v>
                </c:pt>
                <c:pt idx="14">
                  <c:v>3.8157568056677831</c:v>
                </c:pt>
                <c:pt idx="15">
                  <c:v>3.8311225508981051</c:v>
                </c:pt>
                <c:pt idx="16">
                  <c:v>3.8457769046058825</c:v>
                </c:pt>
                <c:pt idx="17">
                  <c:v>3.8597279696890556</c:v>
                </c:pt>
                <c:pt idx="18">
                  <c:v>3.872983346207417</c:v>
                </c:pt>
                <c:pt idx="19">
                  <c:v>3.885550154096586</c:v>
                </c:pt>
                <c:pt idx="20">
                  <c:v>3.8974350539810154</c:v>
                </c:pt>
                <c:pt idx="21">
                  <c:v>3.9086442662386149</c:v>
                </c:pt>
                <c:pt idx="22">
                  <c:v>3.9191835884530852</c:v>
                </c:pt>
                <c:pt idx="23">
                  <c:v>3.9290584113754279</c:v>
                </c:pt>
                <c:pt idx="24">
                  <c:v>3.9382737335030433</c:v>
                </c:pt>
                <c:pt idx="25">
                  <c:v>3.9468341743731776</c:v>
                </c:pt>
                <c:pt idx="26">
                  <c:v>3.954743986657038</c:v>
                </c:pt>
                <c:pt idx="27">
                  <c:v>3.9620070671315064</c:v>
                </c:pt>
                <c:pt idx="28">
                  <c:v>3.9686269665968861</c:v>
                </c:pt>
                <c:pt idx="29">
                  <c:v>3.97460689880144</c:v>
                </c:pt>
                <c:pt idx="30">
                  <c:v>3.9799497484264799</c:v>
                </c:pt>
                <c:pt idx="31">
                  <c:v>3.9846580781793564</c:v>
                </c:pt>
                <c:pt idx="32">
                  <c:v>3.9887341350358261</c:v>
                </c:pt>
                <c:pt idx="33">
                  <c:v>3.9921798556678278</c:v>
                </c:pt>
                <c:pt idx="34">
                  <c:v>3.9949968710876358</c:v>
                </c:pt>
                <c:pt idx="35">
                  <c:v>3.9971865105346285</c:v>
                </c:pt>
                <c:pt idx="36">
                  <c:v>3.9987498046264411</c:v>
                </c:pt>
                <c:pt idx="37">
                  <c:v>3.999687487792015</c:v>
                </c:pt>
                <c:pt idx="38" formatCode="0.000000">
                  <c:v>4</c:v>
                </c:pt>
                <c:pt idx="39">
                  <c:v>3.999687487792015</c:v>
                </c:pt>
                <c:pt idx="40">
                  <c:v>3.9987498046264411</c:v>
                </c:pt>
                <c:pt idx="41">
                  <c:v>3.9971865105346285</c:v>
                </c:pt>
                <c:pt idx="42">
                  <c:v>3.9949968710876358</c:v>
                </c:pt>
                <c:pt idx="43">
                  <c:v>3.9921798556678278</c:v>
                </c:pt>
                <c:pt idx="44">
                  <c:v>3.9887341350358261</c:v>
                </c:pt>
                <c:pt idx="45">
                  <c:v>3.9846580781793559</c:v>
                </c:pt>
                <c:pt idx="46">
                  <c:v>3.9799497484264799</c:v>
                </c:pt>
                <c:pt idx="47">
                  <c:v>3.97460689880144</c:v>
                </c:pt>
                <c:pt idx="48">
                  <c:v>3.9686269665968861</c:v>
                </c:pt>
                <c:pt idx="49">
                  <c:v>3.9620070671315064</c:v>
                </c:pt>
                <c:pt idx="50">
                  <c:v>3.954743986657038</c:v>
                </c:pt>
                <c:pt idx="51">
                  <c:v>3.9468341743731772</c:v>
                </c:pt>
                <c:pt idx="52">
                  <c:v>3.9382737335030433</c:v>
                </c:pt>
                <c:pt idx="53">
                  <c:v>3.9290584113754279</c:v>
                </c:pt>
                <c:pt idx="54">
                  <c:v>3.9191835884530848</c:v>
                </c:pt>
                <c:pt idx="55">
                  <c:v>3.9086442662386149</c:v>
                </c:pt>
                <c:pt idx="56">
                  <c:v>3.8974350539810154</c:v>
                </c:pt>
                <c:pt idx="57">
                  <c:v>3.8855501540965856</c:v>
                </c:pt>
                <c:pt idx="58">
                  <c:v>3.872983346207417</c:v>
                </c:pt>
                <c:pt idx="59">
                  <c:v>3.8597279696890556</c:v>
                </c:pt>
                <c:pt idx="60">
                  <c:v>3.8457769046058821</c:v>
                </c:pt>
                <c:pt idx="61">
                  <c:v>3.8311225508981046</c:v>
                </c:pt>
                <c:pt idx="62">
                  <c:v>3.8157568056677826</c:v>
                </c:pt>
                <c:pt idx="63">
                  <c:v>3.7996710383926655</c:v>
                </c:pt>
                <c:pt idx="64">
                  <c:v>3.7828560638755473</c:v>
                </c:pt>
                <c:pt idx="65">
                  <c:v>3.7653021127128694</c:v>
                </c:pt>
                <c:pt idx="66">
                  <c:v>3.746998799039039</c:v>
                </c:pt>
                <c:pt idx="67">
                  <c:v>3.7279350852717377</c:v>
                </c:pt>
                <c:pt idx="68">
                  <c:v>3.708099243547831</c:v>
                </c:pt>
                <c:pt idx="69">
                  <c:v>3.6874788134984584</c:v>
                </c:pt>
                <c:pt idx="70">
                  <c:v>3.6660605559646715</c:v>
                </c:pt>
                <c:pt idx="71">
                  <c:v>3.6438304022004093</c:v>
                </c:pt>
                <c:pt idx="72">
                  <c:v>3.6207733980463344</c:v>
                </c:pt>
                <c:pt idx="73">
                  <c:v>3.5968736424845393</c:v>
                </c:pt>
                <c:pt idx="74">
                  <c:v>3.5721142198983498</c:v>
                </c:pt>
                <c:pt idx="75">
                  <c:v>3.5464771252610663</c:v>
                </c:pt>
                <c:pt idx="76">
                  <c:v>3.5199431813596078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1-E149-92E0-583352F765A1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'Orbit Shape Data'!$F$3:$F$79</c:f>
              <c:numCache>
                <c:formatCode>General</c:formatCode>
                <c:ptCount val="77"/>
                <c:pt idx="0">
                  <c:v>-1.9</c:v>
                </c:pt>
                <c:pt idx="1">
                  <c:v>-1.8499999999999999</c:v>
                </c:pt>
                <c:pt idx="2">
                  <c:v>-1.7999999999999998</c:v>
                </c:pt>
                <c:pt idx="3">
                  <c:v>-1.7499999999999998</c:v>
                </c:pt>
                <c:pt idx="4">
                  <c:v>-1.6999999999999997</c:v>
                </c:pt>
                <c:pt idx="5">
                  <c:v>-1.6499999999999997</c:v>
                </c:pt>
                <c:pt idx="6">
                  <c:v>-1.5999999999999996</c:v>
                </c:pt>
                <c:pt idx="7">
                  <c:v>-1.5499999999999996</c:v>
                </c:pt>
                <c:pt idx="8">
                  <c:v>-1.4999999999999996</c:v>
                </c:pt>
                <c:pt idx="9">
                  <c:v>-1.4499999999999995</c:v>
                </c:pt>
                <c:pt idx="10">
                  <c:v>-1.3999999999999995</c:v>
                </c:pt>
                <c:pt idx="11">
                  <c:v>-1.3499999999999994</c:v>
                </c:pt>
                <c:pt idx="12">
                  <c:v>-1.2999999999999994</c:v>
                </c:pt>
                <c:pt idx="13">
                  <c:v>-1.2499999999999993</c:v>
                </c:pt>
                <c:pt idx="14">
                  <c:v>-1.1999999999999993</c:v>
                </c:pt>
                <c:pt idx="15">
                  <c:v>-1.1499999999999992</c:v>
                </c:pt>
                <c:pt idx="16">
                  <c:v>-1.0999999999999992</c:v>
                </c:pt>
                <c:pt idx="17">
                  <c:v>-1.0499999999999992</c:v>
                </c:pt>
                <c:pt idx="18">
                  <c:v>-0.99999999999999911</c:v>
                </c:pt>
                <c:pt idx="19">
                  <c:v>-0.94999999999999907</c:v>
                </c:pt>
                <c:pt idx="20">
                  <c:v>-0.89999999999999902</c:v>
                </c:pt>
                <c:pt idx="21">
                  <c:v>-0.84999999999999898</c:v>
                </c:pt>
                <c:pt idx="22">
                  <c:v>-0.79999999999999893</c:v>
                </c:pt>
                <c:pt idx="23">
                  <c:v>-0.74999999999999889</c:v>
                </c:pt>
                <c:pt idx="24">
                  <c:v>-0.69999999999999885</c:v>
                </c:pt>
                <c:pt idx="25">
                  <c:v>-0.6499999999999988</c:v>
                </c:pt>
                <c:pt idx="26">
                  <c:v>-0.59999999999999876</c:v>
                </c:pt>
                <c:pt idx="27">
                  <c:v>-0.54999999999999871</c:v>
                </c:pt>
                <c:pt idx="28">
                  <c:v>-0.49999999999999872</c:v>
                </c:pt>
                <c:pt idx="29">
                  <c:v>-0.44999999999999873</c:v>
                </c:pt>
                <c:pt idx="30">
                  <c:v>-0.39999999999999875</c:v>
                </c:pt>
                <c:pt idx="31">
                  <c:v>-0.34999999999999876</c:v>
                </c:pt>
                <c:pt idx="32">
                  <c:v>-0.29999999999999877</c:v>
                </c:pt>
                <c:pt idx="33">
                  <c:v>-0.24999999999999878</c:v>
                </c:pt>
                <c:pt idx="34">
                  <c:v>-0.19999999999999879</c:v>
                </c:pt>
                <c:pt idx="35">
                  <c:v>-0.1499999999999988</c:v>
                </c:pt>
                <c:pt idx="36">
                  <c:v>-9.9999999999998798E-2</c:v>
                </c:pt>
                <c:pt idx="37">
                  <c:v>-4.9999999999998795E-2</c:v>
                </c:pt>
                <c:pt idx="38">
                  <c:v>0</c:v>
                </c:pt>
                <c:pt idx="39">
                  <c:v>0.05</c:v>
                </c:pt>
                <c:pt idx="40">
                  <c:v>0.1</c:v>
                </c:pt>
                <c:pt idx="41">
                  <c:v>0.15000000000000002</c:v>
                </c:pt>
                <c:pt idx="42">
                  <c:v>0.2</c:v>
                </c:pt>
                <c:pt idx="43">
                  <c:v>0.25</c:v>
                </c:pt>
                <c:pt idx="44">
                  <c:v>0.3</c:v>
                </c:pt>
                <c:pt idx="45">
                  <c:v>0.35</c:v>
                </c:pt>
                <c:pt idx="46">
                  <c:v>0.39999999999999997</c:v>
                </c:pt>
                <c:pt idx="47">
                  <c:v>0.44999999999999996</c:v>
                </c:pt>
                <c:pt idx="48">
                  <c:v>0.49999999999999994</c:v>
                </c:pt>
                <c:pt idx="49">
                  <c:v>0.54999999999999993</c:v>
                </c:pt>
                <c:pt idx="50">
                  <c:v>0.6</c:v>
                </c:pt>
                <c:pt idx="51">
                  <c:v>0.65</c:v>
                </c:pt>
                <c:pt idx="52">
                  <c:v>0.70000000000000007</c:v>
                </c:pt>
                <c:pt idx="53">
                  <c:v>0.75000000000000011</c:v>
                </c:pt>
                <c:pt idx="54">
                  <c:v>0.80000000000000016</c:v>
                </c:pt>
                <c:pt idx="55">
                  <c:v>0.8500000000000002</c:v>
                </c:pt>
                <c:pt idx="56">
                  <c:v>0.90000000000000024</c:v>
                </c:pt>
                <c:pt idx="57">
                  <c:v>0.95000000000000029</c:v>
                </c:pt>
                <c:pt idx="58">
                  <c:v>1.0000000000000002</c:v>
                </c:pt>
                <c:pt idx="59">
                  <c:v>1.0500000000000003</c:v>
                </c:pt>
                <c:pt idx="60">
                  <c:v>1.1000000000000003</c:v>
                </c:pt>
                <c:pt idx="61">
                  <c:v>1.1500000000000004</c:v>
                </c:pt>
                <c:pt idx="62">
                  <c:v>1.2000000000000004</c:v>
                </c:pt>
                <c:pt idx="63">
                  <c:v>1.2500000000000004</c:v>
                </c:pt>
                <c:pt idx="64">
                  <c:v>1.3000000000000005</c:v>
                </c:pt>
                <c:pt idx="65">
                  <c:v>1.3500000000000005</c:v>
                </c:pt>
                <c:pt idx="66">
                  <c:v>1.4000000000000006</c:v>
                </c:pt>
                <c:pt idx="67">
                  <c:v>1.4500000000000006</c:v>
                </c:pt>
                <c:pt idx="68">
                  <c:v>1.5000000000000007</c:v>
                </c:pt>
                <c:pt idx="69">
                  <c:v>1.5500000000000007</c:v>
                </c:pt>
                <c:pt idx="70">
                  <c:v>1.6000000000000008</c:v>
                </c:pt>
                <c:pt idx="71">
                  <c:v>1.6500000000000008</c:v>
                </c:pt>
                <c:pt idx="72">
                  <c:v>1.7000000000000008</c:v>
                </c:pt>
                <c:pt idx="73">
                  <c:v>1.7500000000000009</c:v>
                </c:pt>
                <c:pt idx="74">
                  <c:v>1.8000000000000009</c:v>
                </c:pt>
                <c:pt idx="75">
                  <c:v>1.850000000000001</c:v>
                </c:pt>
                <c:pt idx="76">
                  <c:v>1.900000000000001</c:v>
                </c:pt>
              </c:numCache>
            </c:numRef>
          </c:xVal>
          <c:yVal>
            <c:numRef>
              <c:f>'Orbit Shape Data'!$E$3:$E$79</c:f>
              <c:numCache>
                <c:formatCode>General</c:formatCode>
                <c:ptCount val="77"/>
                <c:pt idx="0">
                  <c:v>3.5745629103430252</c:v>
                </c:pt>
                <c:pt idx="1">
                  <c:v>3.6</c:v>
                </c:pt>
                <c:pt idx="2">
                  <c:v>3.6245689398878866</c:v>
                </c:pt>
                <c:pt idx="3">
                  <c:v>3.6482872693909401</c:v>
                </c:pt>
                <c:pt idx="4">
                  <c:v>3.6711714751561253</c:v>
                </c:pt>
                <c:pt idx="5">
                  <c:v>3.6932370625238775</c:v>
                </c:pt>
                <c:pt idx="6">
                  <c:v>3.7144986202716512</c:v>
                </c:pt>
                <c:pt idx="7">
                  <c:v>3.73496987939662</c:v>
                </c:pt>
                <c:pt idx="8">
                  <c:v>3.7546637665708498</c:v>
                </c:pt>
                <c:pt idx="9">
                  <c:v>3.7735924528226414</c:v>
                </c:pt>
                <c:pt idx="10">
                  <c:v>3.7917673979293616</c:v>
                </c:pt>
                <c:pt idx="11">
                  <c:v>3.8091993909481823</c:v>
                </c:pt>
                <c:pt idx="12">
                  <c:v>3.8258985872602533</c:v>
                </c:pt>
                <c:pt idx="13">
                  <c:v>3.8418745424597094</c:v>
                </c:pt>
                <c:pt idx="14">
                  <c:v>3.8571362433805731</c:v>
                </c:pt>
                <c:pt idx="15">
                  <c:v>3.871692136521188</c:v>
                </c:pt>
                <c:pt idx="16">
                  <c:v>3.8855501540965856</c:v>
                </c:pt>
                <c:pt idx="17">
                  <c:v>3.8987177379235858</c:v>
                </c:pt>
                <c:pt idx="18">
                  <c:v>3.9112018613208908</c:v>
                </c:pt>
                <c:pt idx="19">
                  <c:v>3.9230090491866063</c:v>
                </c:pt>
                <c:pt idx="20">
                  <c:v>3.9341453963980539</c:v>
                </c:pt>
                <c:pt idx="21">
                  <c:v>3.944616584663204</c:v>
                </c:pt>
                <c:pt idx="22">
                  <c:v>3.9544278979392202</c:v>
                </c:pt>
                <c:pt idx="23">
                  <c:v>3.963584236521283</c:v>
                </c:pt>
                <c:pt idx="24">
                  <c:v>3.9720901298938323</c:v>
                </c:pt>
                <c:pt idx="25" formatCode="0.000000">
                  <c:v>3.9799497484264799</c:v>
                </c:pt>
                <c:pt idx="26">
                  <c:v>3.987166913987926</c:v>
                </c:pt>
                <c:pt idx="27">
                  <c:v>3.993745109543172</c:v>
                </c:pt>
                <c:pt idx="28">
                  <c:v>3.999687487792015</c:v>
                </c:pt>
                <c:pt idx="29">
                  <c:v>4.0049968789001573</c:v>
                </c:pt>
                <c:pt idx="30">
                  <c:v>4.0096757973681614</c:v>
                </c:pt>
                <c:pt idx="31">
                  <c:v>4.0137264480778958</c:v>
                </c:pt>
                <c:pt idx="32">
                  <c:v>4.0171507315509087</c:v>
                </c:pt>
                <c:pt idx="33">
                  <c:v>4.0199502484483558</c:v>
                </c:pt>
                <c:pt idx="34">
                  <c:v>4.0221263033375765</c:v>
                </c:pt>
                <c:pt idx="35">
                  <c:v>4.0236799077461418</c:v>
                </c:pt>
                <c:pt idx="36">
                  <c:v>4.0246117825201475</c:v>
                </c:pt>
                <c:pt idx="37">
                  <c:v>4.0249223594996213</c:v>
                </c:pt>
                <c:pt idx="38">
                  <c:v>4.0249223594996213</c:v>
                </c:pt>
                <c:pt idx="39">
                  <c:v>4.0246117825201475</c:v>
                </c:pt>
                <c:pt idx="40">
                  <c:v>4.0236799077461418</c:v>
                </c:pt>
                <c:pt idx="41">
                  <c:v>4.0221263033375765</c:v>
                </c:pt>
                <c:pt idx="42">
                  <c:v>4.0199502484483558</c:v>
                </c:pt>
                <c:pt idx="43">
                  <c:v>4.0171507315509087</c:v>
                </c:pt>
                <c:pt idx="44">
                  <c:v>4.0137264480778958</c:v>
                </c:pt>
                <c:pt idx="45">
                  <c:v>4.0096757973681614</c:v>
                </c:pt>
                <c:pt idx="46">
                  <c:v>4.0049968789001573</c:v>
                </c:pt>
                <c:pt idx="47">
                  <c:v>3.999687487792015</c:v>
                </c:pt>
                <c:pt idx="48">
                  <c:v>3.9937451095431715</c:v>
                </c:pt>
                <c:pt idx="49">
                  <c:v>3.9871669139879256</c:v>
                </c:pt>
                <c:pt idx="50">
                  <c:v>3.9799497484264799</c:v>
                </c:pt>
                <c:pt idx="51">
                  <c:v>3.9720901298938323</c:v>
                </c:pt>
                <c:pt idx="52">
                  <c:v>3.9635842365212826</c:v>
                </c:pt>
                <c:pt idx="53">
                  <c:v>3.9544278979392202</c:v>
                </c:pt>
                <c:pt idx="54">
                  <c:v>3.944616584663204</c:v>
                </c:pt>
                <c:pt idx="55">
                  <c:v>3.9341453963980535</c:v>
                </c:pt>
                <c:pt idx="56">
                  <c:v>3.9230090491866059</c:v>
                </c:pt>
                <c:pt idx="57">
                  <c:v>3.9112018613208908</c:v>
                </c:pt>
                <c:pt idx="58">
                  <c:v>3.8987177379235853</c:v>
                </c:pt>
                <c:pt idx="59">
                  <c:v>3.8855501540965856</c:v>
                </c:pt>
                <c:pt idx="60">
                  <c:v>3.8716921365211876</c:v>
                </c:pt>
                <c:pt idx="61">
                  <c:v>3.8571362433805727</c:v>
                </c:pt>
                <c:pt idx="62">
                  <c:v>3.8418745424597089</c:v>
                </c:pt>
                <c:pt idx="63">
                  <c:v>3.8258985872602529</c:v>
                </c:pt>
                <c:pt idx="64">
                  <c:v>3.8091993909481818</c:v>
                </c:pt>
                <c:pt idx="65">
                  <c:v>3.7917673979293611</c:v>
                </c:pt>
                <c:pt idx="66">
                  <c:v>3.7735924528226414</c:v>
                </c:pt>
                <c:pt idx="67">
                  <c:v>3.7546637665708493</c:v>
                </c:pt>
                <c:pt idx="68">
                  <c:v>3.7349698793966195</c:v>
                </c:pt>
                <c:pt idx="69">
                  <c:v>3.7144986202716508</c:v>
                </c:pt>
                <c:pt idx="70">
                  <c:v>3.6932370625238771</c:v>
                </c:pt>
                <c:pt idx="71">
                  <c:v>3.6711714751561244</c:v>
                </c:pt>
                <c:pt idx="72">
                  <c:v>3.6482872693909396</c:v>
                </c:pt>
                <c:pt idx="73">
                  <c:v>3.6245689398878862</c:v>
                </c:pt>
                <c:pt idx="74">
                  <c:v>3.5999999999999992</c:v>
                </c:pt>
                <c:pt idx="75">
                  <c:v>3.5745629103430248</c:v>
                </c:pt>
                <c:pt idx="76">
                  <c:v>3.5482389998420336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C1-E149-92E0-583352F7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6950"/>
        <c:axId val="659297688"/>
      </c:scatterChart>
      <c:valAx>
        <c:axId val="1278906950"/>
        <c:scaling>
          <c:orientation val="minMax"/>
          <c:max val="0.3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9297688"/>
        <c:crosses val="autoZero"/>
        <c:crossBetween val="midCat"/>
      </c:valAx>
      <c:valAx>
        <c:axId val="659297688"/>
        <c:scaling>
          <c:orientation val="minMax"/>
          <c:max val="4.03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8906950"/>
        <c:crosses val="autoZero"/>
        <c:crossBetween val="midCat"/>
      </c:valAx>
    </c:plotArea>
    <c:plotVisOnly val="1"/>
    <c:dispBlanksAs val="zero"/>
    <c:showDLblsOverMax val="1"/>
  </c:chart>
  <c:spPr>
    <a:solidFill>
      <a:srgbClr val="969696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4</xdr:row>
      <xdr:rowOff>76200</xdr:rowOff>
    </xdr:from>
    <xdr:ext cx="285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147773" y="1233668"/>
          <a:ext cx="285750" cy="38100"/>
          <a:chOff x="5203125" y="3780000"/>
          <a:chExt cx="2857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203125" y="3780000"/>
            <a:ext cx="28575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8</xdr:col>
      <xdr:colOff>66675</xdr:colOff>
      <xdr:row>4</xdr:row>
      <xdr:rowOff>104775</xdr:rowOff>
    </xdr:from>
    <xdr:ext cx="38100" cy="1619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8377941" y="1262243"/>
          <a:ext cx="38100" cy="161925"/>
          <a:chOff x="5346000" y="3699038"/>
          <a:chExt cx="0" cy="1619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5346000" y="3699038"/>
            <a:ext cx="0" cy="1619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95250</xdr:colOff>
      <xdr:row>7</xdr:row>
      <xdr:rowOff>57150</xdr:rowOff>
    </xdr:from>
    <xdr:ext cx="38100" cy="2762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8406516" y="1737087"/>
          <a:ext cx="38100" cy="276225"/>
          <a:chOff x="5346000" y="3641888"/>
          <a:chExt cx="0" cy="276225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641888"/>
            <a:ext cx="0" cy="2762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95250</xdr:colOff>
      <xdr:row>10</xdr:row>
      <xdr:rowOff>57150</xdr:rowOff>
    </xdr:from>
    <xdr:ext cx="38100" cy="16097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8406516" y="2331897"/>
          <a:ext cx="38100" cy="1609725"/>
          <a:chOff x="5346000" y="2975138"/>
          <a:chExt cx="0" cy="1609725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5346000" y="2975138"/>
            <a:ext cx="0" cy="16097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152400</xdr:colOff>
      <xdr:row>4</xdr:row>
      <xdr:rowOff>66675</xdr:rowOff>
    </xdr:from>
    <xdr:ext cx="66675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7450881" y="1224143"/>
          <a:ext cx="66675" cy="38100"/>
          <a:chOff x="5312663" y="3780000"/>
          <a:chExt cx="66675" cy="0"/>
        </a:xfrm>
      </xdr:grpSpPr>
      <xdr:cxnSp macro="">
        <xdr:nvCxnSpPr>
          <xdr:cNvPr id="11" name="Shape 7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 rot="10800000">
            <a:off x="5312663" y="3780000"/>
            <a:ext cx="666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6</xdr:col>
      <xdr:colOff>123825</xdr:colOff>
      <xdr:row>1</xdr:row>
      <xdr:rowOff>28575</xdr:rowOff>
    </xdr:from>
    <xdr:ext cx="38100" cy="8763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7422306" y="374208"/>
          <a:ext cx="38100" cy="876300"/>
          <a:chOff x="5346000" y="3341850"/>
          <a:chExt cx="0" cy="876300"/>
        </a:xfrm>
      </xdr:grpSpPr>
      <xdr:cxnSp macro="">
        <xdr:nvCxnSpPr>
          <xdr:cNvPr id="13" name="Shape 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 rot="10800000">
            <a:off x="5346000" y="3341850"/>
            <a:ext cx="0" cy="87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7210425" cy="381000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23</xdr:row>
      <xdr:rowOff>133350</xdr:rowOff>
    </xdr:from>
    <xdr:ext cx="85725" cy="2381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307900" y="3665700"/>
          <a:ext cx="76200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142875</xdr:colOff>
      <xdr:row>20</xdr:row>
      <xdr:rowOff>66675</xdr:rowOff>
    </xdr:from>
    <xdr:ext cx="104775" cy="2286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298375" y="3670463"/>
          <a:ext cx="9525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400050</xdr:colOff>
      <xdr:row>8</xdr:row>
      <xdr:rowOff>38100</xdr:rowOff>
    </xdr:from>
    <xdr:ext cx="38100" cy="1676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6561364" y="1583871"/>
          <a:ext cx="38100" cy="1676400"/>
          <a:chOff x="5346000" y="2941800"/>
          <a:chExt cx="0" cy="1676400"/>
        </a:xfrm>
      </xdr:grpSpPr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>
            <a:off x="5346000" y="2941800"/>
            <a:ext cx="0" cy="1676400"/>
          </a:xfrm>
          <a:prstGeom prst="straightConnector1">
            <a:avLst/>
          </a:prstGeom>
          <a:noFill/>
          <a:ln w="28575" cap="flat" cmpd="sng">
            <a:solidFill>
              <a:srgbClr val="00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400050</xdr:colOff>
      <xdr:row>6</xdr:row>
      <xdr:rowOff>0</xdr:rowOff>
    </xdr:from>
    <xdr:ext cx="38100" cy="33528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6561364" y="1240971"/>
          <a:ext cx="38100" cy="3352800"/>
          <a:chOff x="5346000" y="2103600"/>
          <a:chExt cx="0" cy="3352800"/>
        </a:xfrm>
      </xdr:grpSpPr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/>
        </xdr:nvCxnSpPr>
        <xdr:spPr>
          <a:xfrm>
            <a:off x="5346000" y="2103600"/>
            <a:ext cx="0" cy="33528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200025</xdr:colOff>
      <xdr:row>7</xdr:row>
      <xdr:rowOff>104775</xdr:rowOff>
    </xdr:from>
    <xdr:ext cx="3419475" cy="25146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313339" y="1498146"/>
          <a:ext cx="3419475" cy="2514600"/>
          <a:chOff x="3641025" y="2527463"/>
          <a:chExt cx="3409950" cy="2505075"/>
        </a:xfrm>
      </xdr:grpSpPr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 rot="10800000" flipH="1">
            <a:off x="3641025" y="2527463"/>
            <a:ext cx="3409950" cy="250507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180975</xdr:colOff>
      <xdr:row>17</xdr:row>
      <xdr:rowOff>95250</xdr:rowOff>
    </xdr:from>
    <xdr:ext cx="2066925" cy="9334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3294289" y="3012621"/>
          <a:ext cx="2066925" cy="933450"/>
          <a:chOff x="4317300" y="3318038"/>
          <a:chExt cx="2057400" cy="923925"/>
        </a:xfrm>
      </xdr:grpSpPr>
      <xdr:cxnSp macro="">
        <xdr:nvCxnSpPr>
          <xdr:cNvPr id="14" name="Shape 14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/>
        </xdr:nvCxnSpPr>
        <xdr:spPr>
          <a:xfrm rot="10800000" flipH="1">
            <a:off x="4317300" y="3318038"/>
            <a:ext cx="2057400" cy="923925"/>
          </a:xfrm>
          <a:prstGeom prst="straightConnector1">
            <a:avLst/>
          </a:prstGeom>
          <a:noFill/>
          <a:ln w="9525" cap="flat" cmpd="sng">
            <a:solidFill>
              <a:schemeClr val="hlink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8</xdr:col>
      <xdr:colOff>304800</xdr:colOff>
      <xdr:row>7</xdr:row>
      <xdr:rowOff>76200</xdr:rowOff>
    </xdr:from>
    <xdr:ext cx="647700" cy="381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5958114" y="1469571"/>
          <a:ext cx="647700" cy="38100"/>
          <a:chOff x="5022150" y="3780000"/>
          <a:chExt cx="647700" cy="0"/>
        </a:xfrm>
      </xdr:grpSpPr>
      <xdr:cxnSp macro="">
        <xdr:nvCxnSpPr>
          <xdr:cNvPr id="15" name="Shape 15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 rot="10800000">
            <a:off x="5022150" y="3780000"/>
            <a:ext cx="647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180975</xdr:colOff>
      <xdr:row>23</xdr:row>
      <xdr:rowOff>47625</xdr:rowOff>
    </xdr:from>
    <xdr:ext cx="238125" cy="6667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3294289" y="3879396"/>
          <a:ext cx="238125" cy="666750"/>
          <a:chOff x="5236463" y="3451388"/>
          <a:chExt cx="219075" cy="657225"/>
        </a:xfrm>
      </xdr:grpSpPr>
      <xdr:cxnSp macro="">
        <xdr:nvCxnSpPr>
          <xdr:cNvPr id="16" name="Shape 16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/>
        </xdr:nvCxnSpPr>
        <xdr:spPr>
          <a:xfrm>
            <a:off x="5236463" y="3451388"/>
            <a:ext cx="219075" cy="657225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180975</xdr:colOff>
      <xdr:row>23</xdr:row>
      <xdr:rowOff>-19050</xdr:rowOff>
    </xdr:from>
    <xdr:ext cx="247650" cy="2476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 rot="-1080000">
          <a:off x="5255513" y="3689513"/>
          <a:ext cx="180975" cy="180975"/>
        </a:xfrm>
        <a:prstGeom prst="rect">
          <a:avLst/>
        </a:prstGeom>
        <a:noFill/>
        <a:ln w="1905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161925</xdr:colOff>
      <xdr:row>23</xdr:row>
      <xdr:rowOff>0</xdr:rowOff>
    </xdr:from>
    <xdr:ext cx="66675" cy="7620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5312663" y="3746663"/>
          <a:ext cx="66675" cy="66675"/>
        </a:xfrm>
        <a:prstGeom prst="ellipse">
          <a:avLst/>
        </a:prstGeom>
        <a:solidFill>
          <a:srgbClr val="FF99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390525</xdr:colOff>
      <xdr:row>7</xdr:row>
      <xdr:rowOff>47625</xdr:rowOff>
    </xdr:from>
    <xdr:ext cx="66675" cy="952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312663" y="3737138"/>
          <a:ext cx="66675" cy="85725"/>
        </a:xfrm>
        <a:prstGeom prst="ellipse">
          <a:avLst/>
        </a:prstGeom>
        <a:solidFill>
          <a:schemeClr val="hlink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419100</xdr:colOff>
      <xdr:row>25</xdr:row>
      <xdr:rowOff>66675</xdr:rowOff>
    </xdr:from>
    <xdr:ext cx="952500" cy="21907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874513" y="3675225"/>
          <a:ext cx="9429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Arial"/>
              <a:ea typeface="Arial"/>
              <a:cs typeface="Arial"/>
              <a:sym typeface="Arial"/>
            </a:rPr>
            <a:t>To Center of Earth</a:t>
          </a:r>
          <a:endParaRPr sz="1400"/>
        </a:p>
      </xdr:txBody>
    </xdr:sp>
    <xdr:clientData fLocksWithSheet="0"/>
  </xdr:oneCellAnchor>
  <xdr:oneCellAnchor>
    <xdr:from>
      <xdr:col>3</xdr:col>
      <xdr:colOff>466725</xdr:colOff>
      <xdr:row>26</xdr:row>
      <xdr:rowOff>0</xdr:rowOff>
    </xdr:from>
    <xdr:ext cx="962025" cy="1524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3580039" y="4303486"/>
          <a:ext cx="962025" cy="152400"/>
          <a:chOff x="4869750" y="3708563"/>
          <a:chExt cx="952500" cy="142875"/>
        </a:xfrm>
      </xdr:grpSpPr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CxnSpPr/>
        </xdr:nvCxnSpPr>
        <xdr:spPr>
          <a:xfrm flipH="1">
            <a:off x="4869750" y="3708563"/>
            <a:ext cx="952500" cy="14287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7</xdr:col>
      <xdr:colOff>285750</xdr:colOff>
      <xdr:row>26</xdr:row>
      <xdr:rowOff>0</xdr:rowOff>
    </xdr:from>
    <xdr:ext cx="1066800" cy="66675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5431064" y="4303486"/>
          <a:ext cx="1066800" cy="66675"/>
          <a:chOff x="4817363" y="3751425"/>
          <a:chExt cx="1057275" cy="57150"/>
        </a:xfrm>
      </xdr:grpSpPr>
      <xdr:cxnSp macro="">
        <xdr:nvCxnSpPr>
          <xdr:cNvPr id="24" name="Shape 22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>
            <a:off x="4817363" y="3751425"/>
            <a:ext cx="1057275" cy="571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28575</xdr:colOff>
      <xdr:row>6</xdr:row>
      <xdr:rowOff>47625</xdr:rowOff>
    </xdr:from>
    <xdr:ext cx="609600" cy="219075"/>
    <xdr:sp macro="" textlink="">
      <xdr:nvSpPr>
        <xdr:cNvPr id="25" name="Shape 2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5045963" y="3675225"/>
          <a:ext cx="6000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Arial"/>
              <a:ea typeface="Arial"/>
              <a:cs typeface="Arial"/>
              <a:sym typeface="Arial"/>
            </a:rPr>
            <a:t>Spacecraft</a:t>
          </a:r>
          <a:endParaRPr sz="1400"/>
        </a:p>
      </xdr:txBody>
    </xdr:sp>
    <xdr:clientData fLocksWithSheet="0"/>
  </xdr:oneCellAnchor>
  <xdr:oneCellAnchor>
    <xdr:from>
      <xdr:col>7</xdr:col>
      <xdr:colOff>495300</xdr:colOff>
      <xdr:row>5</xdr:row>
      <xdr:rowOff>190500</xdr:rowOff>
    </xdr:from>
    <xdr:ext cx="742950" cy="219075"/>
    <xdr:sp macro="" textlink="">
      <xdr:nvSpPr>
        <xdr:cNvPr id="26" name="Shape 24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4979288" y="3675225"/>
          <a:ext cx="73342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Arial"/>
              <a:ea typeface="Arial"/>
              <a:cs typeface="Arial"/>
              <a:sym typeface="Arial"/>
            </a:rPr>
            <a:t>Orbit Velocity</a:t>
          </a:r>
          <a:endParaRPr sz="1400"/>
        </a:p>
      </xdr:txBody>
    </xdr:sp>
    <xdr:clientData fLocksWithSheet="0"/>
  </xdr:oneCellAnchor>
  <xdr:oneCellAnchor>
    <xdr:from>
      <xdr:col>9</xdr:col>
      <xdr:colOff>428625</xdr:colOff>
      <xdr:row>20</xdr:row>
      <xdr:rowOff>123825</xdr:rowOff>
    </xdr:from>
    <xdr:ext cx="952500" cy="219075"/>
    <xdr:sp macro="" textlink="">
      <xdr:nvSpPr>
        <xdr:cNvPr id="27" name="Shape 2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874513" y="3675225"/>
          <a:ext cx="9429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latin typeface="Arial"/>
              <a:ea typeface="Arial"/>
              <a:cs typeface="Arial"/>
              <a:sym typeface="Arial"/>
            </a:rPr>
            <a:t>Re</a:t>
          </a:r>
          <a:r>
            <a:rPr lang="en-US" sz="1000" i="0" u="none" strike="noStrike">
              <a:latin typeface="Arial"/>
              <a:ea typeface="Arial"/>
              <a:cs typeface="Arial"/>
              <a:sym typeface="Arial"/>
            </a:rPr>
            <a:t> = 6378.136 km</a:t>
          </a:r>
          <a:endParaRPr sz="1400"/>
        </a:p>
      </xdr:txBody>
    </xdr:sp>
    <xdr:clientData fLocksWithSheet="0"/>
  </xdr:oneCellAnchor>
  <xdr:oneCellAnchor>
    <xdr:from>
      <xdr:col>9</xdr:col>
      <xdr:colOff>457200</xdr:colOff>
      <xdr:row>12</xdr:row>
      <xdr:rowOff>28575</xdr:rowOff>
    </xdr:from>
    <xdr:ext cx="1590675" cy="200025"/>
    <xdr:sp macro="" textlink="">
      <xdr:nvSpPr>
        <xdr:cNvPr id="28" name="Shape 26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555425" y="3684750"/>
          <a:ext cx="1581150" cy="1905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latin typeface="Arial"/>
              <a:ea typeface="Arial"/>
              <a:cs typeface="Arial"/>
              <a:sym typeface="Arial"/>
            </a:rPr>
            <a:t>h = </a:t>
          </a:r>
          <a:r>
            <a:rPr lang="en-US" sz="1000" i="0" u="none" strike="noStrike">
              <a:latin typeface="Arial"/>
              <a:ea typeface="Arial"/>
              <a:cs typeface="Arial"/>
              <a:sym typeface="Arial"/>
            </a:rPr>
            <a:t>mean height above surface</a:t>
          </a:r>
          <a:endParaRPr sz="1400"/>
        </a:p>
      </xdr:txBody>
    </xdr:sp>
    <xdr:clientData fLocksWithSheet="0"/>
  </xdr:oneCellAnchor>
  <xdr:oneCellAnchor>
    <xdr:from>
      <xdr:col>7</xdr:col>
      <xdr:colOff>28575</xdr:colOff>
      <xdr:row>15</xdr:row>
      <xdr:rowOff>66675</xdr:rowOff>
    </xdr:from>
    <xdr:ext cx="962025" cy="219075"/>
    <xdr:sp macro="" textlink="">
      <xdr:nvSpPr>
        <xdr:cNvPr id="29" name="Shape 27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869750" y="3675225"/>
          <a:ext cx="9525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latin typeface="Noto Sans Symbols"/>
              <a:ea typeface="Noto Sans Symbols"/>
              <a:cs typeface="Noto Sans Symbols"/>
              <a:sym typeface="Noto Sans Symbols"/>
            </a:rPr>
            <a:t>δ</a:t>
          </a:r>
          <a:r>
            <a:rPr lang="en-US" sz="1000" i="0" u="none" strike="noStrike">
              <a:latin typeface="Noto Sans Symbols"/>
              <a:ea typeface="Noto Sans Symbols"/>
              <a:cs typeface="Noto Sans Symbols"/>
              <a:sym typeface="Noto Sans Symbols"/>
            </a:rPr>
            <a:t>  = </a:t>
          </a:r>
          <a:r>
            <a:rPr lang="en-US" sz="1000" i="0" u="none" strike="noStrike">
              <a:latin typeface="Arial"/>
              <a:ea typeface="Arial"/>
              <a:cs typeface="Arial"/>
              <a:sym typeface="Arial"/>
            </a:rPr>
            <a:t>elevation angle</a:t>
          </a:r>
          <a:endParaRPr sz="1400"/>
        </a:p>
      </xdr:txBody>
    </xdr:sp>
    <xdr:clientData fLocksWithSheet="0"/>
  </xdr:oneCellAnchor>
  <xdr:oneCellAnchor>
    <xdr:from>
      <xdr:col>6</xdr:col>
      <xdr:colOff>314325</xdr:colOff>
      <xdr:row>15</xdr:row>
      <xdr:rowOff>95250</xdr:rowOff>
    </xdr:from>
    <xdr:ext cx="200025" cy="419100"/>
    <xdr:sp macro="" textlink="">
      <xdr:nvSpPr>
        <xdr:cNvPr id="30" name="Shape 28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4560000">
          <a:off x="5150738" y="3732375"/>
          <a:ext cx="390525" cy="95250"/>
        </a:xfrm>
        <a:prstGeom prst="curvedDownArrow">
          <a:avLst>
            <a:gd name="adj1" fmla="val 25000"/>
            <a:gd name="adj2" fmla="val 50000"/>
            <a:gd name="adj3" fmla="val 25000"/>
          </a:avLst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21</xdr:row>
      <xdr:rowOff>104775</xdr:rowOff>
    </xdr:from>
    <xdr:ext cx="714375" cy="381000"/>
    <xdr:sp macro="" textlink="">
      <xdr:nvSpPr>
        <xdr:cNvPr id="31" name="Shape 29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993575" y="3594263"/>
          <a:ext cx="704850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Arial"/>
              <a:ea typeface="Arial"/>
              <a:cs typeface="Arial"/>
              <a:sym typeface="Arial"/>
            </a:rPr>
            <a:t>Earth Station</a:t>
          </a:r>
          <a:endParaRPr sz="1400"/>
        </a:p>
      </xdr:txBody>
    </xdr:sp>
    <xdr:clientData fLocksWithSheet="0"/>
  </xdr:oneCellAnchor>
  <xdr:oneCellAnchor>
    <xdr:from>
      <xdr:col>7</xdr:col>
      <xdr:colOff>228600</xdr:colOff>
      <xdr:row>12</xdr:row>
      <xdr:rowOff>0</xdr:rowOff>
    </xdr:from>
    <xdr:ext cx="857250" cy="209550"/>
    <xdr:sp macro="" textlink="">
      <xdr:nvSpPr>
        <xdr:cNvPr id="32" name="Shape 3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4922138" y="3679988"/>
          <a:ext cx="84772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latin typeface="Arial"/>
              <a:ea typeface="Arial"/>
              <a:cs typeface="Arial"/>
              <a:sym typeface="Arial"/>
            </a:rPr>
            <a:t>S </a:t>
          </a:r>
          <a:r>
            <a:rPr lang="en-US" sz="1000" i="0" u="none" strike="noStrike">
              <a:latin typeface="Arial"/>
              <a:ea typeface="Arial"/>
              <a:cs typeface="Arial"/>
              <a:sym typeface="Arial"/>
            </a:rPr>
            <a:t>= Slant Range</a:t>
          </a:r>
          <a:endParaRPr sz="1400"/>
        </a:p>
      </xdr:txBody>
    </xdr:sp>
    <xdr:clientData fLocksWithSheet="0"/>
  </xdr:oneCellAnchor>
  <xdr:oneCellAnchor>
    <xdr:from>
      <xdr:col>10</xdr:col>
      <xdr:colOff>28575</xdr:colOff>
      <xdr:row>16</xdr:row>
      <xdr:rowOff>133350</xdr:rowOff>
    </xdr:from>
    <xdr:ext cx="523875" cy="228600"/>
    <xdr:sp macro="" textlink="">
      <xdr:nvSpPr>
        <xdr:cNvPr id="33" name="Shape 3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5088825" y="3670463"/>
          <a:ext cx="51435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latin typeface="Arial"/>
              <a:ea typeface="Arial"/>
              <a:cs typeface="Arial"/>
              <a:sym typeface="Arial"/>
            </a:rPr>
            <a:t>r = h+Re</a:t>
          </a:r>
          <a:endParaRPr sz="1400"/>
        </a:p>
      </xdr:txBody>
    </xdr:sp>
    <xdr:clientData fLocksWithSheet="0"/>
  </xdr:oneCellAnchor>
  <xdr:oneCellAnchor>
    <xdr:from>
      <xdr:col>11</xdr:col>
      <xdr:colOff>361950</xdr:colOff>
      <xdr:row>23</xdr:row>
      <xdr:rowOff>114300</xdr:rowOff>
    </xdr:from>
    <xdr:ext cx="2200275" cy="219075"/>
    <xdr:sp macro="" textlink="">
      <xdr:nvSpPr>
        <xdr:cNvPr id="34" name="Shape 3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245863" y="3675225"/>
          <a:ext cx="22002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latin typeface="Arial"/>
              <a:ea typeface="Arial"/>
              <a:cs typeface="Arial"/>
              <a:sym typeface="Arial"/>
            </a:rPr>
            <a:t>S = Re[{r^2/Re^2 - cos^2(</a:t>
          </a:r>
          <a:r>
            <a:rPr lang="en-US" sz="1000" b="1" i="0" u="none" strike="noStrike">
              <a:latin typeface="Noto Sans Symbols"/>
              <a:ea typeface="Noto Sans Symbols"/>
              <a:cs typeface="Noto Sans Symbols"/>
              <a:sym typeface="Noto Sans Symbols"/>
            </a:rPr>
            <a:t>δ)}</a:t>
          </a:r>
          <a:r>
            <a:rPr lang="en-US" sz="1000" b="1" i="0" u="none" strike="noStrike">
              <a:latin typeface="Arial"/>
              <a:ea typeface="Arial"/>
              <a:cs typeface="Arial"/>
              <a:sym typeface="Arial"/>
            </a:rPr>
            <a:t>^1/2 - sin </a:t>
          </a:r>
          <a:r>
            <a:rPr lang="en-US" sz="1000" b="1" i="0" u="none" strike="noStrike">
              <a:latin typeface="Noto Sans Symbols"/>
              <a:ea typeface="Noto Sans Symbols"/>
              <a:cs typeface="Noto Sans Symbols"/>
              <a:sym typeface="Noto Sans Symbols"/>
            </a:rPr>
            <a:t>δ ]</a:t>
          </a:r>
          <a:endParaRPr sz="1400"/>
        </a:p>
      </xdr:txBody>
    </xdr:sp>
    <xdr:clientData fLocksWithSheet="0"/>
  </xdr:oneCellAnchor>
  <xdr:twoCellAnchor editAs="oneCell">
    <xdr:from>
      <xdr:col>17</xdr:col>
      <xdr:colOff>88900</xdr:colOff>
      <xdr:row>5</xdr:row>
      <xdr:rowOff>38100</xdr:rowOff>
    </xdr:from>
    <xdr:to>
      <xdr:col>32</xdr:col>
      <xdr:colOff>589742</xdr:colOff>
      <xdr:row>29</xdr:row>
      <xdr:rowOff>25400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85872C6-792A-5E1E-E013-03064D1E1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2400" y="1041400"/>
          <a:ext cx="10559242" cy="3746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20</xdr:row>
      <xdr:rowOff>47625</xdr:rowOff>
    </xdr:from>
    <xdr:ext cx="45720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0951891" y="3478730"/>
          <a:ext cx="457200" cy="38100"/>
          <a:chOff x="5117400" y="3780000"/>
          <a:chExt cx="457200" cy="0"/>
        </a:xfrm>
      </xdr:grpSpPr>
      <xdr:cxnSp macro="">
        <xdr:nvCxnSpPr>
          <xdr:cNvPr id="33" name="Shape 33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CxnSpPr/>
        </xdr:nvCxnSpPr>
        <xdr:spPr>
          <a:xfrm rot="10800000">
            <a:off x="5117400" y="3780000"/>
            <a:ext cx="457200" cy="0"/>
          </a:xfrm>
          <a:prstGeom prst="straightConnector1">
            <a:avLst/>
          </a:prstGeom>
          <a:noFill/>
          <a:ln w="9525" cap="flat" cmpd="sng">
            <a:solidFill>
              <a:schemeClr val="hlink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topics/earth-and-planetary-sciences/noise-temperatur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D3" zoomScale="158" workbookViewId="0">
      <selection activeCell="F13" sqref="F13"/>
    </sheetView>
  </sheetViews>
  <sheetFormatPr baseColWidth="10" defaultColWidth="14.3984375" defaultRowHeight="15" customHeight="1"/>
  <cols>
    <col min="1" max="2" width="8" customWidth="1"/>
    <col min="3" max="3" width="7.59765625" customWidth="1"/>
    <col min="4" max="4" width="8" customWidth="1"/>
    <col min="5" max="5" width="16.19921875" customWidth="1"/>
    <col min="6" max="6" width="67.19921875" customWidth="1"/>
    <col min="7" max="8" width="8" customWidth="1"/>
    <col min="9" max="9" width="4.19921875" customWidth="1"/>
    <col min="10" max="26" width="8" customWidth="1"/>
  </cols>
  <sheetData>
    <row r="1" spans="1:13" ht="27" customHeight="1">
      <c r="A1" s="1"/>
      <c r="B1" s="2"/>
      <c r="C1" s="2"/>
      <c r="D1" s="2"/>
      <c r="E1" s="2"/>
      <c r="F1" s="3" t="s">
        <v>0</v>
      </c>
      <c r="G1" s="4" t="s">
        <v>1</v>
      </c>
      <c r="H1" s="5"/>
      <c r="I1" s="6"/>
      <c r="J1" s="6"/>
      <c r="K1" s="6"/>
      <c r="L1" s="6"/>
      <c r="M1" s="5"/>
    </row>
    <row r="2" spans="1:13" ht="26.25" customHeight="1">
      <c r="A2" s="7"/>
      <c r="B2" s="8" t="s">
        <v>2</v>
      </c>
      <c r="C2" s="9"/>
      <c r="D2" s="9"/>
      <c r="E2" s="9"/>
      <c r="F2" s="10" t="s">
        <v>3</v>
      </c>
      <c r="G2" s="11"/>
      <c r="H2" s="12"/>
      <c r="I2" s="12"/>
      <c r="J2" s="12"/>
      <c r="K2" s="12"/>
      <c r="L2" s="12"/>
      <c r="M2" s="12"/>
    </row>
    <row r="3" spans="1:13" ht="26.25" customHeight="1">
      <c r="A3" s="7"/>
      <c r="B3" s="8" t="s">
        <v>4</v>
      </c>
      <c r="C3" s="9"/>
      <c r="D3" s="9"/>
      <c r="E3" s="9"/>
      <c r="F3" s="10" t="s">
        <v>183</v>
      </c>
      <c r="G3" s="11"/>
      <c r="H3" s="12"/>
      <c r="I3" s="12"/>
      <c r="J3" s="12"/>
      <c r="K3" s="12"/>
      <c r="L3" s="12"/>
      <c r="M3" s="12"/>
    </row>
    <row r="4" spans="1:13" ht="12.75" customHeight="1">
      <c r="A4" s="102" t="s">
        <v>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12.75" customHeight="1">
      <c r="A5" s="14"/>
      <c r="B5" s="14"/>
      <c r="C5" s="14"/>
      <c r="D5" s="14"/>
      <c r="E5" s="14"/>
      <c r="F5" s="14"/>
      <c r="G5" s="15" t="s">
        <v>6</v>
      </c>
      <c r="H5" s="15"/>
      <c r="I5" s="16" t="s">
        <v>7</v>
      </c>
      <c r="J5" s="14"/>
      <c r="K5" s="14"/>
      <c r="L5" s="14"/>
      <c r="M5" s="14"/>
    </row>
    <row r="6" spans="1:13" ht="13.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6.5" customHeight="1">
      <c r="A7" s="14"/>
      <c r="B7" s="14"/>
      <c r="C7" s="14"/>
      <c r="D7" s="16" t="s">
        <v>8</v>
      </c>
      <c r="E7" s="14"/>
      <c r="F7" s="17" t="s">
        <v>172</v>
      </c>
      <c r="G7" s="14"/>
      <c r="H7" s="14"/>
      <c r="I7" s="18" t="s">
        <v>9</v>
      </c>
      <c r="J7" s="14"/>
      <c r="K7" s="14"/>
      <c r="L7" s="14"/>
      <c r="M7" s="14"/>
    </row>
    <row r="8" spans="1:13" ht="15.75" customHeight="1">
      <c r="A8" s="14"/>
      <c r="B8" s="14"/>
      <c r="C8" s="14"/>
      <c r="D8" s="14"/>
      <c r="E8" s="14"/>
      <c r="F8" s="19"/>
      <c r="G8" s="14"/>
      <c r="H8" s="14"/>
      <c r="I8" s="14"/>
      <c r="J8" s="14"/>
      <c r="K8" s="14"/>
      <c r="L8" s="14"/>
      <c r="M8" s="14"/>
    </row>
    <row r="9" spans="1:13" ht="16.5" customHeight="1">
      <c r="A9" s="14"/>
      <c r="B9" s="14"/>
      <c r="C9" s="14"/>
      <c r="D9" s="14"/>
      <c r="E9" s="14"/>
      <c r="F9" s="19"/>
      <c r="G9" s="14"/>
      <c r="H9" s="14"/>
      <c r="I9" s="14"/>
      <c r="J9" s="14"/>
      <c r="K9" s="14"/>
      <c r="L9" s="14"/>
      <c r="M9" s="14"/>
    </row>
    <row r="10" spans="1:13" ht="16.5" customHeight="1">
      <c r="A10" s="14"/>
      <c r="B10" s="14"/>
      <c r="C10" s="14"/>
      <c r="D10" s="16" t="s">
        <v>10</v>
      </c>
      <c r="E10" s="14"/>
      <c r="F10" s="17" t="s">
        <v>172</v>
      </c>
      <c r="G10" s="14"/>
      <c r="H10" s="14"/>
      <c r="I10" s="18"/>
      <c r="J10" s="14"/>
      <c r="K10" s="14"/>
      <c r="L10" s="14"/>
      <c r="M10" s="14"/>
    </row>
    <row r="11" spans="1:13" ht="15.75" customHeight="1">
      <c r="A11" s="14"/>
      <c r="B11" s="14"/>
      <c r="C11" s="14"/>
      <c r="D11" s="14"/>
      <c r="E11" s="14"/>
      <c r="F11" s="19"/>
      <c r="G11" s="14"/>
      <c r="H11" s="14"/>
      <c r="I11" s="14"/>
      <c r="J11" s="14"/>
      <c r="K11" s="14"/>
      <c r="L11" s="14"/>
      <c r="M11" s="14"/>
    </row>
    <row r="12" spans="1:13" ht="16.5" customHeight="1">
      <c r="A12" s="14"/>
      <c r="B12" s="14"/>
      <c r="C12" s="14"/>
      <c r="D12" s="14"/>
      <c r="E12" s="14"/>
      <c r="F12" s="19"/>
      <c r="G12" s="14"/>
      <c r="H12" s="14"/>
      <c r="I12" s="14"/>
      <c r="J12" s="14"/>
      <c r="K12" s="14"/>
      <c r="L12" s="14"/>
      <c r="M12" s="14"/>
    </row>
    <row r="13" spans="1:13" ht="16.5" customHeight="1">
      <c r="A13" s="14"/>
      <c r="B13" s="14"/>
      <c r="C13" s="14"/>
      <c r="D13" s="16" t="s">
        <v>11</v>
      </c>
      <c r="E13" s="14"/>
      <c r="F13" s="17" t="s">
        <v>190</v>
      </c>
      <c r="G13" s="14"/>
      <c r="H13" s="14"/>
      <c r="I13" s="14"/>
      <c r="J13" s="14"/>
      <c r="K13" s="14"/>
      <c r="L13" s="14"/>
      <c r="M13" s="14"/>
    </row>
    <row r="14" spans="1:13" ht="15.75" customHeight="1">
      <c r="A14" s="14"/>
      <c r="B14" s="14"/>
      <c r="C14" s="14"/>
      <c r="D14" s="14"/>
      <c r="E14" s="14"/>
      <c r="F14" s="19"/>
      <c r="G14" s="14"/>
      <c r="H14" s="14"/>
      <c r="I14" s="14"/>
      <c r="J14" s="14"/>
      <c r="K14" s="14"/>
      <c r="L14" s="14"/>
      <c r="M14" s="14"/>
    </row>
    <row r="15" spans="1:13" ht="16.5" customHeight="1">
      <c r="A15" s="14"/>
      <c r="B15" s="14"/>
      <c r="C15" s="14"/>
      <c r="D15" s="14"/>
      <c r="E15" s="14"/>
      <c r="F15" s="19"/>
      <c r="G15" s="14"/>
      <c r="H15" s="14"/>
      <c r="I15" s="14"/>
      <c r="J15" s="14"/>
      <c r="K15" s="14"/>
      <c r="L15" s="14"/>
      <c r="M15" s="14"/>
    </row>
    <row r="16" spans="1:13" ht="12.75" customHeight="1">
      <c r="A16" s="14"/>
      <c r="B16" s="14"/>
      <c r="C16" s="14"/>
      <c r="D16" s="16" t="s">
        <v>12</v>
      </c>
      <c r="E16" s="14"/>
      <c r="F16" s="20" t="s">
        <v>184</v>
      </c>
      <c r="G16" s="14"/>
      <c r="H16" s="14"/>
      <c r="I16" s="14"/>
      <c r="J16" s="14"/>
      <c r="K16" s="14"/>
      <c r="L16" s="14"/>
      <c r="M16" s="14"/>
    </row>
    <row r="17" spans="1:13" ht="16.5" customHeight="1">
      <c r="A17" s="14"/>
      <c r="B17" s="14"/>
      <c r="C17" s="14"/>
      <c r="D17" s="16" t="s">
        <v>13</v>
      </c>
      <c r="E17" s="14"/>
      <c r="F17" s="21"/>
      <c r="G17" s="14"/>
      <c r="H17" s="14"/>
      <c r="I17" s="14"/>
      <c r="J17" s="14"/>
      <c r="K17" s="14"/>
      <c r="L17" s="14"/>
      <c r="M17" s="14"/>
    </row>
    <row r="18" spans="1:13" ht="15.75" customHeight="1">
      <c r="A18" s="14"/>
      <c r="B18" s="14"/>
      <c r="C18" s="14"/>
      <c r="D18" s="14"/>
      <c r="E18" s="14"/>
      <c r="F18" s="19"/>
      <c r="G18" s="14"/>
      <c r="H18" s="14"/>
      <c r="I18" s="14"/>
      <c r="J18" s="14"/>
      <c r="K18" s="14"/>
      <c r="L18" s="14"/>
      <c r="M18" s="14"/>
    </row>
    <row r="19" spans="1:13" ht="16.5" customHeight="1">
      <c r="A19" s="14"/>
      <c r="B19" s="14"/>
      <c r="C19" s="14"/>
      <c r="D19" s="14"/>
      <c r="E19" s="14"/>
      <c r="F19" s="19"/>
      <c r="G19" s="14"/>
      <c r="H19" s="14"/>
      <c r="I19" s="14"/>
      <c r="J19" s="14"/>
      <c r="K19" s="14"/>
      <c r="L19" s="14"/>
      <c r="M19" s="14"/>
    </row>
    <row r="20" spans="1:13" ht="16.5" customHeight="1">
      <c r="A20" s="14"/>
      <c r="B20" s="14"/>
      <c r="C20" s="14"/>
      <c r="D20" s="16" t="s">
        <v>14</v>
      </c>
      <c r="E20" s="14"/>
      <c r="F20" s="17" t="s">
        <v>15</v>
      </c>
      <c r="G20" s="14"/>
      <c r="H20" s="14"/>
      <c r="I20" s="18"/>
      <c r="J20" s="14"/>
      <c r="K20" s="14"/>
      <c r="L20" s="14"/>
      <c r="M20" s="14"/>
    </row>
    <row r="21" spans="1:13" ht="15.75" customHeight="1">
      <c r="A21" s="14"/>
      <c r="B21" s="14"/>
      <c r="C21" s="14"/>
      <c r="D21" s="14"/>
      <c r="E21" s="14"/>
      <c r="F21" s="19"/>
      <c r="G21" s="14"/>
      <c r="H21" s="14"/>
      <c r="I21" s="14"/>
      <c r="J21" s="14"/>
      <c r="K21" s="14"/>
      <c r="L21" s="14"/>
      <c r="M21" s="14"/>
    </row>
    <row r="22" spans="1:13" ht="16.5" customHeight="1">
      <c r="A22" s="14"/>
      <c r="B22" s="14"/>
      <c r="C22" s="14"/>
      <c r="D22" s="14"/>
      <c r="E22" s="14"/>
      <c r="F22" s="19"/>
      <c r="G22" s="14"/>
      <c r="H22" s="14"/>
      <c r="I22" s="14"/>
      <c r="J22" s="14"/>
      <c r="K22" s="14"/>
      <c r="L22" s="14"/>
      <c r="M22" s="14"/>
    </row>
    <row r="23" spans="1:13" ht="16.5" customHeight="1">
      <c r="A23" s="14"/>
      <c r="B23" s="14"/>
      <c r="C23" s="14"/>
      <c r="D23" s="16" t="s">
        <v>16</v>
      </c>
      <c r="E23" s="14"/>
      <c r="F23" s="22">
        <v>45609</v>
      </c>
      <c r="G23" s="14" t="s">
        <v>7</v>
      </c>
      <c r="H23" s="14"/>
      <c r="I23" s="14"/>
      <c r="J23" s="14"/>
      <c r="K23" s="14"/>
      <c r="L23" s="14"/>
      <c r="M23" s="14"/>
    </row>
    <row r="24" spans="1:13" ht="12.75" customHeight="1">
      <c r="A24" s="14"/>
      <c r="B24" s="14"/>
      <c r="C24" s="14"/>
      <c r="D24" s="14"/>
      <c r="E24" s="14"/>
      <c r="F24" s="23"/>
      <c r="G24" s="14"/>
      <c r="H24" s="14"/>
      <c r="I24" s="14"/>
      <c r="J24" s="14"/>
      <c r="K24" s="14"/>
      <c r="L24" s="14"/>
      <c r="M24" s="14"/>
    </row>
    <row r="25" spans="1:13" ht="13.5" customHeight="1">
      <c r="A25" s="14"/>
      <c r="B25" s="14"/>
      <c r="C25" s="14"/>
      <c r="D25" s="14"/>
      <c r="E25" s="14"/>
      <c r="F25" s="23"/>
      <c r="G25" s="14"/>
      <c r="H25" s="14"/>
      <c r="I25" s="14"/>
      <c r="J25" s="14"/>
      <c r="K25" s="14"/>
      <c r="L25" s="14"/>
      <c r="M25" s="14"/>
    </row>
    <row r="26" spans="1:13" ht="16.5" customHeight="1">
      <c r="A26" s="14"/>
      <c r="B26" s="14"/>
      <c r="C26" s="14"/>
      <c r="D26" s="16" t="s">
        <v>17</v>
      </c>
      <c r="E26" s="14"/>
      <c r="F26" s="22">
        <v>44103</v>
      </c>
      <c r="G26" s="14"/>
      <c r="H26" s="14"/>
      <c r="I26" s="14"/>
      <c r="J26" s="14"/>
      <c r="K26" s="14"/>
      <c r="L26" s="14"/>
      <c r="M26" s="14"/>
    </row>
    <row r="27" spans="1:13" ht="12.75" customHeight="1">
      <c r="A27" s="14"/>
      <c r="B27" s="14"/>
      <c r="C27" s="14"/>
      <c r="D27" s="16" t="s">
        <v>18</v>
      </c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2.75" customHeight="1"/>
    <row r="52" spans="1:13" ht="12.75" customHeight="1"/>
    <row r="53" spans="1:13" ht="12.75" customHeight="1">
      <c r="K53" s="24" t="s">
        <v>7</v>
      </c>
    </row>
    <row r="54" spans="1:13" ht="12.75" customHeight="1"/>
    <row r="55" spans="1:13" ht="12.75" customHeight="1"/>
    <row r="56" spans="1:13" ht="12.75" customHeight="1"/>
    <row r="57" spans="1:13" ht="12.75" customHeight="1"/>
    <row r="58" spans="1:13" ht="12.75" customHeight="1"/>
    <row r="59" spans="1:13" ht="12.75" customHeight="1"/>
    <row r="60" spans="1:13" ht="12.75" customHeight="1"/>
    <row r="61" spans="1:13" ht="12.75" customHeight="1"/>
    <row r="62" spans="1:13" ht="12.75" customHeight="1"/>
    <row r="63" spans="1:13" ht="12.75" customHeight="1"/>
    <row r="64" spans="1:1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A5" zoomScale="175" workbookViewId="0">
      <selection activeCell="B26" sqref="B26"/>
    </sheetView>
  </sheetViews>
  <sheetFormatPr baseColWidth="10" defaultColWidth="14.3984375" defaultRowHeight="15" customHeight="1"/>
  <cols>
    <col min="1" max="1" width="26.19921875" customWidth="1"/>
    <col min="2" max="2" width="14.796875" customWidth="1"/>
    <col min="3" max="26" width="8" customWidth="1"/>
  </cols>
  <sheetData>
    <row r="1" spans="1:18" ht="24" customHeight="1">
      <c r="A1" s="25" t="s">
        <v>19</v>
      </c>
      <c r="B1" s="26"/>
      <c r="C1" s="26"/>
      <c r="D1" s="26"/>
      <c r="E1" s="27" t="str">
        <f>'Title Page'!F7</f>
        <v>Bogdan Bunea</v>
      </c>
      <c r="F1" s="26"/>
      <c r="G1" s="27" t="s">
        <v>7</v>
      </c>
      <c r="H1" s="26"/>
      <c r="I1" s="28">
        <f>'Title Page'!F23</f>
        <v>45609</v>
      </c>
      <c r="J1" s="27"/>
      <c r="K1" s="27" t="str">
        <f>'Title Page'!G1</f>
        <v xml:space="preserve">  Version: 1.0</v>
      </c>
      <c r="L1" s="27"/>
      <c r="M1" s="26"/>
      <c r="N1" s="26"/>
      <c r="O1" s="26"/>
      <c r="P1" s="26"/>
      <c r="Q1" s="29"/>
    </row>
    <row r="2" spans="1:18" ht="18.75" customHeight="1">
      <c r="A2" s="30" t="str">
        <f>'Title Page'!F3</f>
        <v>GW-Rocket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8" ht="13.5" customHeight="1">
      <c r="A3" s="14"/>
      <c r="B3" s="14"/>
      <c r="C3" s="14"/>
      <c r="D3" s="31" t="s">
        <v>20</v>
      </c>
      <c r="E3" s="14" t="s">
        <v>21</v>
      </c>
      <c r="F3" s="14"/>
      <c r="G3" s="14"/>
      <c r="H3" s="14"/>
      <c r="I3" s="32" t="s">
        <v>22</v>
      </c>
      <c r="J3" s="33" t="s">
        <v>23</v>
      </c>
      <c r="K3" s="14"/>
      <c r="L3" s="16" t="s">
        <v>24</v>
      </c>
      <c r="M3" s="14"/>
      <c r="N3" s="14"/>
      <c r="O3" s="14"/>
      <c r="P3" s="14"/>
      <c r="Q3" s="14"/>
      <c r="R3" s="14"/>
    </row>
    <row r="4" spans="1:18" ht="12.75" customHeight="1">
      <c r="A4" s="14" t="s">
        <v>25</v>
      </c>
      <c r="B4" s="34" t="s">
        <v>26</v>
      </c>
      <c r="C4" s="14"/>
      <c r="D4" s="35" t="s">
        <v>27</v>
      </c>
      <c r="E4" s="14" t="s">
        <v>28</v>
      </c>
      <c r="F4" s="14"/>
      <c r="G4" s="14"/>
      <c r="H4" s="14"/>
      <c r="I4" s="36" t="s">
        <v>29</v>
      </c>
      <c r="J4" s="33" t="s">
        <v>30</v>
      </c>
      <c r="K4" s="14"/>
      <c r="L4" s="14"/>
      <c r="M4" s="14"/>
      <c r="N4" s="14"/>
      <c r="O4" s="14"/>
      <c r="P4" s="14"/>
      <c r="Q4" s="14"/>
      <c r="R4" s="14"/>
    </row>
    <row r="5" spans="1:18" ht="12.75" customHeight="1">
      <c r="A5" s="14"/>
      <c r="B5" s="14"/>
      <c r="C5" s="14"/>
      <c r="D5" s="37"/>
      <c r="E5" s="14"/>
      <c r="F5" s="14"/>
      <c r="G5" s="14"/>
      <c r="H5" s="14"/>
      <c r="I5" s="14"/>
      <c r="J5" s="33"/>
      <c r="K5" s="14"/>
      <c r="L5" s="14"/>
      <c r="M5" s="14"/>
      <c r="N5" s="14"/>
      <c r="O5" s="14"/>
      <c r="P5" s="14"/>
      <c r="Q5" s="14"/>
      <c r="R5" s="14"/>
    </row>
    <row r="6" spans="1:18" ht="18" customHeight="1">
      <c r="A6" s="38" t="s">
        <v>31</v>
      </c>
      <c r="B6" s="39"/>
      <c r="C6" s="39"/>
      <c r="Q6" s="14"/>
    </row>
    <row r="7" spans="1:18" ht="12.75" customHeight="1">
      <c r="A7" s="16" t="s">
        <v>32</v>
      </c>
      <c r="B7" s="16"/>
      <c r="C7" s="16"/>
      <c r="Q7" s="14"/>
    </row>
    <row r="8" spans="1:18" ht="12.75" customHeight="1">
      <c r="A8" s="40" t="s">
        <v>33</v>
      </c>
      <c r="B8" s="41" t="s">
        <v>34</v>
      </c>
      <c r="C8" s="42" t="s">
        <v>35</v>
      </c>
      <c r="Q8" s="14"/>
    </row>
    <row r="9" spans="1:18" ht="12.75" customHeight="1">
      <c r="A9" s="43" t="s">
        <v>36</v>
      </c>
      <c r="B9" s="44">
        <v>6378.1660000000002</v>
      </c>
      <c r="C9" s="43" t="s">
        <v>37</v>
      </c>
      <c r="Q9" s="14"/>
    </row>
    <row r="10" spans="1:18" ht="12.75" customHeight="1">
      <c r="A10" s="43" t="s">
        <v>38</v>
      </c>
      <c r="B10" s="45">
        <v>10</v>
      </c>
      <c r="C10" s="43" t="s">
        <v>37</v>
      </c>
      <c r="Q10" s="14"/>
    </row>
    <row r="11" spans="1:18" ht="12.75" customHeight="1">
      <c r="A11" s="43" t="s">
        <v>39</v>
      </c>
      <c r="B11" s="46">
        <v>0</v>
      </c>
      <c r="C11" s="43" t="s">
        <v>37</v>
      </c>
      <c r="Q11" s="14"/>
    </row>
    <row r="12" spans="1:18" ht="12.75" customHeight="1">
      <c r="A12" s="14" t="s">
        <v>40</v>
      </c>
      <c r="B12" s="44">
        <f>(B10+B11+2*B9)/2</f>
        <v>6383.1660000000002</v>
      </c>
      <c r="C12" s="14" t="s">
        <v>37</v>
      </c>
      <c r="Q12" s="14"/>
    </row>
    <row r="13" spans="1:18" ht="12.75" customHeight="1">
      <c r="A13" s="14" t="s">
        <v>41</v>
      </c>
      <c r="B13" s="47">
        <f>((B10+B9)-(B11+B9))/((B10+B9)+(B11+B9))</f>
        <v>7.833103510076348E-4</v>
      </c>
      <c r="C13" s="14"/>
      <c r="Q13" s="14"/>
    </row>
    <row r="14" spans="1:18" ht="12.75" customHeight="1">
      <c r="A14" s="14" t="s">
        <v>42</v>
      </c>
      <c r="B14" s="48">
        <v>51.6</v>
      </c>
      <c r="C14" s="14" t="s">
        <v>43</v>
      </c>
      <c r="Q14" s="14"/>
    </row>
    <row r="15" spans="1:18" ht="12.75" customHeight="1">
      <c r="A15" s="14" t="s">
        <v>44</v>
      </c>
      <c r="B15" s="49">
        <v>78.69</v>
      </c>
      <c r="C15" s="14" t="s">
        <v>43</v>
      </c>
      <c r="Q15" s="14"/>
    </row>
    <row r="16" spans="1:18" ht="12.75" customHeight="1">
      <c r="A16" s="14" t="s">
        <v>45</v>
      </c>
      <c r="B16" s="50">
        <v>180</v>
      </c>
      <c r="C16" s="14" t="s">
        <v>43</v>
      </c>
      <c r="Q16" s="14"/>
    </row>
    <row r="17" spans="1:17" ht="12.75" customHeight="1">
      <c r="A17" s="14" t="s">
        <v>46</v>
      </c>
      <c r="B17" s="51">
        <v>173</v>
      </c>
      <c r="C17" s="14" t="s">
        <v>43</v>
      </c>
      <c r="Q17" s="14"/>
    </row>
    <row r="18" spans="1:17" ht="12.75" customHeight="1">
      <c r="A18" s="14" t="s">
        <v>47</v>
      </c>
      <c r="B18" s="52">
        <f>84.4892*((B12/B9)^1.5)</f>
        <v>84.588569187150043</v>
      </c>
      <c r="C18" s="14" t="s">
        <v>48</v>
      </c>
      <c r="Q18" s="14"/>
    </row>
    <row r="19" spans="1:17" ht="12.75" customHeight="1">
      <c r="A19" s="14" t="s">
        <v>49</v>
      </c>
      <c r="B19" s="53">
        <f>19.919482*((B9/B12)^3.5)*(1-1.25*((SIN(B14/57.29578))^2))/((1-B13^2)^2)</f>
        <v>4.6142445322594501</v>
      </c>
      <c r="C19" s="14" t="s">
        <v>50</v>
      </c>
      <c r="Q19" s="14"/>
    </row>
    <row r="20" spans="1:17" ht="12.75" customHeight="1">
      <c r="A20" s="14" t="s">
        <v>51</v>
      </c>
      <c r="B20" s="53">
        <f>(-9.9597408/(1-B13^2)^2)*((B9/B12)^3.5)*COS(B14/57.29578)</f>
        <v>-6.1695343775936839</v>
      </c>
      <c r="C20" s="14" t="s">
        <v>50</v>
      </c>
      <c r="Q20" s="14"/>
    </row>
    <row r="21" spans="1:17" ht="12.75" customHeight="1">
      <c r="A21" s="14" t="s">
        <v>52</v>
      </c>
      <c r="B21" s="54" t="s">
        <v>53</v>
      </c>
      <c r="C21" s="14" t="s">
        <v>50</v>
      </c>
      <c r="Q21" s="14"/>
    </row>
    <row r="22" spans="1:17" ht="12.75" customHeight="1">
      <c r="A22" s="14" t="s">
        <v>54</v>
      </c>
      <c r="B22" s="55">
        <f>(B10+B11)/2</f>
        <v>5</v>
      </c>
      <c r="C22" s="14" t="s">
        <v>37</v>
      </c>
      <c r="Q22" s="14"/>
    </row>
    <row r="23" spans="1:17" ht="12.75" customHeight="1">
      <c r="A23" s="14" t="s">
        <v>55</v>
      </c>
      <c r="B23" s="44">
        <f>B22+B9</f>
        <v>6383.1660000000002</v>
      </c>
      <c r="C23" s="14" t="s">
        <v>37</v>
      </c>
      <c r="Q23" s="14"/>
    </row>
    <row r="24" spans="1:17" ht="12.75" customHeight="1">
      <c r="A24" s="14" t="s">
        <v>56</v>
      </c>
      <c r="B24" s="55">
        <f>57.2958*ACOS((0.98561)/(-9.95974/(((1-B13^2)^2))*(B9/B12)^3.5))</f>
        <v>95.694928214446549</v>
      </c>
      <c r="C24" s="14" t="s">
        <v>43</v>
      </c>
      <c r="Q24" s="14"/>
    </row>
    <row r="25" spans="1:17" ht="12.75" customHeight="1">
      <c r="A25" s="14" t="s">
        <v>57</v>
      </c>
      <c r="B25" s="56">
        <v>15</v>
      </c>
      <c r="C25" s="14" t="s">
        <v>43</v>
      </c>
      <c r="Q25" s="14"/>
    </row>
    <row r="26" spans="1:17" ht="13.5" customHeight="1">
      <c r="A26" s="14"/>
      <c r="B26" s="57"/>
      <c r="C26" s="14"/>
      <c r="Q26" s="14"/>
    </row>
    <row r="27" spans="1:17" ht="13.5" customHeight="1">
      <c r="A27" s="14" t="s">
        <v>58</v>
      </c>
      <c r="B27" s="58">
        <f>B9*((((B23^2/B9^2)-(COS(B25/57.2958))^2)^0.5)-SIN(B25/57.2958))</f>
        <v>19.214273715296301</v>
      </c>
      <c r="C27" s="14" t="s">
        <v>59</v>
      </c>
      <c r="Q27" s="14"/>
    </row>
    <row r="28" spans="1:17" ht="12.75" customHeight="1">
      <c r="A28" s="14"/>
      <c r="B28" s="57"/>
      <c r="C28" s="14"/>
      <c r="Q28" s="14"/>
    </row>
    <row r="29" spans="1:17" ht="12.75" customHeight="1">
      <c r="A29" s="59" t="s">
        <v>7</v>
      </c>
      <c r="B29" s="59" t="s">
        <v>7</v>
      </c>
      <c r="C29" s="59" t="s">
        <v>7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</row>
    <row r="30" spans="1:17" ht="12.75" customHeight="1">
      <c r="A30" s="14" t="s">
        <v>7</v>
      </c>
      <c r="B30" s="60" t="s">
        <v>60</v>
      </c>
      <c r="C30" s="14"/>
      <c r="D30" s="60" t="s">
        <v>61</v>
      </c>
      <c r="E30" s="14"/>
      <c r="F30" s="14"/>
      <c r="G30" s="60" t="s">
        <v>62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 ht="12.75" customHeight="1">
      <c r="A31" s="60" t="s">
        <v>63</v>
      </c>
      <c r="B31" s="46">
        <v>915</v>
      </c>
      <c r="C31" s="14" t="s">
        <v>64</v>
      </c>
      <c r="D31" s="52">
        <f>299.8/B31</f>
        <v>0.32765027322404372</v>
      </c>
      <c r="E31" s="14" t="s">
        <v>65</v>
      </c>
      <c r="F31" s="14"/>
      <c r="G31" s="61">
        <f>22+20*LOG10((B27*1000)/D31)</f>
        <v>117.36426877337746</v>
      </c>
      <c r="H31" s="14" t="s">
        <v>66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ht="12.75" customHeight="1">
      <c r="A32" s="14"/>
      <c r="B32" s="14" t="s">
        <v>7</v>
      </c>
      <c r="C32" s="14"/>
      <c r="D32" s="14"/>
      <c r="E32" s="14"/>
      <c r="F32" s="14"/>
      <c r="G32" s="14"/>
      <c r="H32" s="14"/>
      <c r="I32" s="103" t="s">
        <v>167</v>
      </c>
      <c r="J32" s="14"/>
      <c r="K32" s="14"/>
      <c r="L32" s="14"/>
      <c r="M32" s="14"/>
      <c r="N32" s="14"/>
      <c r="O32" s="14"/>
      <c r="P32" s="14"/>
      <c r="Q32" s="14"/>
    </row>
    <row r="33" spans="1:17" ht="12.75" customHeight="1">
      <c r="A33" s="60" t="s">
        <v>67</v>
      </c>
      <c r="B33" s="46">
        <v>915</v>
      </c>
      <c r="C33" s="14" t="s">
        <v>64</v>
      </c>
      <c r="D33" s="52">
        <f>299.8/B33</f>
        <v>0.32765027322404372</v>
      </c>
      <c r="E33" s="14" t="s">
        <v>65</v>
      </c>
      <c r="F33" s="14"/>
      <c r="G33" s="61">
        <f>22+20*LOG10((B27*1000)/D33)</f>
        <v>117.36426877337746</v>
      </c>
      <c r="H33" s="14" t="s">
        <v>66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ht="12.75" customHeight="1"/>
    <row r="41" spans="1:17" ht="12.75" customHeight="1"/>
    <row r="42" spans="1:17" ht="12.75" customHeight="1"/>
    <row r="43" spans="1:17" ht="12.75" customHeight="1"/>
    <row r="44" spans="1:17" ht="12.75" customHeight="1"/>
    <row r="45" spans="1:17" ht="12.75" customHeight="1"/>
    <row r="46" spans="1:17" ht="12.75" customHeight="1"/>
    <row r="47" spans="1:17" ht="12.75" customHeight="1"/>
    <row r="48" spans="1:1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tabSelected="1" zoomScale="187" workbookViewId="0">
      <selection activeCell="E24" sqref="E24"/>
    </sheetView>
  </sheetViews>
  <sheetFormatPr baseColWidth="10" defaultColWidth="14.3984375" defaultRowHeight="15" customHeight="1"/>
  <cols>
    <col min="1" max="1" width="39.3984375" customWidth="1"/>
    <col min="2" max="2" width="9.3984375" customWidth="1"/>
    <col min="3" max="3" width="8" customWidth="1"/>
    <col min="4" max="4" width="61.3984375" customWidth="1"/>
    <col min="5" max="5" width="8" customWidth="1"/>
    <col min="6" max="6" width="29.19921875" customWidth="1"/>
    <col min="7" max="8" width="8" customWidth="1"/>
    <col min="9" max="9" width="37.59765625" customWidth="1"/>
    <col min="10" max="26" width="8" customWidth="1"/>
  </cols>
  <sheetData>
    <row r="1" spans="1:18" ht="18" customHeight="1">
      <c r="A1" s="62" t="str">
        <f>'Title Page'!F3</f>
        <v>GW-Rocket</v>
      </c>
      <c r="B1" s="12"/>
      <c r="C1" s="12"/>
      <c r="D1" s="63" t="str">
        <f>'Title Page'!F7</f>
        <v>Bogdan Bunea</v>
      </c>
      <c r="E1" s="63" t="s">
        <v>7</v>
      </c>
      <c r="F1" s="63" t="str">
        <f>'Title Page'!D23</f>
        <v>Date Data Last Modified:</v>
      </c>
      <c r="G1" s="63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20.25" customHeight="1">
      <c r="A2" s="8" t="s">
        <v>68</v>
      </c>
      <c r="B2" s="12"/>
      <c r="C2" s="12"/>
      <c r="D2" s="63" t="str">
        <f>'Title Page'!G1</f>
        <v xml:space="preserve">  Version: 1.0</v>
      </c>
      <c r="E2" s="63"/>
      <c r="F2" s="64">
        <f>'Title Page'!F23</f>
        <v>45609</v>
      </c>
      <c r="G2" s="6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2.75" customHeight="1">
      <c r="A3" s="12"/>
      <c r="B3" s="12"/>
      <c r="C3" s="12"/>
      <c r="D3" s="63"/>
      <c r="E3" s="63"/>
      <c r="F3" s="63"/>
      <c r="G3" s="6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ht="12.75" customHeight="1">
      <c r="A4" s="59" t="s">
        <v>33</v>
      </c>
      <c r="B4" s="59" t="s">
        <v>34</v>
      </c>
      <c r="C4" s="59" t="s">
        <v>69</v>
      </c>
      <c r="D4" s="59" t="s">
        <v>70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ht="12.75" customHeight="1" thickBot="1">
      <c r="A5" s="66" t="s">
        <v>182</v>
      </c>
      <c r="B5" s="67"/>
      <c r="C5" s="67"/>
      <c r="D5" s="68" t="s">
        <v>72</v>
      </c>
      <c r="E5" s="68" t="s">
        <v>73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 ht="12.75" customHeight="1">
      <c r="A6" s="24" t="s">
        <v>74</v>
      </c>
      <c r="B6" s="69">
        <v>1</v>
      </c>
      <c r="C6" s="24" t="s">
        <v>75</v>
      </c>
      <c r="D6" s="24" t="s">
        <v>180</v>
      </c>
      <c r="E6" s="110"/>
      <c r="F6" s="24" t="s">
        <v>7</v>
      </c>
      <c r="G6" s="112"/>
      <c r="H6" s="113" t="s">
        <v>185</v>
      </c>
    </row>
    <row r="7" spans="1:18" ht="12.75" customHeight="1">
      <c r="A7" s="71" t="s">
        <v>76</v>
      </c>
      <c r="B7" s="72">
        <f>10*LOG10(B6)</f>
        <v>0</v>
      </c>
      <c r="C7" s="24" t="s">
        <v>77</v>
      </c>
      <c r="G7" s="114"/>
      <c r="H7" s="115" t="s">
        <v>186</v>
      </c>
    </row>
    <row r="8" spans="1:18" ht="12.75" customHeight="1" thickBot="1">
      <c r="A8" s="71" t="s">
        <v>78</v>
      </c>
      <c r="B8" s="72">
        <f>B7+30</f>
        <v>30</v>
      </c>
      <c r="C8" s="24" t="s">
        <v>79</v>
      </c>
      <c r="G8" s="116"/>
      <c r="H8" s="117" t="s">
        <v>187</v>
      </c>
    </row>
    <row r="9" spans="1:18" ht="12.75" customHeight="1">
      <c r="A9" s="24" t="s">
        <v>80</v>
      </c>
      <c r="B9" s="73">
        <v>0</v>
      </c>
      <c r="C9" s="24" t="s">
        <v>66</v>
      </c>
      <c r="D9" s="24" t="s">
        <v>179</v>
      </c>
      <c r="E9" s="104"/>
    </row>
    <row r="10" spans="1:18" ht="12.75" customHeight="1">
      <c r="A10" s="24" t="s">
        <v>81</v>
      </c>
      <c r="B10" s="73">
        <v>0</v>
      </c>
      <c r="C10" s="24" t="s">
        <v>66</v>
      </c>
      <c r="D10" s="24" t="s">
        <v>179</v>
      </c>
      <c r="E10" s="104"/>
      <c r="F10" s="105"/>
    </row>
    <row r="11" spans="1:18" ht="12.75" customHeight="1">
      <c r="A11" s="24" t="s">
        <v>82</v>
      </c>
      <c r="B11" s="69">
        <v>1</v>
      </c>
      <c r="C11" s="24" t="s">
        <v>83</v>
      </c>
      <c r="D11" s="24" t="s">
        <v>188</v>
      </c>
      <c r="E11" s="110"/>
    </row>
    <row r="12" spans="1:18" ht="12.75" customHeight="1">
      <c r="A12" s="24" t="s">
        <v>84</v>
      </c>
      <c r="B12" s="74">
        <f>B7+B9-B10+B11</f>
        <v>1</v>
      </c>
      <c r="C12" s="24" t="s">
        <v>77</v>
      </c>
      <c r="D12" s="24" t="s">
        <v>85</v>
      </c>
    </row>
    <row r="13" spans="1:18" ht="12.75" customHeight="1">
      <c r="A13" s="66" t="s">
        <v>86</v>
      </c>
      <c r="B13" s="75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</row>
    <row r="14" spans="1:18" ht="12.75" customHeight="1">
      <c r="A14" s="24" t="s">
        <v>181</v>
      </c>
      <c r="B14" s="73">
        <v>-10</v>
      </c>
      <c r="C14" s="24" t="s">
        <v>66</v>
      </c>
      <c r="D14" s="24" t="s">
        <v>191</v>
      </c>
      <c r="E14" s="118"/>
    </row>
    <row r="15" spans="1:18" ht="12.75" customHeight="1">
      <c r="A15" s="24" t="s">
        <v>89</v>
      </c>
      <c r="B15" s="73">
        <v>0</v>
      </c>
      <c r="C15" s="24" t="s">
        <v>66</v>
      </c>
      <c r="D15" s="24" t="s">
        <v>189</v>
      </c>
      <c r="E15" s="118"/>
      <c r="F15" s="24"/>
    </row>
    <row r="16" spans="1:18" ht="12.75" customHeight="1">
      <c r="A16" s="24" t="s">
        <v>62</v>
      </c>
      <c r="B16" s="72">
        <f>-'Orbit Performance'!G33</f>
        <v>-117.36426877337746</v>
      </c>
      <c r="C16" s="24" t="s">
        <v>66</v>
      </c>
    </row>
    <row r="17" spans="1:18" ht="12.75" customHeight="1">
      <c r="A17" s="24" t="s">
        <v>90</v>
      </c>
      <c r="B17" s="76">
        <v>0</v>
      </c>
      <c r="C17" s="24" t="s">
        <v>66</v>
      </c>
      <c r="D17" s="24" t="s">
        <v>91</v>
      </c>
      <c r="E17" s="110"/>
    </row>
    <row r="18" spans="1:18" ht="12.75" customHeight="1">
      <c r="A18" s="24" t="s">
        <v>92</v>
      </c>
      <c r="B18" s="73">
        <v>0</v>
      </c>
      <c r="C18" s="24" t="s">
        <v>66</v>
      </c>
      <c r="D18" s="77" t="s">
        <v>91</v>
      </c>
      <c r="E18" s="110"/>
    </row>
    <row r="19" spans="1:18" ht="12.75" customHeight="1">
      <c r="A19" s="24" t="s">
        <v>93</v>
      </c>
      <c r="B19" s="73">
        <v>0</v>
      </c>
      <c r="C19" s="24" t="s">
        <v>66</v>
      </c>
      <c r="D19" s="77" t="s">
        <v>91</v>
      </c>
      <c r="E19" s="110"/>
    </row>
    <row r="20" spans="1:18" ht="12.75" customHeight="1">
      <c r="A20" s="24" t="s">
        <v>94</v>
      </c>
      <c r="B20" s="74">
        <f>B12+SUM(B14:B19)</f>
        <v>-126.36426877337746</v>
      </c>
      <c r="C20" s="24" t="s">
        <v>77</v>
      </c>
    </row>
    <row r="21" spans="1:18" ht="12.75" customHeight="1">
      <c r="A21" s="66" t="s">
        <v>95</v>
      </c>
      <c r="B21" s="67"/>
      <c r="C21" s="67"/>
      <c r="D21" s="67"/>
      <c r="E21" s="67"/>
      <c r="F21" s="67"/>
      <c r="G21" s="67"/>
      <c r="H21" s="67"/>
      <c r="I21" s="78" t="s">
        <v>96</v>
      </c>
      <c r="J21" s="79"/>
      <c r="K21" s="79"/>
      <c r="L21" s="79"/>
      <c r="M21" s="79"/>
      <c r="N21" s="67"/>
      <c r="O21" s="67"/>
      <c r="P21" s="67"/>
      <c r="Q21" s="67"/>
      <c r="R21" s="67"/>
    </row>
    <row r="22" spans="1:18" ht="12.75" customHeight="1">
      <c r="A22" s="80" t="s">
        <v>97</v>
      </c>
      <c r="B22" s="67"/>
      <c r="C22" s="67"/>
      <c r="D22" s="67"/>
      <c r="E22" s="67"/>
      <c r="F22" s="67"/>
      <c r="G22" s="67"/>
      <c r="H22" s="67"/>
      <c r="I22" s="78" t="s">
        <v>98</v>
      </c>
      <c r="J22" s="79"/>
      <c r="K22" s="79"/>
      <c r="L22" s="79"/>
      <c r="M22" s="79"/>
      <c r="N22" s="67"/>
      <c r="O22" s="67"/>
      <c r="P22" s="67"/>
      <c r="Q22" s="67"/>
      <c r="R22" s="67"/>
    </row>
    <row r="23" spans="1:18" ht="12.75" customHeight="1">
      <c r="A23" s="81" t="s">
        <v>99</v>
      </c>
      <c r="B23" s="73">
        <v>-10</v>
      </c>
      <c r="C23" s="24" t="s">
        <v>66</v>
      </c>
      <c r="D23" s="24" t="s">
        <v>191</v>
      </c>
      <c r="E23" s="118"/>
      <c r="F23" s="105"/>
      <c r="I23" s="24" t="s">
        <v>99</v>
      </c>
      <c r="J23" s="72">
        <f t="shared" ref="J23:J31" si="0">B23</f>
        <v>-10</v>
      </c>
      <c r="K23" s="24" t="s">
        <v>66</v>
      </c>
    </row>
    <row r="24" spans="1:18" ht="12.75" customHeight="1">
      <c r="A24" s="24" t="s">
        <v>100</v>
      </c>
      <c r="B24" s="82">
        <v>1</v>
      </c>
      <c r="C24" s="24" t="s">
        <v>83</v>
      </c>
      <c r="D24" s="24"/>
      <c r="E24" s="110"/>
      <c r="I24" s="24" t="s">
        <v>100</v>
      </c>
      <c r="J24" s="72">
        <f t="shared" si="0"/>
        <v>1</v>
      </c>
      <c r="K24" s="24" t="s">
        <v>83</v>
      </c>
    </row>
    <row r="25" spans="1:18" ht="12.75" customHeight="1">
      <c r="A25" s="24" t="s">
        <v>102</v>
      </c>
      <c r="B25" s="76">
        <v>0</v>
      </c>
      <c r="C25" s="24" t="s">
        <v>66</v>
      </c>
      <c r="D25" s="24" t="s">
        <v>179</v>
      </c>
      <c r="E25" s="104" t="s">
        <v>7</v>
      </c>
      <c r="F25" s="24"/>
      <c r="I25" s="24" t="s">
        <v>102</v>
      </c>
      <c r="J25" s="24">
        <f t="shared" si="0"/>
        <v>0</v>
      </c>
      <c r="K25" s="24" t="s">
        <v>66</v>
      </c>
    </row>
    <row r="26" spans="1:18" ht="12.75" customHeight="1">
      <c r="A26" s="24" t="s">
        <v>103</v>
      </c>
      <c r="B26" s="76">
        <v>300</v>
      </c>
      <c r="C26" s="24" t="s">
        <v>104</v>
      </c>
      <c r="D26" s="24"/>
      <c r="E26" s="106"/>
      <c r="F26" s="24"/>
      <c r="I26" s="24" t="s">
        <v>103</v>
      </c>
      <c r="J26" s="24">
        <f t="shared" si="0"/>
        <v>300</v>
      </c>
      <c r="K26" s="24" t="s">
        <v>104</v>
      </c>
    </row>
    <row r="27" spans="1:18" ht="12.75" customHeight="1">
      <c r="A27" s="24" t="s">
        <v>105</v>
      </c>
      <c r="B27" s="24">
        <v>500</v>
      </c>
      <c r="C27" s="24" t="s">
        <v>104</v>
      </c>
      <c r="D27" s="24"/>
      <c r="F27" s="105"/>
      <c r="I27" s="24" t="s">
        <v>105</v>
      </c>
      <c r="J27" s="24">
        <f t="shared" si="0"/>
        <v>500</v>
      </c>
      <c r="K27" s="24" t="s">
        <v>104</v>
      </c>
    </row>
    <row r="28" spans="1:18" ht="12.75" customHeight="1">
      <c r="A28" s="24" t="s">
        <v>106</v>
      </c>
      <c r="B28" s="76">
        <v>290</v>
      </c>
      <c r="C28" s="24" t="s">
        <v>104</v>
      </c>
      <c r="D28" s="83" t="s">
        <v>88</v>
      </c>
      <c r="E28" s="104"/>
      <c r="F28" s="105" t="s">
        <v>169</v>
      </c>
      <c r="I28" s="24" t="s">
        <v>106</v>
      </c>
      <c r="J28" s="24">
        <f t="shared" si="0"/>
        <v>290</v>
      </c>
      <c r="K28" s="24" t="s">
        <v>104</v>
      </c>
    </row>
    <row r="29" spans="1:18" ht="12" customHeight="1">
      <c r="A29" s="24" t="s">
        <v>107</v>
      </c>
      <c r="B29" s="84">
        <f>POWER(10,(B25)/10)</f>
        <v>1</v>
      </c>
      <c r="I29" s="24" t="s">
        <v>107</v>
      </c>
      <c r="J29" s="84">
        <f t="shared" si="0"/>
        <v>1</v>
      </c>
    </row>
    <row r="30" spans="1:18" ht="44" customHeight="1">
      <c r="A30" s="24" t="s">
        <v>108</v>
      </c>
      <c r="B30" s="85">
        <v>500</v>
      </c>
      <c r="C30" s="24" t="s">
        <v>104</v>
      </c>
      <c r="D30" s="105"/>
      <c r="E30" s="107"/>
      <c r="F30" s="109" t="s">
        <v>174</v>
      </c>
      <c r="I30" s="24" t="s">
        <v>108</v>
      </c>
      <c r="J30" s="85">
        <f t="shared" si="0"/>
        <v>500</v>
      </c>
      <c r="K30" s="24" t="s">
        <v>104</v>
      </c>
    </row>
    <row r="31" spans="1:18" ht="12.75" customHeight="1">
      <c r="A31" s="24" t="s">
        <v>109</v>
      </c>
      <c r="B31" s="72">
        <f>B24+B25-10*LOG10(B30)</f>
        <v>-25.989700043360187</v>
      </c>
      <c r="C31" s="24" t="s">
        <v>110</v>
      </c>
      <c r="I31" s="24" t="s">
        <v>109</v>
      </c>
      <c r="J31" s="72">
        <f t="shared" si="0"/>
        <v>-25.989700043360187</v>
      </c>
      <c r="K31" s="24" t="s">
        <v>110</v>
      </c>
    </row>
    <row r="32" spans="1:18" ht="12.75" customHeight="1">
      <c r="A32" s="24" t="s">
        <v>111</v>
      </c>
      <c r="B32" s="74">
        <f>B20+B23-F32+B31</f>
        <v>66.246031183262346</v>
      </c>
      <c r="C32" s="24" t="s">
        <v>112</v>
      </c>
      <c r="D32" s="86" t="s">
        <v>113</v>
      </c>
      <c r="E32" s="87"/>
      <c r="F32" s="87">
        <v>-228.6</v>
      </c>
      <c r="G32" s="88" t="s">
        <v>114</v>
      </c>
      <c r="I32" s="24" t="s">
        <v>115</v>
      </c>
      <c r="J32" s="89">
        <f>B20+J23+J24+J25</f>
        <v>-135.36426877337746</v>
      </c>
      <c r="K32" s="24" t="s">
        <v>77</v>
      </c>
    </row>
    <row r="33" spans="1:18" ht="12.75" customHeight="1">
      <c r="A33" s="24" t="s">
        <v>116</v>
      </c>
      <c r="B33" s="82">
        <v>500</v>
      </c>
      <c r="C33" s="24" t="s">
        <v>117</v>
      </c>
      <c r="D33" s="24" t="s">
        <v>118</v>
      </c>
      <c r="E33" s="119"/>
      <c r="I33" s="24" t="s">
        <v>119</v>
      </c>
      <c r="J33" s="90">
        <v>10000</v>
      </c>
      <c r="K33" s="24" t="s">
        <v>120</v>
      </c>
      <c r="L33" s="24" t="s">
        <v>121</v>
      </c>
    </row>
    <row r="34" spans="1:18" ht="12.75" customHeight="1">
      <c r="A34" s="71" t="s">
        <v>122</v>
      </c>
      <c r="B34" s="72">
        <f>10*LOG10(B33)</f>
        <v>26.989700043360187</v>
      </c>
      <c r="C34" s="24" t="s">
        <v>112</v>
      </c>
      <c r="I34" s="24" t="s">
        <v>123</v>
      </c>
      <c r="J34" s="89">
        <f>F32+10*LOG10(J30)+10*LOG10(J33)</f>
        <v>-161.61029995663981</v>
      </c>
      <c r="K34" s="24" t="s">
        <v>77</v>
      </c>
    </row>
    <row r="35" spans="1:18" ht="12.75" customHeight="1">
      <c r="A35" s="24" t="s">
        <v>124</v>
      </c>
      <c r="B35" s="74">
        <f>B32-B34</f>
        <v>39.256331139902159</v>
      </c>
      <c r="C35" s="24"/>
      <c r="D35" s="24" t="s">
        <v>125</v>
      </c>
      <c r="I35" s="24" t="s">
        <v>126</v>
      </c>
      <c r="J35" s="74">
        <f>J32-J34</f>
        <v>26.246031183262346</v>
      </c>
      <c r="K35" s="24" t="s">
        <v>66</v>
      </c>
    </row>
    <row r="36" spans="1:18" ht="12.75" customHeight="1">
      <c r="A36" s="24" t="s">
        <v>127</v>
      </c>
      <c r="B36" s="91">
        <v>1.0000000000000001E-5</v>
      </c>
      <c r="C36" s="24" t="s">
        <v>7</v>
      </c>
      <c r="D36" s="24" t="s">
        <v>128</v>
      </c>
      <c r="E36" s="111"/>
      <c r="I36" s="24" t="s">
        <v>116</v>
      </c>
      <c r="J36" s="24">
        <f t="shared" ref="J36:J37" si="1">B33</f>
        <v>500</v>
      </c>
      <c r="K36" s="24" t="s">
        <v>117</v>
      </c>
    </row>
    <row r="37" spans="1:18" ht="13.5" customHeight="1">
      <c r="A37" s="24" t="s">
        <v>129</v>
      </c>
      <c r="B37" s="76">
        <v>19</v>
      </c>
      <c r="C37" s="24" t="s">
        <v>66</v>
      </c>
      <c r="D37" s="24" t="s">
        <v>177</v>
      </c>
      <c r="J37" s="72">
        <f t="shared" si="1"/>
        <v>26.989700043360187</v>
      </c>
      <c r="K37" s="24" t="s">
        <v>112</v>
      </c>
    </row>
    <row r="38" spans="1:18" ht="13.5" customHeight="1">
      <c r="A38" s="92" t="s">
        <v>130</v>
      </c>
      <c r="B38" s="93">
        <f>B35-B37</f>
        <v>20.256331139902159</v>
      </c>
      <c r="C38" s="24" t="s">
        <v>66</v>
      </c>
      <c r="I38" s="24" t="s">
        <v>131</v>
      </c>
      <c r="J38" s="24">
        <f>B37</f>
        <v>19</v>
      </c>
      <c r="K38" s="24" t="s">
        <v>66</v>
      </c>
      <c r="L38" s="24" t="s">
        <v>7</v>
      </c>
    </row>
    <row r="39" spans="1:18" ht="13.5" customHeight="1">
      <c r="I39" s="24" t="s">
        <v>130</v>
      </c>
      <c r="J39" s="93">
        <f>J35-J38</f>
        <v>7.2460311832623461</v>
      </c>
      <c r="K39" s="24" t="s">
        <v>66</v>
      </c>
    </row>
    <row r="40" spans="1:18" ht="13.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</row>
    <row r="41" spans="1:18" ht="12.75" customHeight="1"/>
    <row r="42" spans="1:18" ht="12.75" customHeight="1"/>
    <row r="43" spans="1:18" ht="12.75" customHeight="1"/>
    <row r="44" spans="1:18" ht="12.75" customHeight="1"/>
    <row r="45" spans="1:18" ht="12.75" customHeight="1"/>
    <row r="46" spans="1:18" ht="12.75" customHeight="1"/>
    <row r="47" spans="1:18" ht="12.75" customHeight="1"/>
    <row r="48" spans="1:1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spans="2:2" ht="12.75" customHeight="1"/>
    <row r="82" spans="2:2" ht="12.75" customHeight="1"/>
    <row r="83" spans="2:2" ht="12.75" customHeight="1"/>
    <row r="84" spans="2:2" ht="12.75" customHeight="1"/>
    <row r="85" spans="2:2" ht="12.75" customHeight="1"/>
    <row r="86" spans="2:2" ht="12.75" customHeight="1"/>
    <row r="87" spans="2:2" ht="12.75" customHeight="1"/>
    <row r="88" spans="2:2" ht="12.75" customHeight="1"/>
    <row r="89" spans="2:2" ht="12.75" customHeight="1"/>
    <row r="90" spans="2:2" ht="12.75" customHeight="1"/>
    <row r="91" spans="2:2" ht="12.75" customHeight="1"/>
    <row r="92" spans="2:2" ht="12.75" customHeight="1"/>
    <row r="93" spans="2:2" ht="12.75" customHeight="1"/>
    <row r="94" spans="2:2" ht="12.75" customHeight="1"/>
    <row r="95" spans="2:2" ht="12.75" customHeight="1"/>
    <row r="96" spans="2:2" ht="12.75" customHeight="1">
      <c r="B96" s="24" t="s">
        <v>7</v>
      </c>
    </row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D28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zoomScale="181" zoomScaleNormal="150" workbookViewId="0">
      <selection activeCell="D30" sqref="D30"/>
    </sheetView>
  </sheetViews>
  <sheetFormatPr baseColWidth="10" defaultColWidth="14.3984375" defaultRowHeight="15" customHeight="1"/>
  <cols>
    <col min="1" max="1" width="38.59765625" customWidth="1"/>
    <col min="2" max="2" width="9.19921875" customWidth="1"/>
    <col min="3" max="3" width="8" customWidth="1"/>
    <col min="4" max="4" width="18.796875" customWidth="1"/>
    <col min="5" max="7" width="8" customWidth="1"/>
    <col min="8" max="8" width="18.796875" customWidth="1"/>
    <col min="9" max="9" width="38.19921875" customWidth="1"/>
    <col min="10" max="26" width="8" customWidth="1"/>
  </cols>
  <sheetData>
    <row r="1" spans="1:16" ht="18" customHeight="1">
      <c r="A1" s="62" t="str">
        <f>'Title Page'!F3</f>
        <v>GW-Rocket</v>
      </c>
      <c r="B1" s="12"/>
      <c r="C1" s="12"/>
      <c r="D1" s="63" t="str">
        <f>'Title Page'!F7</f>
        <v>Bogdan Bunea</v>
      </c>
      <c r="E1" s="63" t="s">
        <v>7</v>
      </c>
      <c r="F1" s="63" t="s">
        <v>16</v>
      </c>
      <c r="G1" s="63"/>
      <c r="H1" s="63"/>
      <c r="I1" s="12"/>
      <c r="J1" s="12"/>
      <c r="K1" s="12"/>
      <c r="L1" s="12"/>
      <c r="M1" s="12"/>
      <c r="N1" s="12"/>
      <c r="O1" s="12"/>
      <c r="P1" s="12"/>
    </row>
    <row r="2" spans="1:16" ht="33" customHeight="1">
      <c r="A2" s="8" t="s">
        <v>132</v>
      </c>
      <c r="B2" s="12"/>
      <c r="C2" s="12"/>
      <c r="D2" s="63" t="str">
        <f>'Title Page'!G1</f>
        <v xml:space="preserve">  Version: 1.0</v>
      </c>
      <c r="E2" s="63"/>
      <c r="F2" s="95">
        <f>'Title Page'!F23</f>
        <v>45609</v>
      </c>
      <c r="G2" s="63"/>
      <c r="H2" s="63"/>
      <c r="I2" s="12"/>
      <c r="J2" s="12"/>
      <c r="K2" s="12"/>
      <c r="L2" s="12"/>
      <c r="M2" s="12"/>
      <c r="N2" s="12"/>
      <c r="O2" s="12"/>
      <c r="P2" s="12"/>
    </row>
    <row r="3" spans="1:16" ht="12.7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ht="12.75" customHeight="1">
      <c r="A4" s="59" t="s">
        <v>33</v>
      </c>
      <c r="B4" s="59" t="s">
        <v>34</v>
      </c>
      <c r="C4" s="59" t="s">
        <v>69</v>
      </c>
      <c r="D4" s="59" t="s">
        <v>70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ht="12.75" customHeight="1">
      <c r="A5" s="66" t="s">
        <v>95</v>
      </c>
      <c r="B5" s="67"/>
      <c r="C5" s="67"/>
      <c r="D5" s="68" t="s">
        <v>72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</row>
    <row r="6" spans="1:16" ht="12.75" customHeight="1">
      <c r="A6" s="24" t="s">
        <v>133</v>
      </c>
      <c r="B6" s="69">
        <v>50</v>
      </c>
      <c r="C6" s="24" t="s">
        <v>75</v>
      </c>
      <c r="D6" s="24" t="s">
        <v>101</v>
      </c>
      <c r="E6" s="70"/>
    </row>
    <row r="7" spans="1:16" ht="12.75" customHeight="1">
      <c r="A7" s="71" t="s">
        <v>76</v>
      </c>
      <c r="B7" s="72">
        <f>10*LOG10(B6)</f>
        <v>16.989700043360187</v>
      </c>
      <c r="C7" s="24" t="s">
        <v>77</v>
      </c>
    </row>
    <row r="8" spans="1:16" ht="12.75" customHeight="1">
      <c r="A8" s="71" t="s">
        <v>78</v>
      </c>
      <c r="B8" s="72">
        <f>B7+30</f>
        <v>46.989700043360187</v>
      </c>
      <c r="C8" s="24" t="s">
        <v>79</v>
      </c>
    </row>
    <row r="9" spans="1:16" ht="12.75" customHeight="1">
      <c r="A9" s="24" t="s">
        <v>134</v>
      </c>
      <c r="B9" s="73">
        <v>2</v>
      </c>
      <c r="C9" s="24" t="s">
        <v>66</v>
      </c>
      <c r="D9" s="24" t="s">
        <v>101</v>
      </c>
      <c r="E9" s="104"/>
    </row>
    <row r="10" spans="1:16" ht="12.75" customHeight="1">
      <c r="A10" s="24" t="s">
        <v>135</v>
      </c>
      <c r="B10" s="73">
        <v>0</v>
      </c>
      <c r="C10" s="24" t="s">
        <v>66</v>
      </c>
      <c r="D10" s="24" t="s">
        <v>101</v>
      </c>
      <c r="E10" s="104"/>
    </row>
    <row r="11" spans="1:16" ht="12.75" customHeight="1">
      <c r="A11" s="24" t="s">
        <v>136</v>
      </c>
      <c r="B11" s="73">
        <v>15.5</v>
      </c>
      <c r="C11" s="24" t="s">
        <v>83</v>
      </c>
      <c r="D11" s="24" t="s">
        <v>101</v>
      </c>
      <c r="E11" s="70"/>
    </row>
    <row r="12" spans="1:16" ht="12.75" customHeight="1">
      <c r="A12" s="24" t="s">
        <v>137</v>
      </c>
      <c r="B12" s="74">
        <f>B7+B9-B10+B11</f>
        <v>34.489700043360187</v>
      </c>
      <c r="C12" s="24" t="s">
        <v>77</v>
      </c>
      <c r="E12" s="24" t="s">
        <v>138</v>
      </c>
    </row>
    <row r="13" spans="1:16" ht="12.75" customHeight="1">
      <c r="A13" s="66" t="s">
        <v>139</v>
      </c>
      <c r="B13" s="75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</row>
    <row r="14" spans="1:16" ht="12.75" customHeight="1">
      <c r="A14" s="24" t="s">
        <v>99</v>
      </c>
      <c r="B14" s="73">
        <v>-1</v>
      </c>
      <c r="C14" s="24" t="s">
        <v>66</v>
      </c>
      <c r="D14" s="24"/>
      <c r="E14" s="104"/>
      <c r="F14" s="24" t="s">
        <v>168</v>
      </c>
    </row>
    <row r="15" spans="1:16" ht="12.75" customHeight="1">
      <c r="A15" s="24" t="s">
        <v>140</v>
      </c>
      <c r="B15" s="73">
        <f>'Downlink - FeatherRP'!B15</f>
        <v>0</v>
      </c>
      <c r="C15" s="24" t="s">
        <v>66</v>
      </c>
      <c r="D15" s="24" t="s">
        <v>178</v>
      </c>
      <c r="E15" s="110"/>
      <c r="F15" s="24"/>
    </row>
    <row r="16" spans="1:16" ht="12.75" customHeight="1">
      <c r="A16" s="24" t="s">
        <v>62</v>
      </c>
      <c r="B16" s="72">
        <f>-'Orbit Performance'!G31</f>
        <v>-117.36426877337746</v>
      </c>
      <c r="C16" s="24" t="s">
        <v>66</v>
      </c>
    </row>
    <row r="17" spans="1:16" ht="12.75" customHeight="1">
      <c r="A17" s="24" t="s">
        <v>141</v>
      </c>
      <c r="B17" s="73">
        <v>0</v>
      </c>
      <c r="C17" s="24" t="s">
        <v>66</v>
      </c>
      <c r="D17" s="77" t="s">
        <v>142</v>
      </c>
      <c r="E17" s="70"/>
    </row>
    <row r="18" spans="1:16" ht="12.75" customHeight="1">
      <c r="A18" s="24" t="s">
        <v>143</v>
      </c>
      <c r="B18" s="73">
        <v>0</v>
      </c>
      <c r="C18" s="24" t="s">
        <v>66</v>
      </c>
      <c r="D18" s="77" t="s">
        <v>142</v>
      </c>
      <c r="E18" s="70"/>
    </row>
    <row r="19" spans="1:16" ht="12.75" customHeight="1">
      <c r="A19" s="24" t="s">
        <v>144</v>
      </c>
      <c r="B19" s="73">
        <v>0</v>
      </c>
      <c r="C19" s="24" t="s">
        <v>66</v>
      </c>
      <c r="D19" s="24" t="s">
        <v>142</v>
      </c>
      <c r="E19" s="70"/>
    </row>
    <row r="20" spans="1:16" ht="12.75" customHeight="1">
      <c r="A20" s="24" t="s">
        <v>94</v>
      </c>
      <c r="B20" s="74">
        <f>B12+SUM(B14:B19)</f>
        <v>-83.874568730017273</v>
      </c>
      <c r="C20" s="24" t="s">
        <v>77</v>
      </c>
    </row>
    <row r="21" spans="1:16" ht="12.75" customHeight="1">
      <c r="A21" s="66" t="s">
        <v>71</v>
      </c>
      <c r="B21" s="67"/>
      <c r="C21" s="67"/>
      <c r="D21" s="67"/>
      <c r="E21" s="67"/>
      <c r="F21" s="67"/>
      <c r="G21" s="67"/>
      <c r="H21" s="67"/>
      <c r="I21" s="78" t="s">
        <v>145</v>
      </c>
      <c r="J21" s="79"/>
      <c r="K21" s="79"/>
      <c r="L21" s="79"/>
      <c r="M21" s="96" t="s">
        <v>146</v>
      </c>
      <c r="N21" s="68"/>
      <c r="O21" s="68"/>
      <c r="P21" s="68"/>
    </row>
    <row r="22" spans="1:16" ht="12.75" customHeight="1">
      <c r="A22" s="80" t="s">
        <v>97</v>
      </c>
      <c r="B22" s="67"/>
      <c r="C22" s="67"/>
      <c r="D22" s="67"/>
      <c r="E22" s="67"/>
      <c r="F22" s="67"/>
      <c r="G22" s="67"/>
      <c r="H22" s="67"/>
      <c r="I22" s="78" t="s">
        <v>147</v>
      </c>
      <c r="J22" s="79"/>
      <c r="K22" s="79"/>
      <c r="L22" s="79"/>
      <c r="M22" s="96"/>
      <c r="N22" s="68"/>
      <c r="O22" s="68"/>
      <c r="P22" s="68"/>
    </row>
    <row r="23" spans="1:16" ht="12.75" customHeight="1">
      <c r="A23" s="81" t="s">
        <v>87</v>
      </c>
      <c r="B23" s="73">
        <v>5</v>
      </c>
      <c r="C23" s="24" t="s">
        <v>66</v>
      </c>
      <c r="D23" s="24"/>
      <c r="E23" s="104"/>
      <c r="F23" s="105" t="s">
        <v>176</v>
      </c>
      <c r="I23" s="24" t="s">
        <v>87</v>
      </c>
      <c r="J23" s="72">
        <f t="shared" ref="J23:J31" si="0">B23</f>
        <v>5</v>
      </c>
      <c r="K23" s="24" t="s">
        <v>66</v>
      </c>
    </row>
    <row r="24" spans="1:16" ht="12.75" customHeight="1">
      <c r="A24" s="24" t="s">
        <v>82</v>
      </c>
      <c r="B24" s="69">
        <v>0</v>
      </c>
      <c r="C24" s="24" t="s">
        <v>170</v>
      </c>
      <c r="I24" s="24" t="s">
        <v>82</v>
      </c>
      <c r="J24" s="72">
        <f t="shared" si="0"/>
        <v>0</v>
      </c>
      <c r="K24" s="24" t="s">
        <v>83</v>
      </c>
    </row>
    <row r="25" spans="1:16" ht="12.75" customHeight="1">
      <c r="A25" s="24" t="s">
        <v>80</v>
      </c>
      <c r="B25" s="73">
        <v>-0.5</v>
      </c>
      <c r="C25" s="24" t="s">
        <v>66</v>
      </c>
      <c r="D25" s="24"/>
      <c r="E25" s="104"/>
      <c r="F25" s="24"/>
      <c r="I25" s="24" t="s">
        <v>80</v>
      </c>
      <c r="J25" s="97">
        <f t="shared" si="0"/>
        <v>-0.5</v>
      </c>
      <c r="K25" s="24" t="s">
        <v>66</v>
      </c>
    </row>
    <row r="26" spans="1:16" ht="12.75" customHeight="1">
      <c r="A26" s="24" t="s">
        <v>148</v>
      </c>
      <c r="B26" s="82">
        <v>0</v>
      </c>
      <c r="C26" s="24" t="s">
        <v>104</v>
      </c>
      <c r="D26" s="24" t="s">
        <v>175</v>
      </c>
      <c r="E26" s="106"/>
      <c r="F26" s="108"/>
      <c r="I26" s="24" t="s">
        <v>148</v>
      </c>
      <c r="J26" s="24">
        <f t="shared" si="0"/>
        <v>0</v>
      </c>
      <c r="K26" s="24" t="s">
        <v>104</v>
      </c>
    </row>
    <row r="27" spans="1:16" ht="12.75" customHeight="1">
      <c r="A27" s="24" t="s">
        <v>149</v>
      </c>
      <c r="B27" s="24">
        <v>270</v>
      </c>
      <c r="C27" s="24" t="s">
        <v>104</v>
      </c>
      <c r="I27" s="24" t="s">
        <v>149</v>
      </c>
      <c r="J27" s="24">
        <f t="shared" si="0"/>
        <v>270</v>
      </c>
      <c r="K27" s="24" t="s">
        <v>104</v>
      </c>
    </row>
    <row r="28" spans="1:16" ht="12.75" customHeight="1">
      <c r="A28" s="24" t="s">
        <v>150</v>
      </c>
      <c r="B28" s="76">
        <v>103.15</v>
      </c>
      <c r="C28" s="24" t="s">
        <v>104</v>
      </c>
      <c r="D28" s="24" t="s">
        <v>173</v>
      </c>
      <c r="E28" s="104"/>
      <c r="I28" s="24" t="s">
        <v>150</v>
      </c>
      <c r="J28" s="24">
        <f t="shared" si="0"/>
        <v>103.15</v>
      </c>
      <c r="K28" s="24" t="s">
        <v>104</v>
      </c>
    </row>
    <row r="29" spans="1:16" ht="12.75" customHeight="1">
      <c r="A29" s="24" t="s">
        <v>151</v>
      </c>
      <c r="B29" s="84">
        <f>POWER(10,(B25)/10)</f>
        <v>0.89125093813374545</v>
      </c>
      <c r="I29" s="24" t="s">
        <v>151</v>
      </c>
      <c r="J29" s="84">
        <f t="shared" si="0"/>
        <v>0.89125093813374545</v>
      </c>
    </row>
    <row r="30" spans="1:16" ht="12.75" customHeight="1">
      <c r="A30" s="24" t="s">
        <v>152</v>
      </c>
      <c r="B30" s="85">
        <f>SUM(B26:B28)</f>
        <v>373.15</v>
      </c>
      <c r="C30" s="24" t="s">
        <v>104</v>
      </c>
      <c r="I30" s="24" t="s">
        <v>152</v>
      </c>
      <c r="J30" s="85">
        <f t="shared" si="0"/>
        <v>373.15</v>
      </c>
      <c r="K30" s="24" t="s">
        <v>104</v>
      </c>
    </row>
    <row r="31" spans="1:16" ht="12.75" customHeight="1">
      <c r="A31" s="24" t="s">
        <v>153</v>
      </c>
      <c r="B31" s="72">
        <f>B24-B25-10*LOG10(B30)</f>
        <v>-25.218834459564142</v>
      </c>
      <c r="C31" s="24" t="s">
        <v>110</v>
      </c>
      <c r="I31" s="24" t="s">
        <v>153</v>
      </c>
      <c r="J31" s="72">
        <f t="shared" si="0"/>
        <v>-25.218834459564142</v>
      </c>
      <c r="K31" s="24" t="s">
        <v>110</v>
      </c>
    </row>
    <row r="32" spans="1:16" ht="12.75" customHeight="1">
      <c r="A32" s="24" t="s">
        <v>154</v>
      </c>
      <c r="B32" s="74">
        <f>B20+B23-F32+B31</f>
        <v>124.50659681041859</v>
      </c>
      <c r="C32" s="24" t="s">
        <v>112</v>
      </c>
      <c r="D32" s="86" t="s">
        <v>113</v>
      </c>
      <c r="E32" s="87"/>
      <c r="F32" s="87">
        <v>-228.6</v>
      </c>
      <c r="G32" s="88" t="s">
        <v>114</v>
      </c>
      <c r="I32" s="24" t="s">
        <v>155</v>
      </c>
      <c r="J32" s="89">
        <f>B20+J23+J24+J25</f>
        <v>-79.374568730017273</v>
      </c>
      <c r="K32" s="24" t="s">
        <v>77</v>
      </c>
    </row>
    <row r="33" spans="1:16" ht="12.75" customHeight="1">
      <c r="A33" s="24" t="s">
        <v>116</v>
      </c>
      <c r="B33" s="82">
        <v>5000</v>
      </c>
      <c r="C33" s="24" t="s">
        <v>117</v>
      </c>
      <c r="D33" s="105" t="s">
        <v>171</v>
      </c>
      <c r="I33" s="24" t="s">
        <v>156</v>
      </c>
      <c r="J33" s="90">
        <v>15000</v>
      </c>
      <c r="K33" s="24" t="s">
        <v>120</v>
      </c>
      <c r="L33" s="24" t="s">
        <v>157</v>
      </c>
    </row>
    <row r="34" spans="1:16" ht="12.75" customHeight="1">
      <c r="A34" s="71" t="s">
        <v>122</v>
      </c>
      <c r="B34" s="72">
        <f>10*LOG10(B33)</f>
        <v>36.989700043360187</v>
      </c>
      <c r="C34" s="24" t="s">
        <v>112</v>
      </c>
      <c r="I34" s="24" t="s">
        <v>123</v>
      </c>
      <c r="J34" s="89">
        <f>F32+10*LOG10(J30)+10*LOG10(J33)</f>
        <v>-161.12025294987905</v>
      </c>
      <c r="K34" s="24" t="s">
        <v>77</v>
      </c>
      <c r="L34" s="24" t="s">
        <v>158</v>
      </c>
    </row>
    <row r="35" spans="1:16" ht="12.75" customHeight="1">
      <c r="A35" s="24" t="s">
        <v>124</v>
      </c>
      <c r="B35" s="74">
        <f>B32-B34</f>
        <v>87.516896767058398</v>
      </c>
      <c r="C35" s="24" t="s">
        <v>66</v>
      </c>
      <c r="D35" s="24" t="s">
        <v>125</v>
      </c>
      <c r="I35" s="24" t="s">
        <v>159</v>
      </c>
      <c r="J35" s="74">
        <f>J32-J34</f>
        <v>81.745684219861772</v>
      </c>
      <c r="K35" s="24" t="s">
        <v>66</v>
      </c>
    </row>
    <row r="36" spans="1:16" ht="12.75" customHeight="1">
      <c r="A36" s="24" t="s">
        <v>127</v>
      </c>
      <c r="B36" s="91">
        <v>1.0000000000000001E-5</v>
      </c>
      <c r="C36" s="24" t="s">
        <v>7</v>
      </c>
      <c r="D36" s="24" t="s">
        <v>160</v>
      </c>
      <c r="I36" s="24" t="s">
        <v>116</v>
      </c>
      <c r="J36" s="24">
        <f t="shared" ref="J36:J37" si="1">B33</f>
        <v>5000</v>
      </c>
      <c r="K36" s="24" t="s">
        <v>117</v>
      </c>
    </row>
    <row r="37" spans="1:16" ht="13.5" customHeight="1">
      <c r="A37" s="24" t="s">
        <v>129</v>
      </c>
      <c r="B37" s="73">
        <v>18</v>
      </c>
      <c r="C37" s="24" t="s">
        <v>66</v>
      </c>
      <c r="D37" s="24" t="s">
        <v>177</v>
      </c>
      <c r="J37" s="72">
        <f t="shared" si="1"/>
        <v>36.989700043360187</v>
      </c>
      <c r="K37" s="24" t="s">
        <v>112</v>
      </c>
    </row>
    <row r="38" spans="1:16" ht="13.5" customHeight="1">
      <c r="A38" s="92" t="s">
        <v>130</v>
      </c>
      <c r="B38" s="93">
        <f>B35-B37</f>
        <v>69.516896767058398</v>
      </c>
      <c r="C38" s="24" t="s">
        <v>66</v>
      </c>
      <c r="I38" s="24" t="s">
        <v>131</v>
      </c>
      <c r="J38" s="72">
        <f>B37</f>
        <v>18</v>
      </c>
      <c r="K38" s="24" t="s">
        <v>66</v>
      </c>
    </row>
    <row r="39" spans="1:16" ht="13.5" customHeight="1">
      <c r="I39" s="24" t="s">
        <v>130</v>
      </c>
      <c r="J39" s="93">
        <f>J35-J38</f>
        <v>63.745684219861772</v>
      </c>
      <c r="K39" s="24" t="s">
        <v>66</v>
      </c>
    </row>
    <row r="40" spans="1:16" ht="12.75" customHeight="1"/>
    <row r="41" spans="1:16" ht="13.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</row>
    <row r="42" spans="1:16" ht="12.75" customHeight="1"/>
    <row r="43" spans="1:16" ht="12.75" customHeight="1"/>
    <row r="44" spans="1:16" ht="12.75" customHeight="1"/>
    <row r="45" spans="1:16" ht="12.75" customHeight="1"/>
    <row r="46" spans="1:16" ht="12.75" customHeight="1"/>
    <row r="47" spans="1:16" ht="12.75" customHeight="1"/>
    <row r="48" spans="1:1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Q21" sqref="Q21"/>
    </sheetView>
  </sheetViews>
  <sheetFormatPr baseColWidth="10" defaultColWidth="14.3984375" defaultRowHeight="15" customHeight="1"/>
  <cols>
    <col min="1" max="26" width="8" customWidth="1"/>
  </cols>
  <sheetData>
    <row r="1" spans="1:9" ht="12.75" customHeight="1">
      <c r="A1" s="24" t="s">
        <v>161</v>
      </c>
      <c r="B1" s="98"/>
      <c r="C1" s="98"/>
      <c r="D1" s="98"/>
    </row>
    <row r="2" spans="1:9" ht="12.75" customHeight="1">
      <c r="B2" s="98" t="s">
        <v>162</v>
      </c>
      <c r="C2" s="98" t="s">
        <v>9</v>
      </c>
      <c r="D2" s="98" t="s">
        <v>163</v>
      </c>
      <c r="E2" s="98" t="s">
        <v>164</v>
      </c>
      <c r="F2" s="98" t="s">
        <v>165</v>
      </c>
      <c r="G2" s="98" t="s">
        <v>166</v>
      </c>
      <c r="I2" s="24" t="s">
        <v>7</v>
      </c>
    </row>
    <row r="3" spans="1:9" ht="12.75" customHeight="1">
      <c r="B3" s="98">
        <f t="shared" ref="B3:B40" si="0">SQRT(D3-(C3)^2)</f>
        <v>3.5199431813596083</v>
      </c>
      <c r="C3" s="71">
        <v>-1.9</v>
      </c>
      <c r="D3" s="71">
        <v>16</v>
      </c>
      <c r="E3" s="98">
        <f t="shared" ref="E3:E40" si="1">SQRT(G3-(F4)^2)</f>
        <v>3.5745629103430252</v>
      </c>
      <c r="F3" s="98">
        <v>-1.9</v>
      </c>
      <c r="G3" s="71">
        <v>16.2</v>
      </c>
      <c r="I3" s="24" t="s">
        <v>7</v>
      </c>
    </row>
    <row r="4" spans="1:9" ht="12.75" customHeight="1">
      <c r="B4" s="98">
        <f>SQRT(D4-(C4)^2)</f>
        <v>3.5464771252610667</v>
      </c>
      <c r="C4" s="71">
        <f t="shared" ref="C4:C40" si="2">C3+0.05</f>
        <v>-1.8499999999999999</v>
      </c>
      <c r="D4" s="71">
        <v>16</v>
      </c>
      <c r="E4" s="98">
        <f t="shared" si="1"/>
        <v>3.6</v>
      </c>
      <c r="F4" s="98">
        <f>F3+0.05</f>
        <v>-1.8499999999999999</v>
      </c>
      <c r="G4" s="71">
        <v>16.2</v>
      </c>
    </row>
    <row r="5" spans="1:9" ht="12.75" customHeight="1">
      <c r="B5" s="98">
        <f t="shared" si="0"/>
        <v>3.5721142198983507</v>
      </c>
      <c r="C5" s="71">
        <f t="shared" si="2"/>
        <v>-1.7999999999999998</v>
      </c>
      <c r="D5" s="71">
        <v>16</v>
      </c>
      <c r="E5" s="98">
        <f t="shared" si="1"/>
        <v>3.6245689398878866</v>
      </c>
      <c r="F5" s="71">
        <f t="shared" ref="F5:F40" si="3">F4+0.05</f>
        <v>-1.7999999999999998</v>
      </c>
      <c r="G5" s="71">
        <v>16.2</v>
      </c>
    </row>
    <row r="6" spans="1:9" ht="12.75" customHeight="1">
      <c r="B6" s="98">
        <f t="shared" si="0"/>
        <v>3.5968736424845398</v>
      </c>
      <c r="C6" s="71">
        <f t="shared" si="2"/>
        <v>-1.7499999999999998</v>
      </c>
      <c r="D6" s="71">
        <v>16</v>
      </c>
      <c r="E6" s="98">
        <f t="shared" si="1"/>
        <v>3.6482872693909401</v>
      </c>
      <c r="F6" s="71">
        <f t="shared" si="3"/>
        <v>-1.7499999999999998</v>
      </c>
      <c r="G6" s="71">
        <v>16.2</v>
      </c>
    </row>
    <row r="7" spans="1:9" ht="12.75" customHeight="1">
      <c r="B7" s="98">
        <f t="shared" si="0"/>
        <v>3.6207733980463348</v>
      </c>
      <c r="C7" s="71">
        <f t="shared" si="2"/>
        <v>-1.6999999999999997</v>
      </c>
      <c r="D7" s="71">
        <v>16</v>
      </c>
      <c r="E7" s="98">
        <f t="shared" si="1"/>
        <v>3.6711714751561253</v>
      </c>
      <c r="F7" s="71">
        <f t="shared" si="3"/>
        <v>-1.6999999999999997</v>
      </c>
      <c r="G7" s="71">
        <v>16.2</v>
      </c>
    </row>
    <row r="8" spans="1:9" ht="12.75" customHeight="1">
      <c r="B8" s="98">
        <f t="shared" si="0"/>
        <v>3.6438304022004098</v>
      </c>
      <c r="C8" s="71">
        <f t="shared" si="2"/>
        <v>-1.6499999999999997</v>
      </c>
      <c r="D8" s="71">
        <v>16</v>
      </c>
      <c r="E8" s="98">
        <f t="shared" si="1"/>
        <v>3.6932370625238775</v>
      </c>
      <c r="F8" s="71">
        <f t="shared" si="3"/>
        <v>-1.6499999999999997</v>
      </c>
      <c r="G8" s="71">
        <v>16.2</v>
      </c>
    </row>
    <row r="9" spans="1:9" ht="12.75" customHeight="1">
      <c r="B9" s="98">
        <f t="shared" si="0"/>
        <v>3.6660605559646724</v>
      </c>
      <c r="C9" s="71">
        <f t="shared" si="2"/>
        <v>-1.5999999999999996</v>
      </c>
      <c r="D9" s="71">
        <v>16</v>
      </c>
      <c r="E9" s="98">
        <f t="shared" si="1"/>
        <v>3.7144986202716512</v>
      </c>
      <c r="F9" s="71">
        <f t="shared" si="3"/>
        <v>-1.5999999999999996</v>
      </c>
      <c r="G9" s="71">
        <v>16.2</v>
      </c>
    </row>
    <row r="10" spans="1:9" ht="12.75" customHeight="1">
      <c r="B10" s="98">
        <f t="shared" si="0"/>
        <v>3.6874788134984584</v>
      </c>
      <c r="C10" s="71">
        <f t="shared" si="2"/>
        <v>-1.5499999999999996</v>
      </c>
      <c r="D10" s="71">
        <v>16</v>
      </c>
      <c r="E10" s="98">
        <f t="shared" si="1"/>
        <v>3.73496987939662</v>
      </c>
      <c r="F10" s="71">
        <f t="shared" si="3"/>
        <v>-1.5499999999999996</v>
      </c>
      <c r="G10" s="71">
        <v>16.2</v>
      </c>
    </row>
    <row r="11" spans="1:9" ht="12.75" customHeight="1">
      <c r="B11" s="98">
        <f t="shared" si="0"/>
        <v>3.7080992435478319</v>
      </c>
      <c r="C11" s="71">
        <f t="shared" si="2"/>
        <v>-1.4999999999999996</v>
      </c>
      <c r="D11" s="71">
        <v>16</v>
      </c>
      <c r="E11" s="98">
        <f t="shared" si="1"/>
        <v>3.7546637665708498</v>
      </c>
      <c r="F11" s="71">
        <f t="shared" si="3"/>
        <v>-1.4999999999999996</v>
      </c>
      <c r="G11" s="71">
        <v>16.2</v>
      </c>
    </row>
    <row r="12" spans="1:9" ht="12.75" customHeight="1">
      <c r="B12" s="98">
        <f t="shared" si="0"/>
        <v>3.7279350852717381</v>
      </c>
      <c r="C12" s="71">
        <f t="shared" si="2"/>
        <v>-1.4499999999999995</v>
      </c>
      <c r="D12" s="71">
        <v>16</v>
      </c>
      <c r="E12" s="98">
        <f t="shared" si="1"/>
        <v>3.7735924528226414</v>
      </c>
      <c r="F12" s="71">
        <f t="shared" si="3"/>
        <v>-1.4499999999999995</v>
      </c>
      <c r="G12" s="71">
        <v>16.2</v>
      </c>
    </row>
    <row r="13" spans="1:9" ht="12.75" customHeight="1">
      <c r="B13" s="98">
        <f t="shared" si="0"/>
        <v>3.746998799039039</v>
      </c>
      <c r="C13" s="71">
        <f t="shared" si="2"/>
        <v>-1.3999999999999995</v>
      </c>
      <c r="D13" s="71">
        <v>16</v>
      </c>
      <c r="E13" s="98">
        <f t="shared" si="1"/>
        <v>3.7917673979293616</v>
      </c>
      <c r="F13" s="71">
        <f t="shared" si="3"/>
        <v>-1.3999999999999995</v>
      </c>
      <c r="G13" s="71">
        <v>16.2</v>
      </c>
    </row>
    <row r="14" spans="1:9" ht="12.75" customHeight="1">
      <c r="B14" s="98">
        <f t="shared" si="0"/>
        <v>3.7653021127128699</v>
      </c>
      <c r="C14" s="71">
        <f t="shared" si="2"/>
        <v>-1.3499999999999994</v>
      </c>
      <c r="D14" s="71">
        <v>16</v>
      </c>
      <c r="E14" s="98">
        <f t="shared" si="1"/>
        <v>3.8091993909481823</v>
      </c>
      <c r="F14" s="71">
        <f t="shared" si="3"/>
        <v>-1.3499999999999994</v>
      </c>
      <c r="G14" s="71">
        <v>16.2</v>
      </c>
    </row>
    <row r="15" spans="1:9" ht="12.75" customHeight="1">
      <c r="B15" s="98">
        <f t="shared" si="0"/>
        <v>3.7828560638755477</v>
      </c>
      <c r="C15" s="71">
        <f t="shared" si="2"/>
        <v>-1.2999999999999994</v>
      </c>
      <c r="D15" s="71">
        <v>16</v>
      </c>
      <c r="E15" s="98">
        <f t="shared" si="1"/>
        <v>3.8258985872602533</v>
      </c>
      <c r="F15" s="71">
        <f t="shared" si="3"/>
        <v>-1.2999999999999994</v>
      </c>
      <c r="G15" s="71">
        <v>16.2</v>
      </c>
    </row>
    <row r="16" spans="1:9" ht="12.75" customHeight="1">
      <c r="B16" s="98">
        <f t="shared" si="0"/>
        <v>3.799671038392666</v>
      </c>
      <c r="C16" s="71">
        <f t="shared" si="2"/>
        <v>-1.2499999999999993</v>
      </c>
      <c r="D16" s="71">
        <v>16</v>
      </c>
      <c r="E16" s="98">
        <f>SQRT(G16-(F17)^2)</f>
        <v>3.8418745424597094</v>
      </c>
      <c r="F16" s="71">
        <f t="shared" si="3"/>
        <v>-1.2499999999999993</v>
      </c>
      <c r="G16" s="71">
        <v>16.2</v>
      </c>
    </row>
    <row r="17" spans="2:7" ht="12.75" customHeight="1">
      <c r="B17" s="98">
        <f t="shared" si="0"/>
        <v>3.8157568056677831</v>
      </c>
      <c r="C17" s="71">
        <f t="shared" si="2"/>
        <v>-1.1999999999999993</v>
      </c>
      <c r="D17" s="71">
        <v>16</v>
      </c>
      <c r="E17" s="98">
        <f t="shared" si="1"/>
        <v>3.8571362433805731</v>
      </c>
      <c r="F17" s="71">
        <f t="shared" si="3"/>
        <v>-1.1999999999999993</v>
      </c>
      <c r="G17" s="71">
        <v>16.2</v>
      </c>
    </row>
    <row r="18" spans="2:7" ht="12.75" customHeight="1">
      <c r="B18" s="98">
        <f t="shared" si="0"/>
        <v>3.8311225508981051</v>
      </c>
      <c r="C18" s="71">
        <f t="shared" si="2"/>
        <v>-1.1499999999999992</v>
      </c>
      <c r="D18" s="71">
        <v>16</v>
      </c>
      <c r="E18" s="98">
        <f t="shared" si="1"/>
        <v>3.871692136521188</v>
      </c>
      <c r="F18" s="71">
        <f t="shared" si="3"/>
        <v>-1.1499999999999992</v>
      </c>
      <c r="G18" s="71">
        <v>16.2</v>
      </c>
    </row>
    <row r="19" spans="2:7" ht="12.75" customHeight="1">
      <c r="B19" s="98">
        <f t="shared" si="0"/>
        <v>3.8457769046058825</v>
      </c>
      <c r="C19" s="71">
        <f t="shared" si="2"/>
        <v>-1.0999999999999992</v>
      </c>
      <c r="D19" s="71">
        <v>16</v>
      </c>
      <c r="E19" s="98">
        <f t="shared" si="1"/>
        <v>3.8855501540965856</v>
      </c>
      <c r="F19" s="71">
        <f t="shared" si="3"/>
        <v>-1.0999999999999992</v>
      </c>
      <c r="G19" s="71">
        <v>16.2</v>
      </c>
    </row>
    <row r="20" spans="2:7" ht="12.75" customHeight="1">
      <c r="B20" s="98">
        <f t="shared" si="0"/>
        <v>3.8597279696890556</v>
      </c>
      <c r="C20" s="71">
        <f t="shared" si="2"/>
        <v>-1.0499999999999992</v>
      </c>
      <c r="D20" s="71">
        <v>16</v>
      </c>
      <c r="E20" s="98">
        <f t="shared" si="1"/>
        <v>3.8987177379235858</v>
      </c>
      <c r="F20" s="71">
        <f t="shared" si="3"/>
        <v>-1.0499999999999992</v>
      </c>
      <c r="G20" s="71">
        <v>16.2</v>
      </c>
    </row>
    <row r="21" spans="2:7" ht="12.75" customHeight="1">
      <c r="B21" s="98">
        <f t="shared" si="0"/>
        <v>3.872983346207417</v>
      </c>
      <c r="C21" s="71">
        <f t="shared" si="2"/>
        <v>-0.99999999999999911</v>
      </c>
      <c r="D21" s="71">
        <v>16</v>
      </c>
      <c r="E21" s="98">
        <f t="shared" si="1"/>
        <v>3.9112018613208908</v>
      </c>
      <c r="F21" s="71">
        <f t="shared" si="3"/>
        <v>-0.99999999999999911</v>
      </c>
      <c r="G21" s="71">
        <v>16.2</v>
      </c>
    </row>
    <row r="22" spans="2:7" ht="12.75" customHeight="1">
      <c r="B22" s="98">
        <f t="shared" si="0"/>
        <v>3.885550154096586</v>
      </c>
      <c r="C22" s="71">
        <f t="shared" si="2"/>
        <v>-0.94999999999999907</v>
      </c>
      <c r="D22" s="71">
        <v>16</v>
      </c>
      <c r="E22" s="98">
        <f t="shared" si="1"/>
        <v>3.9230090491866063</v>
      </c>
      <c r="F22" s="71">
        <f t="shared" si="3"/>
        <v>-0.94999999999999907</v>
      </c>
      <c r="G22" s="71">
        <v>16.2</v>
      </c>
    </row>
    <row r="23" spans="2:7" ht="12.75" customHeight="1">
      <c r="B23" s="98">
        <f t="shared" si="0"/>
        <v>3.8974350539810154</v>
      </c>
      <c r="C23" s="71">
        <f t="shared" si="2"/>
        <v>-0.89999999999999902</v>
      </c>
      <c r="D23" s="71">
        <v>16</v>
      </c>
      <c r="E23" s="98">
        <f t="shared" si="1"/>
        <v>3.9341453963980539</v>
      </c>
      <c r="F23" s="71">
        <f t="shared" si="3"/>
        <v>-0.89999999999999902</v>
      </c>
      <c r="G23" s="71">
        <v>16.2</v>
      </c>
    </row>
    <row r="24" spans="2:7" ht="12.75" customHeight="1">
      <c r="B24" s="98">
        <f t="shared" si="0"/>
        <v>3.9086442662386149</v>
      </c>
      <c r="C24" s="71">
        <f t="shared" si="2"/>
        <v>-0.84999999999999898</v>
      </c>
      <c r="D24" s="71">
        <v>16</v>
      </c>
      <c r="E24" s="98">
        <f t="shared" si="1"/>
        <v>3.944616584663204</v>
      </c>
      <c r="F24" s="71">
        <f t="shared" si="3"/>
        <v>-0.84999999999999898</v>
      </c>
      <c r="G24" s="71">
        <v>16.2</v>
      </c>
    </row>
    <row r="25" spans="2:7" ht="12.75" customHeight="1">
      <c r="B25" s="98">
        <f t="shared" si="0"/>
        <v>3.9191835884530852</v>
      </c>
      <c r="C25" s="71">
        <f t="shared" si="2"/>
        <v>-0.79999999999999893</v>
      </c>
      <c r="D25" s="71">
        <v>16</v>
      </c>
      <c r="E25" s="98">
        <f t="shared" si="1"/>
        <v>3.9544278979392202</v>
      </c>
      <c r="F25" s="71">
        <f t="shared" si="3"/>
        <v>-0.79999999999999893</v>
      </c>
      <c r="G25" s="71">
        <v>16.2</v>
      </c>
    </row>
    <row r="26" spans="2:7" ht="12.75" customHeight="1">
      <c r="B26" s="98">
        <f t="shared" si="0"/>
        <v>3.9290584113754279</v>
      </c>
      <c r="C26" s="71">
        <f t="shared" si="2"/>
        <v>-0.74999999999999889</v>
      </c>
      <c r="D26" s="71">
        <v>16</v>
      </c>
      <c r="E26" s="98">
        <f t="shared" si="1"/>
        <v>3.963584236521283</v>
      </c>
      <c r="F26" s="71">
        <f t="shared" si="3"/>
        <v>-0.74999999999999889</v>
      </c>
      <c r="G26" s="71">
        <v>16.2</v>
      </c>
    </row>
    <row r="27" spans="2:7" ht="12.75" customHeight="1">
      <c r="B27" s="98">
        <f t="shared" si="0"/>
        <v>3.9382737335030433</v>
      </c>
      <c r="C27" s="71">
        <f t="shared" si="2"/>
        <v>-0.69999999999999885</v>
      </c>
      <c r="D27" s="71">
        <v>16</v>
      </c>
      <c r="E27" s="98">
        <f t="shared" si="1"/>
        <v>3.9720901298938323</v>
      </c>
      <c r="F27" s="71">
        <f t="shared" si="3"/>
        <v>-0.69999999999999885</v>
      </c>
      <c r="G27" s="71">
        <v>16.2</v>
      </c>
    </row>
    <row r="28" spans="2:7" ht="12.75" customHeight="1">
      <c r="B28" s="98">
        <f t="shared" si="0"/>
        <v>3.9468341743731776</v>
      </c>
      <c r="C28" s="71">
        <f t="shared" si="2"/>
        <v>-0.6499999999999988</v>
      </c>
      <c r="D28" s="71">
        <v>16</v>
      </c>
      <c r="E28" s="99">
        <f t="shared" si="1"/>
        <v>3.9799497484264799</v>
      </c>
      <c r="F28" s="71">
        <f t="shared" si="3"/>
        <v>-0.6499999999999988</v>
      </c>
      <c r="G28" s="71">
        <v>16.2</v>
      </c>
    </row>
    <row r="29" spans="2:7" ht="12.75" customHeight="1">
      <c r="B29" s="98">
        <f t="shared" si="0"/>
        <v>3.954743986657038</v>
      </c>
      <c r="C29" s="71">
        <f t="shared" si="2"/>
        <v>-0.59999999999999876</v>
      </c>
      <c r="D29" s="71">
        <v>16</v>
      </c>
      <c r="E29" s="98">
        <f t="shared" si="1"/>
        <v>3.987166913987926</v>
      </c>
      <c r="F29" s="71">
        <f t="shared" si="3"/>
        <v>-0.59999999999999876</v>
      </c>
      <c r="G29" s="71">
        <v>16.2</v>
      </c>
    </row>
    <row r="30" spans="2:7" ht="12.75" customHeight="1">
      <c r="B30" s="98">
        <f t="shared" si="0"/>
        <v>3.9620070671315064</v>
      </c>
      <c r="C30" s="71">
        <f t="shared" si="2"/>
        <v>-0.54999999999999871</v>
      </c>
      <c r="D30" s="71">
        <v>16</v>
      </c>
      <c r="E30" s="98">
        <f t="shared" si="1"/>
        <v>3.993745109543172</v>
      </c>
      <c r="F30" s="71">
        <f t="shared" si="3"/>
        <v>-0.54999999999999871</v>
      </c>
      <c r="G30" s="71">
        <v>16.2</v>
      </c>
    </row>
    <row r="31" spans="2:7" ht="12.75" customHeight="1">
      <c r="B31" s="98">
        <f t="shared" si="0"/>
        <v>3.9686269665968861</v>
      </c>
      <c r="C31" s="71">
        <f t="shared" si="2"/>
        <v>-0.49999999999999872</v>
      </c>
      <c r="D31" s="71">
        <v>16</v>
      </c>
      <c r="E31" s="98">
        <f t="shared" si="1"/>
        <v>3.999687487792015</v>
      </c>
      <c r="F31" s="71">
        <f t="shared" si="3"/>
        <v>-0.49999999999999872</v>
      </c>
      <c r="G31" s="71">
        <v>16.2</v>
      </c>
    </row>
    <row r="32" spans="2:7" ht="12.75" customHeight="1">
      <c r="B32" s="98">
        <f t="shared" si="0"/>
        <v>3.97460689880144</v>
      </c>
      <c r="C32" s="71">
        <f t="shared" si="2"/>
        <v>-0.44999999999999873</v>
      </c>
      <c r="D32" s="71">
        <v>16</v>
      </c>
      <c r="E32" s="98">
        <f t="shared" si="1"/>
        <v>4.0049968789001573</v>
      </c>
      <c r="F32" s="71">
        <f t="shared" si="3"/>
        <v>-0.44999999999999873</v>
      </c>
      <c r="G32" s="71">
        <v>16.2</v>
      </c>
    </row>
    <row r="33" spans="2:9" ht="12.75" customHeight="1">
      <c r="B33" s="98">
        <f t="shared" si="0"/>
        <v>3.9799497484264799</v>
      </c>
      <c r="C33" s="71">
        <f t="shared" si="2"/>
        <v>-0.39999999999999875</v>
      </c>
      <c r="D33" s="71">
        <v>16</v>
      </c>
      <c r="E33" s="98">
        <f t="shared" si="1"/>
        <v>4.0096757973681614</v>
      </c>
      <c r="F33" s="71">
        <f t="shared" si="3"/>
        <v>-0.39999999999999875</v>
      </c>
      <c r="G33" s="71">
        <v>16.2</v>
      </c>
    </row>
    <row r="34" spans="2:9" ht="12.75" customHeight="1">
      <c r="B34" s="98">
        <f t="shared" si="0"/>
        <v>3.9846580781793564</v>
      </c>
      <c r="C34" s="71">
        <f t="shared" si="2"/>
        <v>-0.34999999999999876</v>
      </c>
      <c r="D34" s="71">
        <v>16</v>
      </c>
      <c r="E34" s="98">
        <f t="shared" si="1"/>
        <v>4.0137264480778958</v>
      </c>
      <c r="F34" s="71">
        <f t="shared" si="3"/>
        <v>-0.34999999999999876</v>
      </c>
      <c r="G34" s="71">
        <v>16.2</v>
      </c>
    </row>
    <row r="35" spans="2:9" ht="12.75" customHeight="1">
      <c r="B35" s="98">
        <f t="shared" si="0"/>
        <v>3.9887341350358261</v>
      </c>
      <c r="C35" s="71">
        <f t="shared" si="2"/>
        <v>-0.29999999999999877</v>
      </c>
      <c r="D35" s="71">
        <v>16</v>
      </c>
      <c r="E35" s="98">
        <f t="shared" si="1"/>
        <v>4.0171507315509087</v>
      </c>
      <c r="F35" s="71">
        <f t="shared" si="3"/>
        <v>-0.29999999999999877</v>
      </c>
      <c r="G35" s="71">
        <v>16.2</v>
      </c>
    </row>
    <row r="36" spans="2:9" ht="12.75" customHeight="1">
      <c r="B36" s="98">
        <f t="shared" si="0"/>
        <v>3.9921798556678278</v>
      </c>
      <c r="C36" s="71">
        <f t="shared" si="2"/>
        <v>-0.24999999999999878</v>
      </c>
      <c r="D36" s="71">
        <v>16</v>
      </c>
      <c r="E36" s="98">
        <f t="shared" si="1"/>
        <v>4.0199502484483558</v>
      </c>
      <c r="F36" s="71">
        <f t="shared" si="3"/>
        <v>-0.24999999999999878</v>
      </c>
      <c r="G36" s="71">
        <v>16.2</v>
      </c>
    </row>
    <row r="37" spans="2:9" ht="12.75" customHeight="1">
      <c r="B37" s="98">
        <f t="shared" si="0"/>
        <v>3.9949968710876358</v>
      </c>
      <c r="C37" s="71">
        <f t="shared" si="2"/>
        <v>-0.19999999999999879</v>
      </c>
      <c r="D37" s="71">
        <v>16</v>
      </c>
      <c r="E37" s="98">
        <f t="shared" si="1"/>
        <v>4.0221263033375765</v>
      </c>
      <c r="F37" s="71">
        <f t="shared" si="3"/>
        <v>-0.19999999999999879</v>
      </c>
      <c r="G37" s="71">
        <v>16.2</v>
      </c>
    </row>
    <row r="38" spans="2:9" ht="12.75" customHeight="1">
      <c r="B38" s="98">
        <f t="shared" si="0"/>
        <v>3.9971865105346285</v>
      </c>
      <c r="C38" s="71">
        <f t="shared" si="2"/>
        <v>-0.1499999999999988</v>
      </c>
      <c r="D38" s="71">
        <v>16</v>
      </c>
      <c r="E38" s="98">
        <f t="shared" si="1"/>
        <v>4.0236799077461418</v>
      </c>
      <c r="F38" s="71">
        <f t="shared" si="3"/>
        <v>-0.1499999999999988</v>
      </c>
      <c r="G38" s="71">
        <v>16.2</v>
      </c>
    </row>
    <row r="39" spans="2:9" ht="12.75" customHeight="1">
      <c r="B39" s="98">
        <f t="shared" si="0"/>
        <v>3.9987498046264411</v>
      </c>
      <c r="C39" s="71">
        <f t="shared" si="2"/>
        <v>-9.9999999999998798E-2</v>
      </c>
      <c r="D39" s="71">
        <v>16</v>
      </c>
      <c r="E39" s="98">
        <f t="shared" si="1"/>
        <v>4.0246117825201475</v>
      </c>
      <c r="F39" s="71">
        <f t="shared" si="3"/>
        <v>-9.9999999999998798E-2</v>
      </c>
      <c r="G39" s="71">
        <v>16.2</v>
      </c>
    </row>
    <row r="40" spans="2:9" ht="12.75" customHeight="1">
      <c r="B40" s="98">
        <f t="shared" si="0"/>
        <v>3.999687487792015</v>
      </c>
      <c r="C40" s="71">
        <f t="shared" si="2"/>
        <v>-4.9999999999998795E-2</v>
      </c>
      <c r="D40" s="71">
        <v>16</v>
      </c>
      <c r="E40" s="98">
        <f t="shared" si="1"/>
        <v>4.0249223594996213</v>
      </c>
      <c r="F40" s="71">
        <f t="shared" si="3"/>
        <v>-4.9999999999998795E-2</v>
      </c>
      <c r="G40" s="71">
        <v>16.2</v>
      </c>
    </row>
    <row r="41" spans="2:9" ht="12.75" customHeight="1">
      <c r="B41" s="100">
        <v>4</v>
      </c>
      <c r="C41" s="101">
        <v>0</v>
      </c>
      <c r="D41" s="101">
        <v>16</v>
      </c>
      <c r="E41" s="67">
        <f t="shared" ref="E41:E79" si="4">SQRT(G41-(F41)^2)</f>
        <v>4.0249223594996213</v>
      </c>
      <c r="F41" s="67">
        <v>0</v>
      </c>
      <c r="G41" s="71">
        <v>16.2</v>
      </c>
      <c r="I41" s="24" t="s">
        <v>7</v>
      </c>
    </row>
    <row r="42" spans="2:9" ht="12.75" customHeight="1">
      <c r="B42" s="24">
        <f t="shared" ref="B42:B79" si="5">SQRT(D42-(C42)^2)</f>
        <v>3.999687487792015</v>
      </c>
      <c r="C42" s="24">
        <v>0.05</v>
      </c>
      <c r="D42" s="24">
        <v>16</v>
      </c>
      <c r="E42" s="24">
        <f t="shared" si="4"/>
        <v>4.0246117825201475</v>
      </c>
      <c r="F42" s="24">
        <v>0.05</v>
      </c>
      <c r="G42" s="71">
        <v>16.2</v>
      </c>
    </row>
    <row r="43" spans="2:9" ht="12.75" customHeight="1">
      <c r="B43" s="24">
        <f t="shared" si="5"/>
        <v>3.9987498046264411</v>
      </c>
      <c r="C43" s="24">
        <f t="shared" ref="C43:C79" si="6">C42+0.05</f>
        <v>0.1</v>
      </c>
      <c r="D43" s="24">
        <v>16</v>
      </c>
      <c r="E43" s="24">
        <f t="shared" si="4"/>
        <v>4.0236799077461418</v>
      </c>
      <c r="F43" s="24">
        <f t="shared" ref="F43:F79" si="7">F42+0.05</f>
        <v>0.1</v>
      </c>
      <c r="G43" s="71">
        <v>16.2</v>
      </c>
    </row>
    <row r="44" spans="2:9" ht="12.75" customHeight="1">
      <c r="B44" s="24">
        <f t="shared" si="5"/>
        <v>3.9971865105346285</v>
      </c>
      <c r="C44" s="24">
        <f t="shared" si="6"/>
        <v>0.15000000000000002</v>
      </c>
      <c r="D44" s="24">
        <v>16</v>
      </c>
      <c r="E44" s="24">
        <f t="shared" si="4"/>
        <v>4.0221263033375765</v>
      </c>
      <c r="F44" s="24">
        <f t="shared" si="7"/>
        <v>0.15000000000000002</v>
      </c>
      <c r="G44" s="71">
        <v>16.2</v>
      </c>
    </row>
    <row r="45" spans="2:9" ht="12.75" customHeight="1">
      <c r="B45" s="24">
        <f t="shared" si="5"/>
        <v>3.9949968710876358</v>
      </c>
      <c r="C45" s="24">
        <f t="shared" si="6"/>
        <v>0.2</v>
      </c>
      <c r="D45" s="24">
        <v>16</v>
      </c>
      <c r="E45" s="24">
        <f t="shared" si="4"/>
        <v>4.0199502484483558</v>
      </c>
      <c r="F45" s="24">
        <f t="shared" si="7"/>
        <v>0.2</v>
      </c>
      <c r="G45" s="71">
        <v>16.2</v>
      </c>
    </row>
    <row r="46" spans="2:9" ht="12.75" customHeight="1">
      <c r="B46" s="24">
        <f t="shared" si="5"/>
        <v>3.9921798556678278</v>
      </c>
      <c r="C46" s="24">
        <f t="shared" si="6"/>
        <v>0.25</v>
      </c>
      <c r="D46" s="24">
        <v>16</v>
      </c>
      <c r="E46" s="24">
        <f t="shared" si="4"/>
        <v>4.0171507315509087</v>
      </c>
      <c r="F46" s="24">
        <f t="shared" si="7"/>
        <v>0.25</v>
      </c>
      <c r="G46" s="71">
        <v>16.2</v>
      </c>
    </row>
    <row r="47" spans="2:9" ht="12.75" customHeight="1">
      <c r="B47" s="24">
        <f t="shared" si="5"/>
        <v>3.9887341350358261</v>
      </c>
      <c r="C47" s="24">
        <f t="shared" si="6"/>
        <v>0.3</v>
      </c>
      <c r="D47" s="24">
        <v>16</v>
      </c>
      <c r="E47" s="24">
        <f t="shared" si="4"/>
        <v>4.0137264480778958</v>
      </c>
      <c r="F47" s="24">
        <f t="shared" si="7"/>
        <v>0.3</v>
      </c>
      <c r="G47" s="71">
        <v>16.2</v>
      </c>
    </row>
    <row r="48" spans="2:9" ht="12.75" customHeight="1">
      <c r="B48" s="24">
        <f t="shared" si="5"/>
        <v>3.9846580781793559</v>
      </c>
      <c r="C48" s="24">
        <f t="shared" si="6"/>
        <v>0.35</v>
      </c>
      <c r="D48" s="24">
        <v>16</v>
      </c>
      <c r="E48" s="24">
        <f t="shared" si="4"/>
        <v>4.0096757973681614</v>
      </c>
      <c r="F48" s="24">
        <f t="shared" si="7"/>
        <v>0.35</v>
      </c>
      <c r="G48" s="71">
        <v>16.2</v>
      </c>
    </row>
    <row r="49" spans="2:7" ht="12.75" customHeight="1">
      <c r="B49" s="24">
        <f t="shared" si="5"/>
        <v>3.9799497484264799</v>
      </c>
      <c r="C49" s="24">
        <f t="shared" si="6"/>
        <v>0.39999999999999997</v>
      </c>
      <c r="D49" s="24">
        <v>16</v>
      </c>
      <c r="E49" s="24">
        <f t="shared" si="4"/>
        <v>4.0049968789001573</v>
      </c>
      <c r="F49" s="24">
        <f t="shared" si="7"/>
        <v>0.39999999999999997</v>
      </c>
      <c r="G49" s="71">
        <v>16.2</v>
      </c>
    </row>
    <row r="50" spans="2:7" ht="12.75" customHeight="1">
      <c r="B50" s="24">
        <f t="shared" si="5"/>
        <v>3.97460689880144</v>
      </c>
      <c r="C50" s="24">
        <f t="shared" si="6"/>
        <v>0.44999999999999996</v>
      </c>
      <c r="D50" s="24">
        <v>16</v>
      </c>
      <c r="E50" s="24">
        <f t="shared" si="4"/>
        <v>3.999687487792015</v>
      </c>
      <c r="F50" s="24">
        <f t="shared" si="7"/>
        <v>0.44999999999999996</v>
      </c>
      <c r="G50" s="71">
        <v>16.2</v>
      </c>
    </row>
    <row r="51" spans="2:7" ht="12.75" customHeight="1">
      <c r="B51" s="24">
        <f t="shared" si="5"/>
        <v>3.9686269665968861</v>
      </c>
      <c r="C51" s="24">
        <f t="shared" si="6"/>
        <v>0.49999999999999994</v>
      </c>
      <c r="D51" s="24">
        <v>16</v>
      </c>
      <c r="E51" s="24">
        <f t="shared" si="4"/>
        <v>3.9937451095431715</v>
      </c>
      <c r="F51" s="24">
        <f t="shared" si="7"/>
        <v>0.49999999999999994</v>
      </c>
      <c r="G51" s="71">
        <v>16.2</v>
      </c>
    </row>
    <row r="52" spans="2:7" ht="12.75" customHeight="1">
      <c r="B52" s="24">
        <f t="shared" si="5"/>
        <v>3.9620070671315064</v>
      </c>
      <c r="C52" s="24">
        <f t="shared" si="6"/>
        <v>0.54999999999999993</v>
      </c>
      <c r="D52" s="24">
        <v>16</v>
      </c>
      <c r="E52" s="24">
        <f t="shared" si="4"/>
        <v>3.9871669139879256</v>
      </c>
      <c r="F52" s="24">
        <f t="shared" si="7"/>
        <v>0.54999999999999993</v>
      </c>
      <c r="G52" s="71">
        <v>16.2</v>
      </c>
    </row>
    <row r="53" spans="2:7" ht="12.75" customHeight="1">
      <c r="B53" s="24">
        <f t="shared" si="5"/>
        <v>3.954743986657038</v>
      </c>
      <c r="C53" s="24">
        <f t="shared" si="6"/>
        <v>0.6</v>
      </c>
      <c r="D53" s="24">
        <v>16</v>
      </c>
      <c r="E53" s="24">
        <f t="shared" si="4"/>
        <v>3.9799497484264799</v>
      </c>
      <c r="F53" s="24">
        <f t="shared" si="7"/>
        <v>0.6</v>
      </c>
      <c r="G53" s="71">
        <v>16.2</v>
      </c>
    </row>
    <row r="54" spans="2:7" ht="12.75" customHeight="1">
      <c r="B54" s="24">
        <f t="shared" si="5"/>
        <v>3.9468341743731772</v>
      </c>
      <c r="C54" s="24">
        <f t="shared" si="6"/>
        <v>0.65</v>
      </c>
      <c r="D54" s="24">
        <v>16</v>
      </c>
      <c r="E54" s="24">
        <f t="shared" si="4"/>
        <v>3.9720901298938323</v>
      </c>
      <c r="F54" s="24">
        <f t="shared" si="7"/>
        <v>0.65</v>
      </c>
      <c r="G54" s="71">
        <v>16.2</v>
      </c>
    </row>
    <row r="55" spans="2:7" ht="12.75" customHeight="1">
      <c r="B55" s="24">
        <f t="shared" si="5"/>
        <v>3.9382737335030433</v>
      </c>
      <c r="C55" s="24">
        <f t="shared" si="6"/>
        <v>0.70000000000000007</v>
      </c>
      <c r="D55" s="24">
        <v>16</v>
      </c>
      <c r="E55" s="24">
        <f t="shared" si="4"/>
        <v>3.9635842365212826</v>
      </c>
      <c r="F55" s="24">
        <f t="shared" si="7"/>
        <v>0.70000000000000007</v>
      </c>
      <c r="G55" s="71">
        <v>16.2</v>
      </c>
    </row>
    <row r="56" spans="2:7" ht="12.75" customHeight="1">
      <c r="B56" s="24">
        <f t="shared" si="5"/>
        <v>3.9290584113754279</v>
      </c>
      <c r="C56" s="24">
        <f t="shared" si="6"/>
        <v>0.75000000000000011</v>
      </c>
      <c r="D56" s="24">
        <v>16</v>
      </c>
      <c r="E56" s="24">
        <f t="shared" si="4"/>
        <v>3.9544278979392202</v>
      </c>
      <c r="F56" s="24">
        <f t="shared" si="7"/>
        <v>0.75000000000000011</v>
      </c>
      <c r="G56" s="71">
        <v>16.2</v>
      </c>
    </row>
    <row r="57" spans="2:7" ht="12.75" customHeight="1">
      <c r="B57" s="24">
        <f t="shared" si="5"/>
        <v>3.9191835884530848</v>
      </c>
      <c r="C57" s="24">
        <f t="shared" si="6"/>
        <v>0.80000000000000016</v>
      </c>
      <c r="D57" s="24">
        <v>16</v>
      </c>
      <c r="E57" s="24">
        <f t="shared" si="4"/>
        <v>3.944616584663204</v>
      </c>
      <c r="F57" s="24">
        <f t="shared" si="7"/>
        <v>0.80000000000000016</v>
      </c>
      <c r="G57" s="71">
        <v>16.2</v>
      </c>
    </row>
    <row r="58" spans="2:7" ht="12.75" customHeight="1">
      <c r="B58" s="24">
        <f t="shared" si="5"/>
        <v>3.9086442662386149</v>
      </c>
      <c r="C58" s="24">
        <f t="shared" si="6"/>
        <v>0.8500000000000002</v>
      </c>
      <c r="D58" s="24">
        <v>16</v>
      </c>
      <c r="E58" s="24">
        <f t="shared" si="4"/>
        <v>3.9341453963980535</v>
      </c>
      <c r="F58" s="24">
        <f t="shared" si="7"/>
        <v>0.8500000000000002</v>
      </c>
      <c r="G58" s="71">
        <v>16.2</v>
      </c>
    </row>
    <row r="59" spans="2:7" ht="12.75" customHeight="1">
      <c r="B59" s="24">
        <f t="shared" si="5"/>
        <v>3.8974350539810154</v>
      </c>
      <c r="C59" s="24">
        <f t="shared" si="6"/>
        <v>0.90000000000000024</v>
      </c>
      <c r="D59" s="24">
        <v>16</v>
      </c>
      <c r="E59" s="24">
        <f t="shared" si="4"/>
        <v>3.9230090491866059</v>
      </c>
      <c r="F59" s="24">
        <f t="shared" si="7"/>
        <v>0.90000000000000024</v>
      </c>
      <c r="G59" s="71">
        <v>16.2</v>
      </c>
    </row>
    <row r="60" spans="2:7" ht="12.75" customHeight="1">
      <c r="B60" s="24">
        <f t="shared" si="5"/>
        <v>3.8855501540965856</v>
      </c>
      <c r="C60" s="24">
        <f t="shared" si="6"/>
        <v>0.95000000000000029</v>
      </c>
      <c r="D60" s="24">
        <v>16</v>
      </c>
      <c r="E60" s="24">
        <f t="shared" si="4"/>
        <v>3.9112018613208908</v>
      </c>
      <c r="F60" s="24">
        <f t="shared" si="7"/>
        <v>0.95000000000000029</v>
      </c>
      <c r="G60" s="71">
        <v>16.2</v>
      </c>
    </row>
    <row r="61" spans="2:7" ht="12.75" customHeight="1">
      <c r="B61" s="24">
        <f t="shared" si="5"/>
        <v>3.872983346207417</v>
      </c>
      <c r="C61" s="24">
        <f t="shared" si="6"/>
        <v>1.0000000000000002</v>
      </c>
      <c r="D61" s="24">
        <v>16</v>
      </c>
      <c r="E61" s="24">
        <f t="shared" si="4"/>
        <v>3.8987177379235853</v>
      </c>
      <c r="F61" s="24">
        <f t="shared" si="7"/>
        <v>1.0000000000000002</v>
      </c>
      <c r="G61" s="71">
        <v>16.2</v>
      </c>
    </row>
    <row r="62" spans="2:7" ht="12.75" customHeight="1">
      <c r="B62" s="24">
        <f t="shared" si="5"/>
        <v>3.8597279696890556</v>
      </c>
      <c r="C62" s="24">
        <f t="shared" si="6"/>
        <v>1.0500000000000003</v>
      </c>
      <c r="D62" s="24">
        <v>16</v>
      </c>
      <c r="E62" s="24">
        <f t="shared" si="4"/>
        <v>3.8855501540965856</v>
      </c>
      <c r="F62" s="24">
        <f t="shared" si="7"/>
        <v>1.0500000000000003</v>
      </c>
      <c r="G62" s="71">
        <v>16.2</v>
      </c>
    </row>
    <row r="63" spans="2:7" ht="12.75" customHeight="1">
      <c r="B63" s="24">
        <f t="shared" si="5"/>
        <v>3.8457769046058821</v>
      </c>
      <c r="C63" s="24">
        <f t="shared" si="6"/>
        <v>1.1000000000000003</v>
      </c>
      <c r="D63" s="24">
        <v>16</v>
      </c>
      <c r="E63" s="24">
        <f t="shared" si="4"/>
        <v>3.8716921365211876</v>
      </c>
      <c r="F63" s="24">
        <f t="shared" si="7"/>
        <v>1.1000000000000003</v>
      </c>
      <c r="G63" s="71">
        <v>16.2</v>
      </c>
    </row>
    <row r="64" spans="2:7" ht="12.75" customHeight="1">
      <c r="B64" s="24">
        <f t="shared" si="5"/>
        <v>3.8311225508981046</v>
      </c>
      <c r="C64" s="24">
        <f t="shared" si="6"/>
        <v>1.1500000000000004</v>
      </c>
      <c r="D64" s="24">
        <v>16</v>
      </c>
      <c r="E64" s="24">
        <f t="shared" si="4"/>
        <v>3.8571362433805727</v>
      </c>
      <c r="F64" s="24">
        <f t="shared" si="7"/>
        <v>1.1500000000000004</v>
      </c>
      <c r="G64" s="71">
        <v>16.2</v>
      </c>
    </row>
    <row r="65" spans="2:7" ht="12.75" customHeight="1">
      <c r="B65" s="24">
        <f t="shared" si="5"/>
        <v>3.8157568056677826</v>
      </c>
      <c r="C65" s="24">
        <f t="shared" si="6"/>
        <v>1.2000000000000004</v>
      </c>
      <c r="D65" s="24">
        <v>16</v>
      </c>
      <c r="E65" s="24">
        <f t="shared" si="4"/>
        <v>3.8418745424597089</v>
      </c>
      <c r="F65" s="24">
        <f t="shared" si="7"/>
        <v>1.2000000000000004</v>
      </c>
      <c r="G65" s="71">
        <v>16.2</v>
      </c>
    </row>
    <row r="66" spans="2:7" ht="12.75" customHeight="1">
      <c r="B66" s="24">
        <f t="shared" si="5"/>
        <v>3.7996710383926655</v>
      </c>
      <c r="C66" s="24">
        <f t="shared" si="6"/>
        <v>1.2500000000000004</v>
      </c>
      <c r="D66" s="24">
        <v>16</v>
      </c>
      <c r="E66" s="24">
        <f t="shared" si="4"/>
        <v>3.8258985872602529</v>
      </c>
      <c r="F66" s="24">
        <f t="shared" si="7"/>
        <v>1.2500000000000004</v>
      </c>
      <c r="G66" s="71">
        <v>16.2</v>
      </c>
    </row>
    <row r="67" spans="2:7" ht="12.75" customHeight="1">
      <c r="B67" s="24">
        <f t="shared" si="5"/>
        <v>3.7828560638755473</v>
      </c>
      <c r="C67" s="24">
        <f t="shared" si="6"/>
        <v>1.3000000000000005</v>
      </c>
      <c r="D67" s="24">
        <v>16</v>
      </c>
      <c r="E67" s="24">
        <f t="shared" si="4"/>
        <v>3.8091993909481818</v>
      </c>
      <c r="F67" s="24">
        <f t="shared" si="7"/>
        <v>1.3000000000000005</v>
      </c>
      <c r="G67" s="71">
        <v>16.2</v>
      </c>
    </row>
    <row r="68" spans="2:7" ht="12.75" customHeight="1">
      <c r="B68" s="24">
        <f t="shared" si="5"/>
        <v>3.7653021127128694</v>
      </c>
      <c r="C68" s="24">
        <f t="shared" si="6"/>
        <v>1.3500000000000005</v>
      </c>
      <c r="D68" s="24">
        <v>16</v>
      </c>
      <c r="E68" s="24">
        <f t="shared" si="4"/>
        <v>3.7917673979293611</v>
      </c>
      <c r="F68" s="24">
        <f t="shared" si="7"/>
        <v>1.3500000000000005</v>
      </c>
      <c r="G68" s="71">
        <v>16.2</v>
      </c>
    </row>
    <row r="69" spans="2:7" ht="12.75" customHeight="1">
      <c r="B69" s="24">
        <f t="shared" si="5"/>
        <v>3.746998799039039</v>
      </c>
      <c r="C69" s="24">
        <f t="shared" si="6"/>
        <v>1.4000000000000006</v>
      </c>
      <c r="D69" s="24">
        <v>16</v>
      </c>
      <c r="E69" s="24">
        <f t="shared" si="4"/>
        <v>3.7735924528226414</v>
      </c>
      <c r="F69" s="24">
        <f t="shared" si="7"/>
        <v>1.4000000000000006</v>
      </c>
      <c r="G69" s="71">
        <v>16.2</v>
      </c>
    </row>
    <row r="70" spans="2:7" ht="12.75" customHeight="1">
      <c r="B70" s="24">
        <f t="shared" si="5"/>
        <v>3.7279350852717377</v>
      </c>
      <c r="C70" s="24">
        <f t="shared" si="6"/>
        <v>1.4500000000000006</v>
      </c>
      <c r="D70" s="24">
        <v>16</v>
      </c>
      <c r="E70" s="24">
        <f t="shared" si="4"/>
        <v>3.7546637665708493</v>
      </c>
      <c r="F70" s="24">
        <f t="shared" si="7"/>
        <v>1.4500000000000006</v>
      </c>
      <c r="G70" s="71">
        <v>16.2</v>
      </c>
    </row>
    <row r="71" spans="2:7" ht="12.75" customHeight="1">
      <c r="B71" s="24">
        <f t="shared" si="5"/>
        <v>3.708099243547831</v>
      </c>
      <c r="C71" s="24">
        <f t="shared" si="6"/>
        <v>1.5000000000000007</v>
      </c>
      <c r="D71" s="24">
        <v>16</v>
      </c>
      <c r="E71" s="24">
        <f t="shared" si="4"/>
        <v>3.7349698793966195</v>
      </c>
      <c r="F71" s="24">
        <f t="shared" si="7"/>
        <v>1.5000000000000007</v>
      </c>
      <c r="G71" s="71">
        <v>16.2</v>
      </c>
    </row>
    <row r="72" spans="2:7" ht="12.75" customHeight="1">
      <c r="B72" s="24">
        <f t="shared" si="5"/>
        <v>3.6874788134984584</v>
      </c>
      <c r="C72" s="24">
        <f t="shared" si="6"/>
        <v>1.5500000000000007</v>
      </c>
      <c r="D72" s="24">
        <v>16</v>
      </c>
      <c r="E72" s="24">
        <f t="shared" si="4"/>
        <v>3.7144986202716508</v>
      </c>
      <c r="F72" s="24">
        <f t="shared" si="7"/>
        <v>1.5500000000000007</v>
      </c>
      <c r="G72" s="71">
        <v>16.2</v>
      </c>
    </row>
    <row r="73" spans="2:7" ht="12.75" customHeight="1">
      <c r="B73" s="24">
        <f t="shared" si="5"/>
        <v>3.6660605559646715</v>
      </c>
      <c r="C73" s="24">
        <f t="shared" si="6"/>
        <v>1.6000000000000008</v>
      </c>
      <c r="D73" s="24">
        <v>16</v>
      </c>
      <c r="E73" s="24">
        <f t="shared" si="4"/>
        <v>3.6932370625238771</v>
      </c>
      <c r="F73" s="24">
        <f t="shared" si="7"/>
        <v>1.6000000000000008</v>
      </c>
      <c r="G73" s="71">
        <v>16.2</v>
      </c>
    </row>
    <row r="74" spans="2:7" ht="12.75" customHeight="1">
      <c r="B74" s="24">
        <f t="shared" si="5"/>
        <v>3.6438304022004093</v>
      </c>
      <c r="C74" s="24">
        <f t="shared" si="6"/>
        <v>1.6500000000000008</v>
      </c>
      <c r="D74" s="24">
        <v>16</v>
      </c>
      <c r="E74" s="24">
        <f t="shared" si="4"/>
        <v>3.6711714751561244</v>
      </c>
      <c r="F74" s="24">
        <f t="shared" si="7"/>
        <v>1.6500000000000008</v>
      </c>
      <c r="G74" s="71">
        <v>16.2</v>
      </c>
    </row>
    <row r="75" spans="2:7" ht="12.75" customHeight="1">
      <c r="B75" s="24">
        <f t="shared" si="5"/>
        <v>3.6207733980463344</v>
      </c>
      <c r="C75" s="24">
        <f t="shared" si="6"/>
        <v>1.7000000000000008</v>
      </c>
      <c r="D75" s="24">
        <v>16</v>
      </c>
      <c r="E75" s="24">
        <f t="shared" si="4"/>
        <v>3.6482872693909396</v>
      </c>
      <c r="F75" s="24">
        <f t="shared" si="7"/>
        <v>1.7000000000000008</v>
      </c>
      <c r="G75" s="71">
        <v>16.2</v>
      </c>
    </row>
    <row r="76" spans="2:7" ht="12.75" customHeight="1">
      <c r="B76" s="24">
        <f t="shared" si="5"/>
        <v>3.5968736424845393</v>
      </c>
      <c r="C76" s="24">
        <f t="shared" si="6"/>
        <v>1.7500000000000009</v>
      </c>
      <c r="D76" s="24">
        <v>16</v>
      </c>
      <c r="E76" s="24">
        <f t="shared" si="4"/>
        <v>3.6245689398878862</v>
      </c>
      <c r="F76" s="24">
        <f t="shared" si="7"/>
        <v>1.7500000000000009</v>
      </c>
      <c r="G76" s="71">
        <v>16.2</v>
      </c>
    </row>
    <row r="77" spans="2:7" ht="12.75" customHeight="1">
      <c r="B77" s="24">
        <f t="shared" si="5"/>
        <v>3.5721142198983498</v>
      </c>
      <c r="C77" s="24">
        <f t="shared" si="6"/>
        <v>1.8000000000000009</v>
      </c>
      <c r="D77" s="24">
        <v>16</v>
      </c>
      <c r="E77" s="24">
        <f t="shared" si="4"/>
        <v>3.5999999999999992</v>
      </c>
      <c r="F77" s="24">
        <f t="shared" si="7"/>
        <v>1.8000000000000009</v>
      </c>
      <c r="G77" s="71">
        <v>16.2</v>
      </c>
    </row>
    <row r="78" spans="2:7" ht="12.75" customHeight="1">
      <c r="B78" s="24">
        <f t="shared" si="5"/>
        <v>3.5464771252610663</v>
      </c>
      <c r="C78" s="24">
        <f t="shared" si="6"/>
        <v>1.850000000000001</v>
      </c>
      <c r="D78" s="24">
        <v>16</v>
      </c>
      <c r="E78" s="24">
        <f t="shared" si="4"/>
        <v>3.5745629103430248</v>
      </c>
      <c r="F78" s="24">
        <f t="shared" si="7"/>
        <v>1.850000000000001</v>
      </c>
      <c r="G78" s="71">
        <v>16.2</v>
      </c>
    </row>
    <row r="79" spans="2:7" ht="12.75" customHeight="1">
      <c r="B79" s="24">
        <f t="shared" si="5"/>
        <v>3.5199431813596078</v>
      </c>
      <c r="C79" s="24">
        <f t="shared" si="6"/>
        <v>1.900000000000001</v>
      </c>
      <c r="D79" s="24">
        <v>16</v>
      </c>
      <c r="E79" s="24">
        <f t="shared" si="4"/>
        <v>3.5482389998420336</v>
      </c>
      <c r="F79" s="24">
        <f t="shared" si="7"/>
        <v>1.900000000000001</v>
      </c>
      <c r="G79" s="71">
        <v>16.2</v>
      </c>
    </row>
    <row r="80" spans="2:7" ht="12.75" customHeight="1"/>
    <row r="81" spans="3:3" ht="12.75" customHeight="1">
      <c r="C81" s="24" t="s">
        <v>7</v>
      </c>
    </row>
    <row r="82" spans="3:3" ht="12.75" customHeight="1"/>
    <row r="83" spans="3:3" ht="12.75" customHeight="1"/>
    <row r="84" spans="3:3" ht="12.75" customHeight="1"/>
    <row r="85" spans="3:3" ht="12.75" customHeight="1"/>
    <row r="86" spans="3:3" ht="12.75" customHeight="1"/>
    <row r="87" spans="3:3" ht="12.75" customHeight="1"/>
    <row r="88" spans="3:3" ht="12.75" customHeight="1"/>
    <row r="89" spans="3:3" ht="12.75" customHeight="1"/>
    <row r="90" spans="3:3" ht="12.75" customHeight="1"/>
    <row r="91" spans="3:3" ht="12.75" customHeight="1"/>
    <row r="92" spans="3:3" ht="12.75" customHeight="1"/>
    <row r="93" spans="3:3" ht="12.75" customHeight="1"/>
    <row r="94" spans="3:3" ht="12.75" customHeight="1"/>
    <row r="95" spans="3:3" ht="12.75" customHeight="1"/>
    <row r="96" spans="3:3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Orbit Performance</vt:lpstr>
      <vt:lpstr>Downlink - FeatherRP</vt:lpstr>
      <vt:lpstr>Uplink - N_A</vt:lpstr>
      <vt:lpstr>Orbit Shape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Bunea, Bogdan Timothy</cp:lastModifiedBy>
  <dcterms:modified xsi:type="dcterms:W3CDTF">2024-11-13T17:08:58Z</dcterms:modified>
</cp:coreProperties>
</file>