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Schedule Data" sheetId="2" r:id="rId5"/>
    <sheet state="visible" name="lookup" sheetId="3" r:id="rId6"/>
  </sheets>
  <definedNames/>
  <calcPr/>
</workbook>
</file>

<file path=xl/sharedStrings.xml><?xml version="1.0" encoding="utf-8"?>
<sst xmlns="http://schemas.openxmlformats.org/spreadsheetml/2006/main" count="188" uniqueCount="119">
  <si>
    <t>Name</t>
  </si>
  <si>
    <t>House Address</t>
  </si>
  <si>
    <t>House Plan</t>
  </si>
  <si>
    <t>Contract Date</t>
  </si>
  <si>
    <t>Build Time (Days)</t>
  </si>
  <si>
    <t>Completion Date (Mon-Fri)</t>
  </si>
  <si>
    <t>Completion Date (Mon-Sat)</t>
  </si>
  <si>
    <t>Completion Date (Mon-Sat &amp; Holidays)</t>
  </si>
  <si>
    <t>Almeida,  Chauncey</t>
  </si>
  <si>
    <t>2445 Snowtop Road</t>
  </si>
  <si>
    <t>Guiana Highlands</t>
  </si>
  <si>
    <t>Garcia,  Jose</t>
  </si>
  <si>
    <t>2222 Heavenly Road</t>
  </si>
  <si>
    <t>Mantiqueira Mountains</t>
  </si>
  <si>
    <t>Oliverira,  Carlos</t>
  </si>
  <si>
    <t>2455 Picadily Lane</t>
  </si>
  <si>
    <t>Cheyenne Mountain</t>
  </si>
  <si>
    <t>Sousa,  Andre</t>
  </si>
  <si>
    <t>2455 Snowtop Road</t>
  </si>
  <si>
    <t>Neblina Peak</t>
  </si>
  <si>
    <t>Simpson,  Marcia</t>
  </si>
  <si>
    <t>1825 Coyote Run</t>
  </si>
  <si>
    <t>Pico Phelps</t>
  </si>
  <si>
    <t>Hyde,  Tanner</t>
  </si>
  <si>
    <t>1826 Coyote Run</t>
  </si>
  <si>
    <t>Brown,  Joanne</t>
  </si>
  <si>
    <t>1827 Coyote Run</t>
  </si>
  <si>
    <t>Riberiro,  Millie</t>
  </si>
  <si>
    <t>2395 Snowtop Road</t>
  </si>
  <si>
    <t>Gibson,  Vanessa</t>
  </si>
  <si>
    <t>2396 Snowtop Road</t>
  </si>
  <si>
    <t>Love, Michael</t>
  </si>
  <si>
    <t>2397 Snowtop Road</t>
  </si>
  <si>
    <t>Pereira,  Sofia</t>
  </si>
  <si>
    <t>2460 Picadily Lane</t>
  </si>
  <si>
    <t>Carvalho, Bruno</t>
  </si>
  <si>
    <t>2455 Wolfpack Terrace</t>
  </si>
  <si>
    <t>Rocha,  Ana</t>
  </si>
  <si>
    <t>7787 Heavenly Road</t>
  </si>
  <si>
    <t>Singleton,  Sandra</t>
  </si>
  <si>
    <t>7788 Heavenly Road</t>
  </si>
  <si>
    <t>Anderson,  Pete</t>
  </si>
  <si>
    <t>7789 Heavenly Road</t>
  </si>
  <si>
    <t>Montes,  Janet</t>
  </si>
  <si>
    <t>1945 Coyote Run</t>
  </si>
  <si>
    <t>Johanson, Fernanda</t>
  </si>
  <si>
    <t>4575 Viking Place</t>
  </si>
  <si>
    <t>Parton,  Donald</t>
  </si>
  <si>
    <t>1946 Coyote Run</t>
  </si>
  <si>
    <t>Campbell,  Glen</t>
  </si>
  <si>
    <t>4576 Viking Place</t>
  </si>
  <si>
    <t>Jager, Joe</t>
  </si>
  <si>
    <t>1947 Coyote Run</t>
  </si>
  <si>
    <t>Coster,  Kevin</t>
  </si>
  <si>
    <t>4577 Viking Place</t>
  </si>
  <si>
    <t>Silva,  Margarida</t>
  </si>
  <si>
    <t>2450 Picadily Lane</t>
  </si>
  <si>
    <t>Mount Roraima</t>
  </si>
  <si>
    <t>Gomes,  Quinton</t>
  </si>
  <si>
    <t>4545 Viking Place</t>
  </si>
  <si>
    <t>Dias,  Donald</t>
  </si>
  <si>
    <t>2795 Picadily Lane</t>
  </si>
  <si>
    <t>Costa,  Angela</t>
  </si>
  <si>
    <t>1965 Coyote Run</t>
  </si>
  <si>
    <t>Keaton,  Michael</t>
  </si>
  <si>
    <t>2234 Heavenly Road</t>
  </si>
  <si>
    <t>Barker,  Brian</t>
  </si>
  <si>
    <t>2235 Heavenly Road</t>
  </si>
  <si>
    <t>Dorsey,  Brad</t>
  </si>
  <si>
    <t>2236 Heavenly Road</t>
  </si>
  <si>
    <t>Martins, William</t>
  </si>
  <si>
    <t>2495 Wolfpack Terrace</t>
  </si>
  <si>
    <t>Montes,  Felix</t>
  </si>
  <si>
    <t>7777 Heavenly Road</t>
  </si>
  <si>
    <t>Azevedo,  Susan</t>
  </si>
  <si>
    <t>4544 Heavenly Road</t>
  </si>
  <si>
    <t>Greenspan,  Bruna</t>
  </si>
  <si>
    <t>7748 Heavenly Road</t>
  </si>
  <si>
    <t>Zelker, Diane</t>
  </si>
  <si>
    <t>7749 Heavenly Road</t>
  </si>
  <si>
    <t>Lima,  Augusto</t>
  </si>
  <si>
    <t>1975 Coyote Run</t>
  </si>
  <si>
    <t>Ferreira,  Sylvia</t>
  </si>
  <si>
    <t>2005 Coyote Run</t>
  </si>
  <si>
    <t>Melo, Adam</t>
  </si>
  <si>
    <t>2595 Snowtop Road</t>
  </si>
  <si>
    <t>Cardoso,  Juliana</t>
  </si>
  <si>
    <t>3005 Wolfpack Terrace</t>
  </si>
  <si>
    <t>Allen, Woody</t>
  </si>
  <si>
    <t>3006 Wolfpack Terrace</t>
  </si>
  <si>
    <t>Packer,  Bailey</t>
  </si>
  <si>
    <t>3007 Wolfpack Terrace</t>
  </si>
  <si>
    <t>Santos, Manuel</t>
  </si>
  <si>
    <t>1985 Coyote Run</t>
  </si>
  <si>
    <t>Rodriques,  Wilson</t>
  </si>
  <si>
    <t>2475 Wolfpack Terrace</t>
  </si>
  <si>
    <t>Fernandes,  Kathy</t>
  </si>
  <si>
    <t>2385 Snowtop Road</t>
  </si>
  <si>
    <t>Potter,  Harry</t>
  </si>
  <si>
    <t>2386 Snowtop Road</t>
  </si>
  <si>
    <t>Turner, John</t>
  </si>
  <si>
    <t>2387 Snowtop Road</t>
  </si>
  <si>
    <t>Hinson,  Nicole</t>
  </si>
  <si>
    <t>2405 Wolfpack Terrace</t>
  </si>
  <si>
    <t>Miller,  Michelle</t>
  </si>
  <si>
    <t>2406 Wolfpack Terrace</t>
  </si>
  <si>
    <t>Snow,  Olaf</t>
  </si>
  <si>
    <t>2407 Wolfpack Terrace</t>
  </si>
  <si>
    <t>Plan</t>
  </si>
  <si>
    <t>Holiday</t>
  </si>
  <si>
    <t>Holiday Date</t>
  </si>
  <si>
    <t>New Years Day</t>
  </si>
  <si>
    <t>Memorial Day</t>
  </si>
  <si>
    <t>Independence Day</t>
  </si>
  <si>
    <t>Labor Day</t>
  </si>
  <si>
    <t>Thanksgiving</t>
  </si>
  <si>
    <t>Christmas</t>
  </si>
  <si>
    <t>My Birthday</t>
  </si>
  <si>
    <t>Select 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</si>
</sst>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1" fillId="2" fontId="2" numFmtId="0" xfId="0" applyAlignment="1" applyBorder="1" applyFill="1" applyFont="1">
      <alignment vertical="center"/>
    </xf>
    <xf borderId="1" fillId="2" fontId="2" numFmtId="164" xfId="0" applyAlignment="1" applyBorder="1" applyFont="1" applyNumberFormat="1">
      <alignment vertical="center"/>
    </xf>
    <xf borderId="1" fillId="2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164" xfId="0" applyAlignment="1" applyBorder="1" applyFont="1" applyNumberFormat="1">
      <alignment vertical="center"/>
    </xf>
    <xf borderId="2" fillId="0" fontId="1" numFmtId="14" xfId="0" applyAlignment="1" applyBorder="1" applyFont="1" applyNumberFormat="1">
      <alignment vertical="center"/>
    </xf>
    <xf borderId="3" fillId="0" fontId="1" numFmtId="0" xfId="0" applyAlignment="1" applyBorder="1" applyFont="1">
      <alignment vertical="center"/>
    </xf>
    <xf borderId="3" fillId="0" fontId="1" numFmtId="164" xfId="0" applyAlignment="1" applyBorder="1" applyFont="1" applyNumberFormat="1">
      <alignment vertical="center"/>
    </xf>
    <xf borderId="3" fillId="0" fontId="1" numFmtId="14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5" fillId="0" fontId="1" numFmtId="165" xfId="0" applyAlignment="1" applyBorder="1" applyFont="1" applyNumberFormat="1">
      <alignment readingOrder="0" vertical="center"/>
    </xf>
    <xf borderId="6" fillId="0" fontId="1" numFmtId="0" xfId="0" applyAlignment="1" applyBorder="1" applyFont="1">
      <alignment readingOrder="0" vertical="center"/>
    </xf>
    <xf borderId="7" fillId="0" fontId="1" numFmtId="165" xfId="0" applyAlignment="1" applyBorder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65" xfId="0" applyAlignment="1" applyFont="1" applyNumberFormat="1">
      <alignment readingOrder="0" vertical="center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3</xdr:row>
      <xdr:rowOff>228600</xdr:rowOff>
    </xdr:from>
    <xdr:ext cx="4914900" cy="2219325"/>
    <xdr:sp>
      <xdr:nvSpPr>
        <xdr:cNvPr id="3" name="Shape 3"/>
        <xdr:cNvSpPr/>
      </xdr:nvSpPr>
      <xdr:spPr>
        <a:xfrm>
          <a:off x="2888550" y="2670338"/>
          <a:ext cx="4914900" cy="2219325"/>
        </a:xfrm>
        <a:prstGeom prst="rect">
          <a:avLst/>
        </a:prstGeom>
        <a:solidFill>
          <a:schemeClr val="dk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Note: Different countries recognize holidays on days other than the actual event.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For example,</a:t>
          </a: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in the United States, </a:t>
          </a: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federal law directs that if the holiday falls on a Saturday, it is observed on a Friday and if it falls on a Sunday, it is observed on a Monday.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For the purposes</a:t>
          </a:r>
          <a:r>
            <a:rPr b="1"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of this assignment, use the dates on this sheet</a:t>
          </a:r>
          <a:r>
            <a:rPr lang="en-US" sz="12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and do not make any such adjustments (except for adding your birthdate).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1.0"/>
    <col customWidth="1" min="3" max="3" width="25.13"/>
    <col customWidth="1" min="4" max="4" width="22.38"/>
    <col customWidth="1" min="5" max="5" width="15.0"/>
    <col customWidth="1" min="6" max="6" width="17.0"/>
    <col customWidth="1" min="7" max="7" width="25.25"/>
    <col customWidth="1" min="8" max="8" width="26.13"/>
    <col customWidth="1" min="9" max="9" width="35.0"/>
    <col customWidth="1" min="10" max="26" width="10.75"/>
  </cols>
  <sheetData>
    <row r="1" ht="19.5" customHeight="1">
      <c r="A1" s="1"/>
      <c r="B1" s="2"/>
      <c r="C1" s="2"/>
      <c r="D1" s="2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4" t="s">
        <v>0</v>
      </c>
      <c r="C2" s="4" t="s">
        <v>1</v>
      </c>
      <c r="D2" s="4" t="s">
        <v>2</v>
      </c>
      <c r="E2" s="5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7" t="s">
        <v>8</v>
      </c>
      <c r="C3" s="7" t="s">
        <v>9</v>
      </c>
      <c r="D3" s="7" t="s">
        <v>10</v>
      </c>
      <c r="E3" s="8">
        <f>TODAY()-60</f>
        <v>45671</v>
      </c>
      <c r="F3" s="7">
        <f>VLOOKUP(D3:D1000, 'Schedule Data'!B:C, 2, FALSE)</f>
        <v>85</v>
      </c>
      <c r="G3" s="9">
        <f>WORKDAY(E3, F3, 'Schedule Data'!C12:C17)</f>
        <v>45790</v>
      </c>
      <c r="H3" s="9">
        <f>_xlfn.WORKDAY.INTL(E3, F3, 11, 'Schedule Data'!C12:C17)</f>
        <v>45770</v>
      </c>
      <c r="I3" s="9">
        <f t="shared" ref="I3:I49" si="1">_xlfn.WORKDAY.INTL(E3, F3, 11)</f>
        <v>45770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7" t="s">
        <v>11</v>
      </c>
      <c r="C4" s="7" t="s">
        <v>12</v>
      </c>
      <c r="D4" s="7" t="s">
        <v>13</v>
      </c>
      <c r="E4" s="8">
        <f>TODAY()-56</f>
        <v>45675</v>
      </c>
      <c r="F4" s="7">
        <f>VLOOKUP(D4:D1000, 'Schedule Data'!B:C, 2, FALSE)</f>
        <v>60</v>
      </c>
      <c r="G4" s="9">
        <f>WORKDAY(E4, F4, 'Schedule Data'!C13:C18)</f>
        <v>45758</v>
      </c>
      <c r="H4" s="9">
        <f>_xlfn.WORKDAY.INTL(E4, F4, 11, 'Schedule Data'!C13:C18)</f>
        <v>45745</v>
      </c>
      <c r="I4" s="9">
        <f t="shared" si="1"/>
        <v>45745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7" t="s">
        <v>14</v>
      </c>
      <c r="C5" s="7" t="s">
        <v>15</v>
      </c>
      <c r="D5" s="7" t="s">
        <v>16</v>
      </c>
      <c r="E5" s="8">
        <f>TODAY()-50</f>
        <v>45681</v>
      </c>
      <c r="F5" s="7">
        <f>VLOOKUP(D5:D1000, 'Schedule Data'!B:C, 2, FALSE)</f>
        <v>75</v>
      </c>
      <c r="G5" s="9">
        <f>WORKDAY(E5, F5, 'Schedule Data'!C6:C11)</f>
        <v>45786</v>
      </c>
      <c r="H5" s="9">
        <f>_xlfn.WORKDAY.INTL(E5, F5, 11, 'Schedule Data'!C14:C19)</f>
        <v>45769</v>
      </c>
      <c r="I5" s="9">
        <f t="shared" si="1"/>
        <v>45769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7" t="s">
        <v>17</v>
      </c>
      <c r="C6" s="7" t="s">
        <v>18</v>
      </c>
      <c r="D6" s="7" t="s">
        <v>19</v>
      </c>
      <c r="E6" s="8">
        <f>TODAY()-47</f>
        <v>45684</v>
      </c>
      <c r="F6" s="7">
        <f>VLOOKUP(D6:D1000, 'Schedule Data'!B:C, 2, FALSE)</f>
        <v>80</v>
      </c>
      <c r="G6" s="9">
        <f>WORKDAY(E6, F6, 'Schedule Data'!C5:C10)</f>
        <v>45796</v>
      </c>
      <c r="H6" s="9">
        <f>_xlfn.WORKDAY.INTL(E6, F6, 11, 'Schedule Data'!C15:C20)</f>
        <v>45777</v>
      </c>
      <c r="I6" s="9">
        <f t="shared" si="1"/>
        <v>45777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7" t="s">
        <v>20</v>
      </c>
      <c r="C7" s="7" t="s">
        <v>21</v>
      </c>
      <c r="D7" s="7" t="s">
        <v>22</v>
      </c>
      <c r="E7" s="8">
        <f t="shared" ref="E7:E9" si="2">TODAY()-44</f>
        <v>45687</v>
      </c>
      <c r="F7" s="7">
        <f>VLOOKUP(D7:D1000, 'Schedule Data'!B:C, 2, FALSE)</f>
        <v>65</v>
      </c>
      <c r="G7" s="9">
        <f>WORKDAY(E7, F7, 'Schedule Data'!C27:C32)</f>
        <v>45778</v>
      </c>
      <c r="H7" s="9">
        <f>_xlfn.WORKDAY.INTL(E7, F7, 11, 'Schedule Data'!C16:C21)</f>
        <v>45763</v>
      </c>
      <c r="I7" s="9">
        <f t="shared" si="1"/>
        <v>45763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7" t="s">
        <v>23</v>
      </c>
      <c r="C8" s="7" t="s">
        <v>24</v>
      </c>
      <c r="D8" s="7" t="s">
        <v>22</v>
      </c>
      <c r="E8" s="8">
        <f t="shared" si="2"/>
        <v>45687</v>
      </c>
      <c r="F8" s="7">
        <f>VLOOKUP(D8:D1000, 'Schedule Data'!B:C, 2, FALSE)</f>
        <v>65</v>
      </c>
      <c r="G8" s="9">
        <f>WORKDAY(E8, F8, 'Schedule Data'!C37:C42)</f>
        <v>45778</v>
      </c>
      <c r="H8" s="9">
        <f>_xlfn.WORKDAY.INTL(E8, F8, 11, 'Schedule Data'!C17:C22)</f>
        <v>45763</v>
      </c>
      <c r="I8" s="9">
        <f t="shared" si="1"/>
        <v>45763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7" t="s">
        <v>25</v>
      </c>
      <c r="C9" s="7" t="s">
        <v>26</v>
      </c>
      <c r="D9" s="7" t="s">
        <v>22</v>
      </c>
      <c r="E9" s="8">
        <f t="shared" si="2"/>
        <v>45687</v>
      </c>
      <c r="F9" s="7">
        <f>VLOOKUP(D9:D1000, 'Schedule Data'!B:C, 2, FALSE)</f>
        <v>65</v>
      </c>
      <c r="G9" s="9">
        <f>WORKDAY(E9, F9, 'Schedule Data'!C47:C52)</f>
        <v>45778</v>
      </c>
      <c r="H9" s="9">
        <f>_xlfn.WORKDAY.INTL(E9, F9, 11, 'Schedule Data'!C18:C23)</f>
        <v>45763</v>
      </c>
      <c r="I9" s="9">
        <f t="shared" si="1"/>
        <v>45763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7" t="s">
        <v>27</v>
      </c>
      <c r="C10" s="7" t="s">
        <v>28</v>
      </c>
      <c r="D10" s="7" t="s">
        <v>10</v>
      </c>
      <c r="E10" s="8">
        <f t="shared" ref="E10:E12" si="3">TODAY()-43</f>
        <v>45688</v>
      </c>
      <c r="F10" s="7">
        <f>VLOOKUP(D10:D1000, 'Schedule Data'!B:C, 2, FALSE)</f>
        <v>85</v>
      </c>
      <c r="G10" s="9">
        <f>WORKDAY(E10, F10, 'Schedule Data'!C23:C28)</f>
        <v>45807</v>
      </c>
      <c r="H10" s="9">
        <f>_xlfn.WORKDAY.INTL(E10, F10, 11, 'Schedule Data'!C19:C24)</f>
        <v>45787</v>
      </c>
      <c r="I10" s="9">
        <f t="shared" si="1"/>
        <v>45787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7" t="s">
        <v>29</v>
      </c>
      <c r="C11" s="7" t="s">
        <v>30</v>
      </c>
      <c r="D11" s="7" t="s">
        <v>10</v>
      </c>
      <c r="E11" s="8">
        <f t="shared" si="3"/>
        <v>45688</v>
      </c>
      <c r="F11" s="7">
        <f>VLOOKUP(D11:D1000, 'Schedule Data'!B:C, 2, FALSE)</f>
        <v>85</v>
      </c>
      <c r="G11" s="9">
        <f>WORKDAY(E11, F11, 'Schedule Data'!C33:C38)</f>
        <v>45807</v>
      </c>
      <c r="H11" s="9">
        <f>_xlfn.WORKDAY.INTL(E11, F11, 11, 'Schedule Data'!C20:C25)</f>
        <v>45787</v>
      </c>
      <c r="I11" s="9">
        <f t="shared" si="1"/>
        <v>45787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7" t="s">
        <v>31</v>
      </c>
      <c r="C12" s="7" t="s">
        <v>32</v>
      </c>
      <c r="D12" s="7" t="s">
        <v>10</v>
      </c>
      <c r="E12" s="8">
        <f t="shared" si="3"/>
        <v>45688</v>
      </c>
      <c r="F12" s="7">
        <f>VLOOKUP(D12:D1000, 'Schedule Data'!B:C, 2, FALSE)</f>
        <v>85</v>
      </c>
      <c r="G12" s="9">
        <f>WORKDAY(E12, F12, 'Schedule Data'!C43:C48)</f>
        <v>45807</v>
      </c>
      <c r="H12" s="9">
        <f>_xlfn.WORKDAY.INTL(E12, F12, 11, 'Schedule Data'!C21:C26)</f>
        <v>45787</v>
      </c>
      <c r="I12" s="9">
        <f t="shared" si="1"/>
        <v>45787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7" t="s">
        <v>33</v>
      </c>
      <c r="C13" s="7" t="s">
        <v>34</v>
      </c>
      <c r="D13" s="7" t="s">
        <v>10</v>
      </c>
      <c r="E13" s="8">
        <f>TODAY()-40</f>
        <v>45691</v>
      </c>
      <c r="F13" s="7">
        <f>VLOOKUP(D13:D1000, 'Schedule Data'!B:C, 2, FALSE)</f>
        <v>85</v>
      </c>
      <c r="G13" s="9">
        <f>WORKDAY(E13, F13, 'Schedule Data'!C7:C12)</f>
        <v>45810</v>
      </c>
      <c r="H13" s="9">
        <f>_xlfn.WORKDAY.INTL(E13, F13, 11, 'Schedule Data'!C22:C27)</f>
        <v>45790</v>
      </c>
      <c r="I13" s="9">
        <f t="shared" si="1"/>
        <v>45790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7" t="s">
        <v>35</v>
      </c>
      <c r="C14" s="7" t="s">
        <v>36</v>
      </c>
      <c r="D14" s="7" t="s">
        <v>22</v>
      </c>
      <c r="E14" s="8">
        <f>TODAY()-37</f>
        <v>45694</v>
      </c>
      <c r="F14" s="7">
        <f>VLOOKUP(D14:D1000, 'Schedule Data'!B:C, 2, FALSE)</f>
        <v>65</v>
      </c>
      <c r="G14" s="9">
        <f>WORKDAY(E14, F14, 'Schedule Data'!C9:C14)</f>
        <v>45785</v>
      </c>
      <c r="H14" s="9">
        <f>_xlfn.WORKDAY.INTL(E14, F14, 11, 'Schedule Data'!C23:C28)</f>
        <v>45770</v>
      </c>
      <c r="I14" s="9">
        <f t="shared" si="1"/>
        <v>45770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7" t="s">
        <v>37</v>
      </c>
      <c r="C15" s="7" t="s">
        <v>38</v>
      </c>
      <c r="D15" s="7" t="s">
        <v>13</v>
      </c>
      <c r="E15" s="8">
        <f t="shared" ref="E15:E17" si="4">TODAY()-35</f>
        <v>45696</v>
      </c>
      <c r="F15" s="7">
        <f>VLOOKUP(D15:D1000, 'Schedule Data'!B:C, 2, FALSE)</f>
        <v>60</v>
      </c>
      <c r="G15" s="9">
        <f>WORKDAY(E15, F15, 'Schedule Data'!C22:C27)</f>
        <v>45779</v>
      </c>
      <c r="H15" s="9">
        <f>_xlfn.WORKDAY.INTL(E15, F15, 11, 'Schedule Data'!C24:C29)</f>
        <v>45766</v>
      </c>
      <c r="I15" s="9">
        <f t="shared" si="1"/>
        <v>45766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7" t="s">
        <v>39</v>
      </c>
      <c r="C16" s="7" t="s">
        <v>40</v>
      </c>
      <c r="D16" s="7" t="s">
        <v>13</v>
      </c>
      <c r="E16" s="8">
        <f t="shared" si="4"/>
        <v>45696</v>
      </c>
      <c r="F16" s="7">
        <f>VLOOKUP(D16:D1000, 'Schedule Data'!B:C, 2, FALSE)</f>
        <v>60</v>
      </c>
      <c r="G16" s="9">
        <f>WORKDAY(E16, F16, 'Schedule Data'!C32:C37)</f>
        <v>45779</v>
      </c>
      <c r="H16" s="9">
        <f>_xlfn.WORKDAY.INTL(E16, F16, 11, 'Schedule Data'!C25:C30)</f>
        <v>45766</v>
      </c>
      <c r="I16" s="9">
        <f t="shared" si="1"/>
        <v>45766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7" t="s">
        <v>41</v>
      </c>
      <c r="C17" s="7" t="s">
        <v>42</v>
      </c>
      <c r="D17" s="7" t="s">
        <v>13</v>
      </c>
      <c r="E17" s="8">
        <f t="shared" si="4"/>
        <v>45696</v>
      </c>
      <c r="F17" s="7">
        <f>VLOOKUP(D17:D1000, 'Schedule Data'!B:C, 2, FALSE)</f>
        <v>60</v>
      </c>
      <c r="G17" s="9">
        <f>WORKDAY(E17, F17, 'Schedule Data'!C42:C47)</f>
        <v>45779</v>
      </c>
      <c r="H17" s="9">
        <f>_xlfn.WORKDAY.INTL(E17, F17, 11, 'Schedule Data'!C26:C31)</f>
        <v>45766</v>
      </c>
      <c r="I17" s="9">
        <f t="shared" si="1"/>
        <v>45766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7" t="s">
        <v>43</v>
      </c>
      <c r="C18" s="7" t="s">
        <v>44</v>
      </c>
      <c r="D18" s="7" t="s">
        <v>16</v>
      </c>
      <c r="E18" s="8">
        <f t="shared" ref="E18:E23" si="5">TODAY()-34</f>
        <v>45697</v>
      </c>
      <c r="F18" s="7">
        <f>VLOOKUP(D18:D1000, 'Schedule Data'!B:C, 2, FALSE)</f>
        <v>75</v>
      </c>
      <c r="G18" s="9">
        <f>WORKDAY(E18, F18, 'Schedule Data'!C21:C26)</f>
        <v>45800</v>
      </c>
      <c r="H18" s="9">
        <f>_xlfn.WORKDAY.INTL(E18, F18, 11, 'Schedule Data'!C27:C32)</f>
        <v>45784</v>
      </c>
      <c r="I18" s="9">
        <f t="shared" si="1"/>
        <v>45784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7" t="s">
        <v>45</v>
      </c>
      <c r="C19" s="7" t="s">
        <v>46</v>
      </c>
      <c r="D19" s="7" t="s">
        <v>22</v>
      </c>
      <c r="E19" s="8">
        <f t="shared" si="5"/>
        <v>45697</v>
      </c>
      <c r="F19" s="7">
        <f>VLOOKUP(D19:D1000, 'Schedule Data'!B:C, 2, FALSE)</f>
        <v>65</v>
      </c>
      <c r="G19" s="9">
        <f>WORKDAY(E19, F19, 'Schedule Data'!C28:C33)</f>
        <v>45786</v>
      </c>
      <c r="H19" s="9">
        <f>_xlfn.WORKDAY.INTL(E19, F19, 11, 'Schedule Data'!C28:C33)</f>
        <v>45772</v>
      </c>
      <c r="I19" s="9">
        <f t="shared" si="1"/>
        <v>45772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7" t="s">
        <v>47</v>
      </c>
      <c r="C20" s="7" t="s">
        <v>48</v>
      </c>
      <c r="D20" s="7" t="s">
        <v>16</v>
      </c>
      <c r="E20" s="8">
        <f t="shared" si="5"/>
        <v>45697</v>
      </c>
      <c r="F20" s="7">
        <f>VLOOKUP(D20:D1000, 'Schedule Data'!B:C, 2, FALSE)</f>
        <v>75</v>
      </c>
      <c r="G20" s="9">
        <f>WORKDAY(E20, F20, 'Schedule Data'!C31:C36)</f>
        <v>45800</v>
      </c>
      <c r="H20" s="9">
        <f>_xlfn.WORKDAY.INTL(E20, F20, 11, 'Schedule Data'!C29:C34)</f>
        <v>45784</v>
      </c>
      <c r="I20" s="9">
        <f t="shared" si="1"/>
        <v>45784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7" t="s">
        <v>49</v>
      </c>
      <c r="C21" s="7" t="s">
        <v>50</v>
      </c>
      <c r="D21" s="7" t="s">
        <v>22</v>
      </c>
      <c r="E21" s="8">
        <f t="shared" si="5"/>
        <v>45697</v>
      </c>
      <c r="F21" s="7">
        <f>VLOOKUP(D21:D1000, 'Schedule Data'!B:C, 2, FALSE)</f>
        <v>65</v>
      </c>
      <c r="G21" s="9">
        <f>WORKDAY(E21, F21, 'Schedule Data'!C38:C43)</f>
        <v>45786</v>
      </c>
      <c r="H21" s="9">
        <f>_xlfn.WORKDAY.INTL(E21, F21, 11, 'Schedule Data'!C30:C35)</f>
        <v>45772</v>
      </c>
      <c r="I21" s="9">
        <f t="shared" si="1"/>
        <v>45772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7" t="s">
        <v>51</v>
      </c>
      <c r="C22" s="7" t="s">
        <v>52</v>
      </c>
      <c r="D22" s="7" t="s">
        <v>16</v>
      </c>
      <c r="E22" s="8">
        <f t="shared" si="5"/>
        <v>45697</v>
      </c>
      <c r="F22" s="7">
        <f>VLOOKUP(D22:D1000, 'Schedule Data'!B:C, 2, FALSE)</f>
        <v>75</v>
      </c>
      <c r="G22" s="9">
        <f>WORKDAY(E22, F22, 'Schedule Data'!C41:C46)</f>
        <v>45800</v>
      </c>
      <c r="H22" s="9">
        <f>_xlfn.WORKDAY.INTL(E22, F22, 11, 'Schedule Data'!C31:C36)</f>
        <v>45784</v>
      </c>
      <c r="I22" s="9">
        <f t="shared" si="1"/>
        <v>45784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7" t="s">
        <v>53</v>
      </c>
      <c r="C23" s="7" t="s">
        <v>54</v>
      </c>
      <c r="D23" s="7" t="s">
        <v>22</v>
      </c>
      <c r="E23" s="8">
        <f t="shared" si="5"/>
        <v>45697</v>
      </c>
      <c r="F23" s="7">
        <f>VLOOKUP(D23:D1000, 'Schedule Data'!B:C, 2, FALSE)</f>
        <v>65</v>
      </c>
      <c r="G23" s="9">
        <f>WORKDAY(E23, F23, 'Schedule Data'!C48:C53)</f>
        <v>45786</v>
      </c>
      <c r="H23" s="9">
        <f>_xlfn.WORKDAY.INTL(E23, F23, 11, 'Schedule Data'!C32:C37)</f>
        <v>45772</v>
      </c>
      <c r="I23" s="9">
        <f t="shared" si="1"/>
        <v>45772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7" t="s">
        <v>55</v>
      </c>
      <c r="C24" s="7" t="s">
        <v>56</v>
      </c>
      <c r="D24" s="7" t="s">
        <v>57</v>
      </c>
      <c r="E24" s="8">
        <f>TODAY()-33</f>
        <v>45698</v>
      </c>
      <c r="F24" s="7">
        <f>VLOOKUP(D24:D1000, 'Schedule Data'!B:C, 2, FALSE)</f>
        <v>70</v>
      </c>
      <c r="G24" s="9">
        <f>WORKDAY(E24, F24, 'Schedule Data'!C3:C8)</f>
        <v>45796</v>
      </c>
      <c r="H24" s="9">
        <f>_xlfn.WORKDAY.INTL(E24, F24, 11, 'Schedule Data'!C33:C38)</f>
        <v>45779</v>
      </c>
      <c r="I24" s="9">
        <f t="shared" si="1"/>
        <v>45779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7" t="s">
        <v>58</v>
      </c>
      <c r="C25" s="7" t="s">
        <v>59</v>
      </c>
      <c r="D25" s="7" t="s">
        <v>22</v>
      </c>
      <c r="E25" s="8">
        <f t="shared" ref="E25:E26" si="6">TODAY()-32</f>
        <v>45699</v>
      </c>
      <c r="F25" s="7">
        <f>VLOOKUP(D25:D1000, 'Schedule Data'!B:C, 2, FALSE)</f>
        <v>65</v>
      </c>
      <c r="G25" s="9">
        <f>WORKDAY(E25, F25, 'Schedule Data'!C15:C20)</f>
        <v>45790</v>
      </c>
      <c r="H25" s="9">
        <f>_xlfn.WORKDAY.INTL(E25, F25, 11, 'Schedule Data'!C34:C39)</f>
        <v>45775</v>
      </c>
      <c r="I25" s="9">
        <f t="shared" si="1"/>
        <v>45775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7" t="s">
        <v>60</v>
      </c>
      <c r="C26" s="7" t="s">
        <v>61</v>
      </c>
      <c r="D26" s="7" t="s">
        <v>22</v>
      </c>
      <c r="E26" s="8">
        <f t="shared" si="6"/>
        <v>45699</v>
      </c>
      <c r="F26" s="7">
        <f>VLOOKUP(D26:D1000, 'Schedule Data'!B:C, 2, FALSE)</f>
        <v>65</v>
      </c>
      <c r="G26" s="9">
        <f>WORKDAY(E26, F26, 'Schedule Data'!C18:C23)</f>
        <v>45790</v>
      </c>
      <c r="H26" s="9">
        <f>_xlfn.WORKDAY.INTL(E26, F26, 11, 'Schedule Data'!C35:C40)</f>
        <v>45775</v>
      </c>
      <c r="I26" s="9">
        <f t="shared" si="1"/>
        <v>45775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7" t="s">
        <v>62</v>
      </c>
      <c r="C27" s="7" t="s">
        <v>63</v>
      </c>
      <c r="D27" s="7" t="s">
        <v>22</v>
      </c>
      <c r="E27" s="8">
        <f>TODAY()-29</f>
        <v>45702</v>
      </c>
      <c r="F27" s="7">
        <f>VLOOKUP(D27:D1000, 'Schedule Data'!B:C, 2, FALSE)</f>
        <v>65</v>
      </c>
      <c r="G27" s="9">
        <f>WORKDAY(E27, F27, 'Schedule Data'!C14:C19)</f>
        <v>45793</v>
      </c>
      <c r="H27" s="9">
        <f>_xlfn.WORKDAY.INTL(E27, F27, 11, 'Schedule Data'!C36:C41)</f>
        <v>45778</v>
      </c>
      <c r="I27" s="9">
        <f t="shared" si="1"/>
        <v>45778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7" t="s">
        <v>64</v>
      </c>
      <c r="C28" s="7" t="s">
        <v>65</v>
      </c>
      <c r="D28" s="7" t="s">
        <v>13</v>
      </c>
      <c r="E28" s="8">
        <f t="shared" ref="E28:E30" si="7">TODAY()-28</f>
        <v>45703</v>
      </c>
      <c r="F28" s="7">
        <f>VLOOKUP(D28:D1000, 'Schedule Data'!B:C, 2, FALSE)</f>
        <v>60</v>
      </c>
      <c r="G28" s="9">
        <f>WORKDAY(E28, F28, 'Schedule Data'!C26:C31)</f>
        <v>45786</v>
      </c>
      <c r="H28" s="9">
        <f>_xlfn.WORKDAY.INTL(E28, F28, 11, 'Schedule Data'!C37:C42)</f>
        <v>45773</v>
      </c>
      <c r="I28" s="9">
        <f t="shared" si="1"/>
        <v>45773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7" t="s">
        <v>66</v>
      </c>
      <c r="C29" s="7" t="s">
        <v>67</v>
      </c>
      <c r="D29" s="7" t="s">
        <v>13</v>
      </c>
      <c r="E29" s="8">
        <f t="shared" si="7"/>
        <v>45703</v>
      </c>
      <c r="F29" s="7">
        <f>VLOOKUP(D29:D1000, 'Schedule Data'!B:C, 2, FALSE)</f>
        <v>60</v>
      </c>
      <c r="G29" s="9">
        <f>WORKDAY(E29, F29, 'Schedule Data'!C36:C41)</f>
        <v>45786</v>
      </c>
      <c r="H29" s="9">
        <f>_xlfn.WORKDAY.INTL(E29, F29, 11, 'Schedule Data'!C38:C43)</f>
        <v>45773</v>
      </c>
      <c r="I29" s="9">
        <f t="shared" si="1"/>
        <v>45773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7" t="s">
        <v>68</v>
      </c>
      <c r="C30" s="7" t="s">
        <v>69</v>
      </c>
      <c r="D30" s="7" t="s">
        <v>13</v>
      </c>
      <c r="E30" s="8">
        <f t="shared" si="7"/>
        <v>45703</v>
      </c>
      <c r="F30" s="7">
        <f>VLOOKUP(D30:D1000, 'Schedule Data'!B:C, 2, FALSE)</f>
        <v>60</v>
      </c>
      <c r="G30" s="9">
        <f>WORKDAY(E30, F30, 'Schedule Data'!C46:C51)</f>
        <v>45786</v>
      </c>
      <c r="H30" s="9">
        <f>_xlfn.WORKDAY.INTL(E30, F30, 11, 'Schedule Data'!C39:C44)</f>
        <v>45773</v>
      </c>
      <c r="I30" s="9">
        <f t="shared" si="1"/>
        <v>45773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7" t="s">
        <v>70</v>
      </c>
      <c r="C31" s="7" t="s">
        <v>71</v>
      </c>
      <c r="D31" s="7" t="s">
        <v>13</v>
      </c>
      <c r="E31" s="8">
        <f>TODAY()-21</f>
        <v>45710</v>
      </c>
      <c r="F31" s="7">
        <f>VLOOKUP(D31:D1000, 'Schedule Data'!B:C, 2, FALSE)</f>
        <v>60</v>
      </c>
      <c r="G31" s="9">
        <f>WORKDAY(E31, F31, 'Schedule Data'!C16:C21)</f>
        <v>45793</v>
      </c>
      <c r="H31" s="9">
        <f>_xlfn.WORKDAY.INTL(E31, F31, 11, 'Schedule Data'!C40:C45)</f>
        <v>45780</v>
      </c>
      <c r="I31" s="9">
        <f t="shared" si="1"/>
        <v>45780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7" t="s">
        <v>72</v>
      </c>
      <c r="C32" s="7" t="s">
        <v>73</v>
      </c>
      <c r="D32" s="7" t="s">
        <v>57</v>
      </c>
      <c r="E32" s="8">
        <f t="shared" ref="E32:E35" si="8">TODAY()-20</f>
        <v>45711</v>
      </c>
      <c r="F32" s="7">
        <f>VLOOKUP(D32:D1000, 'Schedule Data'!B:C, 2, FALSE)</f>
        <v>70</v>
      </c>
      <c r="G32" s="9">
        <f>WORKDAY(E32, F32, 'Schedule Data'!C19:C24)</f>
        <v>45807</v>
      </c>
      <c r="H32" s="9">
        <f>_xlfn.WORKDAY.INTL(E32, F32, 11, 'Schedule Data'!C41:C46)</f>
        <v>45792</v>
      </c>
      <c r="I32" s="9">
        <f t="shared" si="1"/>
        <v>45792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7" t="s">
        <v>74</v>
      </c>
      <c r="C33" s="7" t="s">
        <v>75</v>
      </c>
      <c r="D33" s="7" t="s">
        <v>16</v>
      </c>
      <c r="E33" s="8">
        <f t="shared" si="8"/>
        <v>45711</v>
      </c>
      <c r="F33" s="7">
        <f>VLOOKUP(D33:D1000, 'Schedule Data'!B:C, 2, FALSE)</f>
        <v>75</v>
      </c>
      <c r="G33" s="9">
        <f>WORKDAY(E33, F33, 'Schedule Data'!C20:C25)</f>
        <v>45814</v>
      </c>
      <c r="H33" s="9">
        <f>_xlfn.WORKDAY.INTL(E33, F33, 11, 'Schedule Data'!C42:C47)</f>
        <v>45798</v>
      </c>
      <c r="I33" s="9">
        <f t="shared" si="1"/>
        <v>45798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7" t="s">
        <v>76</v>
      </c>
      <c r="C34" s="7" t="s">
        <v>77</v>
      </c>
      <c r="D34" s="7" t="s">
        <v>16</v>
      </c>
      <c r="E34" s="8">
        <f t="shared" si="8"/>
        <v>45711</v>
      </c>
      <c r="F34" s="7">
        <f>VLOOKUP(D34:D1000, 'Schedule Data'!B:C, 2, FALSE)</f>
        <v>75</v>
      </c>
      <c r="G34" s="9">
        <f>WORKDAY(E34, F34, 'Schedule Data'!C30:C35)</f>
        <v>45814</v>
      </c>
      <c r="H34" s="9">
        <f>_xlfn.WORKDAY.INTL(E34, F34, 11, 'Schedule Data'!C43:C48)</f>
        <v>45798</v>
      </c>
      <c r="I34" s="9">
        <f t="shared" si="1"/>
        <v>45798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7" t="s">
        <v>78</v>
      </c>
      <c r="C35" s="7" t="s">
        <v>79</v>
      </c>
      <c r="D35" s="7" t="s">
        <v>16</v>
      </c>
      <c r="E35" s="8">
        <f t="shared" si="8"/>
        <v>45711</v>
      </c>
      <c r="F35" s="7">
        <f>VLOOKUP(D35:D1000, 'Schedule Data'!B:C, 2, FALSE)</f>
        <v>75</v>
      </c>
      <c r="G35" s="9">
        <f>WORKDAY(E35, F35, 'Schedule Data'!C40:C45)</f>
        <v>45814</v>
      </c>
      <c r="H35" s="9">
        <f>_xlfn.WORKDAY.INTL(E35, F35, 11, 'Schedule Data'!C44:C49)</f>
        <v>45798</v>
      </c>
      <c r="I35" s="9">
        <f t="shared" si="1"/>
        <v>45798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7" t="s">
        <v>80</v>
      </c>
      <c r="C36" s="7" t="s">
        <v>81</v>
      </c>
      <c r="D36" s="7" t="s">
        <v>13</v>
      </c>
      <c r="E36" s="8">
        <f>TODAY()-19</f>
        <v>45712</v>
      </c>
      <c r="F36" s="7">
        <f>VLOOKUP(D36:D1000, 'Schedule Data'!B:C, 2, FALSE)</f>
        <v>60</v>
      </c>
      <c r="G36" s="9">
        <f>WORKDAY(E36, F36, 'Schedule Data'!C8:C13)</f>
        <v>45796</v>
      </c>
      <c r="H36" s="9">
        <f>_xlfn.WORKDAY.INTL(E36, F36, 11, 'Schedule Data'!C45:C50)</f>
        <v>45782</v>
      </c>
      <c r="I36" s="9">
        <f t="shared" si="1"/>
        <v>45782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7" t="s">
        <v>82</v>
      </c>
      <c r="C37" s="7" t="s">
        <v>83</v>
      </c>
      <c r="D37" s="7" t="s">
        <v>19</v>
      </c>
      <c r="E37" s="8">
        <f>TODAY()-18</f>
        <v>45713</v>
      </c>
      <c r="F37" s="7">
        <f>VLOOKUP(D37:D1000, 'Schedule Data'!B:C, 2, FALSE)</f>
        <v>80</v>
      </c>
      <c r="G37" s="9">
        <f>WORKDAY(E37, F37, 'Schedule Data'!C10:C15)</f>
        <v>45825</v>
      </c>
      <c r="H37" s="9">
        <f>_xlfn.WORKDAY.INTL(E37, F37, 11, 'Schedule Data'!C46:C51)</f>
        <v>45806</v>
      </c>
      <c r="I37" s="9">
        <f t="shared" si="1"/>
        <v>45806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7" t="s">
        <v>84</v>
      </c>
      <c r="C38" s="7" t="s">
        <v>85</v>
      </c>
      <c r="D38" s="7" t="s">
        <v>19</v>
      </c>
      <c r="E38" s="8">
        <f>TODAY()-14</f>
        <v>45717</v>
      </c>
      <c r="F38" s="7">
        <f>VLOOKUP(D38:D1000, 'Schedule Data'!B:C, 2, FALSE)</f>
        <v>80</v>
      </c>
      <c r="G38" s="9">
        <f>WORKDAY(E38, F38, 'Schedule Data'!C17:C22)</f>
        <v>45828</v>
      </c>
      <c r="H38" s="9">
        <f>_xlfn.WORKDAY.INTL(E38, F38, 11, 'Schedule Data'!C47:C52)</f>
        <v>45811</v>
      </c>
      <c r="I38" s="9">
        <f t="shared" si="1"/>
        <v>45811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7" t="s">
        <v>86</v>
      </c>
      <c r="C39" s="7" t="s">
        <v>87</v>
      </c>
      <c r="D39" s="7" t="s">
        <v>13</v>
      </c>
      <c r="E39" s="8">
        <f t="shared" ref="E39:E41" si="9">TODAY()-10</f>
        <v>45721</v>
      </c>
      <c r="F39" s="7">
        <f>VLOOKUP(D39:D1000, 'Schedule Data'!B:C, 2, FALSE)</f>
        <v>60</v>
      </c>
      <c r="G39" s="9">
        <f>WORKDAY(E39, F39, 'Schedule Data'!C24:C29)</f>
        <v>45805</v>
      </c>
      <c r="H39" s="9">
        <f>_xlfn.WORKDAY.INTL(E39, F39, 11, 'Schedule Data'!C48:C53)</f>
        <v>45791</v>
      </c>
      <c r="I39" s="9">
        <f t="shared" si="1"/>
        <v>45791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7" t="s">
        <v>88</v>
      </c>
      <c r="C40" s="7" t="s">
        <v>89</v>
      </c>
      <c r="D40" s="7" t="s">
        <v>13</v>
      </c>
      <c r="E40" s="8">
        <f t="shared" si="9"/>
        <v>45721</v>
      </c>
      <c r="F40" s="7">
        <f>VLOOKUP(D40:D1000, 'Schedule Data'!B:C, 2, FALSE)</f>
        <v>60</v>
      </c>
      <c r="G40" s="9">
        <f>WORKDAY(E40, F40, 'Schedule Data'!C34:C39)</f>
        <v>45805</v>
      </c>
      <c r="H40" s="9">
        <f>_xlfn.WORKDAY.INTL(E40, F40, 11, 'Schedule Data'!C49:C54)</f>
        <v>45791</v>
      </c>
      <c r="I40" s="9">
        <f t="shared" si="1"/>
        <v>45791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7" t="s">
        <v>90</v>
      </c>
      <c r="C41" s="7" t="s">
        <v>91</v>
      </c>
      <c r="D41" s="7" t="s">
        <v>13</v>
      </c>
      <c r="E41" s="8">
        <f t="shared" si="9"/>
        <v>45721</v>
      </c>
      <c r="F41" s="7">
        <f>VLOOKUP(D41:D1000, 'Schedule Data'!B:C, 2, FALSE)</f>
        <v>60</v>
      </c>
      <c r="G41" s="9">
        <f>WORKDAY(E41, F41, 'Schedule Data'!C44:C49)</f>
        <v>45805</v>
      </c>
      <c r="H41" s="9">
        <f>_xlfn.WORKDAY.INTL(E41, F41, 11, 'Schedule Data'!C50:C55)</f>
        <v>45791</v>
      </c>
      <c r="I41" s="9">
        <f t="shared" si="1"/>
        <v>45791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7" t="s">
        <v>92</v>
      </c>
      <c r="C42" s="7" t="s">
        <v>93</v>
      </c>
      <c r="D42" s="7" t="s">
        <v>22</v>
      </c>
      <c r="E42" s="8">
        <f t="shared" ref="E42:E43" si="10">TODAY()-6</f>
        <v>45725</v>
      </c>
      <c r="F42" s="7">
        <f>VLOOKUP(D42:D1000, 'Schedule Data'!B:C, 2, FALSE)</f>
        <v>65</v>
      </c>
      <c r="G42" s="9">
        <f>WORKDAY(E42, F42, 'Schedule Data'!C4:C9)</f>
        <v>45814</v>
      </c>
      <c r="H42" s="9">
        <f>_xlfn.WORKDAY.INTL(E42, F42, 11, 'Schedule Data'!C51:C56)</f>
        <v>45800</v>
      </c>
      <c r="I42" s="9">
        <f t="shared" si="1"/>
        <v>45800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7" t="s">
        <v>94</v>
      </c>
      <c r="C43" s="7" t="s">
        <v>95</v>
      </c>
      <c r="D43" s="7" t="s">
        <v>16</v>
      </c>
      <c r="E43" s="8">
        <f t="shared" si="10"/>
        <v>45725</v>
      </c>
      <c r="F43" s="7">
        <f>VLOOKUP(D43:D1000, 'Schedule Data'!B:C, 2, FALSE)</f>
        <v>75</v>
      </c>
      <c r="G43" s="9">
        <f>WORKDAY(E43, F43, 'Schedule Data'!C11:C16)</f>
        <v>45828</v>
      </c>
      <c r="H43" s="9">
        <f>_xlfn.WORKDAY.INTL(E43, F43, 11, 'Schedule Data'!C52:C57)</f>
        <v>45812</v>
      </c>
      <c r="I43" s="9">
        <f t="shared" si="1"/>
        <v>45812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7" t="s">
        <v>96</v>
      </c>
      <c r="C44" s="7" t="s">
        <v>97</v>
      </c>
      <c r="D44" s="7" t="s">
        <v>57</v>
      </c>
      <c r="E44" s="8">
        <f t="shared" ref="E44:E46" si="11">TODAY()-4</f>
        <v>45727</v>
      </c>
      <c r="F44" s="7">
        <f>VLOOKUP(D44:D1000, 'Schedule Data'!B:C, 2, FALSE)</f>
        <v>70</v>
      </c>
      <c r="G44" s="9">
        <f>WORKDAY(E44, F44, 'Schedule Data'!C25:C30)</f>
        <v>45825</v>
      </c>
      <c r="H44" s="9">
        <f>_xlfn.WORKDAY.INTL(E44, F44, 11, 'Schedule Data'!C53:C58)</f>
        <v>45808</v>
      </c>
      <c r="I44" s="9">
        <f t="shared" si="1"/>
        <v>45808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7" t="s">
        <v>98</v>
      </c>
      <c r="C45" s="7" t="s">
        <v>99</v>
      </c>
      <c r="D45" s="7" t="s">
        <v>57</v>
      </c>
      <c r="E45" s="8">
        <f t="shared" si="11"/>
        <v>45727</v>
      </c>
      <c r="F45" s="7">
        <f>VLOOKUP(D45:D1000, 'Schedule Data'!B:C, 2, FALSE)</f>
        <v>70</v>
      </c>
      <c r="G45" s="9">
        <f>WORKDAY(E45, F45, 'Schedule Data'!C35:C40)</f>
        <v>45825</v>
      </c>
      <c r="H45" s="9">
        <f>_xlfn.WORKDAY.INTL(E45, F45, 11, 'Schedule Data'!C54:C59)</f>
        <v>45808</v>
      </c>
      <c r="I45" s="9">
        <f t="shared" si="1"/>
        <v>45808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7" t="s">
        <v>100</v>
      </c>
      <c r="C46" s="7" t="s">
        <v>101</v>
      </c>
      <c r="D46" s="7" t="s">
        <v>57</v>
      </c>
      <c r="E46" s="8">
        <f t="shared" si="11"/>
        <v>45727</v>
      </c>
      <c r="F46" s="7">
        <f>VLOOKUP(D46:D1000, 'Schedule Data'!B:C, 2, FALSE)</f>
        <v>70</v>
      </c>
      <c r="G46" s="9">
        <f>WORKDAY(E46, F46, 'Schedule Data'!C45:C50)</f>
        <v>45825</v>
      </c>
      <c r="H46" s="9">
        <f>_xlfn.WORKDAY.INTL(E46, F46, 11, 'Schedule Data'!C55:C60)</f>
        <v>45808</v>
      </c>
      <c r="I46" s="9">
        <f t="shared" si="1"/>
        <v>45808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7" t="s">
        <v>102</v>
      </c>
      <c r="C47" s="7" t="s">
        <v>103</v>
      </c>
      <c r="D47" s="7" t="s">
        <v>13</v>
      </c>
      <c r="E47" s="8">
        <f t="shared" ref="E47:E49" si="12">TODAY()-1</f>
        <v>45730</v>
      </c>
      <c r="F47" s="7">
        <f>VLOOKUP(D47:D1000, 'Schedule Data'!B:C, 2, FALSE)</f>
        <v>60</v>
      </c>
      <c r="G47" s="9">
        <f>WORKDAY(E47, F47, 'Schedule Data'!C29:C34)</f>
        <v>45814</v>
      </c>
      <c r="H47" s="9">
        <f>_xlfn.WORKDAY.INTL(E47, F47, 11, 'Schedule Data'!C56:C61)</f>
        <v>45800</v>
      </c>
      <c r="I47" s="9">
        <f t="shared" si="1"/>
        <v>45800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7" t="s">
        <v>104</v>
      </c>
      <c r="C48" s="7" t="s">
        <v>105</v>
      </c>
      <c r="D48" s="7" t="s">
        <v>13</v>
      </c>
      <c r="E48" s="8">
        <f t="shared" si="12"/>
        <v>45730</v>
      </c>
      <c r="F48" s="7">
        <f>VLOOKUP(D48:D1000, 'Schedule Data'!B:C, 2, FALSE)</f>
        <v>60</v>
      </c>
      <c r="G48" s="9">
        <f>WORKDAY(E48, F48, 'Schedule Data'!C39:C44)</f>
        <v>45814</v>
      </c>
      <c r="H48" s="9">
        <f>_xlfn.WORKDAY.INTL(E48, F48, 11, 'Schedule Data'!C57:C62)</f>
        <v>45800</v>
      </c>
      <c r="I48" s="9">
        <f t="shared" si="1"/>
        <v>45800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0" t="s">
        <v>106</v>
      </c>
      <c r="C49" s="10" t="s">
        <v>107</v>
      </c>
      <c r="D49" s="10" t="s">
        <v>13</v>
      </c>
      <c r="E49" s="11">
        <f t="shared" si="12"/>
        <v>45730</v>
      </c>
      <c r="F49" s="10">
        <f>VLOOKUP(D49:D1000, 'Schedule Data'!B:C, 2, FALSE)</f>
        <v>60</v>
      </c>
      <c r="G49" s="12">
        <f>WORKDAY(E49, F49, 'Schedule Data'!C49:C54)</f>
        <v>45814</v>
      </c>
      <c r="H49" s="12">
        <f>_xlfn.WORKDAY.INTL(E49, F49, 11, 'Schedule Data'!C58:C63)</f>
        <v>45800</v>
      </c>
      <c r="I49" s="12">
        <f t="shared" si="1"/>
        <v>45800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3.13"/>
    <col customWidth="1" min="3" max="3" width="16.75"/>
    <col customWidth="1" min="4" max="4" width="10.75"/>
    <col customWidth="1" min="5" max="5" width="18.63"/>
    <col customWidth="1" min="6" max="6" width="15.5"/>
    <col customWidth="1" min="7" max="26" width="10.7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4" t="s">
        <v>108</v>
      </c>
      <c r="C2" s="4" t="s">
        <v>4</v>
      </c>
      <c r="D2" s="1"/>
      <c r="E2" s="6" t="s">
        <v>109</v>
      </c>
      <c r="F2" s="5" t="s">
        <v>110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4" t="s">
        <v>13</v>
      </c>
      <c r="C3" s="15">
        <v>60.0</v>
      </c>
      <c r="D3" s="1"/>
      <c r="E3" s="14" t="s">
        <v>111</v>
      </c>
      <c r="F3" s="16">
        <f>DATE(YEAR(TODAY()),1,1)</f>
        <v>45658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14" t="s">
        <v>22</v>
      </c>
      <c r="C4" s="15">
        <v>65.0</v>
      </c>
      <c r="D4" s="1"/>
      <c r="E4" s="14" t="s">
        <v>112</v>
      </c>
      <c r="F4" s="16">
        <f>IF(WEEKDAY(DATE(YEAR(TODAY()),5,31))&gt;=2,DATE(YEAR(TODAY()),5,31)-WEEKDAY(DATE(YEAR(TODAY()),5,31))+2,DATE(YEAR(TODAY()),5,31)-5-WEEKDAY(DATE(YEAR(TODAY()),5,31)))</f>
        <v>45803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4" t="s">
        <v>57</v>
      </c>
      <c r="C5" s="15">
        <v>70.0</v>
      </c>
      <c r="D5" s="1"/>
      <c r="E5" s="14" t="s">
        <v>113</v>
      </c>
      <c r="F5" s="16">
        <f>DATE(YEAR(TODAY()),7,4)</f>
        <v>45842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4" t="s">
        <v>16</v>
      </c>
      <c r="C6" s="15">
        <v>75.0</v>
      </c>
      <c r="D6" s="1"/>
      <c r="E6" s="14" t="s">
        <v>114</v>
      </c>
      <c r="F6" s="16">
        <f>IF(WEEKDAY(DATE(YEAR(TODAY()),9,1))&gt;2,DATE(YEAR(TODAY()),9,1)-WEEKDAY(DATE(YEAR(TODAY()),9,1))+9,DATE(YEAR(TODAY()),9,1)-WEEKDAY(DATE(YEAR(TODAY()),9,1))+2)</f>
        <v>45901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4" t="s">
        <v>19</v>
      </c>
      <c r="C7" s="15">
        <v>80.0</v>
      </c>
      <c r="D7" s="1"/>
      <c r="E7" s="14" t="s">
        <v>115</v>
      </c>
      <c r="F7" s="16">
        <f>IF(WEEKDAY(DATE(YEAR(TODAY()),11,1))&lt;6,DATE(YEAR(TODAY()),11,1)-WEEKDAY(DATE(YEAR(TODAY()),11,1))+26,DATE(YEAR(TODAY()),11,1)-WEEKDAY(DATE(YEAR(TODAY()),11,1))+33)</f>
        <v>45988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7" t="s">
        <v>10</v>
      </c>
      <c r="C8" s="18">
        <v>85.0</v>
      </c>
      <c r="D8" s="1"/>
      <c r="E8" s="14" t="s">
        <v>116</v>
      </c>
      <c r="F8" s="16">
        <f>DATE(YEAR(TODAY()),12,25)</f>
        <v>46016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"/>
      <c r="C9" s="1"/>
      <c r="D9" s="1"/>
      <c r="E9" s="14" t="s">
        <v>111</v>
      </c>
      <c r="F9" s="16">
        <f>DATE(YEAR(TODAY())+1,1,1)</f>
        <v>46023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"/>
      <c r="C10" s="1"/>
      <c r="D10" s="1"/>
      <c r="E10" s="14" t="s">
        <v>112</v>
      </c>
      <c r="F10" s="16">
        <f>IF(WEEKDAY(DATE(YEAR(TODAY())+1,5,31))&gt;=2,DATE(YEAR(TODAY())+1,5,31)-WEEKDAY(DATE(YEAR(TODAY())+1,5,31))+2,DATE(YEAR(TODAY())+1,5,31)-5-WEEKDAY(DATE(YEAR(TODAY())+1,5,31)))</f>
        <v>46167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4" t="s">
        <v>113</v>
      </c>
      <c r="F11" s="16">
        <f>DATE(YEAR(TODAY())+1,7,4)</f>
        <v>46207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3"/>
      <c r="D12" s="1"/>
      <c r="E12" s="14" t="s">
        <v>114</v>
      </c>
      <c r="F12" s="16">
        <f>IF(WEEKDAY(DATE(YEAR(TODAY())+1,9,1))&gt;2,DATE(YEAR(TODAY())+1,9,1)-WEEKDAY(DATE(YEAR(TODAY())+1,9,1))+9,DATE(YEAR(TODAY())+1,9,1)-WEEKDAY(DATE(YEAR(TODAY())+1,9,1))+2)</f>
        <v>46272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3"/>
      <c r="D13" s="1"/>
      <c r="E13" s="14" t="s">
        <v>115</v>
      </c>
      <c r="F13" s="16">
        <f>IF(WEEKDAY(DATE(YEAR(TODAY())+1,11,1))&lt;6,DATE(YEAR(TODAY())+1,11,1)-WEEKDAY(DATE(YEAR(TODAY())+1,11,1))+26,DATE(YEAR(TODAY())+1,11,1)-WEEKDAY(DATE(YEAR(TODAY())+1,11,1))+33)</f>
        <v>46352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3"/>
      <c r="D14" s="1"/>
      <c r="E14" s="14" t="s">
        <v>116</v>
      </c>
      <c r="F14" s="16">
        <f>DATE(YEAR(TODAY())+1,12,25)</f>
        <v>46381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3"/>
      <c r="D15" s="1"/>
      <c r="E15" s="14" t="s">
        <v>111</v>
      </c>
      <c r="F15" s="16">
        <f>DATE(YEAR(TODAY())-1,1,1)</f>
        <v>45292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3"/>
      <c r="D16" s="1"/>
      <c r="E16" s="14" t="s">
        <v>112</v>
      </c>
      <c r="F16" s="16">
        <f>IF(WEEKDAY(DATE(YEAR(TODAY())-1,5,31))&gt;=2,DATE(YEAR(TODAY())-1,5,31)-WEEKDAY(DATE(YEAR(TODAY())-1,5,31))+2,DATE(YEAR(TODAY())-1,5,31)-5-WEEKDAY(DATE(YEAR(TODAY())-1,5,31)))</f>
        <v>45439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3"/>
      <c r="D17" s="1"/>
      <c r="E17" s="14" t="s">
        <v>113</v>
      </c>
      <c r="F17" s="16">
        <f>DATE(YEAR(TODAY())-1,7,4)</f>
        <v>45477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3"/>
      <c r="D18" s="1"/>
      <c r="E18" s="14" t="s">
        <v>114</v>
      </c>
      <c r="F18" s="16">
        <f>IF(WEEKDAY(DATE(YEAR(TODAY())-1,9,1))&gt;2,DATE(YEAR(TODAY())-1,9,1)-WEEKDAY(DATE(YEAR(TODAY())-1,9,1))+9,DATE(YEAR(TODAY())-1,9,1)-WEEKDAY(DATE(YEAR(TODAY())-1,9,1))+2)</f>
        <v>45537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3"/>
      <c r="D19" s="1"/>
      <c r="E19" s="14" t="s">
        <v>115</v>
      </c>
      <c r="F19" s="16">
        <f>IF(WEEKDAY(DATE(YEAR(TODAY())-1,11,1))&lt;6,DATE(YEAR(TODAY())-1,11,1)-WEEKDAY(DATE(YEAR(TODAY())-1,11,1))+26,DATE(YEAR(TODAY())-1,11,1)-WEEKDAY(DATE(YEAR(TODAY())-1,11,1))+33)</f>
        <v>45624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3"/>
      <c r="D20" s="1"/>
      <c r="E20" s="14" t="s">
        <v>116</v>
      </c>
      <c r="F20" s="16">
        <f>DATE(YEAR(TODAY())-1,12,25)</f>
        <v>45651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3"/>
      <c r="D21" s="1"/>
      <c r="E21" s="19" t="s">
        <v>117</v>
      </c>
      <c r="F21" s="20">
        <v>46014.0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3"/>
      <c r="D22" s="1"/>
      <c r="E22" s="21" t="s">
        <v>117</v>
      </c>
      <c r="F22" s="22">
        <v>46379.0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23"/>
      <c r="C31" s="2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24.75"/>
    <col customWidth="1" min="4" max="4" width="13.25"/>
    <col customWidth="1" min="5" max="5" width="11.75"/>
    <col customWidth="1" min="6" max="6" width="12.63"/>
    <col customWidth="1" min="7" max="7" width="11.5"/>
    <col customWidth="1" min="8" max="8" width="11.38"/>
  </cols>
  <sheetData>
    <row r="1">
      <c r="A1" s="25" t="s">
        <v>118</v>
      </c>
      <c r="B1" s="26" t="s">
        <v>8</v>
      </c>
      <c r="C1" s="1"/>
      <c r="D1" s="13"/>
      <c r="E1" s="23"/>
      <c r="F1" s="23"/>
      <c r="G1" s="23"/>
      <c r="H1" s="23"/>
    </row>
    <row r="2">
      <c r="A2" s="27" t="s">
        <v>1</v>
      </c>
      <c r="B2" s="28" t="str">
        <f>VLOOKUP(B1, 'Customer Data'!B:E, 2, FALSE)</f>
        <v>2445 Snowtop Road</v>
      </c>
    </row>
    <row r="3">
      <c r="A3" s="29" t="s">
        <v>2</v>
      </c>
      <c r="B3" s="28" t="str">
        <f>VLOOKUP(B1, 'Customer Data'!B:E, 3, FALSE)</f>
        <v>Guiana Highlands</v>
      </c>
    </row>
    <row r="4">
      <c r="A4" s="29" t="s">
        <v>3</v>
      </c>
      <c r="B4" s="30">
        <f>VLOOKUP(B1, 'Customer Data'!B:E, 4, FALSE)</f>
        <v>45671</v>
      </c>
    </row>
    <row r="5">
      <c r="A5" s="29" t="s">
        <v>4</v>
      </c>
      <c r="B5" s="31">
        <f>VLOOKUP(B1, 'Customer Data'!B:F, 5, FALSE)</f>
        <v>85</v>
      </c>
    </row>
    <row r="6">
      <c r="A6" s="29" t="s">
        <v>5</v>
      </c>
      <c r="B6" s="32">
        <f>VLOOKUP(B1, 'Customer Data'!B:G, 6, FALSE)</f>
        <v>45790</v>
      </c>
    </row>
    <row r="7">
      <c r="A7" s="29" t="s">
        <v>6</v>
      </c>
      <c r="B7" s="32">
        <f>VLOOKUP(B1, 'Customer Data'!B:H, 7, FALSE)</f>
        <v>45770</v>
      </c>
    </row>
    <row r="8">
      <c r="A8" s="29" t="s">
        <v>7</v>
      </c>
      <c r="B8" s="32">
        <f>VLOOKUP(B1, 'Customer Data'!B:I, 8, FALSE)</f>
        <v>45770</v>
      </c>
    </row>
    <row r="9">
      <c r="A9" s="33"/>
    </row>
    <row r="10">
      <c r="A10" s="34"/>
    </row>
  </sheetData>
  <dataValidations>
    <dataValidation type="list" allowBlank="1" showErrorMessage="1" sqref="B1">
      <formula1>'Customer Data'!$B$3:$B$49</formula1>
    </dataValidation>
  </dataValidations>
  <drawing r:id="rId1"/>
</worksheet>
</file>