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0698F0CF-946C-424E-A2A7-8CBFD93B4479}" xr6:coauthVersionLast="47" xr6:coauthVersionMax="47" xr10:uidLastSave="{00000000-0000-0000-0000-000000000000}"/>
  <bookViews>
    <workbookView xWindow="-110" yWindow="-110" windowWidth="19420" windowHeight="10300" firstSheet="1" activeTab="4" xr2:uid="{605BB525-A4A3-AF4F-BD58-D82989C7055C}"/>
  </bookViews>
  <sheets>
    <sheet name="Metadata &amp; Tax Calendar" sheetId="1" r:id="rId1"/>
    <sheet name="Imports Summary" sheetId="2" r:id="rId2"/>
    <sheet name="Exports Summary" sheetId="3" r:id="rId3"/>
    <sheet name="Product Level Analysis" sheetId="4" r:id="rId4"/>
    <sheet name="Dashboard" sheetId="7" r:id="rId5"/>
    <sheet name="Sheet1" sheetId="8" r:id="rId6"/>
  </sheets>
  <definedNames>
    <definedName name="Slicer_Change_Type">#N/A</definedName>
    <definedName name="Slicer_Year">#N/A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H3" i="2"/>
  <c r="H2" i="2"/>
  <c r="H4" i="2"/>
  <c r="H5" i="2"/>
  <c r="H6" i="2"/>
  <c r="H7" i="2"/>
  <c r="H8" i="2"/>
  <c r="H9" i="2"/>
  <c r="H10" i="2"/>
  <c r="H11" i="2"/>
  <c r="H12" i="2"/>
  <c r="H13" i="2"/>
  <c r="H14" i="2"/>
  <c r="H15" i="2"/>
  <c r="H16" i="2"/>
  <c r="H17" i="2"/>
  <c r="H18" i="2"/>
  <c r="H19" i="2"/>
  <c r="H20" i="2"/>
  <c r="H21" i="2"/>
  <c r="H22" i="2"/>
  <c r="H23" i="2"/>
  <c r="I2" i="2"/>
  <c r="I3" i="2"/>
  <c r="I4" i="2"/>
  <c r="I5" i="2"/>
  <c r="I6" i="2"/>
  <c r="I7" i="2"/>
  <c r="I8" i="2"/>
  <c r="I9" i="2"/>
  <c r="I10" i="2"/>
  <c r="I11" i="2"/>
  <c r="I12" i="2"/>
  <c r="I13" i="2"/>
  <c r="I14" i="2"/>
  <c r="I15" i="2"/>
  <c r="I16" i="2"/>
  <c r="I17" i="2"/>
  <c r="I18" i="2"/>
  <c r="I19" i="2"/>
  <c r="I20" i="2"/>
  <c r="I21" i="2"/>
  <c r="I22" i="2"/>
  <c r="I23" i="2"/>
  <c r="G2" i="2"/>
  <c r="G3" i="2"/>
  <c r="G4" i="2"/>
  <c r="G5" i="2"/>
  <c r="G6" i="2"/>
  <c r="G7" i="2"/>
  <c r="G8" i="2"/>
  <c r="G9" i="2"/>
  <c r="G10" i="2"/>
  <c r="G11" i="2"/>
  <c r="G12" i="2"/>
  <c r="G13" i="2"/>
  <c r="G14" i="2"/>
  <c r="G15" i="2"/>
  <c r="G16" i="2"/>
  <c r="G17" i="2"/>
  <c r="G18" i="2"/>
  <c r="G19" i="2"/>
  <c r="G20" i="2"/>
  <c r="G21" i="2"/>
  <c r="G22" i="2"/>
  <c r="G23" i="2"/>
  <c r="H2" i="1"/>
  <c r="H3" i="1"/>
  <c r="H4" i="1"/>
  <c r="H5" i="1"/>
  <c r="H6" i="1"/>
  <c r="H7" i="1"/>
  <c r="G2" i="1"/>
  <c r="G3" i="1"/>
  <c r="G4" i="1"/>
  <c r="G5" i="1"/>
  <c r="G6" i="1"/>
  <c r="G7" i="1"/>
  <c r="F2" i="1"/>
  <c r="F3" i="1"/>
  <c r="F4" i="1"/>
  <c r="F5" i="1"/>
  <c r="F6" i="1"/>
  <c r="F7" i="1"/>
  <c r="G15" i="4"/>
  <c r="G16" i="4"/>
  <c r="G11" i="4"/>
  <c r="G12" i="4"/>
  <c r="G13" i="4"/>
  <c r="G10" i="4"/>
  <c r="E10" i="4"/>
  <c r="E11" i="4"/>
  <c r="E12" i="4"/>
  <c r="E13" i="4"/>
  <c r="E14" i="4"/>
  <c r="E15" i="4"/>
  <c r="E16" i="4"/>
  <c r="E7" i="4"/>
  <c r="E8" i="4"/>
  <c r="E4" i="4"/>
  <c r="E5" i="4"/>
  <c r="E2" i="4"/>
  <c r="D3" i="2"/>
  <c r="D4" i="2"/>
  <c r="D5" i="2"/>
  <c r="D6" i="2"/>
  <c r="D7" i="2"/>
  <c r="D8" i="2"/>
  <c r="D9" i="2"/>
  <c r="D10" i="2"/>
  <c r="D11" i="2"/>
  <c r="D12" i="2"/>
  <c r="D13" i="2"/>
  <c r="D14" i="2"/>
  <c r="D15" i="2"/>
  <c r="D16" i="2"/>
  <c r="D17" i="2"/>
  <c r="D18" i="2"/>
  <c r="D19" i="2"/>
  <c r="D20" i="2"/>
  <c r="D21" i="2"/>
  <c r="D22" i="2"/>
  <c r="D23" i="2"/>
  <c r="D2" i="2"/>
  <c r="C3" i="2"/>
  <c r="C4" i="2"/>
  <c r="C5" i="2"/>
  <c r="C6" i="2"/>
  <c r="C7" i="2"/>
  <c r="C8" i="2"/>
  <c r="C9" i="2"/>
  <c r="C10" i="2"/>
  <c r="C11" i="2"/>
  <c r="C12" i="2"/>
  <c r="C13" i="2"/>
  <c r="C14" i="2"/>
  <c r="C15" i="2"/>
  <c r="C16" i="2"/>
  <c r="C17" i="2"/>
  <c r="C18" i="2"/>
  <c r="C19" i="2"/>
  <c r="C20" i="2"/>
  <c r="C21" i="2"/>
  <c r="C22" i="2"/>
  <c r="C23" i="2"/>
  <c r="C2" i="2"/>
  <c r="E2" i="2" l="1"/>
  <c r="E4" i="2"/>
  <c r="F4" i="2" s="1"/>
  <c r="E20" i="2"/>
  <c r="F20" i="2" s="1"/>
  <c r="E16" i="2"/>
  <c r="F16" i="2" s="1"/>
  <c r="E12" i="2"/>
  <c r="F12" i="2" s="1"/>
  <c r="E8" i="2"/>
  <c r="F8" i="2" s="1"/>
  <c r="E23" i="2"/>
  <c r="F23" i="2" s="1"/>
  <c r="E19" i="2"/>
  <c r="F19" i="2" s="1"/>
  <c r="E15" i="2"/>
  <c r="E11" i="2"/>
  <c r="F11" i="2" s="1"/>
  <c r="E7" i="2"/>
  <c r="F7" i="2" s="1"/>
  <c r="E3" i="2"/>
  <c r="F3" i="2" s="1"/>
  <c r="E22" i="2"/>
  <c r="F22" i="2" s="1"/>
  <c r="E18" i="2"/>
  <c r="F18" i="2" s="1"/>
  <c r="E14" i="2"/>
  <c r="F14" i="2" s="1"/>
  <c r="E10" i="2"/>
  <c r="F10" i="2" s="1"/>
  <c r="E6" i="2"/>
  <c r="F6" i="2" s="1"/>
  <c r="F2" i="2"/>
  <c r="E21" i="2"/>
  <c r="F21" i="2" s="1"/>
  <c r="E17" i="2"/>
  <c r="F17" i="2" s="1"/>
  <c r="E13" i="2"/>
  <c r="F13" i="2" s="1"/>
  <c r="E9" i="2"/>
  <c r="F9" i="2" s="1"/>
  <c r="E5" i="2"/>
  <c r="F5" i="2" s="1"/>
  <c r="F15" i="2"/>
</calcChain>
</file>

<file path=xl/sharedStrings.xml><?xml version="1.0" encoding="utf-8"?>
<sst xmlns="http://schemas.openxmlformats.org/spreadsheetml/2006/main" count="271" uniqueCount="119">
  <si>
    <t>Tax/Levy</t>
  </si>
  <si>
    <t>New Rate</t>
  </si>
  <si>
    <t>Effective Date</t>
  </si>
  <si>
    <t>Specifications</t>
  </si>
  <si>
    <t>Date Period</t>
  </si>
  <si>
    <t>RDL Paid</t>
  </si>
  <si>
    <t>IDF Amount</t>
  </si>
  <si>
    <t>VAT</t>
  </si>
  <si>
    <t>Net Total Duties Revenue</t>
  </si>
  <si>
    <t>Import Declaration Fee (IDF)</t>
  </si>
  <si>
    <t>Railway Development levy (RDL)</t>
  </si>
  <si>
    <t>Eco-Levy</t>
  </si>
  <si>
    <t>Export Promotion Levy</t>
  </si>
  <si>
    <t>VAT (various items)</t>
  </si>
  <si>
    <t>VAT registration threshold</t>
  </si>
  <si>
    <t>Pre-Bill Rate</t>
  </si>
  <si>
    <t>Post-Bill Rate</t>
  </si>
  <si>
    <t>Rate-Specific per unit/kg/listed goods</t>
  </si>
  <si>
    <t>IDF of customs value</t>
  </si>
  <si>
    <t>Applies to customs value</t>
  </si>
  <si>
    <t>Applies to electronics, tires, diapers, pads, motorcycles, etc.</t>
  </si>
  <si>
    <t>Reduced but scope expanded to more goods</t>
  </si>
  <si>
    <t>Bread, eggs, onions, FX services</t>
  </si>
  <si>
    <t>Smaller businesses exempted</t>
  </si>
  <si>
    <t>Total Import Value (Ksh Million)</t>
  </si>
  <si>
    <t>Total Export Value (Kshs Million)</t>
  </si>
  <si>
    <t>Products</t>
  </si>
  <si>
    <t>Eco Levy</t>
  </si>
  <si>
    <t>ELIP</t>
  </si>
  <si>
    <t>Furniture</t>
  </si>
  <si>
    <t>Diapers and Sanitary Towels</t>
  </si>
  <si>
    <t>Mobile Phones and Electronics</t>
  </si>
  <si>
    <t>Mattresses and Bedding</t>
  </si>
  <si>
    <t xml:space="preserve">Garments </t>
  </si>
  <si>
    <t>Footwear</t>
  </si>
  <si>
    <t>Leather Goods</t>
  </si>
  <si>
    <t>Total Import Value (Million USD)</t>
  </si>
  <si>
    <t>Notes</t>
  </si>
  <si>
    <t>Finished goods</t>
  </si>
  <si>
    <t>Locally produced</t>
  </si>
  <si>
    <t>Exempt under ICT development policy</t>
  </si>
  <si>
    <t>EAC finished goods</t>
  </si>
  <si>
    <t>EAC sensitive item</t>
  </si>
  <si>
    <t>Finished good</t>
  </si>
  <si>
    <t>Now included in 2024 bill</t>
  </si>
  <si>
    <t>Not subject to EIPL yet</t>
  </si>
  <si>
    <t>Added to EIPL List</t>
  </si>
  <si>
    <t>Included in EIPL 2024</t>
  </si>
  <si>
    <t>Value-added items targeted</t>
  </si>
  <si>
    <t>Not applicable before July 2024</t>
  </si>
  <si>
    <t>Not applicable before July 2025</t>
  </si>
  <si>
    <t>Not applicable before July 2026</t>
  </si>
  <si>
    <t>Not applicable before July 2027</t>
  </si>
  <si>
    <t>Not applicable before July 2028</t>
  </si>
  <si>
    <t>Not applicable before July 2029</t>
  </si>
  <si>
    <t>Not applicable before July 2030</t>
  </si>
  <si>
    <t>Exempt</t>
  </si>
  <si>
    <t>Mostly exempt</t>
  </si>
  <si>
    <t>If synthetic</t>
  </si>
  <si>
    <t>Foam Estimate</t>
  </si>
  <si>
    <t>Standard Electronics Rate</t>
  </si>
  <si>
    <t>Convert weight to value for estimate</t>
  </si>
  <si>
    <t>Estimate for plastic/foam</t>
  </si>
  <si>
    <t xml:space="preserve">Maize Flour (2kg sifted) </t>
  </si>
  <si>
    <t>Cooking Oil (1L)</t>
  </si>
  <si>
    <t>Sugar(Kg)</t>
  </si>
  <si>
    <t>Change Type</t>
  </si>
  <si>
    <t>Difference</t>
  </si>
  <si>
    <t>Row Labels</t>
  </si>
  <si>
    <t>Grand Total</t>
  </si>
  <si>
    <t>IsPercent</t>
  </si>
  <si>
    <t>Average of Pre-Bill Rate</t>
  </si>
  <si>
    <t>Average of Post-Bill Rate</t>
  </si>
  <si>
    <t>Yes</t>
  </si>
  <si>
    <t>Year</t>
  </si>
  <si>
    <t>Month</t>
  </si>
  <si>
    <t>Year-Month</t>
  </si>
  <si>
    <t>Monthly Trend of Total Import Value</t>
  </si>
  <si>
    <t>2023</t>
  </si>
  <si>
    <t>2024</t>
  </si>
  <si>
    <t>Jan</t>
  </si>
  <si>
    <t>Feb</t>
  </si>
  <si>
    <t>Mar</t>
  </si>
  <si>
    <t>Apr</t>
  </si>
  <si>
    <t>May</t>
  </si>
  <si>
    <t>Jun</t>
  </si>
  <si>
    <t>Jul</t>
  </si>
  <si>
    <t>Aug</t>
  </si>
  <si>
    <t>Sep</t>
  </si>
  <si>
    <t>Oct</t>
  </si>
  <si>
    <t>Nov</t>
  </si>
  <si>
    <t>Dec</t>
  </si>
  <si>
    <t>Sum of Total Import Value (Ksh Million)</t>
  </si>
  <si>
    <t>Duties Composition</t>
  </si>
  <si>
    <t>Sum of IDF Amount</t>
  </si>
  <si>
    <t>Sum of RDL Paid</t>
  </si>
  <si>
    <t>Years (Date Period)</t>
  </si>
  <si>
    <t>Sum of Total Export Value (Kshs Million)</t>
  </si>
  <si>
    <t>Months</t>
  </si>
  <si>
    <t>Notes2</t>
  </si>
  <si>
    <t>Notes3</t>
  </si>
  <si>
    <t>(blank)</t>
  </si>
  <si>
    <t>&lt;7/1/23</t>
  </si>
  <si>
    <t>Column Labels</t>
  </si>
  <si>
    <t>Sum of Total Import Value (Million USD)</t>
  </si>
  <si>
    <t>Total Sum of Total Import Value (Million USD)</t>
  </si>
  <si>
    <t>Total Sum of ELIP</t>
  </si>
  <si>
    <t>Sum of ELIP</t>
  </si>
  <si>
    <t>Total Sum of Eco Levy</t>
  </si>
  <si>
    <t>Sum of Eco Levy</t>
  </si>
  <si>
    <t>2023 Total</t>
  </si>
  <si>
    <t>2024 Total</t>
  </si>
  <si>
    <t>Sum of Cooking Oil (1L)</t>
  </si>
  <si>
    <t xml:space="preserve">Sum of Maize Flour (2kg sifted) </t>
  </si>
  <si>
    <t>Sum of Sugar(Kg)</t>
  </si>
  <si>
    <t>Months (Date Period)</t>
  </si>
  <si>
    <t>IMPORTS, EXPORTS, AND PRODUCT CHANGES BEFORE AND AFTER THE FINANCE BILL 2024</t>
  </si>
  <si>
    <t>SUMMARY</t>
  </si>
  <si>
    <t>From July 2024, Kenya implemented key customs and tax changes: IDF rose from 2.5% to 3%, RDL from 1.5% to 2%, and a new Eco Levy was introduced on select goods such as electronics, furniture, and diapers. VAT coverage expanded to previously exempt goods, while the registration threshold increased to Ksh 8M. Import revenue data (2023–2024) shows seasonal peaks in October–November, with VAT remaining the largest contributor. Export values fluctuated, with February 2024 recording the highest figure at over Ksh 107B. Product-level data from July 2023 vs. July 2024 shows major increases in imports for electronics and targeted goods, now generating additional ELIP and Eco Levy revenues. These measures are expected to boost customs collections while influencing import composition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</si>
</sst>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_(* #,##0_);_(* \(#,##0\);_(* &quot;-&quot;??_);_(@_)"/>
    <numFmt numFmtId="167" formatCode="[$-F400]h:mm:ss\ AM/PM"/>
    <numFmt numFmtId="168" formatCode="[$-409]d\-mmm\-yy;@"/>
  </numFmts>
  <fonts count="9">
    <font>
      <sz val="12"/>
      <color theme="1"/>
      <name val="Aptos Narrow"/>
      <family val="2"/>
      <scheme val="minor"/>
    </font>
    <font>
      <b/>
      <sz val="12"/>
      <color theme="1"/>
      <name val="Aptos Narrow"/>
      <scheme val="minor"/>
    </font>
    <font>
      <sz val="12"/>
      <color theme="1"/>
      <name val="Aptos Narrow"/>
      <scheme val="minor"/>
    </font>
    <font>
      <sz val="8"/>
      <name val="Aptos Narrow"/>
      <family val="2"/>
      <scheme val="minor"/>
    </font>
    <font>
      <sz val="12"/>
      <color theme="1"/>
      <name val="Aptos Narrow"/>
      <family val="2"/>
      <scheme val="minor"/>
    </font>
    <font>
      <b/>
      <sz val="12"/>
      <color theme="1"/>
      <name val="Aptos Narrow"/>
      <family val="2"/>
      <scheme val="minor"/>
    </font>
    <font>
      <sz val="28"/>
      <color theme="1"/>
      <name val="Aptos Narrow (Body)"/>
    </font>
    <font>
      <sz val="12"/>
      <color rgb="FF000000"/>
      <name val="Aptos Narrow"/>
      <family val="2"/>
    </font>
    <font>
      <b/>
      <u/>
      <sz val="12"/>
      <color theme="1"/>
      <name val="Aptos Narrow"/>
      <family val="2"/>
      <scheme val="minor"/>
    </font>
  </fonts>
  <fills count="5">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3" fontId="4" fillId="0" borderId="0" applyFont="0" applyFill="0" applyBorder="0" applyAlignment="0" applyProtection="0"/>
  </cellStyleXfs>
  <cellXfs count="113">
    <xf numFmtId="0" fontId="0" fillId="0" borderId="0" xfId="0"/>
    <xf numFmtId="0" fontId="1" fillId="0" borderId="1" xfId="0" applyFont="1" applyBorder="1"/>
    <xf numFmtId="0" fontId="1" fillId="0" borderId="2" xfId="0" applyFont="1" applyBorder="1"/>
    <xf numFmtId="0" fontId="1" fillId="0" borderId="0" xfId="0" applyFont="1"/>
    <xf numFmtId="0" fontId="0" fillId="0" borderId="0" xfId="0" applyAlignment="1">
      <alignment vertical="center" wrapText="1"/>
    </xf>
    <xf numFmtId="0" fontId="0" fillId="0" borderId="0" xfId="0" applyAlignment="1">
      <alignment horizontal="right" vertical="center" wrapText="1"/>
    </xf>
    <xf numFmtId="0" fontId="2" fillId="0" borderId="0" xfId="0" applyFont="1" applyAlignment="1">
      <alignment horizontal="left" vertical="center" wrapText="1"/>
    </xf>
    <xf numFmtId="164" fontId="2" fillId="0" borderId="1" xfId="0" applyNumberFormat="1" applyFont="1" applyBorder="1" applyAlignment="1">
      <alignment horizontal="right" vertical="center" wrapText="1"/>
    </xf>
    <xf numFmtId="9" fontId="2" fillId="0" borderId="1" xfId="0" applyNumberFormat="1" applyFont="1" applyBorder="1" applyAlignment="1">
      <alignment horizontal="right" vertical="center" wrapText="1"/>
    </xf>
    <xf numFmtId="14" fontId="2" fillId="0" borderId="1" xfId="0" applyNumberFormat="1" applyFont="1" applyBorder="1" applyAlignment="1">
      <alignment vertical="center" wrapText="1"/>
    </xf>
    <xf numFmtId="2" fontId="1" fillId="2" borderId="1" xfId="0" applyNumberFormat="1" applyFont="1" applyFill="1" applyBorder="1"/>
    <xf numFmtId="17" fontId="2" fillId="0" borderId="1" xfId="0" applyNumberFormat="1" applyFont="1" applyBorder="1"/>
    <xf numFmtId="2" fontId="2" fillId="0" borderId="1" xfId="0" applyNumberFormat="1" applyFont="1" applyBorder="1"/>
    <xf numFmtId="17" fontId="2" fillId="0" borderId="5" xfId="0" applyNumberFormat="1" applyFont="1" applyBorder="1"/>
    <xf numFmtId="17" fontId="1" fillId="2" borderId="5" xfId="0" applyNumberFormat="1" applyFont="1" applyFill="1" applyBorder="1"/>
    <xf numFmtId="17" fontId="2" fillId="0" borderId="7" xfId="0" applyNumberFormat="1" applyFont="1" applyBorder="1"/>
    <xf numFmtId="17" fontId="2" fillId="0" borderId="3" xfId="0" applyNumberFormat="1" applyFont="1" applyBorder="1"/>
    <xf numFmtId="2" fontId="2" fillId="0" borderId="9" xfId="0" applyNumberFormat="1" applyFont="1" applyBorder="1"/>
    <xf numFmtId="164" fontId="2" fillId="0" borderId="9" xfId="0" applyNumberFormat="1" applyFont="1" applyBorder="1" applyAlignment="1">
      <alignment horizontal="right" vertical="center" wrapText="1"/>
    </xf>
    <xf numFmtId="9" fontId="2" fillId="0" borderId="9" xfId="0" applyNumberFormat="1" applyFont="1" applyBorder="1" applyAlignment="1">
      <alignment horizontal="right" vertical="center" wrapText="1"/>
    </xf>
    <xf numFmtId="14" fontId="2" fillId="0" borderId="9" xfId="0" applyNumberFormat="1" applyFont="1" applyBorder="1" applyAlignment="1">
      <alignment vertical="center" wrapText="1"/>
    </xf>
    <xf numFmtId="0" fontId="1" fillId="0" borderId="10" xfId="0" applyFont="1" applyBorder="1"/>
    <xf numFmtId="0" fontId="1" fillId="0" borderId="9" xfId="0" applyFont="1" applyBorder="1"/>
    <xf numFmtId="0" fontId="1" fillId="0" borderId="11" xfId="0" applyFont="1" applyBorder="1"/>
    <xf numFmtId="0" fontId="1" fillId="0" borderId="12" xfId="0" applyFont="1" applyBorder="1"/>
    <xf numFmtId="17" fontId="2" fillId="0" borderId="9" xfId="0" applyNumberFormat="1" applyFont="1" applyBorder="1"/>
    <xf numFmtId="17" fontId="2" fillId="2" borderId="5" xfId="0" applyNumberFormat="1" applyFont="1" applyFill="1" applyBorder="1"/>
    <xf numFmtId="17" fontId="2" fillId="0" borderId="10" xfId="0" applyNumberFormat="1" applyFont="1" applyBorder="1"/>
    <xf numFmtId="165" fontId="2" fillId="0" borderId="9" xfId="0" applyNumberFormat="1" applyFont="1" applyBorder="1"/>
    <xf numFmtId="165" fontId="2" fillId="0" borderId="4" xfId="0" applyNumberFormat="1" applyFont="1" applyBorder="1"/>
    <xf numFmtId="165" fontId="2" fillId="0" borderId="1" xfId="0" applyNumberFormat="1" applyFont="1" applyBorder="1"/>
    <xf numFmtId="165" fontId="2" fillId="0" borderId="6" xfId="0" applyNumberFormat="1" applyFont="1" applyBorder="1"/>
    <xf numFmtId="165" fontId="1" fillId="2" borderId="1" xfId="0" applyNumberFormat="1" applyFont="1" applyFill="1" applyBorder="1"/>
    <xf numFmtId="165" fontId="1" fillId="2" borderId="6" xfId="0" applyNumberFormat="1" applyFont="1" applyFill="1" applyBorder="1"/>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1" xfId="0" applyFont="1" applyBorder="1" applyAlignment="1">
      <alignment horizontal="right" vertical="center" wrapText="1"/>
    </xf>
    <xf numFmtId="0" fontId="2" fillId="0" borderId="2" xfId="0" applyFont="1" applyBorder="1" applyAlignment="1">
      <alignment horizontal="right" vertical="center" wrapText="1"/>
    </xf>
    <xf numFmtId="0" fontId="1" fillId="0" borderId="15" xfId="0" applyFont="1" applyBorder="1" applyAlignment="1">
      <alignment horizontal="left" vertical="center" wrapText="1"/>
    </xf>
    <xf numFmtId="0" fontId="1" fillId="0" borderId="16" xfId="0" applyFont="1" applyBorder="1" applyAlignment="1">
      <alignment vertical="center" wrapText="1"/>
    </xf>
    <xf numFmtId="0" fontId="1" fillId="0" borderId="16" xfId="0" applyFont="1" applyBorder="1" applyAlignment="1">
      <alignment horizontal="left" vertical="center" wrapText="1"/>
    </xf>
    <xf numFmtId="0" fontId="1" fillId="0" borderId="17" xfId="0" applyFont="1" applyBorder="1" applyAlignment="1">
      <alignment vertical="center" wrapText="1"/>
    </xf>
    <xf numFmtId="0" fontId="2" fillId="0" borderId="18" xfId="0" applyFont="1" applyBorder="1" applyAlignment="1">
      <alignment horizontal="left" vertical="center" wrapText="1"/>
    </xf>
    <xf numFmtId="14" fontId="2" fillId="0" borderId="8" xfId="0" applyNumberFormat="1" applyFont="1" applyBorder="1" applyAlignment="1">
      <alignment vertical="center" wrapText="1"/>
    </xf>
    <xf numFmtId="0" fontId="2" fillId="0" borderId="19" xfId="0" applyFont="1" applyBorder="1" applyAlignment="1">
      <alignment horizontal="right" vertical="center" wrapText="1"/>
    </xf>
    <xf numFmtId="0" fontId="1" fillId="0" borderId="0" xfId="0" applyFont="1" applyAlignment="1">
      <alignment vertical="center" wrapText="1"/>
    </xf>
    <xf numFmtId="0" fontId="2" fillId="0" borderId="0" xfId="0" applyFont="1" applyAlignment="1">
      <alignment horizontal="right" vertical="center" wrapText="1"/>
    </xf>
    <xf numFmtId="0" fontId="2" fillId="0" borderId="20" xfId="0" applyFont="1" applyBorder="1" applyAlignment="1">
      <alignment horizontal="right" vertical="center" wrapText="1"/>
    </xf>
    <xf numFmtId="0" fontId="5" fillId="0" borderId="16" xfId="0" applyFont="1" applyBorder="1" applyAlignment="1">
      <alignment vertical="center" wrapText="1"/>
    </xf>
    <xf numFmtId="43" fontId="2" fillId="0" borderId="8" xfId="1" applyFont="1" applyBorder="1" applyAlignment="1">
      <alignment horizontal="right" vertical="center" wrapText="1"/>
    </xf>
    <xf numFmtId="10" fontId="2" fillId="0" borderId="20" xfId="0" applyNumberFormat="1" applyFont="1" applyBorder="1" applyAlignment="1">
      <alignment horizontal="right" vertical="center" wrapText="1"/>
    </xf>
    <xf numFmtId="10" fontId="2" fillId="0" borderId="2" xfId="0" applyNumberFormat="1" applyFont="1" applyBorder="1" applyAlignment="1">
      <alignment horizontal="right" vertical="center" wrapText="1"/>
    </xf>
    <xf numFmtId="166" fontId="2" fillId="0" borderId="19" xfId="1" applyNumberFormat="1" applyFont="1" applyBorder="1" applyAlignment="1">
      <alignment horizontal="right" vertical="center" wrapText="1"/>
    </xf>
    <xf numFmtId="0" fontId="0" fillId="0" borderId="0" xfId="0" pivotButton="1"/>
    <xf numFmtId="0" fontId="0" fillId="0" borderId="0" xfId="0" applyAlignment="1">
      <alignment horizontal="left"/>
    </xf>
    <xf numFmtId="0" fontId="2" fillId="0" borderId="19" xfId="1" applyNumberFormat="1" applyFont="1" applyBorder="1" applyAlignment="1">
      <alignment horizontal="right" vertical="center" wrapText="1"/>
    </xf>
    <xf numFmtId="0" fontId="1" fillId="0" borderId="16" xfId="0" applyFont="1" applyBorder="1"/>
    <xf numFmtId="17" fontId="2" fillId="0" borderId="21" xfId="0" applyNumberFormat="1" applyFont="1" applyBorder="1"/>
    <xf numFmtId="2" fontId="2" fillId="0" borderId="8" xfId="0" applyNumberFormat="1" applyFont="1" applyBorder="1"/>
    <xf numFmtId="2" fontId="2" fillId="0" borderId="4" xfId="0" applyNumberFormat="1" applyFont="1" applyBorder="1"/>
    <xf numFmtId="2" fontId="2" fillId="0" borderId="6" xfId="0" applyNumberFormat="1" applyFont="1" applyBorder="1"/>
    <xf numFmtId="2" fontId="1" fillId="2" borderId="6" xfId="0" applyNumberFormat="1" applyFont="1" applyFill="1" applyBorder="1"/>
    <xf numFmtId="2" fontId="2" fillId="0" borderId="22" xfId="0" applyNumberFormat="1" applyFont="1" applyBorder="1"/>
    <xf numFmtId="0" fontId="5" fillId="0" borderId="16" xfId="0" applyFont="1" applyBorder="1"/>
    <xf numFmtId="165" fontId="2" fillId="0" borderId="8" xfId="0" applyNumberFormat="1" applyFont="1" applyBorder="1"/>
    <xf numFmtId="49" fontId="2" fillId="0" borderId="24" xfId="0" applyNumberFormat="1" applyFont="1" applyBorder="1" applyAlignment="1">
      <alignment horizontal="right"/>
    </xf>
    <xf numFmtId="167" fontId="2" fillId="0" borderId="24" xfId="0" applyNumberFormat="1" applyFont="1" applyBorder="1" applyAlignment="1">
      <alignment horizontal="right"/>
    </xf>
    <xf numFmtId="49" fontId="2" fillId="0" borderId="1" xfId="0" applyNumberFormat="1" applyFont="1" applyBorder="1" applyAlignment="1">
      <alignment horizontal="right"/>
    </xf>
    <xf numFmtId="167" fontId="2" fillId="0" borderId="1" xfId="0" applyNumberFormat="1" applyFont="1" applyBorder="1" applyAlignment="1">
      <alignment horizontal="right"/>
    </xf>
    <xf numFmtId="49" fontId="2" fillId="2" borderId="1" xfId="0" applyNumberFormat="1" applyFont="1" applyFill="1" applyBorder="1" applyAlignment="1">
      <alignment horizontal="right"/>
    </xf>
    <xf numFmtId="167" fontId="2" fillId="2" borderId="1" xfId="0" applyNumberFormat="1" applyFont="1" applyFill="1" applyBorder="1" applyAlignment="1">
      <alignment horizontal="right"/>
    </xf>
    <xf numFmtId="49" fontId="2" fillId="0" borderId="8" xfId="0" applyNumberFormat="1" applyFont="1" applyBorder="1" applyAlignment="1">
      <alignment horizontal="right"/>
    </xf>
    <xf numFmtId="167" fontId="2" fillId="0" borderId="8" xfId="0" applyNumberFormat="1" applyFont="1" applyBorder="1" applyAlignment="1">
      <alignment horizontal="right"/>
    </xf>
    <xf numFmtId="0" fontId="0" fillId="0" borderId="0" xfId="0" applyAlignment="1">
      <alignment horizontal="right"/>
    </xf>
    <xf numFmtId="0" fontId="0" fillId="0" borderId="0" xfId="0" applyAlignment="1">
      <alignment horizontal="left" indent="1"/>
    </xf>
    <xf numFmtId="168" fontId="5" fillId="0" borderId="16" xfId="0" applyNumberFormat="1" applyFont="1" applyBorder="1"/>
    <xf numFmtId="168" fontId="2" fillId="0" borderId="3" xfId="0" applyNumberFormat="1" applyFont="1" applyBorder="1"/>
    <xf numFmtId="168" fontId="2" fillId="0" borderId="5" xfId="0" applyNumberFormat="1" applyFont="1" applyBorder="1"/>
    <xf numFmtId="168" fontId="1" fillId="2" borderId="5" xfId="0" applyNumberFormat="1" applyFont="1" applyFill="1" applyBorder="1"/>
    <xf numFmtId="168" fontId="2" fillId="0" borderId="21" xfId="0" applyNumberFormat="1" applyFont="1" applyBorder="1"/>
    <xf numFmtId="4" fontId="2" fillId="0" borderId="11" xfId="0" applyNumberFormat="1" applyFont="1" applyBorder="1"/>
    <xf numFmtId="4" fontId="2" fillId="0" borderId="2" xfId="0" applyNumberFormat="1" applyFont="1" applyBorder="1"/>
    <xf numFmtId="4" fontId="1" fillId="2" borderId="2" xfId="0" applyNumberFormat="1" applyFont="1" applyFill="1" applyBorder="1"/>
    <xf numFmtId="0" fontId="1" fillId="0" borderId="17" xfId="0" applyFont="1" applyBorder="1"/>
    <xf numFmtId="4" fontId="2" fillId="0" borderId="19" xfId="0" applyNumberFormat="1" applyFont="1" applyBorder="1"/>
    <xf numFmtId="168" fontId="1" fillId="0" borderId="15" xfId="0" applyNumberFormat="1" applyFont="1" applyBorder="1"/>
    <xf numFmtId="168" fontId="2" fillId="0" borderId="13" xfId="0" applyNumberFormat="1" applyFont="1" applyBorder="1"/>
    <xf numFmtId="168" fontId="2" fillId="0" borderId="14" xfId="0" applyNumberFormat="1" applyFont="1" applyBorder="1"/>
    <xf numFmtId="168" fontId="1" fillId="2" borderId="14" xfId="0" applyNumberFormat="1" applyFont="1" applyFill="1" applyBorder="1"/>
    <xf numFmtId="168" fontId="2" fillId="0" borderId="18" xfId="0" applyNumberFormat="1" applyFont="1" applyBorder="1"/>
    <xf numFmtId="168" fontId="2" fillId="0" borderId="25" xfId="0" applyNumberFormat="1" applyFont="1" applyBorder="1"/>
    <xf numFmtId="168" fontId="2" fillId="0" borderId="26" xfId="0" applyNumberFormat="1" applyFont="1" applyBorder="1"/>
    <xf numFmtId="168" fontId="1" fillId="2" borderId="26" xfId="0" applyNumberFormat="1" applyFont="1" applyFill="1" applyBorder="1"/>
    <xf numFmtId="168" fontId="2" fillId="0" borderId="23" xfId="0" applyNumberFormat="1" applyFont="1" applyBorder="1"/>
    <xf numFmtId="168" fontId="5" fillId="0" borderId="0" xfId="0" applyNumberFormat="1" applyFont="1"/>
    <xf numFmtId="165" fontId="2" fillId="0" borderId="22" xfId="0" applyNumberFormat="1" applyFont="1" applyBorder="1"/>
    <xf numFmtId="49" fontId="0" fillId="0" borderId="0" xfId="0" applyNumberFormat="1"/>
    <xf numFmtId="4" fontId="0" fillId="0" borderId="0" xfId="0" applyNumberFormat="1"/>
    <xf numFmtId="165" fontId="0" fillId="0" borderId="0" xfId="0" applyNumberFormat="1"/>
    <xf numFmtId="0" fontId="0" fillId="3" borderId="0" xfId="0" applyFill="1"/>
    <xf numFmtId="0" fontId="1" fillId="3" borderId="0" xfId="0" applyFont="1" applyFill="1" applyAlignment="1">
      <alignment horizontal="center" vertical="center" wrapText="1"/>
    </xf>
    <xf numFmtId="0" fontId="6" fillId="4" borderId="28" xfId="0" applyFont="1" applyFill="1" applyBorder="1" applyAlignment="1">
      <alignment horizontal="center" vertical="center" wrapText="1"/>
    </xf>
    <xf numFmtId="0" fontId="0" fillId="4" borderId="29" xfId="0" applyFill="1" applyBorder="1" applyAlignment="1">
      <alignment horizontal="center" vertical="center" wrapText="1"/>
    </xf>
    <xf numFmtId="0" fontId="0" fillId="4" borderId="30"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0" xfId="0" applyFill="1" applyAlignment="1">
      <alignment horizontal="center" vertical="center" wrapText="1"/>
    </xf>
    <xf numFmtId="0" fontId="0" fillId="4" borderId="32" xfId="0" applyFill="1" applyBorder="1" applyAlignment="1">
      <alignment horizontal="center" vertical="center" wrapText="1"/>
    </xf>
    <xf numFmtId="0" fontId="0" fillId="4" borderId="33"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34" xfId="0" applyFill="1" applyBorder="1" applyAlignment="1">
      <alignment horizontal="center" vertical="center" wrapText="1"/>
    </xf>
    <xf numFmtId="0" fontId="1" fillId="3" borderId="0" xfId="0" applyFont="1" applyFill="1" applyAlignment="1">
      <alignment horizontal="center" vertical="center" wrapText="1"/>
    </xf>
    <xf numFmtId="0" fontId="7" fillId="0" borderId="0" xfId="0" applyFont="1" applyAlignment="1">
      <alignment horizontal="left" vertical="top" wrapText="1"/>
    </xf>
    <xf numFmtId="0" fontId="8" fillId="3" borderId="0" xfId="0" applyFont="1" applyFill="1"/>
  </cellXfs>
  <cellStyles count="2">
    <cellStyle name="Comma" xfId="1" builtinId="3"/>
    <cellStyle name="Normal" xfId="0" builtinId="0"/>
  </cellStyles>
  <dxfs count="6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12"/>
        <color theme="1"/>
        <name val="Aptos Narrow"/>
        <scheme val="minor"/>
      </font>
      <numFmt numFmtId="165" formatCode="0.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65"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65"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22" formatCode="mmm\-yy"/>
      <border diagonalUp="0" diagonalDown="0">
        <left style="medium">
          <color indexed="64"/>
        </left>
        <right style="thin">
          <color indexed="64"/>
        </right>
        <top style="thin">
          <color indexed="64"/>
        </top>
        <bottom style="thin">
          <color indexed="64"/>
        </bottom>
        <vertical/>
        <horizontal/>
      </border>
    </dxf>
    <dxf>
      <border outline="0">
        <top style="thin">
          <color indexed="64"/>
        </top>
        <bottom style="medium">
          <color indexed="64"/>
        </bottom>
      </border>
    </dxf>
    <dxf>
      <font>
        <b/>
        <i val="0"/>
        <strike val="0"/>
        <condense val="0"/>
        <extend val="0"/>
        <outline val="0"/>
        <shadow val="0"/>
        <u val="none"/>
        <vertAlign val="baseline"/>
        <sz val="12"/>
        <color theme="1"/>
        <name val="Aptos Narrow"/>
        <scheme val="minor"/>
      </font>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Aptos Narrow"/>
        <scheme val="minor"/>
      </font>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Aptos Narrow"/>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22" formatCode="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22" formatCode="mmm\-yy"/>
      <border diagonalUp="0" diagonalDown="0">
        <left style="medium">
          <color indexed="64"/>
        </left>
        <right style="thin">
          <color indexed="64"/>
        </right>
        <top style="thin">
          <color indexed="64"/>
        </top>
        <bottom style="thin">
          <color indexed="64"/>
        </bottom>
        <vertical/>
        <horizontal/>
      </border>
    </dxf>
    <dxf>
      <border outline="0">
        <right style="thin">
          <color indexed="64"/>
        </right>
        <top style="thin">
          <color indexed="64"/>
        </top>
      </border>
    </dxf>
    <dxf>
      <font>
        <b/>
        <i val="0"/>
        <strike val="0"/>
        <condense val="0"/>
        <extend val="0"/>
        <outline val="0"/>
        <shadow val="0"/>
        <u val="none"/>
        <vertAlign val="baseline"/>
        <sz val="12"/>
        <color theme="1"/>
        <name val="Aptos Narrow"/>
        <scheme val="minor"/>
      </font>
    </dxf>
    <dxf>
      <font>
        <b/>
        <i val="0"/>
        <strike val="0"/>
        <condense val="0"/>
        <extend val="0"/>
        <outline val="0"/>
        <shadow val="0"/>
        <u val="none"/>
        <vertAlign val="baseline"/>
        <sz val="12"/>
        <color theme="1"/>
        <name val="Aptos Narrow"/>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ptos Narrow"/>
        <scheme val="minor"/>
      </font>
      <numFmt numFmtId="4" formatCode="#,##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68" formatCode="[$-409]d\-mmm\-yy;@"/>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68" formatCode="[$-409]d\-mmm\-yy;@"/>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1"/>
        <name val="Aptos Narrow"/>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ptos Narrow"/>
        <scheme val="minor"/>
      </font>
      <numFmt numFmtId="167" formatCode="[$-F400]h:mm:ss\ AM/PM"/>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scheme val="minor"/>
      </font>
      <numFmt numFmtId="167" formatCode="[$-F400]h:mm:ss\ AM/PM"/>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2"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scheme val="minor"/>
      </font>
      <numFmt numFmtId="2"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scheme val="minor"/>
      </font>
      <numFmt numFmtId="2"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scheme val="minor"/>
      </font>
      <numFmt numFmtId="2"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scheme val="minor"/>
      </font>
      <numFmt numFmtId="2"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scheme val="minor"/>
      </font>
      <numFmt numFmtId="168" formatCode="[$-409]d\-mmm\-yy;@"/>
      <border diagonalUp="0" diagonalDown="0">
        <left style="medium">
          <color indexed="64"/>
        </left>
        <right style="thin">
          <color indexed="64"/>
        </right>
        <top style="thin">
          <color indexed="64"/>
        </top>
        <bottom style="thin">
          <color indexed="64"/>
        </bottom>
      </border>
    </dxf>
    <dxf>
      <border outline="0">
        <top style="thin">
          <color indexed="64"/>
        </top>
        <bottom style="medium">
          <color indexed="64"/>
        </bottom>
      </border>
    </dxf>
    <dxf>
      <font>
        <b val="0"/>
        <i val="0"/>
        <strike val="0"/>
        <condense val="0"/>
        <extend val="0"/>
        <outline val="0"/>
        <shadow val="0"/>
        <u val="none"/>
        <vertAlign val="baseline"/>
        <sz val="12"/>
        <color theme="1"/>
        <name val="Aptos Narrow"/>
        <scheme val="minor"/>
      </font>
    </dxf>
    <dxf>
      <font>
        <b/>
        <i val="0"/>
        <strike val="0"/>
        <condense val="0"/>
        <extend val="0"/>
        <outline val="0"/>
        <shadow val="0"/>
        <u val="none"/>
        <vertAlign val="baseline"/>
        <sz val="12"/>
        <color theme="1"/>
        <name val="Aptos Narrow"/>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ptos Narrow"/>
        <scheme val="minor"/>
      </font>
      <numFmt numFmtId="0" formatCode="Genera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0" formatCode="Genera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0" formatCode="Genera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69" formatCode="m/d/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3" formatCode="0%"/>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numFmt numFmtId="164" formatCode="0.0%"/>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1"/>
        <name val="Aptos Narrow"/>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ExportImportData(2).xlsx]Metadata &amp; Tax Calendar!PivotTable1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'Metadata &amp; Tax Calendar'!$B$12</c:f>
              <c:strCache>
                <c:ptCount val="1"/>
                <c:pt idx="0">
                  <c:v>Average of Pre-Bill Rate</c:v>
                </c:pt>
              </c:strCache>
            </c:strRef>
          </c:tx>
          <c:spPr>
            <a:solidFill>
              <a:schemeClr val="accent1"/>
            </a:solidFill>
            <a:ln>
              <a:noFill/>
            </a:ln>
            <a:effectLst/>
          </c:spPr>
          <c:invertIfNegative val="0"/>
          <c:cat>
            <c:strRef>
              <c:f>'Metadata &amp; Tax Calendar'!$A$13:$A$17</c:f>
              <c:strCache>
                <c:ptCount val="4"/>
                <c:pt idx="0">
                  <c:v>Railway Development levy (RDL)</c:v>
                </c:pt>
                <c:pt idx="1">
                  <c:v>Export Promotion Levy</c:v>
                </c:pt>
                <c:pt idx="2">
                  <c:v>Import Declaration Fee (IDF)</c:v>
                </c:pt>
                <c:pt idx="3">
                  <c:v>VAT (various items)</c:v>
                </c:pt>
              </c:strCache>
            </c:strRef>
          </c:cat>
          <c:val>
            <c:numRef>
              <c:f>'Metadata &amp; Tax Calendar'!$B$13:$B$17</c:f>
              <c:numCache>
                <c:formatCode>General</c:formatCode>
                <c:ptCount val="4"/>
                <c:pt idx="0">
                  <c:v>1.4999999999999999E-2</c:v>
                </c:pt>
                <c:pt idx="1">
                  <c:v>0.17499999999999999</c:v>
                </c:pt>
                <c:pt idx="2">
                  <c:v>2.5000000000000001E-2</c:v>
                </c:pt>
                <c:pt idx="3">
                  <c:v>0</c:v>
                </c:pt>
              </c:numCache>
            </c:numRef>
          </c:val>
          <c:extLst>
            <c:ext xmlns:c16="http://schemas.microsoft.com/office/drawing/2014/chart" uri="{C3380CC4-5D6E-409C-BE32-E72D297353CC}">
              <c16:uniqueId val="{00000000-26FF-C04A-8C55-0F26A2307B52}"/>
            </c:ext>
          </c:extLst>
        </c:ser>
        <c:ser>
          <c:idx val="1"/>
          <c:order val="1"/>
          <c:tx>
            <c:strRef>
              <c:f>'Metadata &amp; Tax Calendar'!$C$12</c:f>
              <c:strCache>
                <c:ptCount val="1"/>
                <c:pt idx="0">
                  <c:v>Average of Post-Bill Rate</c:v>
                </c:pt>
              </c:strCache>
            </c:strRef>
          </c:tx>
          <c:spPr>
            <a:solidFill>
              <a:schemeClr val="accent2"/>
            </a:solidFill>
            <a:ln>
              <a:noFill/>
            </a:ln>
            <a:effectLst/>
          </c:spPr>
          <c:invertIfNegative val="0"/>
          <c:cat>
            <c:strRef>
              <c:f>'Metadata &amp; Tax Calendar'!$A$13:$A$17</c:f>
              <c:strCache>
                <c:ptCount val="4"/>
                <c:pt idx="0">
                  <c:v>Railway Development levy (RDL)</c:v>
                </c:pt>
                <c:pt idx="1">
                  <c:v>Export Promotion Levy</c:v>
                </c:pt>
                <c:pt idx="2">
                  <c:v>Import Declaration Fee (IDF)</c:v>
                </c:pt>
                <c:pt idx="3">
                  <c:v>VAT (various items)</c:v>
                </c:pt>
              </c:strCache>
            </c:strRef>
          </c:cat>
          <c:val>
            <c:numRef>
              <c:f>'Metadata &amp; Tax Calendar'!$C$13:$C$17</c:f>
              <c:numCache>
                <c:formatCode>General</c:formatCode>
                <c:ptCount val="4"/>
                <c:pt idx="0">
                  <c:v>0.02</c:v>
                </c:pt>
                <c:pt idx="1">
                  <c:v>0.02</c:v>
                </c:pt>
                <c:pt idx="2">
                  <c:v>0.03</c:v>
                </c:pt>
                <c:pt idx="3">
                  <c:v>0.16</c:v>
                </c:pt>
              </c:numCache>
            </c:numRef>
          </c:val>
          <c:extLst>
            <c:ext xmlns:c16="http://schemas.microsoft.com/office/drawing/2014/chart" uri="{C3380CC4-5D6E-409C-BE32-E72D297353CC}">
              <c16:uniqueId val="{00000001-26FF-C04A-8C55-0F26A2307B52}"/>
            </c:ext>
          </c:extLst>
        </c:ser>
        <c:dLbls>
          <c:showLegendKey val="0"/>
          <c:showVal val="0"/>
          <c:showCatName val="0"/>
          <c:showSerName val="0"/>
          <c:showPercent val="0"/>
          <c:showBubbleSize val="0"/>
        </c:dLbls>
        <c:gapWidth val="219"/>
        <c:overlap val="-27"/>
        <c:axId val="605301824"/>
        <c:axId val="554218032"/>
      </c:barChart>
      <c:catAx>
        <c:axId val="60530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18032"/>
        <c:crosses val="autoZero"/>
        <c:auto val="1"/>
        <c:lblAlgn val="ctr"/>
        <c:lblOffset val="100"/>
        <c:noMultiLvlLbl val="0"/>
      </c:catAx>
      <c:valAx>
        <c:axId val="55421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ExportImportData(2).xlsx]Metadata &amp; Tax Calendar!PivotTable1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pre &amp; post-bill tax rate</a:t>
            </a:r>
            <a:endParaRPr lang="en-US"/>
          </a:p>
        </c:rich>
      </c:tx>
      <c:layout>
        <c:manualLayout>
          <c:xMode val="edge"/>
          <c:yMode val="edge"/>
          <c:x val="0.38419135100023061"/>
          <c:y val="5.5426480547821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'Metadata &amp; Tax Calendar'!$B$12</c:f>
              <c:strCache>
                <c:ptCount val="1"/>
                <c:pt idx="0">
                  <c:v>Average of Pre-Bill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'Metadata &amp; Tax Calendar'!$A$13:$A$17</c:f>
              <c:strCache>
                <c:ptCount val="4"/>
                <c:pt idx="0">
                  <c:v>Railway Development levy (RDL)</c:v>
                </c:pt>
                <c:pt idx="1">
                  <c:v>Export Promotion Levy</c:v>
                </c:pt>
                <c:pt idx="2">
                  <c:v>Import Declaration Fee (IDF)</c:v>
                </c:pt>
                <c:pt idx="3">
                  <c:v>VAT (various items)</c:v>
                </c:pt>
              </c:strCache>
            </c:strRef>
          </c:cat>
          <c:val>
            <c:numRef>
              <c:f>'Metadata &amp; Tax Calendar'!$B$13:$B$17</c:f>
              <c:numCache>
                <c:formatCode>General</c:formatCode>
                <c:ptCount val="4"/>
                <c:pt idx="0">
                  <c:v>1.4999999999999999E-2</c:v>
                </c:pt>
                <c:pt idx="1">
                  <c:v>0.17499999999999999</c:v>
                </c:pt>
                <c:pt idx="2">
                  <c:v>2.5000000000000001E-2</c:v>
                </c:pt>
                <c:pt idx="3">
                  <c:v>0</c:v>
                </c:pt>
              </c:numCache>
            </c:numRef>
          </c:val>
          <c:extLst>
            <c:ext xmlns:c16="http://schemas.microsoft.com/office/drawing/2014/chart" uri="{C3380CC4-5D6E-409C-BE32-E72D297353CC}">
              <c16:uniqueId val="{00000000-BF68-604E-B244-259D21016A0B}"/>
            </c:ext>
          </c:extLst>
        </c:ser>
        <c:ser>
          <c:idx val="1"/>
          <c:order val="1"/>
          <c:tx>
            <c:strRef>
              <c:f>'Metadata &amp; Tax Calendar'!$C$12</c:f>
              <c:strCache>
                <c:ptCount val="1"/>
                <c:pt idx="0">
                  <c:v>Average of Post-Bill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'Metadata &amp; Tax Calendar'!$A$13:$A$17</c:f>
              <c:strCache>
                <c:ptCount val="4"/>
                <c:pt idx="0">
                  <c:v>Railway Development levy (RDL)</c:v>
                </c:pt>
                <c:pt idx="1">
                  <c:v>Export Promotion Levy</c:v>
                </c:pt>
                <c:pt idx="2">
                  <c:v>Import Declaration Fee (IDF)</c:v>
                </c:pt>
                <c:pt idx="3">
                  <c:v>VAT (various items)</c:v>
                </c:pt>
              </c:strCache>
            </c:strRef>
          </c:cat>
          <c:val>
            <c:numRef>
              <c:f>'Metadata &amp; Tax Calendar'!$C$13:$C$17</c:f>
              <c:numCache>
                <c:formatCode>General</c:formatCode>
                <c:ptCount val="4"/>
                <c:pt idx="0">
                  <c:v>0.02</c:v>
                </c:pt>
                <c:pt idx="1">
                  <c:v>0.02</c:v>
                </c:pt>
                <c:pt idx="2">
                  <c:v>0.03</c:v>
                </c:pt>
                <c:pt idx="3">
                  <c:v>0.16</c:v>
                </c:pt>
              </c:numCache>
            </c:numRef>
          </c:val>
          <c:extLst>
            <c:ext xmlns:c16="http://schemas.microsoft.com/office/drawing/2014/chart" uri="{C3380CC4-5D6E-409C-BE32-E72D297353CC}">
              <c16:uniqueId val="{00000001-BF68-604E-B244-259D21016A0B}"/>
            </c:ext>
          </c:extLst>
        </c:ser>
        <c:dLbls>
          <c:dLblPos val="outEnd"/>
          <c:showLegendKey val="0"/>
          <c:showVal val="1"/>
          <c:showCatName val="0"/>
          <c:showSerName val="0"/>
          <c:showPercent val="0"/>
          <c:showBubbleSize val="0"/>
        </c:dLbls>
        <c:gapWidth val="219"/>
        <c:overlap val="-27"/>
        <c:axId val="605301824"/>
        <c:axId val="554218032"/>
      </c:barChart>
      <c:catAx>
        <c:axId val="60530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18032"/>
        <c:crosses val="autoZero"/>
        <c:auto val="1"/>
        <c:lblAlgn val="ctr"/>
        <c:lblOffset val="100"/>
        <c:noMultiLvlLbl val="0"/>
      </c:catAx>
      <c:valAx>
        <c:axId val="554218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Tax</a:t>
                </a:r>
                <a:r>
                  <a:rPr lang="en-US" baseline="0"/>
                  <a:t> Rate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1824"/>
        <c:crosses val="autoZero"/>
        <c:crossBetween val="between"/>
      </c:valAx>
      <c:spPr>
        <a:noFill/>
        <a:ln>
          <a:noFill/>
        </a:ln>
        <a:effectLst/>
      </c:spPr>
    </c:plotArea>
    <c:legend>
      <c:legendPos val="r"/>
      <c:layout>
        <c:manualLayout>
          <c:xMode val="edge"/>
          <c:yMode val="edge"/>
          <c:x val="0.82886686488658023"/>
          <c:y val="0.1112548561377428"/>
          <c:w val="0.12911066915181185"/>
          <c:h val="0.12925521408323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ExportImportData(2).xlsx]Imports Summary!PivotTable5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trend of IDL,RDL &amp; Total Import value(Ksh)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circle"/>
          <c:size val="5"/>
          <c:spPr>
            <a:solidFill>
              <a:schemeClr val="accent4">
                <a:tint val="65000"/>
              </a:schemeClr>
            </a:solidFill>
            <a:ln w="9525">
              <a:solidFill>
                <a:schemeClr val="accent4">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circle"/>
          <c:size val="5"/>
          <c:spPr>
            <a:solidFill>
              <a:schemeClr val="accent4">
                <a:shade val="65000"/>
              </a:schemeClr>
            </a:solidFill>
            <a:ln w="9525">
              <a:solidFill>
                <a:schemeClr val="accent4">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20954028923999E-2"/>
          <c:y val="0.12955587295222079"/>
          <c:w val="0.87479326161165338"/>
          <c:h val="0.65359536985925359"/>
        </c:manualLayout>
      </c:layout>
      <c:barChart>
        <c:barDir val="col"/>
        <c:grouping val="clustered"/>
        <c:varyColors val="0"/>
        <c:ser>
          <c:idx val="1"/>
          <c:order val="1"/>
          <c:tx>
            <c:strRef>
              <c:f>'Imports Summary'!$H$29</c:f>
              <c:strCache>
                <c:ptCount val="1"/>
                <c:pt idx="0">
                  <c:v>Sum of IDF Amount</c:v>
                </c:pt>
              </c:strCache>
            </c:strRef>
          </c:tx>
          <c:spPr>
            <a:solidFill>
              <a:schemeClr val="accent4"/>
            </a:solidFill>
            <a:ln>
              <a:noFill/>
            </a:ln>
            <a:effectLst/>
          </c:spPr>
          <c:invertIfNegative val="0"/>
          <c:cat>
            <c:multiLvlStrRef>
              <c:f>'Imports Summary'!$E$30:$F$54</c:f>
              <c:multiLvlStrCache>
                <c:ptCount val="22"/>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'Imports Summary'!$H$30:$H$54</c:f>
              <c:numCache>
                <c:formatCode>General</c:formatCode>
                <c:ptCount val="22"/>
                <c:pt idx="0">
                  <c:v>5410.63825</c:v>
                </c:pt>
                <c:pt idx="1">
                  <c:v>5207.3362500000003</c:v>
                </c:pt>
                <c:pt idx="2">
                  <c:v>5756.9805000000006</c:v>
                </c:pt>
                <c:pt idx="3">
                  <c:v>5254.1597500000007</c:v>
                </c:pt>
                <c:pt idx="4">
                  <c:v>4792.2922500000004</c:v>
                </c:pt>
                <c:pt idx="5">
                  <c:v>5970.5660000000007</c:v>
                </c:pt>
                <c:pt idx="6">
                  <c:v>5389.9207500000002</c:v>
                </c:pt>
                <c:pt idx="7">
                  <c:v>5967.9812500000007</c:v>
                </c:pt>
                <c:pt idx="8">
                  <c:v>6477.7780000000002</c:v>
                </c:pt>
                <c:pt idx="9">
                  <c:v>5491.6047500000004</c:v>
                </c:pt>
                <c:pt idx="10">
                  <c:v>6114.3339999999998</c:v>
                </c:pt>
                <c:pt idx="11">
                  <c:v>5660.3087500000001</c:v>
                </c:pt>
                <c:pt idx="12">
                  <c:v>5205.723750000001</c:v>
                </c:pt>
                <c:pt idx="13">
                  <c:v>5905.2727500000001</c:v>
                </c:pt>
                <c:pt idx="14">
                  <c:v>5314.2610000000004</c:v>
                </c:pt>
                <c:pt idx="15">
                  <c:v>5215.3562500000007</c:v>
                </c:pt>
                <c:pt idx="16">
                  <c:v>6781.6352999999999</c:v>
                </c:pt>
                <c:pt idx="17">
                  <c:v>6795.2819999999992</c:v>
                </c:pt>
                <c:pt idx="18">
                  <c:v>6582.3801000000003</c:v>
                </c:pt>
                <c:pt idx="19">
                  <c:v>7335.4535999999998</c:v>
                </c:pt>
                <c:pt idx="20">
                  <c:v>6829.9544999999998</c:v>
                </c:pt>
                <c:pt idx="21">
                  <c:v>6539.9339999999993</c:v>
                </c:pt>
              </c:numCache>
            </c:numRef>
          </c:val>
          <c:extLst>
            <c:ext xmlns:c16="http://schemas.microsoft.com/office/drawing/2014/chart" uri="{C3380CC4-5D6E-409C-BE32-E72D297353CC}">
              <c16:uniqueId val="{00000000-4EDB-D647-9C85-A0259D2C2E1B}"/>
            </c:ext>
          </c:extLst>
        </c:ser>
        <c:ser>
          <c:idx val="2"/>
          <c:order val="2"/>
          <c:tx>
            <c:strRef>
              <c:f>'Imports Summary'!$I$29</c:f>
              <c:strCache>
                <c:ptCount val="1"/>
                <c:pt idx="0">
                  <c:v>Sum of RDL Paid</c:v>
                </c:pt>
              </c:strCache>
            </c:strRef>
          </c:tx>
          <c:spPr>
            <a:solidFill>
              <a:schemeClr val="accent4">
                <a:tint val="65000"/>
              </a:schemeClr>
            </a:solidFill>
            <a:ln>
              <a:noFill/>
            </a:ln>
            <a:effectLst/>
          </c:spPr>
          <c:invertIfNegative val="0"/>
          <c:cat>
            <c:multiLvlStrRef>
              <c:f>'Imports Summary'!$E$30:$F$54</c:f>
              <c:multiLvlStrCache>
                <c:ptCount val="22"/>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'Imports Summary'!$I$30:$I$54</c:f>
              <c:numCache>
                <c:formatCode>General</c:formatCode>
                <c:ptCount val="22"/>
                <c:pt idx="0">
                  <c:v>3246.3829499999997</c:v>
                </c:pt>
                <c:pt idx="1">
                  <c:v>3124.40175</c:v>
                </c:pt>
                <c:pt idx="2">
                  <c:v>3454.1882999999998</c:v>
                </c:pt>
                <c:pt idx="3">
                  <c:v>3152.4958500000002</c:v>
                </c:pt>
                <c:pt idx="4">
                  <c:v>2875.3753499999998</c:v>
                </c:pt>
                <c:pt idx="5">
                  <c:v>3582.3396000000002</c:v>
                </c:pt>
                <c:pt idx="6">
                  <c:v>3233.9524499999998</c:v>
                </c:pt>
                <c:pt idx="7">
                  <c:v>3580.7887499999997</c:v>
                </c:pt>
                <c:pt idx="8">
                  <c:v>3886.6668</c:v>
                </c:pt>
                <c:pt idx="9">
                  <c:v>3294.9628499999999</c:v>
                </c:pt>
                <c:pt idx="10">
                  <c:v>3668.6003999999998</c:v>
                </c:pt>
                <c:pt idx="11">
                  <c:v>3396.18525</c:v>
                </c:pt>
                <c:pt idx="12">
                  <c:v>3123.4342500000002</c:v>
                </c:pt>
                <c:pt idx="13">
                  <c:v>3543.16365</c:v>
                </c:pt>
                <c:pt idx="14">
                  <c:v>3188.5565999999999</c:v>
                </c:pt>
                <c:pt idx="15">
                  <c:v>3129.2137499999999</c:v>
                </c:pt>
                <c:pt idx="16">
                  <c:v>4521.0902000000006</c:v>
                </c:pt>
                <c:pt idx="17">
                  <c:v>4530.1880000000001</c:v>
                </c:pt>
                <c:pt idx="18">
                  <c:v>4388.2534000000005</c:v>
                </c:pt>
                <c:pt idx="19">
                  <c:v>4890.3023999999996</c:v>
                </c:pt>
                <c:pt idx="20">
                  <c:v>4553.3029999999999</c:v>
                </c:pt>
                <c:pt idx="21">
                  <c:v>4359.9560000000001</c:v>
                </c:pt>
              </c:numCache>
            </c:numRef>
          </c:val>
          <c:extLst>
            <c:ext xmlns:c16="http://schemas.microsoft.com/office/drawing/2014/chart" uri="{C3380CC4-5D6E-409C-BE32-E72D297353CC}">
              <c16:uniqueId val="{00000001-4EDB-D647-9C85-A0259D2C2E1B}"/>
            </c:ext>
          </c:extLst>
        </c:ser>
        <c:dLbls>
          <c:showLegendKey val="0"/>
          <c:showVal val="0"/>
          <c:showCatName val="0"/>
          <c:showSerName val="0"/>
          <c:showPercent val="0"/>
          <c:showBubbleSize val="0"/>
        </c:dLbls>
        <c:gapWidth val="219"/>
        <c:axId val="666439392"/>
        <c:axId val="635951088"/>
      </c:barChart>
      <c:lineChart>
        <c:grouping val="standard"/>
        <c:varyColors val="0"/>
        <c:ser>
          <c:idx val="0"/>
          <c:order val="0"/>
          <c:tx>
            <c:strRef>
              <c:f>'Imports Summary'!$G$29</c:f>
              <c:strCache>
                <c:ptCount val="1"/>
                <c:pt idx="0">
                  <c:v>Sum of Total Import Value (Ksh Million)</c:v>
                </c:pt>
              </c:strCache>
            </c:strRef>
          </c:tx>
          <c:spPr>
            <a:ln w="28575" cap="rnd">
              <a:solidFill>
                <a:schemeClr val="accent4">
                  <a:shade val="65000"/>
                </a:schemeClr>
              </a:solidFill>
              <a:round/>
            </a:ln>
            <a:effectLst/>
          </c:spPr>
          <c:marker>
            <c:symbol val="circle"/>
            <c:size val="5"/>
            <c:spPr>
              <a:solidFill>
                <a:schemeClr val="accent4">
                  <a:shade val="65000"/>
                </a:schemeClr>
              </a:solidFill>
              <a:ln w="9525">
                <a:solidFill>
                  <a:schemeClr val="accent4">
                    <a:shade val="65000"/>
                  </a:schemeClr>
                </a:solidFill>
              </a:ln>
              <a:effectLst/>
            </c:spPr>
          </c:marker>
          <c:cat>
            <c:multiLvlStrRef>
              <c:f>'Imports Summary'!$E$30:$F$54</c:f>
              <c:multiLvlStrCache>
                <c:ptCount val="22"/>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'Imports Summary'!$G$30:$G$54</c:f>
              <c:numCache>
                <c:formatCode>General</c:formatCode>
                <c:ptCount val="22"/>
                <c:pt idx="0">
                  <c:v>216425.53</c:v>
                </c:pt>
                <c:pt idx="1">
                  <c:v>208293.45</c:v>
                </c:pt>
                <c:pt idx="2">
                  <c:v>230279.22</c:v>
                </c:pt>
                <c:pt idx="3">
                  <c:v>210166.39</c:v>
                </c:pt>
                <c:pt idx="4">
                  <c:v>191691.69</c:v>
                </c:pt>
                <c:pt idx="5">
                  <c:v>238822.64</c:v>
                </c:pt>
                <c:pt idx="6">
                  <c:v>215596.83</c:v>
                </c:pt>
                <c:pt idx="7">
                  <c:v>238719.25</c:v>
                </c:pt>
                <c:pt idx="8">
                  <c:v>259111.12</c:v>
                </c:pt>
                <c:pt idx="9">
                  <c:v>219664.19</c:v>
                </c:pt>
                <c:pt idx="10">
                  <c:v>244573.36</c:v>
                </c:pt>
                <c:pt idx="11">
                  <c:v>226412.35</c:v>
                </c:pt>
                <c:pt idx="12">
                  <c:v>208228.95</c:v>
                </c:pt>
                <c:pt idx="13">
                  <c:v>236210.91</c:v>
                </c:pt>
                <c:pt idx="14">
                  <c:v>212570.44</c:v>
                </c:pt>
                <c:pt idx="15">
                  <c:v>208614.25</c:v>
                </c:pt>
                <c:pt idx="16">
                  <c:v>226054.51</c:v>
                </c:pt>
                <c:pt idx="17">
                  <c:v>226509.4</c:v>
                </c:pt>
                <c:pt idx="18">
                  <c:v>219412.67</c:v>
                </c:pt>
                <c:pt idx="19">
                  <c:v>244515.12</c:v>
                </c:pt>
                <c:pt idx="20">
                  <c:v>227665.15</c:v>
                </c:pt>
                <c:pt idx="21">
                  <c:v>217997.8</c:v>
                </c:pt>
              </c:numCache>
            </c:numRef>
          </c:val>
          <c:smooth val="0"/>
          <c:extLst>
            <c:ext xmlns:c16="http://schemas.microsoft.com/office/drawing/2014/chart" uri="{C3380CC4-5D6E-409C-BE32-E72D297353CC}">
              <c16:uniqueId val="{00000002-4EDB-D647-9C85-A0259D2C2E1B}"/>
            </c:ext>
          </c:extLst>
        </c:ser>
        <c:dLbls>
          <c:showLegendKey val="0"/>
          <c:showVal val="0"/>
          <c:showCatName val="0"/>
          <c:showSerName val="0"/>
          <c:showPercent val="0"/>
          <c:showBubbleSize val="0"/>
        </c:dLbls>
        <c:marker val="1"/>
        <c:smooth val="0"/>
        <c:axId val="875941072"/>
        <c:axId val="720904144"/>
      </c:lineChart>
      <c:catAx>
        <c:axId val="66643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1088"/>
        <c:crosses val="autoZero"/>
        <c:auto val="1"/>
        <c:lblAlgn val="ctr"/>
        <c:lblOffset val="100"/>
        <c:noMultiLvlLbl val="0"/>
      </c:catAx>
      <c:valAx>
        <c:axId val="63595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IDF/RDL(Ksh)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39392"/>
        <c:crosses val="autoZero"/>
        <c:crossBetween val="between"/>
      </c:valAx>
      <c:valAx>
        <c:axId val="720904144"/>
        <c:scaling>
          <c:orientation val="minMax"/>
        </c:scaling>
        <c:delete val="0"/>
        <c:axPos val="r"/>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41072"/>
        <c:crosses val="max"/>
        <c:crossBetween val="between"/>
      </c:valAx>
      <c:catAx>
        <c:axId val="875941072"/>
        <c:scaling>
          <c:orientation val="minMax"/>
        </c:scaling>
        <c:delete val="1"/>
        <c:axPos val="b"/>
        <c:numFmt formatCode="General" sourceLinked="1"/>
        <c:majorTickMark val="none"/>
        <c:minorTickMark val="none"/>
        <c:tickLblPos val="nextTo"/>
        <c:crossAx val="720904144"/>
        <c:crosses val="autoZero"/>
        <c:auto val="1"/>
        <c:lblAlgn val="ctr"/>
        <c:lblOffset val="100"/>
        <c:noMultiLvlLbl val="0"/>
      </c:catAx>
      <c:spPr>
        <a:noFill/>
        <a:ln>
          <a:noFill/>
        </a:ln>
        <a:effectLst/>
      </c:spPr>
    </c:plotArea>
    <c:legend>
      <c:legendPos val="b"/>
      <c:layout>
        <c:manualLayout>
          <c:xMode val="edge"/>
          <c:yMode val="edge"/>
          <c:x val="3.2952449385100584E-3"/>
          <c:y val="0.89107326004605825"/>
          <c:w val="0.97345578600390281"/>
          <c:h val="9.2231785378245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ExportImportData(2).xlsx]Exports Summary!PivotTable1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 value(ksh) in 2023/2024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01159230096239"/>
          <c:y val="0.10410561226498885"/>
          <c:w val="0.81432174103237098"/>
          <c:h val="0.69222981102851422"/>
        </c:manualLayout>
      </c:layout>
      <c:lineChart>
        <c:grouping val="standard"/>
        <c:varyColors val="0"/>
        <c:ser>
          <c:idx val="0"/>
          <c:order val="0"/>
          <c:tx>
            <c:strRef>
              <c:f>'Exports Summary'!$G$11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'Exports Summary'!$E$12:$F$34</c:f>
              <c:multiLvlStrCache>
                <c:ptCount val="22"/>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'Exports Summary'!$G$12:$G$34</c:f>
              <c:numCache>
                <c:formatCode>#,##0.00</c:formatCode>
                <c:ptCount val="22"/>
                <c:pt idx="0">
                  <c:v>81737.7</c:v>
                </c:pt>
                <c:pt idx="1">
                  <c:v>70700.11</c:v>
                </c:pt>
                <c:pt idx="2">
                  <c:v>91353.76</c:v>
                </c:pt>
                <c:pt idx="3">
                  <c:v>85828.68</c:v>
                </c:pt>
                <c:pt idx="4">
                  <c:v>82582.990000000005</c:v>
                </c:pt>
                <c:pt idx="5">
                  <c:v>94269.61</c:v>
                </c:pt>
                <c:pt idx="6">
                  <c:v>91188.18</c:v>
                </c:pt>
                <c:pt idx="7">
                  <c:v>84176.27</c:v>
                </c:pt>
                <c:pt idx="8">
                  <c:v>88976.99</c:v>
                </c:pt>
                <c:pt idx="9">
                  <c:v>84238.78</c:v>
                </c:pt>
                <c:pt idx="10">
                  <c:v>91675.62</c:v>
                </c:pt>
                <c:pt idx="11">
                  <c:v>107422.81</c:v>
                </c:pt>
                <c:pt idx="12">
                  <c:v>97933.36</c:v>
                </c:pt>
                <c:pt idx="13">
                  <c:v>92923.13</c:v>
                </c:pt>
                <c:pt idx="14">
                  <c:v>94482.42</c:v>
                </c:pt>
                <c:pt idx="15">
                  <c:v>87154.05</c:v>
                </c:pt>
                <c:pt idx="16">
                  <c:v>97042.19</c:v>
                </c:pt>
                <c:pt idx="17">
                  <c:v>93359.14</c:v>
                </c:pt>
                <c:pt idx="18">
                  <c:v>91026.16</c:v>
                </c:pt>
                <c:pt idx="19">
                  <c:v>88331.34</c:v>
                </c:pt>
                <c:pt idx="20">
                  <c:v>85920.62</c:v>
                </c:pt>
                <c:pt idx="21">
                  <c:v>80677.88</c:v>
                </c:pt>
              </c:numCache>
            </c:numRef>
          </c:val>
          <c:smooth val="0"/>
          <c:extLst>
            <c:ext xmlns:c16="http://schemas.microsoft.com/office/drawing/2014/chart" uri="{C3380CC4-5D6E-409C-BE32-E72D297353CC}">
              <c16:uniqueId val="{00000000-8848-9F45-857A-3666E2EB7900}"/>
            </c:ext>
          </c:extLst>
        </c:ser>
        <c:dLbls>
          <c:showLegendKey val="0"/>
          <c:showVal val="0"/>
          <c:showCatName val="0"/>
          <c:showSerName val="0"/>
          <c:showPercent val="0"/>
          <c:showBubbleSize val="0"/>
        </c:dLbls>
        <c:marker val="1"/>
        <c:smooth val="0"/>
        <c:axId val="883414336"/>
        <c:axId val="883402336"/>
      </c:lineChart>
      <c:catAx>
        <c:axId val="88341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402336"/>
        <c:crosses val="autoZero"/>
        <c:auto val="1"/>
        <c:lblAlgn val="ctr"/>
        <c:lblOffset val="100"/>
        <c:noMultiLvlLbl val="0"/>
      </c:catAx>
      <c:valAx>
        <c:axId val="88340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 value(Ksh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414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ExportImportData(2).xlsx]Product Level 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 Commodity price(Ksh) trend in 2023/2024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Level Analysis'!$H$23</c:f>
              <c:strCache>
                <c:ptCount val="1"/>
                <c:pt idx="0">
                  <c:v>Sum of Cooking Oil (1L)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'Product Level Analysis'!$E$24:$G$46</c:f>
              <c:multiLvlStrCache>
                <c:ptCount val="22"/>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'Product Level Analysis'!$H$24:$H$46</c:f>
              <c:numCache>
                <c:formatCode>0.0</c:formatCode>
                <c:ptCount val="22"/>
                <c:pt idx="0">
                  <c:v>344.51</c:v>
                </c:pt>
                <c:pt idx="1">
                  <c:v>360</c:v>
                </c:pt>
                <c:pt idx="2">
                  <c:v>328</c:v>
                </c:pt>
                <c:pt idx="3">
                  <c:v>326</c:v>
                </c:pt>
                <c:pt idx="4">
                  <c:v>318.92</c:v>
                </c:pt>
                <c:pt idx="5">
                  <c:v>315.01</c:v>
                </c:pt>
                <c:pt idx="6">
                  <c:v>315.01</c:v>
                </c:pt>
                <c:pt idx="7">
                  <c:v>325.94</c:v>
                </c:pt>
                <c:pt idx="8">
                  <c:v>349.51</c:v>
                </c:pt>
                <c:pt idx="9">
                  <c:v>360</c:v>
                </c:pt>
                <c:pt idx="10">
                  <c:v>335</c:v>
                </c:pt>
                <c:pt idx="11">
                  <c:v>340</c:v>
                </c:pt>
                <c:pt idx="12">
                  <c:v>355.1</c:v>
                </c:pt>
                <c:pt idx="13">
                  <c:v>371.16</c:v>
                </c:pt>
                <c:pt idx="14">
                  <c:v>336.85</c:v>
                </c:pt>
                <c:pt idx="15">
                  <c:v>326.36</c:v>
                </c:pt>
                <c:pt idx="16">
                  <c:v>318.92</c:v>
                </c:pt>
                <c:pt idx="17">
                  <c:v>353.01</c:v>
                </c:pt>
                <c:pt idx="18">
                  <c:v>349.28</c:v>
                </c:pt>
                <c:pt idx="19">
                  <c:v>360</c:v>
                </c:pt>
                <c:pt idx="20">
                  <c:v>371.16</c:v>
                </c:pt>
                <c:pt idx="21">
                  <c:v>373.75</c:v>
                </c:pt>
              </c:numCache>
            </c:numRef>
          </c:val>
          <c:smooth val="0"/>
          <c:extLst>
            <c:ext xmlns:c16="http://schemas.microsoft.com/office/drawing/2014/chart" uri="{C3380CC4-5D6E-409C-BE32-E72D297353CC}">
              <c16:uniqueId val="{00000000-26C4-3841-9146-1AD52650CFF8}"/>
            </c:ext>
          </c:extLst>
        </c:ser>
        <c:ser>
          <c:idx val="1"/>
          <c:order val="1"/>
          <c:tx>
            <c:strRef>
              <c:f>'Product Level Analysis'!$I$23</c:f>
              <c:strCache>
                <c:ptCount val="1"/>
                <c:pt idx="0">
                  <c:v>Sum of Maize Flour (2kg sifted)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'Product Level Analysis'!$E$24:$G$46</c:f>
              <c:multiLvlStrCache>
                <c:ptCount val="22"/>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'Product Level Analysis'!$I$24:$I$46</c:f>
              <c:numCache>
                <c:formatCode>0.0</c:formatCode>
                <c:ptCount val="22"/>
                <c:pt idx="0">
                  <c:v>165.05</c:v>
                </c:pt>
                <c:pt idx="1">
                  <c:v>167</c:v>
                </c:pt>
                <c:pt idx="2">
                  <c:v>187</c:v>
                </c:pt>
                <c:pt idx="3">
                  <c:v>197.28</c:v>
                </c:pt>
                <c:pt idx="4">
                  <c:v>227.07</c:v>
                </c:pt>
                <c:pt idx="5">
                  <c:v>213.26</c:v>
                </c:pt>
                <c:pt idx="6">
                  <c:v>179.93</c:v>
                </c:pt>
                <c:pt idx="7">
                  <c:v>145</c:v>
                </c:pt>
                <c:pt idx="8">
                  <c:v>134</c:v>
                </c:pt>
                <c:pt idx="9">
                  <c:v>143</c:v>
                </c:pt>
                <c:pt idx="10">
                  <c:v>154.54</c:v>
                </c:pt>
                <c:pt idx="11">
                  <c:v>120</c:v>
                </c:pt>
                <c:pt idx="12">
                  <c:v>110</c:v>
                </c:pt>
                <c:pt idx="13">
                  <c:v>200</c:v>
                </c:pt>
                <c:pt idx="14">
                  <c:v>130.38</c:v>
                </c:pt>
                <c:pt idx="15">
                  <c:v>213.26</c:v>
                </c:pt>
                <c:pt idx="16">
                  <c:v>206.24</c:v>
                </c:pt>
                <c:pt idx="17">
                  <c:v>217.39</c:v>
                </c:pt>
                <c:pt idx="18">
                  <c:v>214</c:v>
                </c:pt>
                <c:pt idx="19">
                  <c:v>172.5</c:v>
                </c:pt>
                <c:pt idx="20">
                  <c:v>168.02</c:v>
                </c:pt>
                <c:pt idx="21">
                  <c:v>160.58000000000001</c:v>
                </c:pt>
              </c:numCache>
            </c:numRef>
          </c:val>
          <c:smooth val="0"/>
          <c:extLst>
            <c:ext xmlns:c16="http://schemas.microsoft.com/office/drawing/2014/chart" uri="{C3380CC4-5D6E-409C-BE32-E72D297353CC}">
              <c16:uniqueId val="{00000001-26C4-3841-9146-1AD52650CFF8}"/>
            </c:ext>
          </c:extLst>
        </c:ser>
        <c:ser>
          <c:idx val="2"/>
          <c:order val="2"/>
          <c:tx>
            <c:strRef>
              <c:f>'Product Level Analysis'!$J$23</c:f>
              <c:strCache>
                <c:ptCount val="1"/>
                <c:pt idx="0">
                  <c:v>Sum of Sugar(Kg)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'Product Level Analysis'!$E$24:$G$46</c:f>
              <c:multiLvlStrCache>
                <c:ptCount val="22"/>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2023</c:v>
                  </c:pt>
                  <c:pt idx="10">
                    <c:v>2024</c:v>
                  </c:pt>
                </c:lvl>
              </c:multiLvlStrCache>
            </c:multiLvlStrRef>
          </c:cat>
          <c:val>
            <c:numRef>
              <c:f>'Product Level Analysis'!$J$24:$J$46</c:f>
              <c:numCache>
                <c:formatCode>0.0</c:formatCode>
                <c:ptCount val="22"/>
                <c:pt idx="0">
                  <c:v>157</c:v>
                </c:pt>
                <c:pt idx="1">
                  <c:v>160</c:v>
                </c:pt>
                <c:pt idx="2">
                  <c:v>211</c:v>
                </c:pt>
                <c:pt idx="3">
                  <c:v>206</c:v>
                </c:pt>
                <c:pt idx="4">
                  <c:v>229</c:v>
                </c:pt>
                <c:pt idx="5">
                  <c:v>224</c:v>
                </c:pt>
                <c:pt idx="6">
                  <c:v>223</c:v>
                </c:pt>
                <c:pt idx="7">
                  <c:v>218.66</c:v>
                </c:pt>
                <c:pt idx="8">
                  <c:v>213</c:v>
                </c:pt>
                <c:pt idx="9">
                  <c:v>149</c:v>
                </c:pt>
                <c:pt idx="10">
                  <c:v>157</c:v>
                </c:pt>
                <c:pt idx="11">
                  <c:v>166.45</c:v>
                </c:pt>
                <c:pt idx="12">
                  <c:v>169</c:v>
                </c:pt>
                <c:pt idx="13">
                  <c:v>165</c:v>
                </c:pt>
                <c:pt idx="14">
                  <c:v>159</c:v>
                </c:pt>
                <c:pt idx="15">
                  <c:v>151</c:v>
                </c:pt>
                <c:pt idx="16">
                  <c:v>142</c:v>
                </c:pt>
                <c:pt idx="17">
                  <c:v>141</c:v>
                </c:pt>
                <c:pt idx="18">
                  <c:v>136</c:v>
                </c:pt>
                <c:pt idx="19">
                  <c:v>140.44</c:v>
                </c:pt>
                <c:pt idx="20">
                  <c:v>146</c:v>
                </c:pt>
                <c:pt idx="21">
                  <c:v>159.69</c:v>
                </c:pt>
              </c:numCache>
            </c:numRef>
          </c:val>
          <c:smooth val="0"/>
          <c:extLst>
            <c:ext xmlns:c16="http://schemas.microsoft.com/office/drawing/2014/chart" uri="{C3380CC4-5D6E-409C-BE32-E72D297353CC}">
              <c16:uniqueId val="{00000002-26C4-3841-9146-1AD52650CFF8}"/>
            </c:ext>
          </c:extLst>
        </c:ser>
        <c:dLbls>
          <c:showLegendKey val="0"/>
          <c:showVal val="0"/>
          <c:showCatName val="0"/>
          <c:showSerName val="0"/>
          <c:showPercent val="0"/>
          <c:showBubbleSize val="0"/>
        </c:dLbls>
        <c:marker val="1"/>
        <c:smooth val="0"/>
        <c:axId val="1018428656"/>
        <c:axId val="1018405136"/>
      </c:lineChart>
      <c:catAx>
        <c:axId val="101842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405136"/>
        <c:crosses val="autoZero"/>
        <c:auto val="1"/>
        <c:lblAlgn val="ctr"/>
        <c:lblOffset val="100"/>
        <c:noMultiLvlLbl val="0"/>
      </c:catAx>
      <c:valAx>
        <c:axId val="101840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Price(Ksh)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42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1790291</xdr:colOff>
      <xdr:row>11</xdr:row>
      <xdr:rowOff>41787</xdr:rowOff>
    </xdr:from>
    <xdr:to>
      <xdr:col>5</xdr:col>
      <xdr:colOff>1514441</xdr:colOff>
      <xdr:row>24</xdr:row>
      <xdr:rowOff>122084</xdr:rowOff>
    </xdr:to>
    <xdr:graphicFrame macro="">
      <xdr:nvGraphicFramePr>
        <xdr:cNvPr id="3" name="Chart 2">
          <a:extLst>
            <a:ext uri="{FF2B5EF4-FFF2-40B4-BE49-F238E27FC236}">
              <a16:creationId xmlns:a16="http://schemas.microsoft.com/office/drawing/2014/main" id="{FA350438-6E8C-EF6F-2220-2D8866BD7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2010970</xdr:colOff>
      <xdr:row>11</xdr:row>
      <xdr:rowOff>75517</xdr:rowOff>
    </xdr:from>
    <xdr:to>
      <xdr:col>6</xdr:col>
      <xdr:colOff>876437</xdr:colOff>
      <xdr:row>17</xdr:row>
      <xdr:rowOff>81935</xdr:rowOff>
    </xdr:to>
    <mc:AlternateContent xmlns:mc="http://schemas.openxmlformats.org/markup-compatibility/2006" xmlns:a14="http://schemas.microsoft.com/office/drawing/2010/main">
      <mc:Choice Requires="a14">
        <xdr:graphicFrame macro="">
          <xdr:nvGraphicFramePr>
            <xdr:cNvPr id="4" name="Change Type">
              <a:extLst>
                <a:ext uri="{FF2B5EF4-FFF2-40B4-BE49-F238E27FC236}">
                  <a16:creationId xmlns:a16="http://schemas.microsoft.com/office/drawing/2014/main" id="{E82027B9-5E68-9712-0846-2CAD8B6140F4}"/>
                </a:ext>
              </a:extLst>
            </xdr:cNvPr>
            <xdr:cNvGraphicFramePr/>
          </xdr:nvGraphicFramePr>
          <xdr:xfrm>
            <a:off x="0" y="0"/>
            <a:ext cx="0" cy="0"/>
          </xdr:xfrm>
          <a:graphic>
            <a:graphicData uri="http://schemas.microsoft.com/office/drawing/2010/slicer">
              <sle:slicer xmlns:sle="http://schemas.microsoft.com/office/drawing/2010/slicer" name="Change Type"/>
            </a:graphicData>
          </a:graphic>
        </xdr:graphicFrame>
      </mc:Choice>
      <mc:Fallback xmlns="">
        <xdr:sp macro="" textlink="">
          <xdr:nvSpPr>
            <xdr:cNvPr id="0" name=""/>
            <xdr:cNvSpPr>
              <a:spLocks noTextEdit="1"/>
            </xdr:cNvSpPr>
          </xdr:nvSpPr>
          <xdr:spPr>
            <a:xfrm>
              <a:off x="12198282" y="2656485"/>
              <a:ext cx="1828800" cy="123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1094487</xdr:colOff>
      <xdr:row>28</xdr:row>
      <xdr:rowOff>23664</xdr:rowOff>
    </xdr:from>
    <xdr:to>
      <xdr:col>9</xdr:col>
      <xdr:colOff>1922945</xdr:colOff>
      <xdr:row>33</xdr:row>
      <xdr:rowOff>1577</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9DEC646D-08BE-DB56-F4BD-594FD997411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874316" y="5520950"/>
              <a:ext cx="1943336" cy="957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14432</xdr:rowOff>
    </xdr:from>
    <xdr:to>
      <xdr:col>6</xdr:col>
      <xdr:colOff>577274</xdr:colOff>
      <xdr:row>29</xdr:row>
      <xdr:rowOff>111125</xdr:rowOff>
    </xdr:to>
    <xdr:graphicFrame macro="">
      <xdr:nvGraphicFramePr>
        <xdr:cNvPr id="5" name="Chart 4">
          <a:extLst>
            <a:ext uri="{FF2B5EF4-FFF2-40B4-BE49-F238E27FC236}">
              <a16:creationId xmlns:a16="http://schemas.microsoft.com/office/drawing/2014/main" id="{6B56A8FF-AE79-FC49-8266-04D4D20E0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694747</xdr:colOff>
      <xdr:row>8</xdr:row>
      <xdr:rowOff>102178</xdr:rowOff>
    </xdr:from>
    <xdr:to>
      <xdr:col>8</xdr:col>
      <xdr:colOff>821748</xdr:colOff>
      <xdr:row>14</xdr:row>
      <xdr:rowOff>148648</xdr:rowOff>
    </xdr:to>
    <mc:AlternateContent xmlns:mc="http://schemas.openxmlformats.org/markup-compatibility/2006">
      <mc:Choice xmlns:a14="http://schemas.microsoft.com/office/drawing/2010/main" Requires="a14">
        <xdr:graphicFrame macro="">
          <xdr:nvGraphicFramePr>
            <xdr:cNvPr id="6" name="Change Type 1">
              <a:extLst>
                <a:ext uri="{FF2B5EF4-FFF2-40B4-BE49-F238E27FC236}">
                  <a16:creationId xmlns:a16="http://schemas.microsoft.com/office/drawing/2014/main" id="{0754B074-FB47-D145-AB45-C3E4B003AB37}"/>
                </a:ext>
              </a:extLst>
            </xdr:cNvPr>
            <xdr:cNvGraphicFramePr/>
          </xdr:nvGraphicFramePr>
          <xdr:xfrm>
            <a:off x="0" y="0"/>
            <a:ext cx="0" cy="0"/>
          </xdr:xfrm>
          <a:graphic>
            <a:graphicData uri="http://schemas.microsoft.com/office/drawing/2010/slicer">
              <sle:slicer xmlns:sle="http://schemas.microsoft.com/office/drawing/2010/slicer" name="Change Type 1"/>
            </a:graphicData>
          </a:graphic>
        </xdr:graphicFrame>
      </mc:Choice>
      <mc:Fallback>
        <xdr:sp macro="" textlink="">
          <xdr:nvSpPr>
            <xdr:cNvPr id="0" name=""/>
            <xdr:cNvSpPr>
              <a:spLocks noTextEdit="1"/>
            </xdr:cNvSpPr>
          </xdr:nvSpPr>
          <xdr:spPr>
            <a:xfrm>
              <a:off x="10392929" y="1747405"/>
              <a:ext cx="1772228" cy="1258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187613</xdr:colOff>
      <xdr:row>6</xdr:row>
      <xdr:rowOff>32971</xdr:rowOff>
    </xdr:from>
    <xdr:to>
      <xdr:col>21</xdr:col>
      <xdr:colOff>476250</xdr:colOff>
      <xdr:row>29</xdr:row>
      <xdr:rowOff>144318</xdr:rowOff>
    </xdr:to>
    <xdr:graphicFrame macro="">
      <xdr:nvGraphicFramePr>
        <xdr:cNvPr id="7" name="Chart 6">
          <a:extLst>
            <a:ext uri="{FF2B5EF4-FFF2-40B4-BE49-F238E27FC236}">
              <a16:creationId xmlns:a16="http://schemas.microsoft.com/office/drawing/2014/main" id="{E93F8AC1-E408-3041-88FF-EE51460B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31</xdr:row>
      <xdr:rowOff>155361</xdr:rowOff>
    </xdr:from>
    <xdr:to>
      <xdr:col>7</xdr:col>
      <xdr:colOff>31751</xdr:colOff>
      <xdr:row>54</xdr:row>
      <xdr:rowOff>79376</xdr:rowOff>
    </xdr:to>
    <xdr:graphicFrame macro="">
      <xdr:nvGraphicFramePr>
        <xdr:cNvPr id="9" name="Chart 8">
          <a:extLst>
            <a:ext uri="{FF2B5EF4-FFF2-40B4-BE49-F238E27FC236}">
              <a16:creationId xmlns:a16="http://schemas.microsoft.com/office/drawing/2014/main" id="{D78649A7-FCC2-5246-8BF1-3B3B68536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187613</xdr:colOff>
      <xdr:row>31</xdr:row>
      <xdr:rowOff>115454</xdr:rowOff>
    </xdr:from>
    <xdr:to>
      <xdr:col>21</xdr:col>
      <xdr:colOff>519546</xdr:colOff>
      <xdr:row>54</xdr:row>
      <xdr:rowOff>86591</xdr:rowOff>
    </xdr:to>
    <xdr:graphicFrame macro="">
      <xdr:nvGraphicFramePr>
        <xdr:cNvPr id="10" name="Chart 9">
          <a:extLst>
            <a:ext uri="{FF2B5EF4-FFF2-40B4-BE49-F238E27FC236}">
              <a16:creationId xmlns:a16="http://schemas.microsoft.com/office/drawing/2014/main" id="{39B0C1B6-DD6D-0845-805B-07C7D51B0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 Muhammad" refreshedDate="45878.635782986108" createdVersion="8" refreshedVersion="8" minRefreshableVersion="3" recordCount="6" xr:uid="{D7C6A8A1-851A-9A4B-998E-A317DB53D735}">
  <cacheSource type="worksheet">
    <worksheetSource name="TaxRates"/>
  </cacheSource>
  <cacheFields count="8">
    <cacheField name="Tax/Levy" numFmtId="0">
      <sharedItems count="6">
        <s v="Import Declaration Fee (IDF)"/>
        <s v="Railway Development levy (RDL)"/>
        <s v="Eco-Levy"/>
        <s v="Export Promotion Levy"/>
        <s v="VAT (various items)"/>
        <s v="VAT registration threshold"/>
      </sharedItems>
    </cacheField>
    <cacheField name="Pre-Bill Rate" numFmtId="0">
      <sharedItems containsMixedTypes="1" containsNumber="1" minValue="0" maxValue="5000000"/>
    </cacheField>
    <cacheField name="Post-Bill Rate" numFmtId="0">
      <sharedItems containsMixedTypes="1" containsNumber="1" minValue="0.02" maxValue="8000000"/>
    </cacheField>
    <cacheField name="Effective Date" numFmtId="14">
      <sharedItems containsSemiMixedTypes="0" containsNonDate="0" containsDate="1" containsString="0" minDate="2024-01-07T00:00:00" maxDate="2024-01-08T00:00:00"/>
    </cacheField>
    <cacheField name="Specifications" numFmtId="0">
      <sharedItems/>
    </cacheField>
    <cacheField name="Change Type" numFmtId="0">
      <sharedItems count="3">
        <s v="Increase"/>
        <s v="New/Not Numeric"/>
        <s v="Decrease"/>
      </sharedItems>
    </cacheField>
    <cacheField name="Difference" numFmtId="0">
      <sharedItems containsMixedTypes="1" containsNumber="1" minValue="-0.155" maxValue="3000000"/>
    </cacheField>
    <cacheField name="IsPercent" numFmtId="0">
      <sharedItems count="2">
        <s v="Yes"/>
        <s v="No"/>
      </sharedItems>
    </cacheField>
  </cacheFields>
  <extLst>
    <ext xmlns:x14="http://schemas.microsoft.com/office/spreadsheetml/2009/9/main" uri="{725AE2AE-9491-48be-B2B4-4EB974FC3084}">
      <x14:pivotCacheDefinition pivotCacheId="12710465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 Muhammad" refreshedDate="45878.718521527779" createdVersion="8" refreshedVersion="8" minRefreshableVersion="3" recordCount="22" xr:uid="{04BFABBF-0C5E-6243-A2B1-535B244AAEBD}">
  <cacheSource type="worksheet">
    <worksheetSource name="Table3Revenue"/>
  </cacheSource>
  <cacheFields count="10">
    <cacheField name="Date Period" numFmtId="14">
      <sharedItems containsSemiMixedTypes="0" containsNonDate="0" containsDate="1" containsString="0" minDate="2023-03-01T00:00:00" maxDate="2024-12-02T00:00:00" count="22">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Import Value (Ksh Million)" numFmtId="2">
      <sharedItems containsSemiMixedTypes="0" containsString="0" containsNumber="1" minValue="191691.69" maxValue="259111.12"/>
    </cacheField>
    <cacheField name="IDF Amount" numFmtId="2">
      <sharedItems containsSemiMixedTypes="0" containsString="0" containsNumber="1" minValue="4792.2922500000004" maxValue="7335.4535999999998"/>
    </cacheField>
    <cacheField name="RDL Paid" numFmtId="2">
      <sharedItems containsSemiMixedTypes="0" containsString="0" containsNumber="1" minValue="2875.3753499999998" maxValue="4890.3023999999996"/>
    </cacheField>
    <cacheField name="VAT" numFmtId="2">
      <sharedItems containsSemiMixedTypes="0" containsString="0" containsNumber="1" minValue="31897.497216" maxValue="43116.090367999997"/>
    </cacheField>
    <cacheField name="Net Total Duties Revenue" numFmtId="2">
      <sharedItems containsSemiMixedTypes="0" containsString="0" containsNumber="1" minValue="39565.164816000004" maxValue="53480.535168000002"/>
    </cacheField>
    <cacheField name="Year" numFmtId="49">
      <sharedItems containsSemiMixedTypes="0" containsString="0" containsNumber="1" containsInteger="1" minValue="2023" maxValue="2024" count="2">
        <n v="2023"/>
        <n v="2024"/>
      </sharedItems>
    </cacheField>
    <cacheField name="Month" numFmtId="167">
      <sharedItems containsNonDate="0" count="12">
        <s v="Mar"/>
        <s v="Apr"/>
        <s v="May"/>
        <s v="Jun"/>
        <s v="Jul"/>
        <s v="Aug"/>
        <s v="Sep"/>
        <s v="Oct"/>
        <s v="Nov"/>
        <s v="Dec"/>
        <s v="Jan"/>
        <s v="Feb"/>
      </sharedItems>
    </cacheField>
    <cacheField name="Year-Month" numFmtId="167">
      <sharedItems containsNonDate="0"/>
    </cacheField>
    <cacheField name="Years (Date Period)" numFmtId="0" databaseField="0">
      <fieldGroup base="0">
        <rangePr groupBy="years" startDate="2023-03-01T00:00:00" endDate="2024-12-02T00:00:00"/>
        <groupItems count="4">
          <s v="&lt;3/1/23"/>
          <s v="2023"/>
          <s v="2024"/>
          <s v="&gt;12/2/24"/>
        </groupItems>
      </fieldGroup>
    </cacheField>
  </cacheFields>
  <extLst>
    <ext xmlns:x14="http://schemas.microsoft.com/office/spreadsheetml/2009/9/main" uri="{725AE2AE-9491-48be-B2B4-4EB974FC3084}">
      <x14:pivotCacheDefinition pivotCacheId="31289348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 Muhammad" refreshedDate="45878.728970949072" createdVersion="8" refreshedVersion="8" minRefreshableVersion="3" recordCount="22" xr:uid="{6F02042A-4FAB-4444-98AE-AE409822A5E8}">
  <cacheSource type="worksheet">
    <worksheetSource name="Table4"/>
  </cacheSource>
  <cacheFields count="4">
    <cacheField name="Date Period" numFmtId="168">
      <sharedItems containsSemiMixedTypes="0" containsNonDate="0" containsDate="1" containsString="0" minDate="2023-03-01T00:00:00" maxDate="2024-12-02T00:00:00" count="22">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3"/>
    </cacheField>
    <cacheField name="Months" numFmtId="168">
      <sharedItems containsNonDate="0" count="12">
        <s v="Mar"/>
        <s v="Apr"/>
        <s v="May"/>
        <s v="Jun"/>
        <s v="Jul"/>
        <s v="Aug"/>
        <s v="Sep"/>
        <s v="Oct"/>
        <s v="Nov"/>
        <s v="Dec"/>
        <s v="Jan"/>
        <s v="Feb"/>
      </sharedItems>
    </cacheField>
    <cacheField name="Total Export Value (Kshs Million)" numFmtId="4">
      <sharedItems containsSemiMixedTypes="0" containsString="0" containsNumber="1" minValue="70700.11" maxValue="107422.81"/>
    </cacheField>
    <cacheField name="Years (Date Period)" numFmtId="0" databaseField="0">
      <fieldGroup base="0">
        <rangePr groupBy="years" startDate="2023-03-01T00:00:00" endDate="2024-12-02T00:00:00"/>
        <groupItems count="4">
          <s v="&lt;3/1/23"/>
          <s v="2023"/>
          <s v="2024"/>
          <s v="&gt;12/2/2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 Muhammad" refreshedDate="45878.731638657409" createdVersion="8" refreshedVersion="8" minRefreshableVersion="3" recordCount="15" xr:uid="{2B49A788-33B9-3545-8206-9AF3500561E8}">
  <cacheSource type="worksheet">
    <worksheetSource name="Table5"/>
  </cacheSource>
  <cacheFields count="11">
    <cacheField name="Date Period" numFmtId="17">
      <sharedItems containsNonDate="0" containsDate="1" containsString="0" containsBlank="1" minDate="2023-07-01T00:00:00" maxDate="2024-07-02T00:00:00" count="3">
        <d v="2023-07-01T00:00:00"/>
        <m/>
        <d v="2024-07-01T00:00:00"/>
      </sharedItems>
      <fieldGroup par="10"/>
    </cacheField>
    <cacheField name="Products" numFmtId="17">
      <sharedItems containsNonDate="0" containsBlank="1" count="8">
        <s v="Furniture"/>
        <s v="Diapers and Sanitary Towels"/>
        <s v="Mobile Phones and Electronics"/>
        <s v="Mattresses and Bedding"/>
        <s v="Garments "/>
        <s v="Footwear"/>
        <s v="Leather Goods"/>
        <m/>
      </sharedItems>
    </cacheField>
    <cacheField name="Total Import Value (Million USD)" numFmtId="0">
      <sharedItems containsString="0" containsBlank="1" containsNumber="1" minValue="0" maxValue="116.5"/>
    </cacheField>
    <cacheField name="Notes" numFmtId="0">
      <sharedItems containsBlank="1"/>
    </cacheField>
    <cacheField name="ELIP" numFmtId="0">
      <sharedItems containsString="0" containsBlank="1" containsNumber="1" minValue="0" maxValue="2.33" count="14">
        <n v="7.5999999999999998E-2"/>
        <n v="0"/>
        <n v="1"/>
        <n v="2.3999999999999998E-3"/>
        <n v="0.03"/>
        <n v="0.01"/>
        <m/>
        <n v="5.2000000000000006E-3"/>
        <n v="0.10920000000000001"/>
        <n v="2.33"/>
        <n v="8.8000000000000005E-3"/>
        <n v="1.6000000000000001E-4"/>
        <n v="6.8200000000000011E-2"/>
        <n v="5.9999999999999995E-4"/>
      </sharedItems>
    </cacheField>
    <cacheField name="Notes2" numFmtId="0">
      <sharedItems containsBlank="1"/>
    </cacheField>
    <cacheField name="Eco Levy" numFmtId="0">
      <sharedItems containsString="0" containsBlank="1" containsNumber="1" minValue="0" maxValue="2.9125000000000001"/>
    </cacheField>
    <cacheField name="Notes3" numFmtId="0">
      <sharedItems containsBlank="1"/>
    </cacheField>
    <cacheField name="Months (Date Period)" numFmtId="0" databaseField="0">
      <fieldGroup base="0">
        <rangePr groupBy="months" startDate="2023-07-01T00:00:00" endDate="2024-07-02T00:00:00"/>
        <groupItems count="14">
          <s v="&lt;7/1/23"/>
          <s v="Jan"/>
          <s v="Feb"/>
          <s v="Mar"/>
          <s v="Apr"/>
          <s v="May"/>
          <s v="Jun"/>
          <s v="Jul"/>
          <s v="Aug"/>
          <s v="Sep"/>
          <s v="Oct"/>
          <s v="Nov"/>
          <s v="Dec"/>
          <s v="&gt;7/2/24"/>
        </groupItems>
      </fieldGroup>
    </cacheField>
    <cacheField name="Quarters (Date Period)" numFmtId="0" databaseField="0">
      <fieldGroup base="0">
        <rangePr groupBy="quarters" startDate="2023-07-01T00:00:00" endDate="2024-07-02T00:00:00"/>
        <groupItems count="6">
          <s v="&lt;7/1/23"/>
          <s v="Qtr1"/>
          <s v="Qtr2"/>
          <s v="Qtr3"/>
          <s v="Qtr4"/>
          <s v="&gt;7/2/24"/>
        </groupItems>
      </fieldGroup>
    </cacheField>
    <cacheField name="Years (Date Period)" numFmtId="0" databaseField="0">
      <fieldGroup base="0">
        <rangePr groupBy="years" startDate="2023-07-01T00:00:00" endDate="2024-07-02T00:00:00"/>
        <groupItems count="4">
          <s v="&lt;7/1/23"/>
          <s v="2023"/>
          <s v="2024"/>
          <s v="&gt;7/2/24"/>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78.790220833333" createdVersion="8" refreshedVersion="8" minRefreshableVersion="3" recordCount="22" xr:uid="{373C642F-C698-4011-B3DD-EACD176D8973}">
  <cacheSource type="worksheet">
    <worksheetSource name="Table6"/>
  </cacheSource>
  <cacheFields count="7">
    <cacheField name="Date Period" numFmtId="17">
      <sharedItems containsSemiMixedTypes="0" containsNonDate="0" containsDate="1" containsString="0" minDate="2023-03-01T00:00:00" maxDate="2024-12-02T00:00:00" count="22">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6"/>
    </cacheField>
    <cacheField name="Cooking Oil (1L)" numFmtId="165">
      <sharedItems containsSemiMixedTypes="0" containsString="0" containsNumber="1" minValue="315.01" maxValue="373.75"/>
    </cacheField>
    <cacheField name="Maize Flour (2kg sifted) " numFmtId="165">
      <sharedItems containsSemiMixedTypes="0" containsString="0" containsNumber="1" minValue="110" maxValue="227.07"/>
    </cacheField>
    <cacheField name="Sugar(Kg)" numFmtId="165">
      <sharedItems containsSemiMixedTypes="0" containsString="0" containsNumber="1" minValue="136" maxValue="229"/>
    </cacheField>
    <cacheField name="Months (Date Period)" numFmtId="0" databaseField="0">
      <fieldGroup base="0">
        <rangePr groupBy="months" startDate="2023-03-01T00:00:00" endDate="2024-12-02T00:00:00"/>
        <groupItems count="14">
          <s v="&lt;3/1/2023"/>
          <s v="Jan"/>
          <s v="Feb"/>
          <s v="Mar"/>
          <s v="Apr"/>
          <s v="May"/>
          <s v="Jun"/>
          <s v="Jul"/>
          <s v="Aug"/>
          <s v="Sep"/>
          <s v="Oct"/>
          <s v="Nov"/>
          <s v="Dec"/>
          <s v="&gt;12/2/2024"/>
        </groupItems>
      </fieldGroup>
    </cacheField>
    <cacheField name="Quarters (Date Period)" numFmtId="0" databaseField="0">
      <fieldGroup base="0">
        <rangePr groupBy="quarters" startDate="2023-03-01T00:00:00" endDate="2024-12-02T00:00:00"/>
        <groupItems count="6">
          <s v="&lt;3/1/2023"/>
          <s v="Qtr1"/>
          <s v="Qtr2"/>
          <s v="Qtr3"/>
          <s v="Qtr4"/>
          <s v="&gt;12/2/2024"/>
        </groupItems>
      </fieldGroup>
    </cacheField>
    <cacheField name="Years (Date Period)" numFmtId="0" databaseField="0">
      <fieldGroup base="0">
        <rangePr groupBy="years" startDate="2023-03-01T00:00:00" endDate="2024-12-02T00:00:00"/>
        <groupItems count="4">
          <s v="&lt;3/1/2023"/>
          <s v="2023"/>
          <s v="2024"/>
          <s v="&gt;12/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5000000000000001E-2"/>
    <n v="0.03"/>
    <d v="2024-01-07T00:00:00"/>
    <s v="IDF of customs value"/>
    <x v="0"/>
    <n v="4.9999999999999975E-3"/>
    <x v="0"/>
  </r>
  <r>
    <x v="1"/>
    <n v="1.4999999999999999E-2"/>
    <n v="0.02"/>
    <d v="2024-01-07T00:00:00"/>
    <s v="Applies to customs value"/>
    <x v="0"/>
    <n v="5.000000000000001E-3"/>
    <x v="0"/>
  </r>
  <r>
    <x v="2"/>
    <s v="New Rate"/>
    <s v="Rate-Specific per unit/kg/listed goods"/>
    <d v="2024-01-07T00:00:00"/>
    <s v="Applies to electronics, tires, diapers, pads, motorcycles, etc."/>
    <x v="1"/>
    <s v=""/>
    <x v="1"/>
  </r>
  <r>
    <x v="3"/>
    <n v="0.17499999999999999"/>
    <n v="0.02"/>
    <d v="2024-01-07T00:00:00"/>
    <s v="Reduced but scope expanded to more goods"/>
    <x v="2"/>
    <n v="-0.155"/>
    <x v="0"/>
  </r>
  <r>
    <x v="4"/>
    <n v="0"/>
    <n v="0.16"/>
    <d v="2024-01-07T00:00:00"/>
    <s v="Bread, eggs, onions, FX services"/>
    <x v="0"/>
    <n v="0.16"/>
    <x v="0"/>
  </r>
  <r>
    <x v="5"/>
    <n v="5000000"/>
    <n v="8000000"/>
    <d v="2024-01-07T00:00:00"/>
    <s v="Smaller businesses exempted"/>
    <x v="0"/>
    <n v="300000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216425.53"/>
    <n v="5410.63825"/>
    <n v="3246.3829499999997"/>
    <n v="36013.208191999998"/>
    <n v="44670.229391999994"/>
    <x v="0"/>
    <x v="0"/>
    <s v="2023-Mar"/>
  </r>
  <r>
    <x v="1"/>
    <n v="208293.45"/>
    <n v="5207.3362500000003"/>
    <n v="3124.40175"/>
    <n v="34660.030079999997"/>
    <n v="42991.768079999994"/>
    <x v="0"/>
    <x v="1"/>
    <s v="2023-Apr"/>
  </r>
  <r>
    <x v="2"/>
    <n v="230279.22"/>
    <n v="5756.9805000000006"/>
    <n v="3454.1882999999998"/>
    <n v="38318.462208000004"/>
    <n v="47529.631008000004"/>
    <x v="0"/>
    <x v="2"/>
    <s v="2023-May"/>
  </r>
  <r>
    <x v="3"/>
    <n v="210166.39"/>
    <n v="5254.1597500000007"/>
    <n v="3152.4958500000002"/>
    <n v="34971.687296000004"/>
    <n v="43378.342896000002"/>
    <x v="0"/>
    <x v="3"/>
    <s v="2023-Jun"/>
  </r>
  <r>
    <x v="4"/>
    <n v="191691.69"/>
    <n v="4792.2922500000004"/>
    <n v="2875.3753499999998"/>
    <n v="31897.497216"/>
    <n v="39565.164816000004"/>
    <x v="0"/>
    <x v="4"/>
    <s v="2023-Jul"/>
  </r>
  <r>
    <x v="5"/>
    <n v="238822.64"/>
    <n v="5970.5660000000007"/>
    <n v="3582.3396000000002"/>
    <n v="39740.087296000005"/>
    <n v="49292.992896000011"/>
    <x v="0"/>
    <x v="5"/>
    <s v="2023-Aug"/>
  </r>
  <r>
    <x v="6"/>
    <n v="215596.83"/>
    <n v="5389.9207500000002"/>
    <n v="3233.9524499999998"/>
    <n v="35875.312511999997"/>
    <n v="44499.185711999999"/>
    <x v="0"/>
    <x v="6"/>
    <s v="2023-Sep"/>
  </r>
  <r>
    <x v="7"/>
    <n v="238719.25"/>
    <n v="5967.9812500000007"/>
    <n v="3580.7887499999997"/>
    <n v="39722.883200000004"/>
    <n v="49271.653200000001"/>
    <x v="0"/>
    <x v="7"/>
    <s v="2023-Oct"/>
  </r>
  <r>
    <x v="8"/>
    <n v="259111.12"/>
    <n v="6477.7780000000002"/>
    <n v="3886.6668"/>
    <n v="43116.090367999997"/>
    <n v="53480.535168000002"/>
    <x v="0"/>
    <x v="8"/>
    <s v="2023-Nov"/>
  </r>
  <r>
    <x v="9"/>
    <n v="219664.19"/>
    <n v="5491.6047500000004"/>
    <n v="3294.9628499999999"/>
    <n v="36552.121216"/>
    <n v="45338.688816000002"/>
    <x v="0"/>
    <x v="9"/>
    <s v="2023-Dec"/>
  </r>
  <r>
    <x v="10"/>
    <n v="244573.36"/>
    <n v="6114.3339999999998"/>
    <n v="3668.6003999999998"/>
    <n v="40697.007103999997"/>
    <n v="50479.941503999995"/>
    <x v="1"/>
    <x v="10"/>
    <s v="2024-Jan"/>
  </r>
  <r>
    <x v="11"/>
    <n v="226412.35"/>
    <n v="5660.3087500000001"/>
    <n v="3396.18525"/>
    <n v="37675.015040000006"/>
    <n v="46731.509040000004"/>
    <x v="1"/>
    <x v="11"/>
    <s v="2024-Feb"/>
  </r>
  <r>
    <x v="12"/>
    <n v="208228.95"/>
    <n v="5205.723750000001"/>
    <n v="3123.4342500000002"/>
    <n v="34649.297279999999"/>
    <n v="42978.455280000002"/>
    <x v="1"/>
    <x v="0"/>
    <s v="2024-Mar"/>
  </r>
  <r>
    <x v="13"/>
    <n v="236210.91"/>
    <n v="5905.2727500000001"/>
    <n v="3543.16365"/>
    <n v="39305.495424000001"/>
    <n v="48753.931823999999"/>
    <x v="1"/>
    <x v="1"/>
    <s v="2024-Apr"/>
  </r>
  <r>
    <x v="14"/>
    <n v="212570.44"/>
    <n v="5314.2610000000004"/>
    <n v="3188.5565999999999"/>
    <n v="35371.721216000005"/>
    <n v="43874.538816000008"/>
    <x v="1"/>
    <x v="2"/>
    <s v="2024-May"/>
  </r>
  <r>
    <x v="15"/>
    <n v="208614.25"/>
    <n v="5215.3562500000007"/>
    <n v="3129.2137499999999"/>
    <n v="34713.411200000002"/>
    <n v="43057.981200000002"/>
    <x v="1"/>
    <x v="3"/>
    <s v="2024-Jun"/>
  </r>
  <r>
    <x v="16"/>
    <n v="226054.51"/>
    <n v="6781.6352999999999"/>
    <n v="4521.0902000000006"/>
    <n v="37977.157680000004"/>
    <n v="49279.883180000004"/>
    <x v="1"/>
    <x v="4"/>
    <s v="2024-Jul"/>
  </r>
  <r>
    <x v="17"/>
    <n v="226509.4"/>
    <n v="6795.2819999999992"/>
    <n v="4530.1880000000001"/>
    <n v="38053.5792"/>
    <n v="49379.049200000001"/>
    <x v="1"/>
    <x v="5"/>
    <s v="2024-Aug"/>
  </r>
  <r>
    <x v="18"/>
    <n v="219412.67"/>
    <n v="6582.3801000000003"/>
    <n v="4388.2534000000005"/>
    <n v="36861.328560000002"/>
    <n v="47831.962060000005"/>
    <x v="1"/>
    <x v="6"/>
    <s v="2024-Sep"/>
  </r>
  <r>
    <x v="19"/>
    <n v="244515.12"/>
    <n v="7335.4535999999998"/>
    <n v="4890.3023999999996"/>
    <n v="41078.540159999997"/>
    <n v="53304.296159999998"/>
    <x v="1"/>
    <x v="7"/>
    <s v="2024-Oct"/>
  </r>
  <r>
    <x v="20"/>
    <n v="227665.15"/>
    <n v="6829.9544999999998"/>
    <n v="4553.3029999999999"/>
    <n v="38247.745199999998"/>
    <n v="49631.002699999997"/>
    <x v="1"/>
    <x v="8"/>
    <s v="2024-Nov"/>
  </r>
  <r>
    <x v="21"/>
    <n v="217997.8"/>
    <n v="6539.9339999999993"/>
    <n v="4359.9560000000001"/>
    <n v="36623.630400000002"/>
    <n v="47523.520400000001"/>
    <x v="1"/>
    <x v="9"/>
    <s v="2024-De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81737.7"/>
  </r>
  <r>
    <x v="1"/>
    <x v="1"/>
    <n v="70700.11"/>
  </r>
  <r>
    <x v="2"/>
    <x v="2"/>
    <n v="91353.76"/>
  </r>
  <r>
    <x v="3"/>
    <x v="3"/>
    <n v="85828.68"/>
  </r>
  <r>
    <x v="4"/>
    <x v="4"/>
    <n v="82582.990000000005"/>
  </r>
  <r>
    <x v="5"/>
    <x v="5"/>
    <n v="94269.61"/>
  </r>
  <r>
    <x v="6"/>
    <x v="6"/>
    <n v="91188.18"/>
  </r>
  <r>
    <x v="7"/>
    <x v="7"/>
    <n v="84176.27"/>
  </r>
  <r>
    <x v="8"/>
    <x v="8"/>
    <n v="88976.99"/>
  </r>
  <r>
    <x v="9"/>
    <x v="9"/>
    <n v="84238.78"/>
  </r>
  <r>
    <x v="10"/>
    <x v="10"/>
    <n v="91675.62"/>
  </r>
  <r>
    <x v="11"/>
    <x v="11"/>
    <n v="107422.81"/>
  </r>
  <r>
    <x v="12"/>
    <x v="0"/>
    <n v="97933.36"/>
  </r>
  <r>
    <x v="13"/>
    <x v="1"/>
    <n v="92923.13"/>
  </r>
  <r>
    <x v="14"/>
    <x v="2"/>
    <n v="94482.42"/>
  </r>
  <r>
    <x v="15"/>
    <x v="3"/>
    <n v="87154.05"/>
  </r>
  <r>
    <x v="16"/>
    <x v="4"/>
    <n v="97042.19"/>
  </r>
  <r>
    <x v="17"/>
    <x v="5"/>
    <n v="93359.14"/>
  </r>
  <r>
    <x v="18"/>
    <x v="6"/>
    <n v="91026.16"/>
  </r>
  <r>
    <x v="19"/>
    <x v="7"/>
    <n v="88331.34"/>
  </r>
  <r>
    <x v="20"/>
    <x v="8"/>
    <n v="85920.62"/>
  </r>
  <r>
    <x v="21"/>
    <x v="9"/>
    <n v="80677.8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3.8"/>
    <s v="Finished goods"/>
    <x v="0"/>
    <s v="Now included in 2024 bill"/>
    <n v="0"/>
    <s v="Not applicable before July 2024"/>
  </r>
  <r>
    <x v="1"/>
    <x v="1"/>
    <n v="0"/>
    <s v="Locally produced"/>
    <x v="1"/>
    <s v="Not subject to EIPL yet"/>
    <n v="0"/>
    <s v="Not applicable before July 2025"/>
  </r>
  <r>
    <x v="1"/>
    <x v="2"/>
    <n v="50"/>
    <s v="Exempt under ICT development policy"/>
    <x v="2"/>
    <s v="Now included in 2024 bill"/>
    <n v="0"/>
    <s v="Not applicable before July 2026"/>
  </r>
  <r>
    <x v="1"/>
    <x v="3"/>
    <n v="0.12"/>
    <s v="EAC finished goods"/>
    <x v="3"/>
    <s v="Added to EIPL List"/>
    <n v="0"/>
    <s v="Not applicable before July 2027"/>
  </r>
  <r>
    <x v="1"/>
    <x v="4"/>
    <n v="0"/>
    <s v="EAC sensitive item"/>
    <x v="1"/>
    <s v="Included in EIPL 2024"/>
    <n v="0"/>
    <s v="Not applicable before July 2028"/>
  </r>
  <r>
    <x v="1"/>
    <x v="5"/>
    <n v="1.5"/>
    <s v="Finished good"/>
    <x v="4"/>
    <s v="Added to EIPL List"/>
    <n v="0"/>
    <s v="Not applicable before July 2029"/>
  </r>
  <r>
    <x v="1"/>
    <x v="6"/>
    <n v="0.5"/>
    <s v="Finished good"/>
    <x v="5"/>
    <s v="Value-added items targeted"/>
    <n v="0"/>
    <s v="Not applicable before July 2030"/>
  </r>
  <r>
    <x v="1"/>
    <x v="7"/>
    <m/>
    <m/>
    <x v="6"/>
    <m/>
    <m/>
    <m/>
  </r>
  <r>
    <x v="2"/>
    <x v="0"/>
    <n v="0.26"/>
    <s v="Finished goods"/>
    <x v="7"/>
    <s v="Now included in 2024 bill"/>
    <n v="6.5000000000000006E-3"/>
    <s v="Estimate for plastic/foam"/>
  </r>
  <r>
    <x v="1"/>
    <x v="1"/>
    <n v="5.46"/>
    <s v="Locally produced"/>
    <x v="8"/>
    <s v="Not subject to EIPL yet"/>
    <n v="0.13650000000000001"/>
    <s v="Convert weight to value for estimate"/>
  </r>
  <r>
    <x v="1"/>
    <x v="2"/>
    <n v="116.5"/>
    <s v="Exempt under ICT development policy"/>
    <x v="9"/>
    <s v="Now included in 2024 bill"/>
    <n v="2.9125000000000001"/>
    <s v="Standard Electronics Rate"/>
  </r>
  <r>
    <x v="1"/>
    <x v="3"/>
    <n v="0.44"/>
    <s v="EAC finished goods"/>
    <x v="10"/>
    <s v="Added to EIPL List"/>
    <n v="1.1000000000000001E-2"/>
    <s v="Foam Estimate"/>
  </r>
  <r>
    <x v="1"/>
    <x v="4"/>
    <n v="8.0000000000000002E-3"/>
    <s v="EAC sensitive item"/>
    <x v="11"/>
    <s v="Included in EIPL 2024"/>
    <m/>
    <s v="Exempt"/>
  </r>
  <r>
    <x v="1"/>
    <x v="5"/>
    <n v="3.41"/>
    <s v="Finished good"/>
    <x v="12"/>
    <s v="Added to EIPL List"/>
    <n v="8.5250000000000006E-2"/>
    <s v="If synthetic"/>
  </r>
  <r>
    <x v="1"/>
    <x v="6"/>
    <n v="0.03"/>
    <s v="Finished good"/>
    <x v="13"/>
    <s v="Value-added items targeted"/>
    <n v="7.5000000000000002E-4"/>
    <s v="Mostly exempt"/>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344.51"/>
    <n v="165.05"/>
    <n v="157"/>
  </r>
  <r>
    <x v="1"/>
    <n v="360"/>
    <n v="167"/>
    <n v="160"/>
  </r>
  <r>
    <x v="2"/>
    <n v="328"/>
    <n v="187"/>
    <n v="211"/>
  </r>
  <r>
    <x v="3"/>
    <n v="326"/>
    <n v="197.28"/>
    <n v="206"/>
  </r>
  <r>
    <x v="4"/>
    <n v="318.92"/>
    <n v="227.07"/>
    <n v="229"/>
  </r>
  <r>
    <x v="5"/>
    <n v="315.01"/>
    <n v="213.26"/>
    <n v="224"/>
  </r>
  <r>
    <x v="6"/>
    <n v="315.01"/>
    <n v="179.93"/>
    <n v="223"/>
  </r>
  <r>
    <x v="7"/>
    <n v="325.94"/>
    <n v="145"/>
    <n v="218.66"/>
  </r>
  <r>
    <x v="8"/>
    <n v="349.51"/>
    <n v="134"/>
    <n v="213"/>
  </r>
  <r>
    <x v="9"/>
    <n v="360"/>
    <n v="143"/>
    <n v="149"/>
  </r>
  <r>
    <x v="10"/>
    <n v="335"/>
    <n v="154.54"/>
    <n v="157"/>
  </r>
  <r>
    <x v="11"/>
    <n v="340"/>
    <n v="120"/>
    <n v="166.45"/>
  </r>
  <r>
    <x v="12"/>
    <n v="355.1"/>
    <n v="110"/>
    <n v="169"/>
  </r>
  <r>
    <x v="13"/>
    <n v="371.16"/>
    <n v="200"/>
    <n v="165"/>
  </r>
  <r>
    <x v="14"/>
    <n v="336.85"/>
    <n v="130.38"/>
    <n v="159"/>
  </r>
  <r>
    <x v="15"/>
    <n v="326.36"/>
    <n v="213.26"/>
    <n v="151"/>
  </r>
  <r>
    <x v="16"/>
    <n v="318.92"/>
    <n v="206.24"/>
    <n v="142"/>
  </r>
  <r>
    <x v="17"/>
    <n v="353.01"/>
    <n v="217.39"/>
    <n v="141"/>
  </r>
  <r>
    <x v="18"/>
    <n v="349.28"/>
    <n v="214"/>
    <n v="136"/>
  </r>
  <r>
    <x v="19"/>
    <n v="360"/>
    <n v="172.5"/>
    <n v="140.44"/>
  </r>
  <r>
    <x v="20"/>
    <n v="371.16"/>
    <n v="168.02"/>
    <n v="146"/>
  </r>
  <r>
    <x v="21"/>
    <n v="373.75"/>
    <n v="160.58000000000001"/>
    <n v="159.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7FF5D9-BB6E-FD4C-B134-0D17377562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C17" firstHeaderRow="0" firstDataRow="1" firstDataCol="1" rowPageCount="1" colPageCount="1"/>
  <pivotFields count="8">
    <pivotField axis="axisRow" showAll="0" sortType="ascending">
      <items count="7">
        <item x="2"/>
        <item x="3"/>
        <item x="0"/>
        <item x="1"/>
        <item x="4"/>
        <item x="5"/>
        <item t="default"/>
      </items>
      <autoSortScope>
        <pivotArea dataOnly="0" outline="0" fieldPosition="0">
          <references count="1">
            <reference field="4294967294" count="1" selected="0">
              <x v="1"/>
            </reference>
          </references>
        </pivotArea>
      </autoSortScope>
    </pivotField>
    <pivotField dataField="1" showAll="0"/>
    <pivotField dataField="1" showAll="0"/>
    <pivotField numFmtId="14" showAll="0"/>
    <pivotField showAll="0"/>
    <pivotField showAll="0">
      <items count="4">
        <item x="2"/>
        <item x="0"/>
        <item x="1"/>
        <item t="default"/>
      </items>
    </pivotField>
    <pivotField showAll="0"/>
    <pivotField axis="axisPage" multipleItemSelectionAllowed="1" showAll="0" defaultSubtotal="0">
      <items count="2">
        <item h="1" x="1"/>
        <item x="0"/>
      </items>
    </pivotField>
  </pivotFields>
  <rowFields count="1">
    <field x="0"/>
  </rowFields>
  <rowItems count="5">
    <i>
      <x v="3"/>
    </i>
    <i>
      <x v="1"/>
    </i>
    <i>
      <x v="2"/>
    </i>
    <i>
      <x v="4"/>
    </i>
    <i t="grand">
      <x/>
    </i>
  </rowItems>
  <colFields count="1">
    <field x="-2"/>
  </colFields>
  <colItems count="2">
    <i>
      <x/>
    </i>
    <i i="1">
      <x v="1"/>
    </i>
  </colItems>
  <pageFields count="1">
    <pageField fld="7" hier="-1"/>
  </pageFields>
  <dataFields count="2">
    <dataField name="Average of Pre-Bill Rate" fld="1" subtotal="average" baseField="0" baseItem="0"/>
    <dataField name="Average of Post-Bill Rate" fld="2" subtotal="average" baseField="0" baseItem="0"/>
  </dataFields>
  <chartFormats count="6">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65350E-7179-0646-9F4D-EC3FBB1B589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C54" firstHeaderRow="1" firstDataRow="1" firstDataCol="1"/>
  <pivotFields count="10">
    <pivotField numFmtId="14" showAll="0">
      <items count="23">
        <item x="0"/>
        <item x="1"/>
        <item x="2"/>
        <item x="3"/>
        <item x="4"/>
        <item x="5"/>
        <item x="6"/>
        <item x="7"/>
        <item x="8"/>
        <item x="9"/>
        <item x="10"/>
        <item x="11"/>
        <item x="12"/>
        <item x="13"/>
        <item x="14"/>
        <item x="15"/>
        <item x="16"/>
        <item x="17"/>
        <item x="18"/>
        <item x="19"/>
        <item x="20"/>
        <item x="21"/>
        <item t="default"/>
      </items>
    </pivotField>
    <pivotField dataField="1" numFmtId="2" showAll="0"/>
    <pivotField numFmtId="2" showAll="0"/>
    <pivotField numFmtId="2" showAll="0"/>
    <pivotField numFmtId="2" showAll="0"/>
    <pivotField numFmtId="2" showAll="0"/>
    <pivotField numFmtId="49" showAll="0"/>
    <pivotField axis="axisRow" showAll="0">
      <items count="13">
        <item x="10"/>
        <item x="11"/>
        <item x="0"/>
        <item x="1"/>
        <item x="2"/>
        <item x="3"/>
        <item x="4"/>
        <item x="5"/>
        <item x="6"/>
        <item x="7"/>
        <item x="8"/>
        <item x="9"/>
        <item t="default"/>
      </items>
    </pivotField>
    <pivotField showAll="0"/>
    <pivotField axis="axisRow" showAll="0">
      <items count="5">
        <item x="0"/>
        <item x="1"/>
        <item x="2"/>
        <item x="3"/>
        <item t="default"/>
      </items>
    </pivotField>
  </pivotFields>
  <rowFields count="2">
    <field x="9"/>
    <field x="7"/>
  </rowFields>
  <rowItems count="25">
    <i>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Total Import Value (Ksh Mill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CCEBD8-777A-E942-9638-9213B5D60CF8}"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E29:I54" firstHeaderRow="0" firstDataRow="1" firstDataCol="2"/>
  <pivotFields count="10">
    <pivotField compact="0" numFmtId="14" outline="0" showAll="0">
      <items count="23">
        <item x="0"/>
        <item x="1"/>
        <item x="2"/>
        <item x="3"/>
        <item x="4"/>
        <item x="5"/>
        <item x="6"/>
        <item x="7"/>
        <item x="8"/>
        <item x="9"/>
        <item x="10"/>
        <item x="11"/>
        <item x="12"/>
        <item x="13"/>
        <item x="14"/>
        <item x="15"/>
        <item x="16"/>
        <item x="17"/>
        <item x="18"/>
        <item x="19"/>
        <item x="20"/>
        <item x="21"/>
        <item t="default"/>
      </items>
    </pivotField>
    <pivotField dataField="1" compact="0" numFmtId="2" outline="0" showAll="0"/>
    <pivotField dataField="1" compact="0" numFmtId="2" outline="0" showAll="0"/>
    <pivotField dataField="1" compact="0" numFmtId="2" outline="0" showAll="0"/>
    <pivotField compact="0" numFmtId="2" outline="0" showAll="0"/>
    <pivotField compact="0" numFmtId="2" outline="0" showAll="0"/>
    <pivotField axis="axisRow" compact="0" numFmtId="49" outline="0" showAll="0">
      <items count="3">
        <item x="0"/>
        <item x="1"/>
        <item t="default"/>
      </items>
    </pivotField>
    <pivotField axis="axisRow" compact="0" outline="0" showAll="0">
      <items count="13">
        <item x="10"/>
        <item x="11"/>
        <item x="0"/>
        <item x="1"/>
        <item x="2"/>
        <item x="3"/>
        <item x="4"/>
        <item x="5"/>
        <item x="6"/>
        <item x="7"/>
        <item x="8"/>
        <item x="9"/>
        <item t="default"/>
      </items>
    </pivotField>
    <pivotField compact="0" outline="0" showAll="0"/>
    <pivotField compact="0" outline="0" showAll="0" defaultSubtotal="0">
      <items count="4">
        <item sd="0" x="0"/>
        <item sd="0" x="2"/>
        <item sd="0" x="3"/>
        <item sd="0" x="1"/>
      </items>
    </pivotField>
  </pivotFields>
  <rowFields count="2">
    <field x="6"/>
    <field x="7"/>
  </rowFields>
  <rowItems count="25">
    <i>
      <x/>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t="grand">
      <x/>
    </i>
  </rowItems>
  <colFields count="1">
    <field x="-2"/>
  </colFields>
  <colItems count="3">
    <i>
      <x/>
    </i>
    <i i="1">
      <x v="1"/>
    </i>
    <i i="2">
      <x v="2"/>
    </i>
  </colItems>
  <dataFields count="3">
    <dataField name="Sum of Total Import Value (Ksh Million)" fld="1" baseField="0" baseItem="0"/>
    <dataField name="Sum of IDF Amount" fld="2" baseField="0" baseItem="0"/>
    <dataField name="Sum of RDL Paid" fld="3" baseField="0" baseItem="0"/>
  </dataField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7" format="9" series="1">
      <pivotArea type="data" outline="0" fieldPosition="0">
        <references count="1">
          <reference field="4294967294" count="1" selected="0">
            <x v="1"/>
          </reference>
        </references>
      </pivotArea>
    </chartFormat>
    <chartFormat chart="27" format="10" series="1">
      <pivotArea type="data" outline="0" fieldPosition="0">
        <references count="1">
          <reference field="4294967294" count="1" selected="0">
            <x v="2"/>
          </reference>
        </references>
      </pivotArea>
    </chartFormat>
    <chartFormat chart="27" format="11" series="1">
      <pivotArea type="data" outline="0" fieldPosition="0">
        <references count="1">
          <reference field="4294967294" count="1" selected="0">
            <x v="0"/>
          </reference>
        </references>
      </pivotArea>
    </chartFormat>
    <chartFormat chart="28" format="12" series="1">
      <pivotArea type="data" outline="0" fieldPosition="0">
        <references count="1">
          <reference field="4294967294" count="1" selected="0">
            <x v="1"/>
          </reference>
        </references>
      </pivotArea>
    </chartFormat>
    <chartFormat chart="28" format="13" series="1">
      <pivotArea type="data" outline="0" fieldPosition="0">
        <references count="1">
          <reference field="4294967294" count="1" selected="0">
            <x v="2"/>
          </reference>
        </references>
      </pivotArea>
    </chartFormat>
    <chartFormat chart="28"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B0E1D4-D309-074E-B4A8-6730936E97B4}" name="Exports Trend"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8" firstHeaderRow="1" firstDataRow="1" firstDataCol="1"/>
  <pivotFields count="4">
    <pivotField axis="axisRow" numFmtId="168" showAll="0">
      <items count="23">
        <item x="0"/>
        <item x="1"/>
        <item x="2"/>
        <item x="3"/>
        <item x="4"/>
        <item x="5"/>
        <item x="6"/>
        <item x="7"/>
        <item x="8"/>
        <item x="9"/>
        <item x="10"/>
        <item x="11"/>
        <item x="12"/>
        <item x="13"/>
        <item x="14"/>
        <item x="15"/>
        <item x="16"/>
        <item x="17"/>
        <item x="18"/>
        <item x="19"/>
        <item x="20"/>
        <item x="21"/>
        <item t="default"/>
      </items>
    </pivotField>
    <pivotField showAll="0">
      <items count="13">
        <item x="10"/>
        <item x="11"/>
        <item x="0"/>
        <item x="1"/>
        <item x="2"/>
        <item x="3"/>
        <item x="4"/>
        <item x="5"/>
        <item x="6"/>
        <item x="7"/>
        <item x="8"/>
        <item x="9"/>
        <item t="default"/>
      </items>
    </pivotField>
    <pivotField dataField="1" numFmtId="4" showAll="0"/>
    <pivotField axis="axisRow" showAll="0">
      <items count="5">
        <item sd="0" x="0"/>
        <item sd="0" x="1"/>
        <item sd="0" x="2"/>
        <item sd="0" x="3"/>
        <item t="default"/>
      </items>
    </pivotField>
  </pivotFields>
  <rowFields count="2">
    <field x="3"/>
    <field x="0"/>
  </rowFields>
  <rowItems count="3">
    <i>
      <x v="1"/>
    </i>
    <i>
      <x v="2"/>
    </i>
    <i t="grand">
      <x/>
    </i>
  </rowItems>
  <colItems count="1">
    <i/>
  </colItems>
  <dataFields count="1">
    <dataField name="Sum of Total Export Value (Kshs Millio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D36B6D-1690-4399-8F8D-1107EC51B9D4}"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E11:G34" firstHeaderRow="1" firstDataRow="1" firstDataCol="2"/>
  <pivotFields count="4">
    <pivotField compact="0" numFmtId="168" outline="0" showAll="0">
      <items count="23">
        <item x="0"/>
        <item x="1"/>
        <item x="2"/>
        <item x="3"/>
        <item x="4"/>
        <item x="5"/>
        <item x="6"/>
        <item x="7"/>
        <item x="8"/>
        <item x="9"/>
        <item x="10"/>
        <item x="11"/>
        <item x="12"/>
        <item x="13"/>
        <item x="14"/>
        <item x="15"/>
        <item x="16"/>
        <item x="17"/>
        <item x="18"/>
        <item x="19"/>
        <item x="20"/>
        <item x="21"/>
        <item t="default"/>
      </items>
    </pivotField>
    <pivotField axis="axisRow" compact="0" outline="0" showAll="0">
      <items count="13">
        <item x="10"/>
        <item x="11"/>
        <item x="0"/>
        <item x="1"/>
        <item x="2"/>
        <item x="3"/>
        <item x="4"/>
        <item x="5"/>
        <item x="6"/>
        <item x="7"/>
        <item x="8"/>
        <item x="9"/>
        <item t="default"/>
      </items>
    </pivotField>
    <pivotField dataField="1" compact="0" numFmtId="4" outline="0" showAll="0"/>
    <pivotField axis="axisRow" compact="0" outline="0" showAll="0" defaultSubtotal="0">
      <items count="4">
        <item x="0"/>
        <item x="1"/>
        <item x="2"/>
        <item x="3"/>
      </items>
    </pivotField>
  </pivotFields>
  <rowFields count="2">
    <field x="3"/>
    <field x="1"/>
  </rowFields>
  <rowItems count="23">
    <i>
      <x v="1"/>
      <x v="2"/>
    </i>
    <i r="1">
      <x v="3"/>
    </i>
    <i r="1">
      <x v="4"/>
    </i>
    <i r="1">
      <x v="5"/>
    </i>
    <i r="1">
      <x v="6"/>
    </i>
    <i r="1">
      <x v="7"/>
    </i>
    <i r="1">
      <x v="8"/>
    </i>
    <i r="1">
      <x v="9"/>
    </i>
    <i r="1">
      <x v="10"/>
    </i>
    <i r="1">
      <x v="11"/>
    </i>
    <i>
      <x v="2"/>
      <x/>
    </i>
    <i r="1">
      <x v="1"/>
    </i>
    <i r="1">
      <x v="2"/>
    </i>
    <i r="1">
      <x v="3"/>
    </i>
    <i r="1">
      <x v="4"/>
    </i>
    <i r="1">
      <x v="5"/>
    </i>
    <i r="1">
      <x v="6"/>
    </i>
    <i r="1">
      <x v="7"/>
    </i>
    <i r="1">
      <x v="8"/>
    </i>
    <i r="1">
      <x v="9"/>
    </i>
    <i r="1">
      <x v="10"/>
    </i>
    <i r="1">
      <x v="11"/>
    </i>
    <i t="grand">
      <x/>
    </i>
  </rowItems>
  <colItems count="1">
    <i/>
  </colItems>
  <dataFields count="1">
    <dataField name="Sum of Total Export Value (Kshs Million)" fld="2" baseField="0" baseItem="0" numFmtId="4"/>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04024D-7D0B-B541-AA9F-0E88C03F7B0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1:Q25" firstHeaderRow="0" firstDataRow="1" firstDataCol="1"/>
  <pivotFields count="11">
    <pivotField axis="axisRow" showAll="0">
      <items count="4">
        <item x="0"/>
        <item x="2"/>
        <item x="1"/>
        <item t="default"/>
      </items>
    </pivotField>
    <pivotField showAll="0"/>
    <pivotField showAll="0"/>
    <pivotField showAll="0"/>
    <pivotField dataField="1"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0"/>
    <field x="9"/>
    <field x="8"/>
    <field x="0"/>
  </rowFields>
  <rowItems count="4">
    <i>
      <x/>
    </i>
    <i>
      <x v="1"/>
    </i>
    <i>
      <x v="2"/>
    </i>
    <i t="grand">
      <x/>
    </i>
  </rowItems>
  <colFields count="1">
    <field x="-2"/>
  </colFields>
  <colItems count="2">
    <i>
      <x/>
    </i>
    <i i="1">
      <x v="1"/>
    </i>
  </colItems>
  <dataFields count="2">
    <dataField name="Sum of ELIP" fld="4" baseField="0" baseItem="0"/>
    <dataField name="Sum of Eco Lev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E43B29-26AA-A847-92E6-8310FF80A8B2}" name="Imports by Produc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AA18" firstHeaderRow="1" firstDataRow="6" firstDataCol="1"/>
  <pivotFields count="11">
    <pivotField axis="axisCol" showAll="0">
      <items count="4">
        <item x="0"/>
        <item x="2"/>
        <item x="1"/>
        <item t="default"/>
      </items>
    </pivotField>
    <pivotField axis="axisRow" showAll="0">
      <items count="9">
        <item x="1"/>
        <item x="5"/>
        <item x="0"/>
        <item x="4"/>
        <item x="6"/>
        <item x="3"/>
        <item x="2"/>
        <item x="7"/>
        <item t="default"/>
      </items>
    </pivotField>
    <pivotField dataField="1" showAll="0"/>
    <pivotField showAll="0"/>
    <pivotField dataField="1" showAll="0"/>
    <pivotField showAll="0"/>
    <pivotField dataField="1"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
  </rowFields>
  <rowItems count="9">
    <i>
      <x/>
    </i>
    <i>
      <x v="1"/>
    </i>
    <i>
      <x v="2"/>
    </i>
    <i>
      <x v="3"/>
    </i>
    <i>
      <x v="4"/>
    </i>
    <i>
      <x v="5"/>
    </i>
    <i>
      <x v="6"/>
    </i>
    <i>
      <x v="7"/>
    </i>
    <i t="grand">
      <x/>
    </i>
  </rowItems>
  <colFields count="5">
    <field x="10"/>
    <field x="9"/>
    <field x="8"/>
    <field x="0"/>
    <field x="-2"/>
  </colFields>
  <colItems count="12">
    <i>
      <x/>
      <x v="1048832"/>
      <x v="1048832"/>
      <x v="1048832"/>
      <x/>
    </i>
    <i r="4" i="1">
      <x v="1"/>
    </i>
    <i r="4" i="2">
      <x v="2"/>
    </i>
    <i>
      <x v="1"/>
      <x v="1048832"/>
      <x v="1048832"/>
      <x v="1048832"/>
      <x/>
    </i>
    <i r="4" i="1">
      <x v="1"/>
    </i>
    <i r="4" i="2">
      <x v="2"/>
    </i>
    <i>
      <x v="2"/>
      <x v="1048832"/>
      <x v="1048832"/>
      <x v="1048832"/>
      <x/>
    </i>
    <i r="4" i="1">
      <x v="1"/>
    </i>
    <i r="4" i="2">
      <x v="2"/>
    </i>
    <i t="grand">
      <x/>
    </i>
    <i t="grand" i="1">
      <x/>
    </i>
    <i t="grand" i="2">
      <x/>
    </i>
  </colItems>
  <dataFields count="3">
    <dataField name="Sum of Total Import Value (Million USD)" fld="2" baseField="0" baseItem="0"/>
    <dataField name="Sum of ELIP" fld="4" baseField="0" baseItem="0"/>
    <dataField name="Sum of Eco Lev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7C20AD-A6CD-4B73-A592-2469302285E6}" name="PivotTable4"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23:J46" firstHeaderRow="0" firstDataRow="1" firstDataCol="3"/>
  <pivotFields count="7">
    <pivotField axis="axisRow" compact="0" numFmtId="17" outline="0" showAll="0" defaultSubtotal="0">
      <items count="22">
        <item x="0"/>
        <item x="1"/>
        <item x="2"/>
        <item x="3"/>
        <item x="4"/>
        <item x="5"/>
        <item x="6"/>
        <item x="7"/>
        <item x="8"/>
        <item x="9"/>
        <item x="10"/>
        <item x="11"/>
        <item x="12"/>
        <item x="13"/>
        <item x="14"/>
        <item x="15"/>
        <item x="16"/>
        <item x="17"/>
        <item x="18"/>
        <item x="19"/>
        <item x="20"/>
        <item x="21"/>
      </items>
    </pivotField>
    <pivotField dataField="1" compact="0" numFmtId="165" outline="0" showAll="0" defaultSubtotal="0"/>
    <pivotField dataField="1" compact="0" numFmtId="165" outline="0" showAll="0" defaultSubtotal="0"/>
    <pivotField dataField="1" compact="0" numFmtId="165"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
        <item sd="0" x="0"/>
        <item x="1"/>
        <item x="2"/>
        <item sd="0" x="3"/>
      </items>
    </pivotField>
  </pivotFields>
  <rowFields count="3">
    <field x="6"/>
    <field x="4"/>
    <field x="0"/>
  </rowFields>
  <rowItems count="23">
    <i>
      <x v="1"/>
      <x v="3"/>
    </i>
    <i r="1">
      <x v="4"/>
    </i>
    <i r="1">
      <x v="5"/>
    </i>
    <i r="1">
      <x v="6"/>
    </i>
    <i r="1">
      <x v="7"/>
    </i>
    <i r="1">
      <x v="8"/>
    </i>
    <i r="1">
      <x v="9"/>
    </i>
    <i r="1">
      <x v="10"/>
    </i>
    <i r="1">
      <x v="11"/>
    </i>
    <i r="1">
      <x v="12"/>
    </i>
    <i>
      <x v="2"/>
      <x v="1"/>
    </i>
    <i r="1">
      <x v="2"/>
    </i>
    <i r="1">
      <x v="3"/>
    </i>
    <i r="1">
      <x v="4"/>
    </i>
    <i r="1">
      <x v="5"/>
    </i>
    <i r="1">
      <x v="6"/>
    </i>
    <i r="1">
      <x v="7"/>
    </i>
    <i r="1">
      <x v="8"/>
    </i>
    <i r="1">
      <x v="9"/>
    </i>
    <i r="1">
      <x v="10"/>
    </i>
    <i r="1">
      <x v="11"/>
    </i>
    <i r="1">
      <x v="12"/>
    </i>
    <i t="grand">
      <x/>
    </i>
  </rowItems>
  <colFields count="1">
    <field x="-2"/>
  </colFields>
  <colItems count="3">
    <i>
      <x/>
    </i>
    <i i="1">
      <x v="1"/>
    </i>
    <i i="2">
      <x v="2"/>
    </i>
  </colItems>
  <dataFields count="3">
    <dataField name="Sum of Cooking Oil (1L)" fld="1" baseField="0" baseItem="0" numFmtId="165"/>
    <dataField name="Sum of Maize Flour (2kg sifted) " fld="2" baseField="0" baseItem="0" numFmtId="165"/>
    <dataField name="Sum of Sugar(Kg)" fld="3" baseField="0" baseItem="0" numFmtId="165"/>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Type" xr10:uid="{3445BD1A-5654-A041-90D9-D75461F380E2}" sourceName="Change Type">
  <pivotTables>
    <pivotTable tabId="1" name="PivotTable1"/>
  </pivotTables>
  <data>
    <tabular pivotCacheId="1271046527">
      <items count="3">
        <i x="2" s="1"/>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03D5E7-E21D-E346-8F65-D3991CDA88F8}" sourceName="Year">
  <pivotTables>
    <pivotTable tabId="2" name="PivotTable5"/>
  </pivotTables>
  <data>
    <tabular pivotCacheId="3128934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ge Type" xr10:uid="{40570521-97CA-A44E-A2C5-91F2D02C720E}" cache="Slicer_Change_Type" caption="Change 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27BC52-A64A-5946-8049-1423849E0B4E}" cache="Slicer_Year" caption="Year"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ge Type 1" xr10:uid="{DAAC6CB2-E7AC-B740-BAB7-537DF75BED04}" cache="Slicer_Change_Type" caption="Change 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18AE19-F784-8E41-A42B-CE623EC8A3A4}" name="TaxRates" displayName="TaxRates" ref="A1:H7" totalsRowShown="0" headerRowDxfId="61" tableBorderDxfId="60">
  <autoFilter ref="A1:H7" xr:uid="{5618AE19-F784-8E41-A42B-CE623EC8A3A4}"/>
  <tableColumns count="8">
    <tableColumn id="1" xr3:uid="{04808F76-0B3E-1148-B403-0A119B0BA2BD}" name="Tax/Levy" dataDxfId="59"/>
    <tableColumn id="2" xr3:uid="{8552BE8F-7281-384B-A275-72756FA88998}" name="Pre-Bill Rate" dataDxfId="58"/>
    <tableColumn id="3" xr3:uid="{3429D80C-CF59-BC4B-AAF1-D7BF0017D4AC}" name="Post-Bill Rate" dataDxfId="57"/>
    <tableColumn id="4" xr3:uid="{FBA148E8-A1B4-1F4E-B03A-D7EF4063522B}" name="Effective Date" dataDxfId="56"/>
    <tableColumn id="5" xr3:uid="{6FBE1AF6-16AC-6449-A538-410EBED3955D}" name="Specifications" dataDxfId="55"/>
    <tableColumn id="7" xr3:uid="{DF9C9E82-F2E9-AC49-8AF2-49FFC763B885}" name="Change Type" dataDxfId="54">
      <calculatedColumnFormula>IF(AND(ISNUMBER(TaxRates[[#This Row],[Pre-Bill Rate]]),ISNUMBER(TaxRates[[#This Row],[Post-Bill Rate]])),
    IF(TaxRates[[#This Row],[Post-Bill Rate]]&gt;TaxRates[[#This Row],[Pre-Bill Rate]],"Increase",
    IF(TaxRates[[#This Row],[Post-Bill Rate]]&lt;TaxRates[[#This Row],[Pre-Bill Rate]],"Decrease","No Change")),
"New/Not Numeric")</calculatedColumnFormula>
    </tableColumn>
    <tableColumn id="8" xr3:uid="{5E4888D4-7AF4-9044-8EBA-706B2B1D3614}" name="Difference" dataDxfId="53">
      <calculatedColumnFormula>IF(AND(ISNUMBER(TaxRates[[#This Row],[Pre-Bill Rate]]),ISNUMBER(TaxRates[[#This Row],[Post-Bill Rate]])),
    TaxRates[[#This Row],[Post-Bill Rate]]-TaxRates[[#This Row],[Pre-Bill Rate]],
    "")</calculatedColumnFormula>
    </tableColumn>
    <tableColumn id="9" xr3:uid="{191F38D2-BF43-444D-A6F3-74964D3530DA}" name="IsPercent" dataDxfId="52">
      <calculatedColumnFormula>IF(AND(ISNUMBER(TaxRates[[#This Row],[Pre-Bill Rate]]),TaxRates[[#This Row],[Pre-Bill Rate]]&lt;=1),"Yes","No")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26D7F1-E650-FA42-B64C-8189BF06EDF7}" name="Table3Revenue" displayName="Table3Revenue" ref="A1:I23" totalsRowShown="0" headerRowDxfId="51" dataDxfId="50" tableBorderDxfId="49">
  <autoFilter ref="A1:I23" xr:uid="{FC26D7F1-E650-FA42-B64C-8189BF06EDF7}"/>
  <tableColumns count="9">
    <tableColumn id="1" xr3:uid="{DD7BD6BB-2ABE-4B43-9A0C-B752A15BBA37}" name="Date Period" dataDxfId="48"/>
    <tableColumn id="2" xr3:uid="{80A1AF8F-0304-0340-A8CB-B8E58C485989}" name="Total Import Value (Ksh Million)" dataDxfId="47"/>
    <tableColumn id="3" xr3:uid="{D0CB8F0E-812A-6943-8D2B-4470176F0FCE}" name="IDF Amount" dataDxfId="46">
      <calculatedColumnFormula>IF(A2&lt;DATE(2024,7,1),B2*2.5%,B2*3%)</calculatedColumnFormula>
    </tableColumn>
    <tableColumn id="4" xr3:uid="{FB684508-E51F-B541-8F43-89DED5527AFD}" name="RDL Paid" dataDxfId="45">
      <calculatedColumnFormula>IF(A2&lt;DATE(2024,7,1), B2*1.5%, B2*2%)</calculatedColumnFormula>
    </tableColumn>
    <tableColumn id="5" xr3:uid="{57BA49A7-A2E1-8041-8EA0-427D628834B9}" name="VAT" dataDxfId="44">
      <calculatedColumnFormula xml:space="preserve"> 16% * (B2 + C2 + D2)</calculatedColumnFormula>
    </tableColumn>
    <tableColumn id="6" xr3:uid="{29F80A1A-3DE7-9E4A-86E2-2781D5E5934F}" name="Net Total Duties Revenue" dataDxfId="43">
      <calculatedColumnFormula xml:space="preserve"> C2 + D2 + E2</calculatedColumnFormula>
    </tableColumn>
    <tableColumn id="8" xr3:uid="{6460B6C8-02E8-B349-9CE7-F961D987E8F4}" name="Year" dataDxfId="42">
      <calculatedColumnFormula>YEAR(Table3Revenue[[#This Row],[Date Period]])</calculatedColumnFormula>
    </tableColumn>
    <tableColumn id="9" xr3:uid="{F44B2DC8-3CE7-384D-9FB2-264558C807F9}" name="Month" dataDxfId="41">
      <calculatedColumnFormula>TEXT(Table3Revenue[[#This Row],[Date Period]],"mmm")</calculatedColumnFormula>
    </tableColumn>
    <tableColumn id="10" xr3:uid="{E689D670-349F-354B-8E79-9C99A60698FB}" name="Year-Month" dataDxfId="40">
      <calculatedColumnFormula>TEXT(Table3Revenue[[#This Row],[Date Period]],"YYYY-MMM")</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7599E-29D8-174E-A845-BA12E28B8633}" name="Table4" displayName="Table4" ref="A1:C23" totalsRowShown="0" headerRowDxfId="39" tableBorderDxfId="38">
  <autoFilter ref="A1:C23" xr:uid="{23B7599E-29D8-174E-A845-BA12E28B8633}"/>
  <tableColumns count="3">
    <tableColumn id="1" xr3:uid="{096BC3FC-F8C0-FD4B-BF01-C05D8839BBD3}" name="Date Period" dataDxfId="37"/>
    <tableColumn id="3" xr3:uid="{372B8D18-F4CA-A542-A5FD-E00DE12CF1FF}" name="Months" dataDxfId="36">
      <calculatedColumnFormula>TEXT(Table4[[#This Row],[Date Period]],"mmm")</calculatedColumnFormula>
    </tableColumn>
    <tableColumn id="2" xr3:uid="{0D0E97DB-D344-354A-A9FA-25C0549B9106}" name="Total Export Value (Kshs Million)" dataDxfId="3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B5D40F-776E-074B-BE75-32C2ABDA38FA}" name="Table5" displayName="Table5" ref="A1:H16" totalsRowShown="0" headerRowDxfId="34" dataDxfId="33" tableBorderDxfId="32">
  <autoFilter ref="A1:H16" xr:uid="{99B5D40F-776E-074B-BE75-32C2ABDA38FA}"/>
  <tableColumns count="8">
    <tableColumn id="1" xr3:uid="{139C9BBA-526F-DB44-865B-2F9A9EF1D2FF}" name="Date Period" dataDxfId="31"/>
    <tableColumn id="2" xr3:uid="{8AC58A1E-09A8-9644-809F-ADF0E94284E4}" name="Products" dataDxfId="30"/>
    <tableColumn id="3" xr3:uid="{CFBCBCE9-3E08-014A-B5FA-0B1805195135}" name="Total Import Value (Million USD)" dataDxfId="29"/>
    <tableColumn id="4" xr3:uid="{DC0CB785-401D-FA4A-9BBD-66932E70A87A}" name="Notes" dataDxfId="28"/>
    <tableColumn id="5" xr3:uid="{41EC8703-B43E-F540-A96A-C02C4A7B3316}" name="ELIP" dataDxfId="27">
      <calculatedColumnFormula>C2*0.02</calculatedColumnFormula>
    </tableColumn>
    <tableColumn id="6" xr3:uid="{0BD30B46-D636-B94A-812A-68ED7BCDF3EA}" name="Notes2" dataDxfId="26"/>
    <tableColumn id="7" xr3:uid="{80E621DB-7949-FE4A-848C-9F6FD84BF195}" name="Eco Levy" dataDxfId="25">
      <calculatedColumnFormula>C2*2.5%</calculatedColumnFormula>
    </tableColumn>
    <tableColumn id="8" xr3:uid="{A08CEC7B-A100-2748-A0A7-C619433E84FD}" name="Notes3"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527F52-DE57-3848-9236-9418ED5B19E3}" name="Table6" displayName="Table6" ref="A24:D46" totalsRowShown="0" headerRowDxfId="23" tableBorderDxfId="22">
  <autoFilter ref="A24:D46" xr:uid="{FB527F52-DE57-3848-9236-9418ED5B19E3}"/>
  <tableColumns count="4">
    <tableColumn id="1" xr3:uid="{9C6DED10-EC45-D74D-B89C-52D9380FB959}" name="Date Period" dataDxfId="21"/>
    <tableColumn id="2" xr3:uid="{E600CA71-983C-044F-A790-80AC93DD0071}" name="Cooking Oil (1L)" dataDxfId="20"/>
    <tableColumn id="3" xr3:uid="{70A68DD6-3B56-3043-9D50-ED2E1C6492DB}" name="Maize Flour (2kg sifted) " dataDxfId="19"/>
    <tableColumn id="4" xr3:uid="{BFE2EFDD-95BE-C247-BFD1-8EEC0DA2DE1F}" name="Sugar(Kg)"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7AC0-0727-314A-A058-CD7D6F87D833}">
  <dimension ref="A1:I29"/>
  <sheetViews>
    <sheetView zoomScale="93" zoomScaleNormal="196" workbookViewId="0">
      <selection activeCell="A12" sqref="A12:C17"/>
    </sheetView>
  </sheetViews>
  <sheetFormatPr defaultColWidth="10.83203125" defaultRowHeight="16"/>
  <cols>
    <col min="1" max="1" width="27.6640625" style="6" bestFit="1" customWidth="1"/>
    <col min="2" max="2" width="20.6640625" style="4" bestFit="1" customWidth="1"/>
    <col min="3" max="3" width="21.83203125" style="5" bestFit="1" customWidth="1"/>
    <col min="4" max="4" width="24.6640625" style="4" customWidth="1"/>
    <col min="5" max="6" width="38.83203125" style="4" customWidth="1"/>
    <col min="7" max="7" width="34" style="4" customWidth="1"/>
    <col min="8" max="8" width="24.6640625" style="4" customWidth="1"/>
    <col min="9" max="16384" width="10.83203125" style="4"/>
  </cols>
  <sheetData>
    <row r="1" spans="1:9" ht="16.5" thickBot="1">
      <c r="A1" s="38" t="s">
        <v>0</v>
      </c>
      <c r="B1" s="39" t="s">
        <v>15</v>
      </c>
      <c r="C1" s="40" t="s">
        <v>16</v>
      </c>
      <c r="D1" s="39" t="s">
        <v>2</v>
      </c>
      <c r="E1" s="41" t="s">
        <v>3</v>
      </c>
      <c r="F1" s="48" t="s">
        <v>66</v>
      </c>
      <c r="G1" s="48" t="s">
        <v>67</v>
      </c>
      <c r="H1" s="48" t="s">
        <v>70</v>
      </c>
      <c r="I1" s="45"/>
    </row>
    <row r="2" spans="1:9">
      <c r="A2" s="34" t="s">
        <v>9</v>
      </c>
      <c r="B2" s="18">
        <v>2.5000000000000001E-2</v>
      </c>
      <c r="C2" s="19">
        <v>0.03</v>
      </c>
      <c r="D2" s="20">
        <v>45298</v>
      </c>
      <c r="E2" s="36" t="s">
        <v>18</v>
      </c>
      <c r="F2" s="47" t="str">
        <f>IF(AND(ISNUMBER(TaxRates[[#This Row],[Pre-Bill Rate]]),ISNUMBER(TaxRates[[#This Row],[Post-Bill Rate]])),
    IF(TaxRates[[#This Row],[Post-Bill Rate]]&gt;TaxRates[[#This Row],[Pre-Bill Rate]],"Increase",
    IF(TaxRates[[#This Row],[Post-Bill Rate]]&lt;TaxRates[[#This Row],[Pre-Bill Rate]],"Decrease","No Change")),
"New/Not Numeric")</f>
        <v>Increase</v>
      </c>
      <c r="G2" s="50">
        <f>IF(AND(ISNUMBER(TaxRates[[#This Row],[Pre-Bill Rate]]),ISNUMBER(TaxRates[[#This Row],[Post-Bill Rate]])),
    TaxRates[[#This Row],[Post-Bill Rate]]-TaxRates[[#This Row],[Pre-Bill Rate]],
    "")</f>
        <v>4.9999999999999975E-3</v>
      </c>
      <c r="H2" s="47" t="str">
        <f>IF(AND(ISNUMBER(TaxRates[[#This Row],[Pre-Bill Rate]]),TaxRates[[#This Row],[Pre-Bill Rate]]&lt;=1),"Yes","No")</f>
        <v>Yes</v>
      </c>
      <c r="I2" s="46"/>
    </row>
    <row r="3" spans="1:9">
      <c r="A3" s="35" t="s">
        <v>10</v>
      </c>
      <c r="B3" s="7">
        <v>1.4999999999999999E-2</v>
      </c>
      <c r="C3" s="8">
        <v>0.02</v>
      </c>
      <c r="D3" s="9">
        <v>45298</v>
      </c>
      <c r="E3" s="37" t="s">
        <v>19</v>
      </c>
      <c r="F3" s="37" t="str">
        <f>IF(AND(ISNUMBER(TaxRates[[#This Row],[Pre-Bill Rate]]),ISNUMBER(TaxRates[[#This Row],[Post-Bill Rate]])),
    IF(TaxRates[[#This Row],[Post-Bill Rate]]&gt;TaxRates[[#This Row],[Pre-Bill Rate]],"Increase",
    IF(TaxRates[[#This Row],[Post-Bill Rate]]&lt;TaxRates[[#This Row],[Pre-Bill Rate]],"Decrease","No Change")),
"New/Not Numeric")</f>
        <v>Increase</v>
      </c>
      <c r="G3" s="51">
        <f>IF(AND(ISNUMBER(TaxRates[[#This Row],[Pre-Bill Rate]]),ISNUMBER(TaxRates[[#This Row],[Post-Bill Rate]])),
    TaxRates[[#This Row],[Post-Bill Rate]]-TaxRates[[#This Row],[Pre-Bill Rate]],
    "")</f>
        <v>5.000000000000001E-3</v>
      </c>
      <c r="H3" s="37" t="str">
        <f>IF(AND(ISNUMBER(TaxRates[[#This Row],[Pre-Bill Rate]]),TaxRates[[#This Row],[Pre-Bill Rate]]&lt;=1),"Yes","No")</f>
        <v>Yes</v>
      </c>
      <c r="I3" s="46"/>
    </row>
    <row r="4" spans="1:9" ht="32">
      <c r="A4" s="35" t="s">
        <v>11</v>
      </c>
      <c r="B4" s="8" t="s">
        <v>1</v>
      </c>
      <c r="C4" s="8" t="s">
        <v>17</v>
      </c>
      <c r="D4" s="9">
        <v>45298</v>
      </c>
      <c r="E4" s="37" t="s">
        <v>20</v>
      </c>
      <c r="F4" s="37" t="str">
        <f>IF(AND(ISNUMBER(TaxRates[[#This Row],[Pre-Bill Rate]]),ISNUMBER(TaxRates[[#This Row],[Post-Bill Rate]])),
    IF(TaxRates[[#This Row],[Post-Bill Rate]]&gt;TaxRates[[#This Row],[Pre-Bill Rate]],"Increase",
    IF(TaxRates[[#This Row],[Post-Bill Rate]]&lt;TaxRates[[#This Row],[Pre-Bill Rate]],"Decrease","No Change")),
"New/Not Numeric")</f>
        <v>New/Not Numeric</v>
      </c>
      <c r="G4" s="37" t="str">
        <f>IF(AND(ISNUMBER(TaxRates[[#This Row],[Pre-Bill Rate]]),ISNUMBER(TaxRates[[#This Row],[Post-Bill Rate]])),
    TaxRates[[#This Row],[Post-Bill Rate]]-TaxRates[[#This Row],[Pre-Bill Rate]],
    "")</f>
        <v/>
      </c>
      <c r="H4" s="37" t="str">
        <f>IF(AND(ISNUMBER(TaxRates[[#This Row],[Pre-Bill Rate]]),TaxRates[[#This Row],[Pre-Bill Rate]]&lt;=1),"Yes","No")</f>
        <v>No</v>
      </c>
      <c r="I4" s="46"/>
    </row>
    <row r="5" spans="1:9">
      <c r="A5" s="35" t="s">
        <v>12</v>
      </c>
      <c r="B5" s="7">
        <v>0.17499999999999999</v>
      </c>
      <c r="C5" s="8">
        <v>0.02</v>
      </c>
      <c r="D5" s="9">
        <v>45298</v>
      </c>
      <c r="E5" s="37" t="s">
        <v>21</v>
      </c>
      <c r="F5" s="37" t="str">
        <f>IF(AND(ISNUMBER(TaxRates[[#This Row],[Pre-Bill Rate]]),ISNUMBER(TaxRates[[#This Row],[Post-Bill Rate]])),
    IF(TaxRates[[#This Row],[Post-Bill Rate]]&gt;TaxRates[[#This Row],[Pre-Bill Rate]],"Increase",
    IF(TaxRates[[#This Row],[Post-Bill Rate]]&lt;TaxRates[[#This Row],[Pre-Bill Rate]],"Decrease","No Change")),
"New/Not Numeric")</f>
        <v>Decrease</v>
      </c>
      <c r="G5" s="51">
        <f>IF(AND(ISNUMBER(TaxRates[[#This Row],[Pre-Bill Rate]]),ISNUMBER(TaxRates[[#This Row],[Post-Bill Rate]])),
    TaxRates[[#This Row],[Post-Bill Rate]]-TaxRates[[#This Row],[Pre-Bill Rate]],
    "")</f>
        <v>-0.155</v>
      </c>
      <c r="H5" s="37" t="str">
        <f>IF(AND(ISNUMBER(TaxRates[[#This Row],[Pre-Bill Rate]]),TaxRates[[#This Row],[Pre-Bill Rate]]&lt;=1),"Yes","No")</f>
        <v>Yes</v>
      </c>
      <c r="I5" s="46"/>
    </row>
    <row r="6" spans="1:9">
      <c r="A6" s="35" t="s">
        <v>13</v>
      </c>
      <c r="B6" s="7">
        <v>0</v>
      </c>
      <c r="C6" s="8">
        <v>0.16</v>
      </c>
      <c r="D6" s="9">
        <v>45298</v>
      </c>
      <c r="E6" s="37" t="s">
        <v>22</v>
      </c>
      <c r="F6" s="37" t="str">
        <f>IF(AND(ISNUMBER(TaxRates[[#This Row],[Pre-Bill Rate]]),ISNUMBER(TaxRates[[#This Row],[Post-Bill Rate]])),
    IF(TaxRates[[#This Row],[Post-Bill Rate]]&gt;TaxRates[[#This Row],[Pre-Bill Rate]],"Increase",
    IF(TaxRates[[#This Row],[Post-Bill Rate]]&lt;TaxRates[[#This Row],[Pre-Bill Rate]],"Decrease","No Change")),
"New/Not Numeric")</f>
        <v>Increase</v>
      </c>
      <c r="G6" s="51">
        <f>IF(AND(ISNUMBER(TaxRates[[#This Row],[Pre-Bill Rate]]),ISNUMBER(TaxRates[[#This Row],[Post-Bill Rate]])),
    TaxRates[[#This Row],[Post-Bill Rate]]-TaxRates[[#This Row],[Pre-Bill Rate]],
    "")</f>
        <v>0.16</v>
      </c>
      <c r="H6" s="37" t="str">
        <f>IF(AND(ISNUMBER(TaxRates[[#This Row],[Pre-Bill Rate]]),TaxRates[[#This Row],[Pre-Bill Rate]]&lt;=1),"Yes","No")</f>
        <v>Yes</v>
      </c>
      <c r="I6" s="46"/>
    </row>
    <row r="7" spans="1:9">
      <c r="A7" s="42" t="s">
        <v>14</v>
      </c>
      <c r="B7" s="49">
        <v>5000000</v>
      </c>
      <c r="C7" s="49">
        <v>8000000</v>
      </c>
      <c r="D7" s="43">
        <v>45298</v>
      </c>
      <c r="E7" s="44" t="s">
        <v>23</v>
      </c>
      <c r="F7" s="44" t="str">
        <f>IF(AND(ISNUMBER(TaxRates[[#This Row],[Pre-Bill Rate]]),ISNUMBER(TaxRates[[#This Row],[Post-Bill Rate]])),
    IF(TaxRates[[#This Row],[Post-Bill Rate]]&gt;TaxRates[[#This Row],[Pre-Bill Rate]],"Increase",
    IF(TaxRates[[#This Row],[Post-Bill Rate]]&lt;TaxRates[[#This Row],[Pre-Bill Rate]],"Decrease","No Change")),
"New/Not Numeric")</f>
        <v>Increase</v>
      </c>
      <c r="G7" s="52">
        <f>IF(AND(ISNUMBER(TaxRates[[#This Row],[Pre-Bill Rate]]),ISNUMBER(TaxRates[[#This Row],[Post-Bill Rate]])),
    TaxRates[[#This Row],[Post-Bill Rate]]-TaxRates[[#This Row],[Pre-Bill Rate]],
    "")</f>
        <v>3000000</v>
      </c>
      <c r="H7" s="55" t="str">
        <f>IF(AND(ISNUMBER(TaxRates[[#This Row],[Pre-Bill Rate]]),TaxRates[[#This Row],[Pre-Bill Rate]]&lt;=1),"Yes","No")</f>
        <v>No</v>
      </c>
      <c r="I7" s="46"/>
    </row>
    <row r="10" spans="1:9">
      <c r="A10" s="53" t="s">
        <v>70</v>
      </c>
      <c r="B10" t="s">
        <v>73</v>
      </c>
    </row>
    <row r="12" spans="1:9">
      <c r="A12" s="53" t="s">
        <v>68</v>
      </c>
      <c r="B12" t="s">
        <v>71</v>
      </c>
      <c r="C12" t="s">
        <v>72</v>
      </c>
    </row>
    <row r="13" spans="1:9">
      <c r="A13" s="54" t="s">
        <v>10</v>
      </c>
      <c r="B13">
        <v>1.4999999999999999E-2</v>
      </c>
      <c r="C13">
        <v>0.02</v>
      </c>
    </row>
    <row r="14" spans="1:9">
      <c r="A14" s="54" t="s">
        <v>12</v>
      </c>
      <c r="B14">
        <v>0.17499999999999999</v>
      </c>
      <c r="C14">
        <v>0.02</v>
      </c>
    </row>
    <row r="15" spans="1:9">
      <c r="A15" s="54" t="s">
        <v>9</v>
      </c>
      <c r="B15">
        <v>2.5000000000000001E-2</v>
      </c>
      <c r="C15">
        <v>0.03</v>
      </c>
    </row>
    <row r="16" spans="1:9">
      <c r="A16" s="54" t="s">
        <v>13</v>
      </c>
      <c r="B16">
        <v>0</v>
      </c>
      <c r="C16">
        <v>0.16</v>
      </c>
    </row>
    <row r="17" spans="1:3">
      <c r="A17" s="54" t="s">
        <v>69</v>
      </c>
      <c r="B17">
        <v>5.3749999999999992E-2</v>
      </c>
      <c r="C17">
        <v>5.7500000000000002E-2</v>
      </c>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6F20-3883-C849-B210-7C819E27DA95}">
  <dimension ref="A1:I54"/>
  <sheetViews>
    <sheetView topLeftCell="D15" zoomScale="51" zoomScaleNormal="70" workbookViewId="0">
      <selection activeCell="I30" sqref="I30"/>
    </sheetView>
  </sheetViews>
  <sheetFormatPr defaultColWidth="10.83203125" defaultRowHeight="16"/>
  <cols>
    <col min="1" max="1" width="19.33203125" customWidth="1"/>
    <col min="2" max="2" width="13.5" bestFit="1" customWidth="1"/>
    <col min="3" max="3" width="34.08203125" bestFit="1" customWidth="1"/>
    <col min="4" max="4" width="22.6640625" customWidth="1"/>
    <col min="5" max="5" width="12.1640625" bestFit="1" customWidth="1"/>
    <col min="6" max="6" width="12.4140625" bestFit="1" customWidth="1"/>
    <col min="7" max="7" width="30.58203125" bestFit="1" customWidth="1"/>
    <col min="8" max="8" width="15.4140625" bestFit="1" customWidth="1"/>
    <col min="9" max="9" width="13.4140625" bestFit="1" customWidth="1"/>
    <col min="10" max="41" width="34" bestFit="1" customWidth="1"/>
    <col min="42" max="42" width="38.5" bestFit="1" customWidth="1"/>
    <col min="43" max="43" width="21.83203125" bestFit="1" customWidth="1"/>
    <col min="44" max="44" width="19.5" bestFit="1" customWidth="1"/>
  </cols>
  <sheetData>
    <row r="1" spans="1:9" ht="16.5" thickBot="1">
      <c r="A1" s="75" t="s">
        <v>4</v>
      </c>
      <c r="B1" s="56" t="s">
        <v>24</v>
      </c>
      <c r="C1" s="56" t="s">
        <v>6</v>
      </c>
      <c r="D1" s="56" t="s">
        <v>5</v>
      </c>
      <c r="E1" s="56" t="s">
        <v>7</v>
      </c>
      <c r="F1" s="56" t="s">
        <v>8</v>
      </c>
      <c r="G1" s="63" t="s">
        <v>74</v>
      </c>
      <c r="H1" s="63" t="s">
        <v>75</v>
      </c>
      <c r="I1" s="63" t="s">
        <v>76</v>
      </c>
    </row>
    <row r="2" spans="1:9">
      <c r="A2" s="76">
        <v>44986</v>
      </c>
      <c r="B2" s="17">
        <v>216425.53</v>
      </c>
      <c r="C2" s="17">
        <f t="shared" ref="C2:C23" si="0">IF(A2&lt;DATE(2024,7,1),B2*2.5%,B2*3%)</f>
        <v>5410.63825</v>
      </c>
      <c r="D2" s="17">
        <f t="shared" ref="D2:D23" si="1">IF(A2&lt;DATE(2024,7,1), B2*1.5%, B2*2%)</f>
        <v>3246.3829499999997</v>
      </c>
      <c r="E2" s="17">
        <f xml:space="preserve"> 16% * (B2 + C2 + D2)</f>
        <v>36013.208191999998</v>
      </c>
      <c r="F2" s="59">
        <f xml:space="preserve"> C2 + D2 + E2</f>
        <v>44670.229391999994</v>
      </c>
      <c r="G2" s="65">
        <f>YEAR(Table3Revenue[[#This Row],[Date Period]])</f>
        <v>2023</v>
      </c>
      <c r="H2" s="66" t="str">
        <f>TEXT(Table3Revenue[[#This Row],[Date Period]],"mmm")</f>
        <v>Mar</v>
      </c>
      <c r="I2" s="66" t="str">
        <f>TEXT(Table3Revenue[[#This Row],[Date Period]],"YYYY-MMM")</f>
        <v>2023-Mar</v>
      </c>
    </row>
    <row r="3" spans="1:9">
      <c r="A3" s="77">
        <v>45017</v>
      </c>
      <c r="B3" s="12">
        <v>208293.45</v>
      </c>
      <c r="C3" s="12">
        <f t="shared" si="0"/>
        <v>5207.3362500000003</v>
      </c>
      <c r="D3" s="12">
        <f t="shared" si="1"/>
        <v>3124.40175</v>
      </c>
      <c r="E3" s="12">
        <f t="shared" ref="E3:E23" si="2" xml:space="preserve"> 16% * (B3 + C3 + D3)</f>
        <v>34660.030079999997</v>
      </c>
      <c r="F3" s="60">
        <f t="shared" ref="F3:F23" si="3" xml:space="preserve"> C3 + D3 + E3</f>
        <v>42991.768079999994</v>
      </c>
      <c r="G3" s="67">
        <f>YEAR(Table3Revenue[[#This Row],[Date Period]])</f>
        <v>2023</v>
      </c>
      <c r="H3" s="68" t="str">
        <f>TEXT(Table3Revenue[[#This Row],[Date Period]],"mmm")</f>
        <v>Apr</v>
      </c>
      <c r="I3" s="68" t="str">
        <f>TEXT(Table3Revenue[[#This Row],[Date Period]],"YYYY-MMM")</f>
        <v>2023-Apr</v>
      </c>
    </row>
    <row r="4" spans="1:9">
      <c r="A4" s="77">
        <v>45047</v>
      </c>
      <c r="B4" s="12">
        <v>230279.22</v>
      </c>
      <c r="C4" s="12">
        <f t="shared" si="0"/>
        <v>5756.9805000000006</v>
      </c>
      <c r="D4" s="12">
        <f t="shared" si="1"/>
        <v>3454.1882999999998</v>
      </c>
      <c r="E4" s="12">
        <f t="shared" si="2"/>
        <v>38318.462208000004</v>
      </c>
      <c r="F4" s="60">
        <f t="shared" si="3"/>
        <v>47529.631008000004</v>
      </c>
      <c r="G4" s="67">
        <f>YEAR(Table3Revenue[[#This Row],[Date Period]])</f>
        <v>2023</v>
      </c>
      <c r="H4" s="68" t="str">
        <f>TEXT(Table3Revenue[[#This Row],[Date Period]],"mmm")</f>
        <v>May</v>
      </c>
      <c r="I4" s="68" t="str">
        <f>TEXT(Table3Revenue[[#This Row],[Date Period]],"YYYY-MMM")</f>
        <v>2023-May</v>
      </c>
    </row>
    <row r="5" spans="1:9">
      <c r="A5" s="77">
        <v>45078</v>
      </c>
      <c r="B5" s="12">
        <v>210166.39</v>
      </c>
      <c r="C5" s="12">
        <f t="shared" si="0"/>
        <v>5254.1597500000007</v>
      </c>
      <c r="D5" s="12">
        <f t="shared" si="1"/>
        <v>3152.4958500000002</v>
      </c>
      <c r="E5" s="12">
        <f t="shared" si="2"/>
        <v>34971.687296000004</v>
      </c>
      <c r="F5" s="60">
        <f t="shared" si="3"/>
        <v>43378.342896000002</v>
      </c>
      <c r="G5" s="67">
        <f>YEAR(Table3Revenue[[#This Row],[Date Period]])</f>
        <v>2023</v>
      </c>
      <c r="H5" s="68" t="str">
        <f>TEXT(Table3Revenue[[#This Row],[Date Period]],"mmm")</f>
        <v>Jun</v>
      </c>
      <c r="I5" s="68" t="str">
        <f>TEXT(Table3Revenue[[#This Row],[Date Period]],"YYYY-MMM")</f>
        <v>2023-Jun</v>
      </c>
    </row>
    <row r="6" spans="1:9">
      <c r="A6" s="77">
        <v>45108</v>
      </c>
      <c r="B6" s="12">
        <v>191691.69</v>
      </c>
      <c r="C6" s="12">
        <f t="shared" si="0"/>
        <v>4792.2922500000004</v>
      </c>
      <c r="D6" s="12">
        <f t="shared" si="1"/>
        <v>2875.3753499999998</v>
      </c>
      <c r="E6" s="12">
        <f t="shared" si="2"/>
        <v>31897.497216</v>
      </c>
      <c r="F6" s="60">
        <f t="shared" si="3"/>
        <v>39565.164816000004</v>
      </c>
      <c r="G6" s="67">
        <f>YEAR(Table3Revenue[[#This Row],[Date Period]])</f>
        <v>2023</v>
      </c>
      <c r="H6" s="68" t="str">
        <f>TEXT(Table3Revenue[[#This Row],[Date Period]],"mmm")</f>
        <v>Jul</v>
      </c>
      <c r="I6" s="68" t="str">
        <f>TEXT(Table3Revenue[[#This Row],[Date Period]],"YYYY-MMM")</f>
        <v>2023-Jul</v>
      </c>
    </row>
    <row r="7" spans="1:9">
      <c r="A7" s="77">
        <v>45139</v>
      </c>
      <c r="B7" s="12">
        <v>238822.64</v>
      </c>
      <c r="C7" s="12">
        <f t="shared" si="0"/>
        <v>5970.5660000000007</v>
      </c>
      <c r="D7" s="12">
        <f t="shared" si="1"/>
        <v>3582.3396000000002</v>
      </c>
      <c r="E7" s="12">
        <f t="shared" si="2"/>
        <v>39740.087296000005</v>
      </c>
      <c r="F7" s="60">
        <f t="shared" si="3"/>
        <v>49292.992896000011</v>
      </c>
      <c r="G7" s="67">
        <f>YEAR(Table3Revenue[[#This Row],[Date Period]])</f>
        <v>2023</v>
      </c>
      <c r="H7" s="68" t="str">
        <f>TEXT(Table3Revenue[[#This Row],[Date Period]],"mmm")</f>
        <v>Aug</v>
      </c>
      <c r="I7" s="68" t="str">
        <f>TEXT(Table3Revenue[[#This Row],[Date Period]],"YYYY-MMM")</f>
        <v>2023-Aug</v>
      </c>
    </row>
    <row r="8" spans="1:9">
      <c r="A8" s="77">
        <v>45170</v>
      </c>
      <c r="B8" s="12">
        <v>215596.83</v>
      </c>
      <c r="C8" s="12">
        <f t="shared" si="0"/>
        <v>5389.9207500000002</v>
      </c>
      <c r="D8" s="12">
        <f t="shared" si="1"/>
        <v>3233.9524499999998</v>
      </c>
      <c r="E8" s="12">
        <f t="shared" si="2"/>
        <v>35875.312511999997</v>
      </c>
      <c r="F8" s="60">
        <f t="shared" si="3"/>
        <v>44499.185711999999</v>
      </c>
      <c r="G8" s="67">
        <f>YEAR(Table3Revenue[[#This Row],[Date Period]])</f>
        <v>2023</v>
      </c>
      <c r="H8" s="68" t="str">
        <f>TEXT(Table3Revenue[[#This Row],[Date Period]],"mmm")</f>
        <v>Sep</v>
      </c>
      <c r="I8" s="68" t="str">
        <f>TEXT(Table3Revenue[[#This Row],[Date Period]],"YYYY-MMM")</f>
        <v>2023-Sep</v>
      </c>
    </row>
    <row r="9" spans="1:9">
      <c r="A9" s="77">
        <v>45200</v>
      </c>
      <c r="B9" s="12">
        <v>238719.25</v>
      </c>
      <c r="C9" s="12">
        <f t="shared" si="0"/>
        <v>5967.9812500000007</v>
      </c>
      <c r="D9" s="12">
        <f t="shared" si="1"/>
        <v>3580.7887499999997</v>
      </c>
      <c r="E9" s="12">
        <f t="shared" si="2"/>
        <v>39722.883200000004</v>
      </c>
      <c r="F9" s="60">
        <f t="shared" si="3"/>
        <v>49271.653200000001</v>
      </c>
      <c r="G9" s="67">
        <f>YEAR(Table3Revenue[[#This Row],[Date Period]])</f>
        <v>2023</v>
      </c>
      <c r="H9" s="68" t="str">
        <f>TEXT(Table3Revenue[[#This Row],[Date Period]],"mmm")</f>
        <v>Oct</v>
      </c>
      <c r="I9" s="68" t="str">
        <f>TEXT(Table3Revenue[[#This Row],[Date Period]],"YYYY-MMM")</f>
        <v>2023-Oct</v>
      </c>
    </row>
    <row r="10" spans="1:9">
      <c r="A10" s="77">
        <v>45231</v>
      </c>
      <c r="B10" s="12">
        <v>259111.12</v>
      </c>
      <c r="C10" s="12">
        <f t="shared" si="0"/>
        <v>6477.7780000000002</v>
      </c>
      <c r="D10" s="12">
        <f t="shared" si="1"/>
        <v>3886.6668</v>
      </c>
      <c r="E10" s="12">
        <f t="shared" si="2"/>
        <v>43116.090367999997</v>
      </c>
      <c r="F10" s="60">
        <f t="shared" si="3"/>
        <v>53480.535168000002</v>
      </c>
      <c r="G10" s="67">
        <f>YEAR(Table3Revenue[[#This Row],[Date Period]])</f>
        <v>2023</v>
      </c>
      <c r="H10" s="68" t="str">
        <f>TEXT(Table3Revenue[[#This Row],[Date Period]],"mmm")</f>
        <v>Nov</v>
      </c>
      <c r="I10" s="68" t="str">
        <f>TEXT(Table3Revenue[[#This Row],[Date Period]],"YYYY-MMM")</f>
        <v>2023-Nov</v>
      </c>
    </row>
    <row r="11" spans="1:9">
      <c r="A11" s="77">
        <v>45261</v>
      </c>
      <c r="B11" s="12">
        <v>219664.19</v>
      </c>
      <c r="C11" s="12">
        <f t="shared" si="0"/>
        <v>5491.6047500000004</v>
      </c>
      <c r="D11" s="12">
        <f t="shared" si="1"/>
        <v>3294.9628499999999</v>
      </c>
      <c r="E11" s="12">
        <f t="shared" si="2"/>
        <v>36552.121216</v>
      </c>
      <c r="F11" s="60">
        <f t="shared" si="3"/>
        <v>45338.688816000002</v>
      </c>
      <c r="G11" s="67">
        <f>YEAR(Table3Revenue[[#This Row],[Date Period]])</f>
        <v>2023</v>
      </c>
      <c r="H11" s="68" t="str">
        <f>TEXT(Table3Revenue[[#This Row],[Date Period]],"mmm")</f>
        <v>Dec</v>
      </c>
      <c r="I11" s="68" t="str">
        <f>TEXT(Table3Revenue[[#This Row],[Date Period]],"YYYY-MMM")</f>
        <v>2023-Dec</v>
      </c>
    </row>
    <row r="12" spans="1:9">
      <c r="A12" s="77">
        <v>45292</v>
      </c>
      <c r="B12" s="12">
        <v>244573.36</v>
      </c>
      <c r="C12" s="12">
        <f t="shared" si="0"/>
        <v>6114.3339999999998</v>
      </c>
      <c r="D12" s="12">
        <f t="shared" si="1"/>
        <v>3668.6003999999998</v>
      </c>
      <c r="E12" s="12">
        <f t="shared" si="2"/>
        <v>40697.007103999997</v>
      </c>
      <c r="F12" s="60">
        <f t="shared" si="3"/>
        <v>50479.941503999995</v>
      </c>
      <c r="G12" s="67">
        <f>YEAR(Table3Revenue[[#This Row],[Date Period]])</f>
        <v>2024</v>
      </c>
      <c r="H12" s="68" t="str">
        <f>TEXT(Table3Revenue[[#This Row],[Date Period]],"mmm")</f>
        <v>Jan</v>
      </c>
      <c r="I12" s="68" t="str">
        <f>TEXT(Table3Revenue[[#This Row],[Date Period]],"YYYY-MMM")</f>
        <v>2024-Jan</v>
      </c>
    </row>
    <row r="13" spans="1:9">
      <c r="A13" s="77">
        <v>45323</v>
      </c>
      <c r="B13" s="12">
        <v>226412.35</v>
      </c>
      <c r="C13" s="12">
        <f t="shared" si="0"/>
        <v>5660.3087500000001</v>
      </c>
      <c r="D13" s="12">
        <f t="shared" si="1"/>
        <v>3396.18525</v>
      </c>
      <c r="E13" s="12">
        <f t="shared" si="2"/>
        <v>37675.015040000006</v>
      </c>
      <c r="F13" s="60">
        <f t="shared" si="3"/>
        <v>46731.509040000004</v>
      </c>
      <c r="G13" s="67">
        <f>YEAR(Table3Revenue[[#This Row],[Date Period]])</f>
        <v>2024</v>
      </c>
      <c r="H13" s="68" t="str">
        <f>TEXT(Table3Revenue[[#This Row],[Date Period]],"mmm")</f>
        <v>Feb</v>
      </c>
      <c r="I13" s="68" t="str">
        <f>TEXT(Table3Revenue[[#This Row],[Date Period]],"YYYY-MMM")</f>
        <v>2024-Feb</v>
      </c>
    </row>
    <row r="14" spans="1:9">
      <c r="A14" s="77">
        <v>45352</v>
      </c>
      <c r="B14" s="12">
        <v>208228.95</v>
      </c>
      <c r="C14" s="12">
        <f t="shared" si="0"/>
        <v>5205.723750000001</v>
      </c>
      <c r="D14" s="12">
        <f t="shared" si="1"/>
        <v>3123.4342500000002</v>
      </c>
      <c r="E14" s="12">
        <f t="shared" si="2"/>
        <v>34649.297279999999</v>
      </c>
      <c r="F14" s="60">
        <f t="shared" si="3"/>
        <v>42978.455280000002</v>
      </c>
      <c r="G14" s="67">
        <f>YEAR(Table3Revenue[[#This Row],[Date Period]])</f>
        <v>2024</v>
      </c>
      <c r="H14" s="68" t="str">
        <f>TEXT(Table3Revenue[[#This Row],[Date Period]],"mmm")</f>
        <v>Mar</v>
      </c>
      <c r="I14" s="68" t="str">
        <f>TEXT(Table3Revenue[[#This Row],[Date Period]],"YYYY-MMM")</f>
        <v>2024-Mar</v>
      </c>
    </row>
    <row r="15" spans="1:9">
      <c r="A15" s="77">
        <v>45383</v>
      </c>
      <c r="B15" s="12">
        <v>236210.91</v>
      </c>
      <c r="C15" s="12">
        <f t="shared" si="0"/>
        <v>5905.2727500000001</v>
      </c>
      <c r="D15" s="12">
        <f t="shared" si="1"/>
        <v>3543.16365</v>
      </c>
      <c r="E15" s="12">
        <f t="shared" si="2"/>
        <v>39305.495424000001</v>
      </c>
      <c r="F15" s="60">
        <f t="shared" si="3"/>
        <v>48753.931823999999</v>
      </c>
      <c r="G15" s="67">
        <f>YEAR(Table3Revenue[[#This Row],[Date Period]])</f>
        <v>2024</v>
      </c>
      <c r="H15" s="68" t="str">
        <f>TEXT(Table3Revenue[[#This Row],[Date Period]],"mmm")</f>
        <v>Apr</v>
      </c>
      <c r="I15" s="68" t="str">
        <f>TEXT(Table3Revenue[[#This Row],[Date Period]],"YYYY-MMM")</f>
        <v>2024-Apr</v>
      </c>
    </row>
    <row r="16" spans="1:9">
      <c r="A16" s="77">
        <v>45413</v>
      </c>
      <c r="B16" s="12">
        <v>212570.44</v>
      </c>
      <c r="C16" s="12">
        <f t="shared" si="0"/>
        <v>5314.2610000000004</v>
      </c>
      <c r="D16" s="12">
        <f t="shared" si="1"/>
        <v>3188.5565999999999</v>
      </c>
      <c r="E16" s="12">
        <f t="shared" si="2"/>
        <v>35371.721216000005</v>
      </c>
      <c r="F16" s="60">
        <f t="shared" si="3"/>
        <v>43874.538816000008</v>
      </c>
      <c r="G16" s="67">
        <f>YEAR(Table3Revenue[[#This Row],[Date Period]])</f>
        <v>2024</v>
      </c>
      <c r="H16" s="68" t="str">
        <f>TEXT(Table3Revenue[[#This Row],[Date Period]],"mmm")</f>
        <v>May</v>
      </c>
      <c r="I16" s="68" t="str">
        <f>TEXT(Table3Revenue[[#This Row],[Date Period]],"YYYY-MMM")</f>
        <v>2024-May</v>
      </c>
    </row>
    <row r="17" spans="1:9">
      <c r="A17" s="77">
        <v>45444</v>
      </c>
      <c r="B17" s="12">
        <v>208614.25</v>
      </c>
      <c r="C17" s="12">
        <f t="shared" si="0"/>
        <v>5215.3562500000007</v>
      </c>
      <c r="D17" s="12">
        <f t="shared" si="1"/>
        <v>3129.2137499999999</v>
      </c>
      <c r="E17" s="12">
        <f t="shared" si="2"/>
        <v>34713.411200000002</v>
      </c>
      <c r="F17" s="60">
        <f t="shared" si="3"/>
        <v>43057.981200000002</v>
      </c>
      <c r="G17" s="67">
        <f>YEAR(Table3Revenue[[#This Row],[Date Period]])</f>
        <v>2024</v>
      </c>
      <c r="H17" s="68" t="str">
        <f>TEXT(Table3Revenue[[#This Row],[Date Period]],"mmm")</f>
        <v>Jun</v>
      </c>
      <c r="I17" s="68" t="str">
        <f>TEXT(Table3Revenue[[#This Row],[Date Period]],"YYYY-MMM")</f>
        <v>2024-Jun</v>
      </c>
    </row>
    <row r="18" spans="1:9">
      <c r="A18" s="78">
        <v>45474</v>
      </c>
      <c r="B18" s="10">
        <v>226054.51</v>
      </c>
      <c r="C18" s="10">
        <f t="shared" si="0"/>
        <v>6781.6352999999999</v>
      </c>
      <c r="D18" s="10">
        <f t="shared" si="1"/>
        <v>4521.0902000000006</v>
      </c>
      <c r="E18" s="10">
        <f t="shared" si="2"/>
        <v>37977.157680000004</v>
      </c>
      <c r="F18" s="61">
        <f t="shared" si="3"/>
        <v>49279.883180000004</v>
      </c>
      <c r="G18" s="69">
        <f>YEAR(Table3Revenue[[#This Row],[Date Period]])</f>
        <v>2024</v>
      </c>
      <c r="H18" s="70" t="str">
        <f>TEXT(Table3Revenue[[#This Row],[Date Period]],"mmm")</f>
        <v>Jul</v>
      </c>
      <c r="I18" s="70" t="str">
        <f>TEXT(Table3Revenue[[#This Row],[Date Period]],"YYYY-MMM")</f>
        <v>2024-Jul</v>
      </c>
    </row>
    <row r="19" spans="1:9">
      <c r="A19" s="77">
        <v>45505</v>
      </c>
      <c r="B19" s="12">
        <v>226509.4</v>
      </c>
      <c r="C19" s="12">
        <f t="shared" si="0"/>
        <v>6795.2819999999992</v>
      </c>
      <c r="D19" s="12">
        <f t="shared" si="1"/>
        <v>4530.1880000000001</v>
      </c>
      <c r="E19" s="12">
        <f t="shared" si="2"/>
        <v>38053.5792</v>
      </c>
      <c r="F19" s="60">
        <f t="shared" si="3"/>
        <v>49379.049200000001</v>
      </c>
      <c r="G19" s="67">
        <f>YEAR(Table3Revenue[[#This Row],[Date Period]])</f>
        <v>2024</v>
      </c>
      <c r="H19" s="68" t="str">
        <f>TEXT(Table3Revenue[[#This Row],[Date Period]],"mmm")</f>
        <v>Aug</v>
      </c>
      <c r="I19" s="68" t="str">
        <f>TEXT(Table3Revenue[[#This Row],[Date Period]],"YYYY-MMM")</f>
        <v>2024-Aug</v>
      </c>
    </row>
    <row r="20" spans="1:9">
      <c r="A20" s="77">
        <v>45536</v>
      </c>
      <c r="B20" s="12">
        <v>219412.67</v>
      </c>
      <c r="C20" s="12">
        <f t="shared" si="0"/>
        <v>6582.3801000000003</v>
      </c>
      <c r="D20" s="12">
        <f t="shared" si="1"/>
        <v>4388.2534000000005</v>
      </c>
      <c r="E20" s="12">
        <f t="shared" si="2"/>
        <v>36861.328560000002</v>
      </c>
      <c r="F20" s="60">
        <f t="shared" si="3"/>
        <v>47831.962060000005</v>
      </c>
      <c r="G20" s="67">
        <f>YEAR(Table3Revenue[[#This Row],[Date Period]])</f>
        <v>2024</v>
      </c>
      <c r="H20" s="68" t="str">
        <f>TEXT(Table3Revenue[[#This Row],[Date Period]],"mmm")</f>
        <v>Sep</v>
      </c>
      <c r="I20" s="68" t="str">
        <f>TEXT(Table3Revenue[[#This Row],[Date Period]],"YYYY-MMM")</f>
        <v>2024-Sep</v>
      </c>
    </row>
    <row r="21" spans="1:9">
      <c r="A21" s="77">
        <v>45566</v>
      </c>
      <c r="B21" s="12">
        <v>244515.12</v>
      </c>
      <c r="C21" s="12">
        <f t="shared" si="0"/>
        <v>7335.4535999999998</v>
      </c>
      <c r="D21" s="12">
        <f t="shared" si="1"/>
        <v>4890.3023999999996</v>
      </c>
      <c r="E21" s="12">
        <f t="shared" si="2"/>
        <v>41078.540159999997</v>
      </c>
      <c r="F21" s="60">
        <f t="shared" si="3"/>
        <v>53304.296159999998</v>
      </c>
      <c r="G21" s="67">
        <f>YEAR(Table3Revenue[[#This Row],[Date Period]])</f>
        <v>2024</v>
      </c>
      <c r="H21" s="68" t="str">
        <f>TEXT(Table3Revenue[[#This Row],[Date Period]],"mmm")</f>
        <v>Oct</v>
      </c>
      <c r="I21" s="68" t="str">
        <f>TEXT(Table3Revenue[[#This Row],[Date Period]],"YYYY-MMM")</f>
        <v>2024-Oct</v>
      </c>
    </row>
    <row r="22" spans="1:9">
      <c r="A22" s="77">
        <v>45597</v>
      </c>
      <c r="B22" s="12">
        <v>227665.15</v>
      </c>
      <c r="C22" s="12">
        <f t="shared" si="0"/>
        <v>6829.9544999999998</v>
      </c>
      <c r="D22" s="12">
        <f t="shared" si="1"/>
        <v>4553.3029999999999</v>
      </c>
      <c r="E22" s="12">
        <f t="shared" si="2"/>
        <v>38247.745199999998</v>
      </c>
      <c r="F22" s="60">
        <f t="shared" si="3"/>
        <v>49631.002699999997</v>
      </c>
      <c r="G22" s="67">
        <f>YEAR(Table3Revenue[[#This Row],[Date Period]])</f>
        <v>2024</v>
      </c>
      <c r="H22" s="68" t="str">
        <f>TEXT(Table3Revenue[[#This Row],[Date Period]],"mmm")</f>
        <v>Nov</v>
      </c>
      <c r="I22" s="68" t="str">
        <f>TEXT(Table3Revenue[[#This Row],[Date Period]],"YYYY-MMM")</f>
        <v>2024-Nov</v>
      </c>
    </row>
    <row r="23" spans="1:9">
      <c r="A23" s="79">
        <v>45627</v>
      </c>
      <c r="B23" s="58">
        <v>217997.8</v>
      </c>
      <c r="C23" s="58">
        <f t="shared" si="0"/>
        <v>6539.9339999999993</v>
      </c>
      <c r="D23" s="58">
        <f t="shared" si="1"/>
        <v>4359.9560000000001</v>
      </c>
      <c r="E23" s="58">
        <f t="shared" si="2"/>
        <v>36623.630400000002</v>
      </c>
      <c r="F23" s="62">
        <f t="shared" si="3"/>
        <v>47523.520400000001</v>
      </c>
      <c r="G23" s="71">
        <f>YEAR(Table3Revenue[[#This Row],[Date Period]])</f>
        <v>2024</v>
      </c>
      <c r="H23" s="72" t="str">
        <f>TEXT(Table3Revenue[[#This Row],[Date Period]],"mmm")</f>
        <v>Dec</v>
      </c>
      <c r="I23" s="72" t="str">
        <f>TEXT(Table3Revenue[[#This Row],[Date Period]],"YYYY-MMM")</f>
        <v>2024-Dec</v>
      </c>
    </row>
    <row r="24" spans="1:9">
      <c r="G24" s="73"/>
      <c r="H24" s="73"/>
      <c r="I24" s="73"/>
    </row>
    <row r="28" spans="1:9">
      <c r="A28" s="3" t="s">
        <v>77</v>
      </c>
      <c r="E28" s="3" t="s">
        <v>93</v>
      </c>
    </row>
    <row r="29" spans="1:9">
      <c r="B29" s="53" t="s">
        <v>68</v>
      </c>
      <c r="C29" t="s">
        <v>92</v>
      </c>
      <c r="E29" s="53" t="s">
        <v>74</v>
      </c>
      <c r="F29" s="53" t="s">
        <v>75</v>
      </c>
      <c r="G29" t="s">
        <v>92</v>
      </c>
      <c r="H29" t="s">
        <v>94</v>
      </c>
      <c r="I29" t="s">
        <v>95</v>
      </c>
    </row>
    <row r="30" spans="1:9">
      <c r="B30" s="54" t="s">
        <v>78</v>
      </c>
      <c r="C30">
        <v>2228770.31</v>
      </c>
      <c r="E30" s="96">
        <v>2023</v>
      </c>
      <c r="F30" t="s">
        <v>82</v>
      </c>
      <c r="G30">
        <v>216425.53</v>
      </c>
      <c r="H30">
        <v>5410.63825</v>
      </c>
      <c r="I30">
        <v>3246.3829499999997</v>
      </c>
    </row>
    <row r="31" spans="1:9">
      <c r="B31" s="74" t="s">
        <v>82</v>
      </c>
      <c r="C31">
        <v>216425.53</v>
      </c>
      <c r="F31" t="s">
        <v>83</v>
      </c>
      <c r="G31">
        <v>208293.45</v>
      </c>
      <c r="H31">
        <v>5207.3362500000003</v>
      </c>
      <c r="I31">
        <v>3124.40175</v>
      </c>
    </row>
    <row r="32" spans="1:9">
      <c r="B32" s="74" t="s">
        <v>83</v>
      </c>
      <c r="C32">
        <v>208293.45</v>
      </c>
      <c r="F32" t="s">
        <v>84</v>
      </c>
      <c r="G32">
        <v>230279.22</v>
      </c>
      <c r="H32">
        <v>5756.9805000000006</v>
      </c>
      <c r="I32">
        <v>3454.1882999999998</v>
      </c>
    </row>
    <row r="33" spans="2:9">
      <c r="B33" s="74" t="s">
        <v>84</v>
      </c>
      <c r="C33">
        <v>230279.22</v>
      </c>
      <c r="F33" t="s">
        <v>85</v>
      </c>
      <c r="G33">
        <v>210166.39</v>
      </c>
      <c r="H33">
        <v>5254.1597500000007</v>
      </c>
      <c r="I33">
        <v>3152.4958500000002</v>
      </c>
    </row>
    <row r="34" spans="2:9">
      <c r="B34" s="74" t="s">
        <v>85</v>
      </c>
      <c r="C34">
        <v>210166.39</v>
      </c>
      <c r="F34" t="s">
        <v>86</v>
      </c>
      <c r="G34">
        <v>191691.69</v>
      </c>
      <c r="H34">
        <v>4792.2922500000004</v>
      </c>
      <c r="I34">
        <v>2875.3753499999998</v>
      </c>
    </row>
    <row r="35" spans="2:9">
      <c r="B35" s="74" t="s">
        <v>86</v>
      </c>
      <c r="C35">
        <v>191691.69</v>
      </c>
      <c r="F35" t="s">
        <v>87</v>
      </c>
      <c r="G35">
        <v>238822.64</v>
      </c>
      <c r="H35">
        <v>5970.5660000000007</v>
      </c>
      <c r="I35">
        <v>3582.3396000000002</v>
      </c>
    </row>
    <row r="36" spans="2:9">
      <c r="B36" s="74" t="s">
        <v>87</v>
      </c>
      <c r="C36">
        <v>238822.64</v>
      </c>
      <c r="F36" t="s">
        <v>88</v>
      </c>
      <c r="G36">
        <v>215596.83</v>
      </c>
      <c r="H36">
        <v>5389.9207500000002</v>
      </c>
      <c r="I36">
        <v>3233.9524499999998</v>
      </c>
    </row>
    <row r="37" spans="2:9">
      <c r="B37" s="74" t="s">
        <v>88</v>
      </c>
      <c r="C37">
        <v>215596.83</v>
      </c>
      <c r="F37" t="s">
        <v>89</v>
      </c>
      <c r="G37">
        <v>238719.25</v>
      </c>
      <c r="H37">
        <v>5967.9812500000007</v>
      </c>
      <c r="I37">
        <v>3580.7887499999997</v>
      </c>
    </row>
    <row r="38" spans="2:9">
      <c r="B38" s="74" t="s">
        <v>89</v>
      </c>
      <c r="C38">
        <v>238719.25</v>
      </c>
      <c r="F38" t="s">
        <v>90</v>
      </c>
      <c r="G38">
        <v>259111.12</v>
      </c>
      <c r="H38">
        <v>6477.7780000000002</v>
      </c>
      <c r="I38">
        <v>3886.6668</v>
      </c>
    </row>
    <row r="39" spans="2:9">
      <c r="B39" s="74" t="s">
        <v>90</v>
      </c>
      <c r="C39">
        <v>259111.12</v>
      </c>
      <c r="F39" t="s">
        <v>91</v>
      </c>
      <c r="G39">
        <v>219664.19</v>
      </c>
      <c r="H39">
        <v>5491.6047500000004</v>
      </c>
      <c r="I39">
        <v>3294.9628499999999</v>
      </c>
    </row>
    <row r="40" spans="2:9">
      <c r="B40" s="74" t="s">
        <v>91</v>
      </c>
      <c r="C40">
        <v>219664.19</v>
      </c>
      <c r="E40" s="96" t="s">
        <v>110</v>
      </c>
      <c r="G40">
        <v>2228770.31</v>
      </c>
      <c r="H40">
        <v>55719.257749999997</v>
      </c>
      <c r="I40">
        <v>33431.554650000005</v>
      </c>
    </row>
    <row r="41" spans="2:9">
      <c r="B41" s="54" t="s">
        <v>79</v>
      </c>
      <c r="C41">
        <v>2698764.9099999997</v>
      </c>
      <c r="E41" s="96">
        <v>2024</v>
      </c>
      <c r="F41" t="s">
        <v>80</v>
      </c>
      <c r="G41">
        <v>244573.36</v>
      </c>
      <c r="H41">
        <v>6114.3339999999998</v>
      </c>
      <c r="I41">
        <v>3668.6003999999998</v>
      </c>
    </row>
    <row r="42" spans="2:9">
      <c r="B42" s="74" t="s">
        <v>80</v>
      </c>
      <c r="C42">
        <v>244573.36</v>
      </c>
      <c r="F42" t="s">
        <v>81</v>
      </c>
      <c r="G42">
        <v>226412.35</v>
      </c>
      <c r="H42">
        <v>5660.3087500000001</v>
      </c>
      <c r="I42">
        <v>3396.18525</v>
      </c>
    </row>
    <row r="43" spans="2:9">
      <c r="B43" s="74" t="s">
        <v>81</v>
      </c>
      <c r="C43">
        <v>226412.35</v>
      </c>
      <c r="F43" t="s">
        <v>82</v>
      </c>
      <c r="G43">
        <v>208228.95</v>
      </c>
      <c r="H43">
        <v>5205.723750000001</v>
      </c>
      <c r="I43">
        <v>3123.4342500000002</v>
      </c>
    </row>
    <row r="44" spans="2:9">
      <c r="B44" s="74" t="s">
        <v>82</v>
      </c>
      <c r="C44">
        <v>208228.95</v>
      </c>
      <c r="F44" t="s">
        <v>83</v>
      </c>
      <c r="G44">
        <v>236210.91</v>
      </c>
      <c r="H44">
        <v>5905.2727500000001</v>
      </c>
      <c r="I44">
        <v>3543.16365</v>
      </c>
    </row>
    <row r="45" spans="2:9">
      <c r="B45" s="74" t="s">
        <v>83</v>
      </c>
      <c r="C45">
        <v>236210.91</v>
      </c>
      <c r="F45" t="s">
        <v>84</v>
      </c>
      <c r="G45">
        <v>212570.44</v>
      </c>
      <c r="H45">
        <v>5314.2610000000004</v>
      </c>
      <c r="I45">
        <v>3188.5565999999999</v>
      </c>
    </row>
    <row r="46" spans="2:9">
      <c r="B46" s="74" t="s">
        <v>84</v>
      </c>
      <c r="C46">
        <v>212570.44</v>
      </c>
      <c r="F46" t="s">
        <v>85</v>
      </c>
      <c r="G46">
        <v>208614.25</v>
      </c>
      <c r="H46">
        <v>5215.3562500000007</v>
      </c>
      <c r="I46">
        <v>3129.2137499999999</v>
      </c>
    </row>
    <row r="47" spans="2:9">
      <c r="B47" s="74" t="s">
        <v>85</v>
      </c>
      <c r="C47">
        <v>208614.25</v>
      </c>
      <c r="F47" t="s">
        <v>86</v>
      </c>
      <c r="G47">
        <v>226054.51</v>
      </c>
      <c r="H47">
        <v>6781.6352999999999</v>
      </c>
      <c r="I47">
        <v>4521.0902000000006</v>
      </c>
    </row>
    <row r="48" spans="2:9">
      <c r="B48" s="74" t="s">
        <v>86</v>
      </c>
      <c r="C48">
        <v>226054.51</v>
      </c>
      <c r="F48" t="s">
        <v>87</v>
      </c>
      <c r="G48">
        <v>226509.4</v>
      </c>
      <c r="H48">
        <v>6795.2819999999992</v>
      </c>
      <c r="I48">
        <v>4530.1880000000001</v>
      </c>
    </row>
    <row r="49" spans="2:9">
      <c r="B49" s="74" t="s">
        <v>87</v>
      </c>
      <c r="C49">
        <v>226509.4</v>
      </c>
      <c r="F49" t="s">
        <v>88</v>
      </c>
      <c r="G49">
        <v>219412.67</v>
      </c>
      <c r="H49">
        <v>6582.3801000000003</v>
      </c>
      <c r="I49">
        <v>4388.2534000000005</v>
      </c>
    </row>
    <row r="50" spans="2:9">
      <c r="B50" s="74" t="s">
        <v>88</v>
      </c>
      <c r="C50">
        <v>219412.67</v>
      </c>
      <c r="F50" t="s">
        <v>89</v>
      </c>
      <c r="G50">
        <v>244515.12</v>
      </c>
      <c r="H50">
        <v>7335.4535999999998</v>
      </c>
      <c r="I50">
        <v>4890.3023999999996</v>
      </c>
    </row>
    <row r="51" spans="2:9">
      <c r="B51" s="74" t="s">
        <v>89</v>
      </c>
      <c r="C51">
        <v>244515.12</v>
      </c>
      <c r="F51" t="s">
        <v>90</v>
      </c>
      <c r="G51">
        <v>227665.15</v>
      </c>
      <c r="H51">
        <v>6829.9544999999998</v>
      </c>
      <c r="I51">
        <v>4553.3029999999999</v>
      </c>
    </row>
    <row r="52" spans="2:9">
      <c r="B52" s="74" t="s">
        <v>90</v>
      </c>
      <c r="C52">
        <v>227665.15</v>
      </c>
      <c r="F52" t="s">
        <v>91</v>
      </c>
      <c r="G52">
        <v>217997.8</v>
      </c>
      <c r="H52">
        <v>6539.9339999999993</v>
      </c>
      <c r="I52">
        <v>4359.9560000000001</v>
      </c>
    </row>
    <row r="53" spans="2:9">
      <c r="B53" s="74" t="s">
        <v>91</v>
      </c>
      <c r="C53">
        <v>217997.8</v>
      </c>
      <c r="E53" s="96" t="s">
        <v>111</v>
      </c>
      <c r="G53">
        <v>2698764.9099999997</v>
      </c>
      <c r="H53">
        <v>74279.895999999993</v>
      </c>
      <c r="I53">
        <v>47292.246900000006</v>
      </c>
    </row>
    <row r="54" spans="2:9">
      <c r="B54" s="54" t="s">
        <v>69</v>
      </c>
      <c r="C54">
        <v>4927535.2200000007</v>
      </c>
      <c r="E54" s="96" t="s">
        <v>69</v>
      </c>
      <c r="G54">
        <v>4927535.2200000007</v>
      </c>
      <c r="H54">
        <v>129999.15374999998</v>
      </c>
      <c r="I54">
        <v>80723.801550000018</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08687-7077-7B43-9DDF-FDD0D87E78AA}">
  <dimension ref="A1:I34"/>
  <sheetViews>
    <sheetView zoomScale="34" zoomScaleNormal="88" workbookViewId="0">
      <selection activeCell="B17" sqref="B17"/>
    </sheetView>
  </sheetViews>
  <sheetFormatPr defaultColWidth="10.83203125" defaultRowHeight="16"/>
  <cols>
    <col min="1" max="1" width="32.1640625" customWidth="1"/>
    <col min="2" max="2" width="41.83203125" customWidth="1"/>
    <col min="5" max="5" width="11.5" bestFit="1" customWidth="1"/>
    <col min="6" max="6" width="8.5" bestFit="1" customWidth="1"/>
    <col min="7" max="7" width="31.6640625" bestFit="1" customWidth="1"/>
    <col min="8" max="8" width="13" bestFit="1" customWidth="1"/>
    <col min="9" max="9" width="34" bestFit="1" customWidth="1"/>
  </cols>
  <sheetData>
    <row r="1" spans="1:9" ht="16.5" thickBot="1">
      <c r="A1" s="85" t="s">
        <v>4</v>
      </c>
      <c r="B1" s="94" t="s">
        <v>98</v>
      </c>
      <c r="C1" s="83" t="s">
        <v>25</v>
      </c>
    </row>
    <row r="2" spans="1:9">
      <c r="A2" s="86">
        <v>44986</v>
      </c>
      <c r="B2" s="90" t="str">
        <f>TEXT(Table4[[#This Row],[Date Period]],"mmm")</f>
        <v>Mar</v>
      </c>
      <c r="C2" s="80">
        <v>81737.7</v>
      </c>
    </row>
    <row r="3" spans="1:9">
      <c r="A3" s="87">
        <v>45017</v>
      </c>
      <c r="B3" s="91" t="str">
        <f>TEXT(Table4[[#This Row],[Date Period]],"mmm")</f>
        <v>Apr</v>
      </c>
      <c r="C3" s="81">
        <v>70700.11</v>
      </c>
    </row>
    <row r="4" spans="1:9">
      <c r="A4" s="87">
        <v>45047</v>
      </c>
      <c r="B4" s="91" t="str">
        <f>TEXT(Table4[[#This Row],[Date Period]],"mmm")</f>
        <v>May</v>
      </c>
      <c r="C4" s="81">
        <v>91353.76</v>
      </c>
    </row>
    <row r="5" spans="1:9">
      <c r="A5" s="87">
        <v>45078</v>
      </c>
      <c r="B5" s="91" t="str">
        <f>TEXT(Table4[[#This Row],[Date Period]],"mmm")</f>
        <v>Jun</v>
      </c>
      <c r="C5" s="81">
        <v>85828.68</v>
      </c>
      <c r="H5" s="53" t="s">
        <v>68</v>
      </c>
      <c r="I5" t="s">
        <v>97</v>
      </c>
    </row>
    <row r="6" spans="1:9">
      <c r="A6" s="87">
        <v>45108</v>
      </c>
      <c r="B6" s="91" t="str">
        <f>TEXT(Table4[[#This Row],[Date Period]],"mmm")</f>
        <v>Jul</v>
      </c>
      <c r="C6" s="81">
        <v>82582.990000000005</v>
      </c>
      <c r="H6" s="54" t="s">
        <v>78</v>
      </c>
      <c r="I6">
        <v>855053.07000000007</v>
      </c>
    </row>
    <row r="7" spans="1:9">
      <c r="A7" s="87">
        <v>45139</v>
      </c>
      <c r="B7" s="91" t="str">
        <f>TEXT(Table4[[#This Row],[Date Period]],"mmm")</f>
        <v>Aug</v>
      </c>
      <c r="C7" s="81">
        <v>94269.61</v>
      </c>
      <c r="H7" s="54" t="s">
        <v>79</v>
      </c>
      <c r="I7">
        <v>1107948.7200000002</v>
      </c>
    </row>
    <row r="8" spans="1:9">
      <c r="A8" s="87">
        <v>45170</v>
      </c>
      <c r="B8" s="91" t="str">
        <f>TEXT(Table4[[#This Row],[Date Period]],"mmm")</f>
        <v>Sep</v>
      </c>
      <c r="C8" s="81">
        <v>91188.18</v>
      </c>
      <c r="H8" s="54" t="s">
        <v>69</v>
      </c>
      <c r="I8">
        <v>1963001.7900000003</v>
      </c>
    </row>
    <row r="9" spans="1:9">
      <c r="A9" s="87">
        <v>45200</v>
      </c>
      <c r="B9" s="91" t="str">
        <f>TEXT(Table4[[#This Row],[Date Period]],"mmm")</f>
        <v>Oct</v>
      </c>
      <c r="C9" s="81">
        <v>84176.27</v>
      </c>
    </row>
    <row r="10" spans="1:9">
      <c r="A10" s="87">
        <v>45231</v>
      </c>
      <c r="B10" s="91" t="str">
        <f>TEXT(Table4[[#This Row],[Date Period]],"mmm")</f>
        <v>Nov</v>
      </c>
      <c r="C10" s="81">
        <v>88976.99</v>
      </c>
    </row>
    <row r="11" spans="1:9">
      <c r="A11" s="87">
        <v>45261</v>
      </c>
      <c r="B11" s="91" t="str">
        <f>TEXT(Table4[[#This Row],[Date Period]],"mmm")</f>
        <v>Dec</v>
      </c>
      <c r="C11" s="81">
        <v>84238.78</v>
      </c>
      <c r="E11" s="53" t="s">
        <v>96</v>
      </c>
      <c r="F11" s="53" t="s">
        <v>98</v>
      </c>
      <c r="G11" t="s">
        <v>97</v>
      </c>
    </row>
    <row r="12" spans="1:9">
      <c r="A12" s="87">
        <v>45292</v>
      </c>
      <c r="B12" s="91" t="str">
        <f>TEXT(Table4[[#This Row],[Date Period]],"mmm")</f>
        <v>Jan</v>
      </c>
      <c r="C12" s="81">
        <v>91675.62</v>
      </c>
      <c r="E12" t="s">
        <v>78</v>
      </c>
      <c r="F12" t="s">
        <v>82</v>
      </c>
      <c r="G12" s="97">
        <v>81737.7</v>
      </c>
    </row>
    <row r="13" spans="1:9">
      <c r="A13" s="87">
        <v>45323</v>
      </c>
      <c r="B13" s="91" t="str">
        <f>TEXT(Table4[[#This Row],[Date Period]],"mmm")</f>
        <v>Feb</v>
      </c>
      <c r="C13" s="81">
        <v>107422.81</v>
      </c>
      <c r="F13" t="s">
        <v>83</v>
      </c>
      <c r="G13" s="97">
        <v>70700.11</v>
      </c>
    </row>
    <row r="14" spans="1:9">
      <c r="A14" s="87">
        <v>45352</v>
      </c>
      <c r="B14" s="91" t="str">
        <f>TEXT(Table4[[#This Row],[Date Period]],"mmm")</f>
        <v>Mar</v>
      </c>
      <c r="C14" s="81">
        <v>97933.36</v>
      </c>
      <c r="F14" t="s">
        <v>84</v>
      </c>
      <c r="G14" s="97">
        <v>91353.76</v>
      </c>
    </row>
    <row r="15" spans="1:9">
      <c r="A15" s="87">
        <v>45383</v>
      </c>
      <c r="B15" s="91" t="str">
        <f>TEXT(Table4[[#This Row],[Date Period]],"mmm")</f>
        <v>Apr</v>
      </c>
      <c r="C15" s="81">
        <v>92923.13</v>
      </c>
      <c r="F15" t="s">
        <v>85</v>
      </c>
      <c r="G15" s="97">
        <v>85828.68</v>
      </c>
    </row>
    <row r="16" spans="1:9">
      <c r="A16" s="87">
        <v>45413</v>
      </c>
      <c r="B16" s="91" t="str">
        <f>TEXT(Table4[[#This Row],[Date Period]],"mmm")</f>
        <v>May</v>
      </c>
      <c r="C16" s="81">
        <v>94482.42</v>
      </c>
      <c r="F16" t="s">
        <v>86</v>
      </c>
      <c r="G16" s="97">
        <v>82582.990000000005</v>
      </c>
    </row>
    <row r="17" spans="1:7">
      <c r="A17" s="87">
        <v>45444</v>
      </c>
      <c r="B17" s="91" t="str">
        <f>TEXT(Table4[[#This Row],[Date Period]],"mmm")</f>
        <v>Jun</v>
      </c>
      <c r="C17" s="81">
        <v>87154.05</v>
      </c>
      <c r="F17" t="s">
        <v>87</v>
      </c>
      <c r="G17" s="97">
        <v>94269.61</v>
      </c>
    </row>
    <row r="18" spans="1:7">
      <c r="A18" s="88">
        <v>45474</v>
      </c>
      <c r="B18" s="92" t="str">
        <f>TEXT(Table4[[#This Row],[Date Period]],"mmm")</f>
        <v>Jul</v>
      </c>
      <c r="C18" s="82">
        <v>97042.19</v>
      </c>
      <c r="F18" t="s">
        <v>88</v>
      </c>
      <c r="G18" s="97">
        <v>91188.18</v>
      </c>
    </row>
    <row r="19" spans="1:7">
      <c r="A19" s="87">
        <v>45505</v>
      </c>
      <c r="B19" s="91" t="str">
        <f>TEXT(Table4[[#This Row],[Date Period]],"mmm")</f>
        <v>Aug</v>
      </c>
      <c r="C19" s="81">
        <v>93359.14</v>
      </c>
      <c r="F19" t="s">
        <v>89</v>
      </c>
      <c r="G19" s="97">
        <v>84176.27</v>
      </c>
    </row>
    <row r="20" spans="1:7">
      <c r="A20" s="87">
        <v>45536</v>
      </c>
      <c r="B20" s="91" t="str">
        <f>TEXT(Table4[[#This Row],[Date Period]],"mmm")</f>
        <v>Sep</v>
      </c>
      <c r="C20" s="81">
        <v>91026.16</v>
      </c>
      <c r="F20" t="s">
        <v>90</v>
      </c>
      <c r="G20" s="97">
        <v>88976.99</v>
      </c>
    </row>
    <row r="21" spans="1:7">
      <c r="A21" s="87">
        <v>45566</v>
      </c>
      <c r="B21" s="91" t="str">
        <f>TEXT(Table4[[#This Row],[Date Period]],"mmm")</f>
        <v>Oct</v>
      </c>
      <c r="C21" s="81">
        <v>88331.34</v>
      </c>
      <c r="F21" t="s">
        <v>91</v>
      </c>
      <c r="G21" s="97">
        <v>84238.78</v>
      </c>
    </row>
    <row r="22" spans="1:7">
      <c r="A22" s="87">
        <v>45597</v>
      </c>
      <c r="B22" s="91" t="str">
        <f>TEXT(Table4[[#This Row],[Date Period]],"mmm")</f>
        <v>Nov</v>
      </c>
      <c r="C22" s="81">
        <v>85920.62</v>
      </c>
      <c r="E22" t="s">
        <v>79</v>
      </c>
      <c r="F22" t="s">
        <v>80</v>
      </c>
      <c r="G22" s="97">
        <v>91675.62</v>
      </c>
    </row>
    <row r="23" spans="1:7">
      <c r="A23" s="89">
        <v>45627</v>
      </c>
      <c r="B23" s="93" t="str">
        <f>TEXT(Table4[[#This Row],[Date Period]],"mmm")</f>
        <v>Dec</v>
      </c>
      <c r="C23" s="84">
        <v>80677.88</v>
      </c>
      <c r="F23" t="s">
        <v>81</v>
      </c>
      <c r="G23" s="97">
        <v>107422.81</v>
      </c>
    </row>
    <row r="24" spans="1:7">
      <c r="F24" t="s">
        <v>82</v>
      </c>
      <c r="G24" s="97">
        <v>97933.36</v>
      </c>
    </row>
    <row r="25" spans="1:7">
      <c r="F25" t="s">
        <v>83</v>
      </c>
      <c r="G25" s="97">
        <v>92923.13</v>
      </c>
    </row>
    <row r="26" spans="1:7">
      <c r="F26" t="s">
        <v>84</v>
      </c>
      <c r="G26" s="97">
        <v>94482.42</v>
      </c>
    </row>
    <row r="27" spans="1:7">
      <c r="F27" t="s">
        <v>85</v>
      </c>
      <c r="G27" s="97">
        <v>87154.05</v>
      </c>
    </row>
    <row r="28" spans="1:7">
      <c r="F28" t="s">
        <v>86</v>
      </c>
      <c r="G28" s="97">
        <v>97042.19</v>
      </c>
    </row>
    <row r="29" spans="1:7">
      <c r="F29" t="s">
        <v>87</v>
      </c>
      <c r="G29" s="97">
        <v>93359.14</v>
      </c>
    </row>
    <row r="30" spans="1:7">
      <c r="F30" t="s">
        <v>88</v>
      </c>
      <c r="G30" s="97">
        <v>91026.16</v>
      </c>
    </row>
    <row r="31" spans="1:7">
      <c r="F31" t="s">
        <v>89</v>
      </c>
      <c r="G31" s="97">
        <v>88331.34</v>
      </c>
    </row>
    <row r="32" spans="1:7">
      <c r="F32" t="s">
        <v>90</v>
      </c>
      <c r="G32" s="97">
        <v>85920.62</v>
      </c>
    </row>
    <row r="33" spans="5:7">
      <c r="F33" t="s">
        <v>91</v>
      </c>
      <c r="G33" s="97">
        <v>80677.88</v>
      </c>
    </row>
    <row r="34" spans="5:7">
      <c r="E34" t="s">
        <v>69</v>
      </c>
      <c r="G34" s="97">
        <v>1963001.79</v>
      </c>
    </row>
  </sheetData>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F44D-F759-2F4F-A84F-68174B6215F3}">
  <dimension ref="A1:AA46"/>
  <sheetViews>
    <sheetView zoomScale="69" zoomScaleNormal="69" workbookViewId="0">
      <selection activeCell="Q35" sqref="Q35"/>
    </sheetView>
  </sheetViews>
  <sheetFormatPr defaultColWidth="10.83203125" defaultRowHeight="16"/>
  <cols>
    <col min="1" max="1" width="20.6640625" customWidth="1"/>
    <col min="2" max="2" width="32" customWidth="1"/>
    <col min="3" max="3" width="31.6640625" customWidth="1"/>
    <col min="4" max="4" width="32.83203125" customWidth="1"/>
    <col min="5" max="5" width="11.83203125" bestFit="1" customWidth="1"/>
    <col min="6" max="6" width="18.83203125" bestFit="1" customWidth="1"/>
    <col min="7" max="7" width="12.5" bestFit="1" customWidth="1"/>
    <col min="8" max="8" width="18.83203125" bestFit="1" customWidth="1"/>
    <col min="9" max="9" width="25" bestFit="1" customWidth="1"/>
    <col min="10" max="10" width="13.83203125" bestFit="1" customWidth="1"/>
    <col min="15" max="15" width="13" bestFit="1" customWidth="1"/>
    <col min="16" max="16" width="10.83203125" bestFit="1" customWidth="1"/>
    <col min="17" max="18" width="14.1640625" bestFit="1" customWidth="1"/>
    <col min="19" max="19" width="33.6640625" bestFit="1" customWidth="1"/>
    <col min="20" max="20" width="10.83203125" bestFit="1" customWidth="1"/>
    <col min="21" max="21" width="14.1640625" bestFit="1" customWidth="1"/>
    <col min="22" max="22" width="33.6640625" bestFit="1" customWidth="1"/>
    <col min="23" max="23" width="10.83203125" bestFit="1" customWidth="1"/>
    <col min="24" max="24" width="14.1640625" bestFit="1" customWidth="1"/>
    <col min="25" max="25" width="38.1640625" bestFit="1" customWidth="1"/>
    <col min="26" max="26" width="15.1640625" bestFit="1" customWidth="1"/>
    <col min="27" max="27" width="18.6640625" bestFit="1" customWidth="1"/>
  </cols>
  <sheetData>
    <row r="1" spans="1:27" ht="16.5" thickBot="1">
      <c r="A1" s="56" t="s">
        <v>4</v>
      </c>
      <c r="B1" s="56" t="s">
        <v>26</v>
      </c>
      <c r="C1" s="56" t="s">
        <v>36</v>
      </c>
      <c r="D1" s="56" t="s">
        <v>37</v>
      </c>
      <c r="E1" s="56" t="s">
        <v>28</v>
      </c>
      <c r="F1" s="56" t="s">
        <v>99</v>
      </c>
      <c r="G1" s="56" t="s">
        <v>27</v>
      </c>
      <c r="H1" s="83" t="s">
        <v>100</v>
      </c>
      <c r="I1" s="3"/>
      <c r="J1" s="3"/>
    </row>
    <row r="2" spans="1:27" ht="16.5" thickBot="1">
      <c r="A2" s="16">
        <v>45108</v>
      </c>
      <c r="B2" s="25" t="s">
        <v>29</v>
      </c>
      <c r="C2" s="22">
        <v>3.8</v>
      </c>
      <c r="D2" s="22" t="s">
        <v>38</v>
      </c>
      <c r="E2" s="22">
        <f>C2 *0.02</f>
        <v>7.5999999999999998E-2</v>
      </c>
      <c r="F2" s="22" t="s">
        <v>44</v>
      </c>
      <c r="G2" s="22">
        <v>0</v>
      </c>
      <c r="H2" s="23" t="s">
        <v>49</v>
      </c>
      <c r="I2" s="3"/>
      <c r="J2" s="3"/>
    </row>
    <row r="3" spans="1:27" ht="16.5" thickBot="1">
      <c r="A3" s="13"/>
      <c r="B3" s="11" t="s">
        <v>30</v>
      </c>
      <c r="C3" s="1">
        <v>0</v>
      </c>
      <c r="D3" s="1" t="s">
        <v>39</v>
      </c>
      <c r="E3" s="1">
        <v>0</v>
      </c>
      <c r="F3" s="1" t="s">
        <v>45</v>
      </c>
      <c r="G3" s="22">
        <v>0</v>
      </c>
      <c r="H3" s="23" t="s">
        <v>50</v>
      </c>
      <c r="I3" s="3"/>
      <c r="J3" s="3"/>
    </row>
    <row r="4" spans="1:27" ht="16.5" thickBot="1">
      <c r="A4" s="13"/>
      <c r="B4" s="11" t="s">
        <v>31</v>
      </c>
      <c r="C4" s="1">
        <v>50</v>
      </c>
      <c r="D4" s="1" t="s">
        <v>40</v>
      </c>
      <c r="E4" s="1">
        <f>C4*0.02</f>
        <v>1</v>
      </c>
      <c r="F4" s="1" t="s">
        <v>44</v>
      </c>
      <c r="G4" s="22">
        <v>0</v>
      </c>
      <c r="H4" s="23" t="s">
        <v>51</v>
      </c>
      <c r="I4" s="3"/>
      <c r="J4" s="3"/>
      <c r="P4" s="53" t="s">
        <v>103</v>
      </c>
    </row>
    <row r="5" spans="1:27" ht="16.5" thickBot="1">
      <c r="A5" s="13"/>
      <c r="B5" s="11" t="s">
        <v>32</v>
      </c>
      <c r="C5" s="1">
        <v>0.12</v>
      </c>
      <c r="D5" s="1" t="s">
        <v>41</v>
      </c>
      <c r="E5" s="1">
        <f>C5*0.02</f>
        <v>2.3999999999999998E-3</v>
      </c>
      <c r="F5" s="1" t="s">
        <v>46</v>
      </c>
      <c r="G5" s="22">
        <v>0</v>
      </c>
      <c r="H5" s="23" t="s">
        <v>52</v>
      </c>
      <c r="I5" s="3"/>
      <c r="J5" s="3"/>
      <c r="P5" t="s">
        <v>102</v>
      </c>
      <c r="S5" t="s">
        <v>78</v>
      </c>
      <c r="V5" t="s">
        <v>79</v>
      </c>
      <c r="Y5" t="s">
        <v>105</v>
      </c>
      <c r="Z5" t="s">
        <v>106</v>
      </c>
      <c r="AA5" t="s">
        <v>108</v>
      </c>
    </row>
    <row r="6" spans="1:27" ht="16.5" thickBot="1">
      <c r="A6" s="13"/>
      <c r="B6" s="11" t="s">
        <v>33</v>
      </c>
      <c r="C6" s="1">
        <v>0</v>
      </c>
      <c r="D6" s="1" t="s">
        <v>42</v>
      </c>
      <c r="E6" s="1">
        <v>0</v>
      </c>
      <c r="F6" s="1" t="s">
        <v>47</v>
      </c>
      <c r="G6" s="22">
        <v>0</v>
      </c>
      <c r="H6" s="23" t="s">
        <v>53</v>
      </c>
      <c r="I6" s="3"/>
      <c r="J6" s="3"/>
    </row>
    <row r="7" spans="1:27" ht="16.5" thickBot="1">
      <c r="A7" s="13"/>
      <c r="B7" s="11" t="s">
        <v>34</v>
      </c>
      <c r="C7" s="1">
        <v>1.5</v>
      </c>
      <c r="D7" s="1" t="s">
        <v>43</v>
      </c>
      <c r="E7" s="1">
        <f t="shared" ref="E7:E16" si="0">C7*0.02</f>
        <v>0.03</v>
      </c>
      <c r="F7" s="1" t="s">
        <v>46</v>
      </c>
      <c r="G7" s="22">
        <v>0</v>
      </c>
      <c r="H7" s="23" t="s">
        <v>54</v>
      </c>
      <c r="I7" s="3"/>
      <c r="J7" s="3"/>
    </row>
    <row r="8" spans="1:27">
      <c r="A8" s="13"/>
      <c r="B8" s="11" t="s">
        <v>35</v>
      </c>
      <c r="C8" s="1">
        <v>0.5</v>
      </c>
      <c r="D8" s="1" t="s">
        <v>43</v>
      </c>
      <c r="E8" s="1">
        <f t="shared" si="0"/>
        <v>0.01</v>
      </c>
      <c r="F8" s="1" t="s">
        <v>48</v>
      </c>
      <c r="G8" s="22">
        <v>0</v>
      </c>
      <c r="H8" s="23" t="s">
        <v>55</v>
      </c>
      <c r="I8" s="3"/>
      <c r="J8" s="3"/>
    </row>
    <row r="9" spans="1:27" ht="16.5" thickBot="1">
      <c r="A9" s="13"/>
      <c r="B9" s="11"/>
      <c r="C9" s="1"/>
      <c r="D9" s="1"/>
      <c r="E9" s="1"/>
      <c r="F9" s="1"/>
      <c r="G9" s="1"/>
      <c r="H9" s="2"/>
      <c r="I9" s="3"/>
      <c r="J9" s="3"/>
      <c r="O9" s="53" t="s">
        <v>68</v>
      </c>
      <c r="P9" t="s">
        <v>104</v>
      </c>
      <c r="Q9" t="s">
        <v>107</v>
      </c>
      <c r="R9" t="s">
        <v>109</v>
      </c>
      <c r="S9" t="s">
        <v>104</v>
      </c>
      <c r="T9" t="s">
        <v>107</v>
      </c>
      <c r="U9" t="s">
        <v>109</v>
      </c>
      <c r="V9" t="s">
        <v>104</v>
      </c>
      <c r="W9" t="s">
        <v>107</v>
      </c>
      <c r="X9" t="s">
        <v>109</v>
      </c>
    </row>
    <row r="10" spans="1:27">
      <c r="A10" s="26">
        <v>45474</v>
      </c>
      <c r="B10" s="11" t="s">
        <v>29</v>
      </c>
      <c r="C10" s="1">
        <v>0.26</v>
      </c>
      <c r="D10" s="22" t="s">
        <v>38</v>
      </c>
      <c r="E10" s="1">
        <f t="shared" si="0"/>
        <v>5.2000000000000006E-3</v>
      </c>
      <c r="F10" s="22" t="s">
        <v>44</v>
      </c>
      <c r="G10" s="1">
        <f>C10*2.5%</f>
        <v>6.5000000000000006E-3</v>
      </c>
      <c r="H10" s="2" t="s">
        <v>62</v>
      </c>
      <c r="O10" s="54" t="s">
        <v>30</v>
      </c>
      <c r="P10">
        <v>5.46</v>
      </c>
      <c r="Q10">
        <v>0.10920000000000001</v>
      </c>
      <c r="R10">
        <v>0.13650000000000001</v>
      </c>
      <c r="Y10">
        <v>5.46</v>
      </c>
      <c r="Z10">
        <v>0.10920000000000001</v>
      </c>
      <c r="AA10">
        <v>0.13650000000000001</v>
      </c>
    </row>
    <row r="11" spans="1:27">
      <c r="A11" s="13"/>
      <c r="B11" s="11" t="s">
        <v>30</v>
      </c>
      <c r="C11" s="1">
        <v>5.46</v>
      </c>
      <c r="D11" s="1" t="s">
        <v>39</v>
      </c>
      <c r="E11" s="1">
        <f t="shared" si="0"/>
        <v>0.10920000000000001</v>
      </c>
      <c r="F11" s="1" t="s">
        <v>45</v>
      </c>
      <c r="G11" s="1">
        <f t="shared" ref="G11:G16" si="1">C11*2.5%</f>
        <v>0.13650000000000001</v>
      </c>
      <c r="H11" s="2" t="s">
        <v>61</v>
      </c>
      <c r="O11" s="54" t="s">
        <v>34</v>
      </c>
      <c r="P11">
        <v>4.91</v>
      </c>
      <c r="Q11">
        <v>9.820000000000001E-2</v>
      </c>
      <c r="R11">
        <v>8.5250000000000006E-2</v>
      </c>
      <c r="Y11">
        <v>4.91</v>
      </c>
      <c r="Z11">
        <v>9.820000000000001E-2</v>
      </c>
      <c r="AA11">
        <v>8.5250000000000006E-2</v>
      </c>
    </row>
    <row r="12" spans="1:27">
      <c r="A12" s="13"/>
      <c r="B12" s="11" t="s">
        <v>31</v>
      </c>
      <c r="C12" s="1">
        <v>116.5</v>
      </c>
      <c r="D12" s="1" t="s">
        <v>40</v>
      </c>
      <c r="E12" s="1">
        <f t="shared" si="0"/>
        <v>2.33</v>
      </c>
      <c r="F12" s="1" t="s">
        <v>44</v>
      </c>
      <c r="G12" s="1">
        <f t="shared" si="1"/>
        <v>2.9125000000000001</v>
      </c>
      <c r="H12" s="2" t="s">
        <v>60</v>
      </c>
      <c r="O12" s="54" t="s">
        <v>29</v>
      </c>
      <c r="S12">
        <v>3.8</v>
      </c>
      <c r="T12">
        <v>7.5999999999999998E-2</v>
      </c>
      <c r="U12">
        <v>0</v>
      </c>
      <c r="V12">
        <v>0.26</v>
      </c>
      <c r="W12">
        <v>5.2000000000000006E-3</v>
      </c>
      <c r="X12">
        <v>6.5000000000000006E-3</v>
      </c>
      <c r="Y12">
        <v>4.0599999999999996</v>
      </c>
      <c r="Z12">
        <v>8.1199999999999994E-2</v>
      </c>
      <c r="AA12">
        <v>6.5000000000000006E-3</v>
      </c>
    </row>
    <row r="13" spans="1:27">
      <c r="A13" s="13"/>
      <c r="B13" s="11" t="s">
        <v>32</v>
      </c>
      <c r="C13" s="1">
        <v>0.44</v>
      </c>
      <c r="D13" s="1" t="s">
        <v>41</v>
      </c>
      <c r="E13" s="1">
        <f t="shared" si="0"/>
        <v>8.8000000000000005E-3</v>
      </c>
      <c r="F13" s="1" t="s">
        <v>46</v>
      </c>
      <c r="G13" s="1">
        <f t="shared" si="1"/>
        <v>1.1000000000000001E-2</v>
      </c>
      <c r="H13" s="2" t="s">
        <v>59</v>
      </c>
      <c r="O13" s="54" t="s">
        <v>33</v>
      </c>
      <c r="P13">
        <v>8.0000000000000002E-3</v>
      </c>
      <c r="Q13">
        <v>1.6000000000000001E-4</v>
      </c>
      <c r="R13">
        <v>0</v>
      </c>
      <c r="Y13">
        <v>8.0000000000000002E-3</v>
      </c>
      <c r="Z13">
        <v>1.6000000000000001E-4</v>
      </c>
      <c r="AA13">
        <v>0</v>
      </c>
    </row>
    <row r="14" spans="1:27">
      <c r="A14" s="13"/>
      <c r="B14" s="11" t="s">
        <v>33</v>
      </c>
      <c r="C14" s="1">
        <v>8.0000000000000002E-3</v>
      </c>
      <c r="D14" s="1" t="s">
        <v>42</v>
      </c>
      <c r="E14" s="1">
        <f t="shared" si="0"/>
        <v>1.6000000000000001E-4</v>
      </c>
      <c r="F14" s="1" t="s">
        <v>47</v>
      </c>
      <c r="G14" s="1"/>
      <c r="H14" s="2" t="s">
        <v>56</v>
      </c>
      <c r="O14" s="54" t="s">
        <v>35</v>
      </c>
      <c r="P14">
        <v>0.53</v>
      </c>
      <c r="Q14">
        <v>1.06E-2</v>
      </c>
      <c r="R14">
        <v>7.5000000000000002E-4</v>
      </c>
      <c r="Y14">
        <v>0.53</v>
      </c>
      <c r="Z14">
        <v>1.06E-2</v>
      </c>
      <c r="AA14">
        <v>7.5000000000000002E-4</v>
      </c>
    </row>
    <row r="15" spans="1:27">
      <c r="A15" s="13"/>
      <c r="B15" s="11" t="s">
        <v>34</v>
      </c>
      <c r="C15" s="1">
        <v>3.41</v>
      </c>
      <c r="D15" s="1" t="s">
        <v>43</v>
      </c>
      <c r="E15" s="1">
        <f t="shared" si="0"/>
        <v>6.8200000000000011E-2</v>
      </c>
      <c r="F15" s="1" t="s">
        <v>46</v>
      </c>
      <c r="G15" s="1">
        <f t="shared" si="1"/>
        <v>8.5250000000000006E-2</v>
      </c>
      <c r="H15" s="2" t="s">
        <v>58</v>
      </c>
      <c r="O15" s="54" t="s">
        <v>32</v>
      </c>
      <c r="P15">
        <v>0.56000000000000005</v>
      </c>
      <c r="Q15">
        <v>1.12E-2</v>
      </c>
      <c r="R15">
        <v>1.1000000000000001E-2</v>
      </c>
      <c r="Y15">
        <v>0.56000000000000005</v>
      </c>
      <c r="Z15">
        <v>1.12E-2</v>
      </c>
      <c r="AA15">
        <v>1.1000000000000001E-2</v>
      </c>
    </row>
    <row r="16" spans="1:27" ht="16.5" thickBot="1">
      <c r="A16" s="15"/>
      <c r="B16" s="27" t="s">
        <v>35</v>
      </c>
      <c r="C16" s="21">
        <v>0.03</v>
      </c>
      <c r="D16" s="1" t="s">
        <v>43</v>
      </c>
      <c r="E16" s="1">
        <f t="shared" si="0"/>
        <v>5.9999999999999995E-4</v>
      </c>
      <c r="F16" s="1" t="s">
        <v>48</v>
      </c>
      <c r="G16" s="1">
        <f t="shared" si="1"/>
        <v>7.5000000000000002E-4</v>
      </c>
      <c r="H16" s="24" t="s">
        <v>57</v>
      </c>
      <c r="O16" s="54" t="s">
        <v>31</v>
      </c>
      <c r="P16">
        <v>166.5</v>
      </c>
      <c r="Q16">
        <v>3.33</v>
      </c>
      <c r="R16">
        <v>2.9125000000000001</v>
      </c>
      <c r="Y16">
        <v>166.5</v>
      </c>
      <c r="Z16">
        <v>3.33</v>
      </c>
      <c r="AA16">
        <v>2.9125000000000001</v>
      </c>
    </row>
    <row r="17" spans="1:27">
      <c r="B17" s="3"/>
      <c r="C17" s="3"/>
      <c r="D17" s="3"/>
      <c r="O17" s="54" t="s">
        <v>101</v>
      </c>
    </row>
    <row r="18" spans="1:27">
      <c r="B18" s="3"/>
      <c r="C18" s="3"/>
      <c r="D18" s="3"/>
      <c r="O18" s="54" t="s">
        <v>69</v>
      </c>
      <c r="P18">
        <v>177.96799999999999</v>
      </c>
      <c r="Q18">
        <v>3.5593599999999999</v>
      </c>
      <c r="R18">
        <v>3.1459999999999999</v>
      </c>
      <c r="S18">
        <v>3.8</v>
      </c>
      <c r="T18">
        <v>7.5999999999999998E-2</v>
      </c>
      <c r="U18">
        <v>0</v>
      </c>
      <c r="V18">
        <v>0.26</v>
      </c>
      <c r="W18">
        <v>5.2000000000000006E-3</v>
      </c>
      <c r="X18">
        <v>6.5000000000000006E-3</v>
      </c>
      <c r="Y18">
        <v>182.02799999999999</v>
      </c>
      <c r="Z18">
        <v>3.6405600000000002</v>
      </c>
      <c r="AA18">
        <v>3.1525000000000003</v>
      </c>
    </row>
    <row r="19" spans="1:27">
      <c r="B19" s="3"/>
      <c r="C19" s="3"/>
      <c r="D19" s="3"/>
    </row>
    <row r="20" spans="1:27">
      <c r="B20" s="3"/>
      <c r="C20" s="3"/>
      <c r="D20" s="3"/>
    </row>
    <row r="21" spans="1:27">
      <c r="O21" s="53" t="s">
        <v>68</v>
      </c>
      <c r="P21" t="s">
        <v>107</v>
      </c>
      <c r="Q21" t="s">
        <v>109</v>
      </c>
    </row>
    <row r="22" spans="1:27">
      <c r="O22" s="54" t="s">
        <v>102</v>
      </c>
      <c r="P22">
        <v>3.5593600000000003</v>
      </c>
      <c r="Q22">
        <v>3.1459999999999999</v>
      </c>
    </row>
    <row r="23" spans="1:27">
      <c r="E23" s="53" t="s">
        <v>96</v>
      </c>
      <c r="F23" s="53" t="s">
        <v>115</v>
      </c>
      <c r="G23" s="53" t="s">
        <v>4</v>
      </c>
      <c r="H23" t="s">
        <v>112</v>
      </c>
      <c r="I23" t="s">
        <v>113</v>
      </c>
      <c r="J23" t="s">
        <v>114</v>
      </c>
      <c r="O23" s="54" t="s">
        <v>78</v>
      </c>
      <c r="P23">
        <v>7.5999999999999998E-2</v>
      </c>
      <c r="Q23">
        <v>0</v>
      </c>
    </row>
    <row r="24" spans="1:27" ht="16.5" thickBot="1">
      <c r="A24" s="56" t="s">
        <v>4</v>
      </c>
      <c r="B24" s="56" t="s">
        <v>64</v>
      </c>
      <c r="C24" s="56" t="s">
        <v>63</v>
      </c>
      <c r="D24" s="56" t="s">
        <v>65</v>
      </c>
      <c r="E24" t="s">
        <v>78</v>
      </c>
      <c r="F24" t="s">
        <v>82</v>
      </c>
      <c r="H24" s="98">
        <v>344.51</v>
      </c>
      <c r="I24" s="98">
        <v>165.05</v>
      </c>
      <c r="J24" s="98">
        <v>157</v>
      </c>
      <c r="O24" s="54" t="s">
        <v>79</v>
      </c>
      <c r="P24">
        <v>5.2000000000000006E-3</v>
      </c>
      <c r="Q24">
        <v>6.5000000000000006E-3</v>
      </c>
    </row>
    <row r="25" spans="1:27">
      <c r="A25" s="16">
        <v>44986</v>
      </c>
      <c r="B25" s="28">
        <v>344.51</v>
      </c>
      <c r="C25" s="28">
        <v>165.05</v>
      </c>
      <c r="D25" s="29">
        <v>157</v>
      </c>
      <c r="F25" t="s">
        <v>83</v>
      </c>
      <c r="H25" s="98">
        <v>360</v>
      </c>
      <c r="I25" s="98">
        <v>167</v>
      </c>
      <c r="J25" s="98">
        <v>160</v>
      </c>
      <c r="O25" s="54" t="s">
        <v>69</v>
      </c>
      <c r="P25">
        <v>3.6405600000000002</v>
      </c>
      <c r="Q25">
        <v>3.1524999999999999</v>
      </c>
    </row>
    <row r="26" spans="1:27">
      <c r="A26" s="13">
        <v>45017</v>
      </c>
      <c r="B26" s="30">
        <v>360</v>
      </c>
      <c r="C26" s="30">
        <v>167</v>
      </c>
      <c r="D26" s="31">
        <v>160</v>
      </c>
      <c r="F26" t="s">
        <v>84</v>
      </c>
      <c r="H26" s="98">
        <v>328</v>
      </c>
      <c r="I26" s="98">
        <v>187</v>
      </c>
      <c r="J26" s="98">
        <v>211</v>
      </c>
    </row>
    <row r="27" spans="1:27">
      <c r="A27" s="13">
        <v>45047</v>
      </c>
      <c r="B27" s="30">
        <v>328</v>
      </c>
      <c r="C27" s="30">
        <v>187</v>
      </c>
      <c r="D27" s="31">
        <v>211</v>
      </c>
      <c r="F27" t="s">
        <v>85</v>
      </c>
      <c r="H27" s="98">
        <v>326</v>
      </c>
      <c r="I27" s="98">
        <v>197.28</v>
      </c>
      <c r="J27" s="98">
        <v>206</v>
      </c>
    </row>
    <row r="28" spans="1:27">
      <c r="A28" s="13">
        <v>45078</v>
      </c>
      <c r="B28" s="30">
        <v>326</v>
      </c>
      <c r="C28" s="30">
        <v>197.28</v>
      </c>
      <c r="D28" s="31">
        <v>206</v>
      </c>
      <c r="F28" t="s">
        <v>86</v>
      </c>
      <c r="H28" s="98">
        <v>318.92</v>
      </c>
      <c r="I28" s="98">
        <v>227.07</v>
      </c>
      <c r="J28" s="98">
        <v>229</v>
      </c>
    </row>
    <row r="29" spans="1:27">
      <c r="A29" s="13">
        <v>45108</v>
      </c>
      <c r="B29" s="30">
        <v>318.92</v>
      </c>
      <c r="C29" s="30">
        <v>227.07</v>
      </c>
      <c r="D29" s="31">
        <v>229</v>
      </c>
      <c r="F29" t="s">
        <v>87</v>
      </c>
      <c r="H29" s="98">
        <v>315.01</v>
      </c>
      <c r="I29" s="98">
        <v>213.26</v>
      </c>
      <c r="J29" s="98">
        <v>224</v>
      </c>
    </row>
    <row r="30" spans="1:27">
      <c r="A30" s="13">
        <v>45139</v>
      </c>
      <c r="B30" s="30">
        <v>315.01</v>
      </c>
      <c r="C30" s="30">
        <v>213.26</v>
      </c>
      <c r="D30" s="31">
        <v>224</v>
      </c>
      <c r="F30" t="s">
        <v>88</v>
      </c>
      <c r="H30" s="98">
        <v>315.01</v>
      </c>
      <c r="I30" s="98">
        <v>179.93</v>
      </c>
      <c r="J30" s="98">
        <v>223</v>
      </c>
    </row>
    <row r="31" spans="1:27">
      <c r="A31" s="13">
        <v>45170</v>
      </c>
      <c r="B31" s="30">
        <v>315.01</v>
      </c>
      <c r="C31" s="30">
        <v>179.93</v>
      </c>
      <c r="D31" s="31">
        <v>223</v>
      </c>
      <c r="F31" t="s">
        <v>89</v>
      </c>
      <c r="H31" s="98">
        <v>325.94</v>
      </c>
      <c r="I31" s="98">
        <v>145</v>
      </c>
      <c r="J31" s="98">
        <v>218.66</v>
      </c>
    </row>
    <row r="32" spans="1:27">
      <c r="A32" s="13">
        <v>45200</v>
      </c>
      <c r="B32" s="30">
        <v>325.94</v>
      </c>
      <c r="C32" s="30">
        <v>145</v>
      </c>
      <c r="D32" s="31">
        <v>218.66</v>
      </c>
      <c r="F32" t="s">
        <v>90</v>
      </c>
      <c r="H32" s="98">
        <v>349.51</v>
      </c>
      <c r="I32" s="98">
        <v>134</v>
      </c>
      <c r="J32" s="98">
        <v>213</v>
      </c>
    </row>
    <row r="33" spans="1:10">
      <c r="A33" s="13">
        <v>45231</v>
      </c>
      <c r="B33" s="30">
        <v>349.51</v>
      </c>
      <c r="C33" s="30">
        <v>134</v>
      </c>
      <c r="D33" s="31">
        <v>213</v>
      </c>
      <c r="F33" t="s">
        <v>91</v>
      </c>
      <c r="H33" s="98">
        <v>360</v>
      </c>
      <c r="I33" s="98">
        <v>143</v>
      </c>
      <c r="J33" s="98">
        <v>149</v>
      </c>
    </row>
    <row r="34" spans="1:10">
      <c r="A34" s="13">
        <v>45261</v>
      </c>
      <c r="B34" s="30">
        <v>360</v>
      </c>
      <c r="C34" s="30">
        <v>143</v>
      </c>
      <c r="D34" s="31">
        <v>149</v>
      </c>
      <c r="E34" t="s">
        <v>79</v>
      </c>
      <c r="F34" t="s">
        <v>80</v>
      </c>
      <c r="H34" s="98">
        <v>335</v>
      </c>
      <c r="I34" s="98">
        <v>154.54</v>
      </c>
      <c r="J34" s="98">
        <v>157</v>
      </c>
    </row>
    <row r="35" spans="1:10">
      <c r="A35" s="13">
        <v>45292</v>
      </c>
      <c r="B35" s="30">
        <v>335</v>
      </c>
      <c r="C35" s="30">
        <v>154.54</v>
      </c>
      <c r="D35" s="31">
        <v>157</v>
      </c>
      <c r="F35" t="s">
        <v>81</v>
      </c>
      <c r="H35" s="98">
        <v>340</v>
      </c>
      <c r="I35" s="98">
        <v>120</v>
      </c>
      <c r="J35" s="98">
        <v>166.45</v>
      </c>
    </row>
    <row r="36" spans="1:10">
      <c r="A36" s="13">
        <v>45323</v>
      </c>
      <c r="B36" s="30">
        <v>340</v>
      </c>
      <c r="C36" s="30">
        <v>120</v>
      </c>
      <c r="D36" s="31">
        <v>166.45</v>
      </c>
      <c r="F36" t="s">
        <v>82</v>
      </c>
      <c r="H36" s="98">
        <v>355.1</v>
      </c>
      <c r="I36" s="98">
        <v>110</v>
      </c>
      <c r="J36" s="98">
        <v>169</v>
      </c>
    </row>
    <row r="37" spans="1:10">
      <c r="A37" s="13">
        <v>45352</v>
      </c>
      <c r="B37" s="30">
        <v>355.1</v>
      </c>
      <c r="C37" s="30">
        <v>110</v>
      </c>
      <c r="D37" s="31">
        <v>169</v>
      </c>
      <c r="F37" t="s">
        <v>83</v>
      </c>
      <c r="H37" s="98">
        <v>371.16</v>
      </c>
      <c r="I37" s="98">
        <v>200</v>
      </c>
      <c r="J37" s="98">
        <v>165</v>
      </c>
    </row>
    <row r="38" spans="1:10">
      <c r="A38" s="13">
        <v>45383</v>
      </c>
      <c r="B38" s="30">
        <v>371.16</v>
      </c>
      <c r="C38" s="30">
        <v>200</v>
      </c>
      <c r="D38" s="31">
        <v>165</v>
      </c>
      <c r="F38" t="s">
        <v>84</v>
      </c>
      <c r="H38" s="98">
        <v>336.85</v>
      </c>
      <c r="I38" s="98">
        <v>130.38</v>
      </c>
      <c r="J38" s="98">
        <v>159</v>
      </c>
    </row>
    <row r="39" spans="1:10">
      <c r="A39" s="13">
        <v>45413</v>
      </c>
      <c r="B39" s="30">
        <v>336.85</v>
      </c>
      <c r="C39" s="30">
        <v>130.38</v>
      </c>
      <c r="D39" s="31">
        <v>159</v>
      </c>
      <c r="F39" t="s">
        <v>85</v>
      </c>
      <c r="H39" s="98">
        <v>326.36</v>
      </c>
      <c r="I39" s="98">
        <v>213.26</v>
      </c>
      <c r="J39" s="98">
        <v>151</v>
      </c>
    </row>
    <row r="40" spans="1:10">
      <c r="A40" s="13">
        <v>45444</v>
      </c>
      <c r="B40" s="30">
        <v>326.36</v>
      </c>
      <c r="C40" s="30">
        <v>213.26</v>
      </c>
      <c r="D40" s="31">
        <v>151</v>
      </c>
      <c r="F40" t="s">
        <v>86</v>
      </c>
      <c r="H40" s="98">
        <v>318.92</v>
      </c>
      <c r="I40" s="98">
        <v>206.24</v>
      </c>
      <c r="J40" s="98">
        <v>142</v>
      </c>
    </row>
    <row r="41" spans="1:10">
      <c r="A41" s="14">
        <v>45474</v>
      </c>
      <c r="B41" s="32">
        <v>318.92</v>
      </c>
      <c r="C41" s="32">
        <v>206.24</v>
      </c>
      <c r="D41" s="33">
        <v>142</v>
      </c>
      <c r="F41" t="s">
        <v>87</v>
      </c>
      <c r="H41" s="98">
        <v>353.01</v>
      </c>
      <c r="I41" s="98">
        <v>217.39</v>
      </c>
      <c r="J41" s="98">
        <v>141</v>
      </c>
    </row>
    <row r="42" spans="1:10">
      <c r="A42" s="13">
        <v>45505</v>
      </c>
      <c r="B42" s="30">
        <v>353.01</v>
      </c>
      <c r="C42" s="30">
        <v>217.39</v>
      </c>
      <c r="D42" s="31">
        <v>141</v>
      </c>
      <c r="F42" t="s">
        <v>88</v>
      </c>
      <c r="H42" s="98">
        <v>349.28</v>
      </c>
      <c r="I42" s="98">
        <v>214</v>
      </c>
      <c r="J42" s="98">
        <v>136</v>
      </c>
    </row>
    <row r="43" spans="1:10">
      <c r="A43" s="13">
        <v>45536</v>
      </c>
      <c r="B43" s="30">
        <v>349.28</v>
      </c>
      <c r="C43" s="30">
        <v>214</v>
      </c>
      <c r="D43" s="31">
        <v>136</v>
      </c>
      <c r="F43" t="s">
        <v>89</v>
      </c>
      <c r="H43" s="98">
        <v>360</v>
      </c>
      <c r="I43" s="98">
        <v>172.5</v>
      </c>
      <c r="J43" s="98">
        <v>140.44</v>
      </c>
    </row>
    <row r="44" spans="1:10">
      <c r="A44" s="13">
        <v>45566</v>
      </c>
      <c r="B44" s="30">
        <v>360</v>
      </c>
      <c r="C44" s="30">
        <v>172.5</v>
      </c>
      <c r="D44" s="31">
        <v>140.44</v>
      </c>
      <c r="F44" t="s">
        <v>90</v>
      </c>
      <c r="H44" s="98">
        <v>371.16</v>
      </c>
      <c r="I44" s="98">
        <v>168.02</v>
      </c>
      <c r="J44" s="98">
        <v>146</v>
      </c>
    </row>
    <row r="45" spans="1:10">
      <c r="A45" s="13">
        <v>45597</v>
      </c>
      <c r="B45" s="30">
        <v>371.16</v>
      </c>
      <c r="C45" s="30">
        <v>168.02</v>
      </c>
      <c r="D45" s="31">
        <v>146</v>
      </c>
      <c r="F45" t="s">
        <v>91</v>
      </c>
      <c r="H45" s="98">
        <v>373.75</v>
      </c>
      <c r="I45" s="98">
        <v>160.58000000000001</v>
      </c>
      <c r="J45" s="98">
        <v>159.69</v>
      </c>
    </row>
    <row r="46" spans="1:10">
      <c r="A46" s="57">
        <v>45627</v>
      </c>
      <c r="B46" s="64">
        <v>373.75</v>
      </c>
      <c r="C46" s="64">
        <v>160.58000000000001</v>
      </c>
      <c r="D46" s="95">
        <v>159.69</v>
      </c>
      <c r="E46" t="s">
        <v>69</v>
      </c>
      <c r="H46" s="98">
        <v>7533.49</v>
      </c>
      <c r="I46" s="98">
        <v>3825.5</v>
      </c>
      <c r="J46" s="98">
        <v>3823.24</v>
      </c>
    </row>
  </sheetData>
  <phoneticPr fontId="3" type="noConversion"/>
  <pageMargins left="0.7" right="0.7" top="0.75" bottom="0.75" header="0.3" footer="0.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7CDD-4B9A-D14C-AD45-148680507FA8}">
  <dimension ref="B1:S78"/>
  <sheetViews>
    <sheetView showGridLines="0" tabSelected="1" topLeftCell="A8" zoomScale="44" workbookViewId="0">
      <selection activeCell="J72" sqref="J72"/>
    </sheetView>
  </sheetViews>
  <sheetFormatPr defaultColWidth="10.83203125" defaultRowHeight="16"/>
  <cols>
    <col min="1" max="2" width="10.83203125" style="99"/>
    <col min="3" max="3" width="35.33203125" style="99" customWidth="1"/>
    <col min="4" max="4" width="48.6640625" style="99" bestFit="1" customWidth="1"/>
    <col min="5" max="16384" width="10.83203125" style="99"/>
  </cols>
  <sheetData>
    <row r="1" spans="2:19" ht="16.5" thickBot="1"/>
    <row r="2" spans="2:19">
      <c r="B2" s="101" t="s">
        <v>116</v>
      </c>
      <c r="C2" s="102"/>
      <c r="D2" s="102"/>
      <c r="E2" s="102"/>
      <c r="F2" s="102"/>
      <c r="G2" s="102"/>
      <c r="H2" s="102"/>
      <c r="I2" s="102"/>
      <c r="J2" s="102"/>
      <c r="K2" s="102"/>
      <c r="L2" s="102"/>
      <c r="M2" s="102"/>
      <c r="N2" s="102"/>
      <c r="O2" s="103"/>
    </row>
    <row r="3" spans="2:19">
      <c r="B3" s="104"/>
      <c r="C3" s="105"/>
      <c r="D3" s="105"/>
      <c r="E3" s="105"/>
      <c r="F3" s="105"/>
      <c r="G3" s="105"/>
      <c r="H3" s="105"/>
      <c r="I3" s="105"/>
      <c r="J3" s="105"/>
      <c r="K3" s="105"/>
      <c r="L3" s="105"/>
      <c r="M3" s="105"/>
      <c r="N3" s="105"/>
      <c r="O3" s="106"/>
    </row>
    <row r="4" spans="2:19">
      <c r="B4" s="104"/>
      <c r="C4" s="105"/>
      <c r="D4" s="105"/>
      <c r="E4" s="105"/>
      <c r="F4" s="105"/>
      <c r="G4" s="105"/>
      <c r="H4" s="105"/>
      <c r="I4" s="105"/>
      <c r="J4" s="105"/>
      <c r="K4" s="105"/>
      <c r="L4" s="105"/>
      <c r="M4" s="105"/>
      <c r="N4" s="105"/>
      <c r="O4" s="106"/>
    </row>
    <row r="5" spans="2:19" ht="16.5" thickBot="1">
      <c r="B5" s="107"/>
      <c r="C5" s="108"/>
      <c r="D5" s="108"/>
      <c r="E5" s="108"/>
      <c r="F5" s="108"/>
      <c r="G5" s="108"/>
      <c r="H5" s="108"/>
      <c r="I5" s="108"/>
      <c r="J5" s="108"/>
      <c r="K5" s="108"/>
      <c r="L5" s="108"/>
      <c r="M5" s="108"/>
      <c r="N5" s="108"/>
      <c r="O5" s="109"/>
    </row>
    <row r="7" spans="2:19">
      <c r="P7" s="110"/>
      <c r="Q7" s="110"/>
      <c r="R7" s="110"/>
      <c r="S7" s="110"/>
    </row>
    <row r="8" spans="2:19">
      <c r="B8" s="110"/>
      <c r="C8" s="110"/>
      <c r="D8" s="110"/>
      <c r="E8" s="110"/>
    </row>
    <row r="32" spans="4:4">
      <c r="D32" s="100"/>
    </row>
    <row r="33" spans="16:18">
      <c r="P33" s="110"/>
      <c r="Q33" s="110"/>
      <c r="R33" s="110"/>
    </row>
    <row r="58" spans="3:7">
      <c r="C58" s="110"/>
      <c r="D58" s="110"/>
      <c r="E58" s="110"/>
    </row>
    <row r="59" spans="3:7">
      <c r="C59" s="112" t="s">
        <v>117</v>
      </c>
    </row>
    <row r="60" spans="3:7" ht="136" customHeight="1">
      <c r="C60" s="111" t="s">
        <v>118</v>
      </c>
      <c r="D60" s="111"/>
      <c r="E60" s="111"/>
      <c r="F60" s="111"/>
      <c r="G60" s="111"/>
    </row>
    <row r="61" spans="3:7">
      <c r="C61"/>
      <c r="D61"/>
    </row>
    <row r="62" spans="3:7">
      <c r="C62"/>
      <c r="D62"/>
    </row>
    <row r="63" spans="3:7">
      <c r="C63"/>
      <c r="D63"/>
    </row>
    <row r="64" spans="3:7">
      <c r="C64"/>
      <c r="D64"/>
    </row>
    <row r="65" spans="3:4">
      <c r="C65"/>
      <c r="D65"/>
    </row>
    <row r="66" spans="3:4">
      <c r="C66"/>
      <c r="D66"/>
    </row>
    <row r="67" spans="3:4">
      <c r="C67"/>
      <c r="D67"/>
    </row>
    <row r="68" spans="3:4">
      <c r="C68"/>
      <c r="D68"/>
    </row>
    <row r="69" spans="3:4">
      <c r="C69"/>
      <c r="D69"/>
    </row>
    <row r="70" spans="3:4">
      <c r="C70"/>
      <c r="D70"/>
    </row>
    <row r="71" spans="3:4">
      <c r="C71"/>
      <c r="D71"/>
    </row>
    <row r="72" spans="3:4">
      <c r="C72"/>
      <c r="D72"/>
    </row>
    <row r="73" spans="3:4">
      <c r="C73"/>
      <c r="D73"/>
    </row>
    <row r="74" spans="3:4">
      <c r="C74"/>
      <c r="D74"/>
    </row>
    <row r="75" spans="3:4">
      <c r="C75"/>
      <c r="D75"/>
    </row>
    <row r="76" spans="3:4">
      <c r="C76"/>
      <c r="D76"/>
    </row>
    <row r="77" spans="3:4">
      <c r="C77"/>
      <c r="D77"/>
    </row>
    <row r="78" spans="3:4">
      <c r="C78"/>
      <c r="D78"/>
    </row>
  </sheetData>
  <mergeCells count="6">
    <mergeCell ref="C60:G60"/>
    <mergeCell ref="B2:O5"/>
    <mergeCell ref="B8:E8"/>
    <mergeCell ref="P7:S7"/>
    <mergeCell ref="C58:E58"/>
    <mergeCell ref="P33:R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8D1F-DDCC-43FA-BCA7-7AE2D987AD22}">
  <dimension ref="A1"/>
  <sheetViews>
    <sheetView workbookViewId="0"/>
  </sheetViews>
  <sheetFormatPr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 &amp; Tax Calendar</vt:lpstr>
      <vt:lpstr>Imports Summary</vt:lpstr>
      <vt:lpstr>Exports Summary</vt:lpstr>
      <vt:lpstr>Product Level Analysis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 Mohammed</dc:creator>
  <cp:lastModifiedBy>David Mulinda</cp:lastModifiedBy>
  <dcterms:created xsi:type="dcterms:W3CDTF">2025-07-11T08:47:19Z</dcterms:created>
  <dcterms:modified xsi:type="dcterms:W3CDTF">2025-08-10T08:11:09Z</dcterms:modified>
</cp:coreProperties>
</file>